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charts/chart2.xml" ContentType="application/vnd.openxmlformats-officedocument.drawingml.chart+xml"/>
  <Default Extension="rels" ContentType="application/vnd.openxmlformats-package.relationships+xml"/>
  <Default Extension="xml" ContentType="application/xml"/>
  <Override PartName="/xl/workbook.xml" ContentType="application/vnd.openxmlformats-officedocument.spreadsheetml.sheet.main+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ml.chartshapes+xml"/>
  <Override PartName="/docProps/app.xml" ContentType="application/vnd.openxmlformats-officedocument.extended-properties+xml"/>
  <Override PartName="/xl/worksheets/sheet2.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6"/>
  <workbookPr defaultThemeVersion="124226"/>
  <bookViews>
    <workbookView xWindow="0" yWindow="132" windowWidth="28716" windowHeight="12912"/>
  </bookViews>
  <sheets>
    <sheet name="T.rubida S1" sheetId="1" r:id="rId1"/>
    <sheet name="Tables" sheetId="3" r:id="rId2"/>
  </sheets>
  <calcPr calcId="125725"/>
</workbook>
</file>

<file path=xl/calcChain.xml><?xml version="1.0" encoding="utf-8"?>
<calcChain xmlns="http://schemas.openxmlformats.org/spreadsheetml/2006/main">
  <c r="F60" i="3"/>
  <c r="E60"/>
  <c r="BT325" i="1"/>
  <c r="BR325"/>
  <c r="BP325"/>
  <c r="BM325"/>
  <c r="BJ325"/>
  <c r="AO325"/>
  <c r="V325"/>
  <c r="S325"/>
  <c r="O325"/>
  <c r="E325"/>
  <c r="D325"/>
  <c r="C325"/>
  <c r="A325"/>
  <c r="BT323"/>
  <c r="BR323"/>
  <c r="BP323"/>
  <c r="BM323"/>
  <c r="BJ323"/>
  <c r="AO323"/>
  <c r="V323"/>
  <c r="S323"/>
  <c r="O323"/>
  <c r="E323"/>
  <c r="D323"/>
  <c r="C323"/>
  <c r="A323"/>
  <c r="BT322"/>
  <c r="BR322"/>
  <c r="BP322"/>
  <c r="BM322"/>
  <c r="BJ322"/>
  <c r="AO322"/>
  <c r="V322"/>
  <c r="S322"/>
  <c r="O322"/>
  <c r="E322"/>
  <c r="D322"/>
  <c r="C322"/>
  <c r="A322"/>
  <c r="BT321"/>
  <c r="BR321"/>
  <c r="BP321"/>
  <c r="BM321"/>
  <c r="BJ321"/>
  <c r="BI321"/>
  <c r="AO321"/>
  <c r="V321"/>
  <c r="S321"/>
  <c r="E321"/>
  <c r="D321"/>
  <c r="C321"/>
  <c r="A321"/>
  <c r="BT320"/>
  <c r="BR320"/>
  <c r="BP320"/>
  <c r="BM320"/>
  <c r="BJ320"/>
  <c r="AO320"/>
  <c r="V320"/>
  <c r="S320"/>
  <c r="O320"/>
  <c r="E320"/>
  <c r="D320"/>
  <c r="C320"/>
  <c r="A320"/>
  <c r="BT319"/>
  <c r="BR319"/>
  <c r="BP319"/>
  <c r="BM319"/>
  <c r="BJ319"/>
  <c r="AO319"/>
  <c r="V319"/>
  <c r="S319"/>
  <c r="O319"/>
  <c r="E319"/>
  <c r="D319"/>
  <c r="C319"/>
  <c r="A319"/>
  <c r="BT318"/>
  <c r="BR318"/>
  <c r="BP318"/>
  <c r="BM318"/>
  <c r="BJ318"/>
  <c r="AO318"/>
  <c r="V318"/>
  <c r="S318"/>
  <c r="O318"/>
  <c r="E318"/>
  <c r="D318"/>
  <c r="C318"/>
  <c r="A318"/>
  <c r="BT317"/>
  <c r="BR317"/>
  <c r="BP317"/>
  <c r="BM317"/>
  <c r="BJ317"/>
  <c r="BI317"/>
  <c r="AO317"/>
  <c r="V317"/>
  <c r="S317"/>
  <c r="O317"/>
  <c r="E317"/>
  <c r="D317"/>
  <c r="C317"/>
  <c r="A317"/>
  <c r="BT316"/>
  <c r="BR316"/>
  <c r="BP316"/>
  <c r="BM316"/>
  <c r="BJ316"/>
  <c r="AO316"/>
  <c r="V316"/>
  <c r="S316"/>
  <c r="O316"/>
  <c r="E316"/>
  <c r="D316"/>
  <c r="C316"/>
  <c r="A316"/>
  <c r="BT315"/>
  <c r="BR315"/>
  <c r="BP315"/>
  <c r="BM315"/>
  <c r="BJ315"/>
  <c r="BI315"/>
  <c r="AO315"/>
  <c r="V315"/>
  <c r="S315"/>
  <c r="O315"/>
  <c r="E315"/>
  <c r="D315"/>
  <c r="C315"/>
  <c r="A315"/>
  <c r="BT314"/>
  <c r="BR314"/>
  <c r="BP314"/>
  <c r="BM314"/>
  <c r="BJ314"/>
  <c r="BI314"/>
  <c r="AO314"/>
  <c r="V314"/>
  <c r="S314"/>
  <c r="O314"/>
  <c r="E314"/>
  <c r="D314"/>
  <c r="C314"/>
  <c r="A314"/>
  <c r="BT313"/>
  <c r="BR313"/>
  <c r="BP313"/>
  <c r="BM313"/>
  <c r="BJ313"/>
  <c r="BI313"/>
  <c r="AO313"/>
  <c r="V313"/>
  <c r="S313"/>
  <c r="O313"/>
  <c r="E313"/>
  <c r="D313"/>
  <c r="C313"/>
  <c r="A313"/>
  <c r="BT312"/>
  <c r="BR312"/>
  <c r="BP312"/>
  <c r="BM312"/>
  <c r="BJ312"/>
  <c r="AO312"/>
  <c r="V312"/>
  <c r="O312"/>
  <c r="E312"/>
  <c r="D312"/>
  <c r="C312"/>
  <c r="A312"/>
  <c r="BT690"/>
  <c r="BR690"/>
  <c r="BP690"/>
  <c r="BJ690"/>
  <c r="E690"/>
  <c r="D690"/>
  <c r="C690"/>
  <c r="A690"/>
  <c r="BT689"/>
  <c r="BR689"/>
  <c r="BP689"/>
  <c r="BM689"/>
  <c r="BJ689"/>
  <c r="AO689"/>
  <c r="E689"/>
  <c r="D689"/>
  <c r="C689"/>
  <c r="A689"/>
  <c r="BT688"/>
  <c r="BR688"/>
  <c r="BP688"/>
  <c r="BM688"/>
  <c r="BJ688"/>
  <c r="AO688"/>
  <c r="E688"/>
  <c r="D688"/>
  <c r="C688"/>
  <c r="A688"/>
  <c r="BT687"/>
  <c r="BR687"/>
  <c r="BP687"/>
  <c r="BM687"/>
  <c r="E687"/>
  <c r="D687"/>
  <c r="C687"/>
  <c r="A687"/>
  <c r="BT686"/>
  <c r="BR686"/>
  <c r="BP686"/>
  <c r="BM686"/>
  <c r="BJ686"/>
  <c r="AO686"/>
  <c r="E686"/>
  <c r="D686"/>
  <c r="C686"/>
  <c r="A686"/>
  <c r="BT685"/>
  <c r="BR685"/>
  <c r="BP685"/>
  <c r="BM685"/>
  <c r="BJ685"/>
  <c r="AO685"/>
  <c r="E685"/>
  <c r="D685"/>
  <c r="C685"/>
  <c r="A685"/>
  <c r="BT684"/>
  <c r="BR684"/>
  <c r="BP684"/>
  <c r="BM684"/>
  <c r="BJ684"/>
  <c r="AO684"/>
  <c r="E684"/>
  <c r="D684"/>
  <c r="C684"/>
  <c r="A684"/>
  <c r="BT683"/>
  <c r="BR683"/>
  <c r="BP683"/>
  <c r="BM683"/>
  <c r="BJ683"/>
  <c r="AO683"/>
  <c r="E683"/>
  <c r="D683"/>
  <c r="C683"/>
  <c r="A683"/>
  <c r="BT682"/>
  <c r="BR682"/>
  <c r="BP682"/>
  <c r="BJ682"/>
  <c r="E682"/>
  <c r="D682"/>
  <c r="C682"/>
  <c r="A682"/>
  <c r="BT681"/>
  <c r="BR681"/>
  <c r="BP681"/>
  <c r="BJ681"/>
  <c r="AO681"/>
  <c r="E681"/>
  <c r="D681"/>
  <c r="C681"/>
  <c r="A681"/>
  <c r="BR680"/>
  <c r="BP680"/>
  <c r="E680"/>
  <c r="D680"/>
  <c r="C680"/>
  <c r="A680"/>
  <c r="BT679"/>
  <c r="BR679"/>
  <c r="BP679"/>
  <c r="BJ679"/>
  <c r="AO679"/>
  <c r="E679"/>
  <c r="D679"/>
  <c r="C679"/>
  <c r="A679"/>
  <c r="BT678"/>
  <c r="BR678"/>
  <c r="BP678"/>
  <c r="BM678"/>
  <c r="BJ678"/>
  <c r="AO678"/>
  <c r="E678"/>
  <c r="D678"/>
  <c r="C678"/>
  <c r="A678"/>
  <c r="BT677"/>
  <c r="BR677"/>
  <c r="BP677"/>
  <c r="BM677"/>
  <c r="BJ677"/>
  <c r="E677"/>
  <c r="D677"/>
  <c r="C677"/>
  <c r="A677"/>
  <c r="BT676"/>
  <c r="BR676"/>
  <c r="BP676"/>
  <c r="BM676"/>
  <c r="BJ676"/>
  <c r="AO676"/>
  <c r="E676"/>
  <c r="D676"/>
  <c r="C676"/>
  <c r="A676"/>
  <c r="BT675"/>
  <c r="BR675"/>
  <c r="BP675"/>
  <c r="BJ675"/>
  <c r="E675"/>
  <c r="D675"/>
  <c r="C675"/>
  <c r="A675"/>
  <c r="BT674"/>
  <c r="BR674"/>
  <c r="BP674"/>
  <c r="BM674"/>
  <c r="BJ674"/>
  <c r="AO674"/>
  <c r="E674"/>
  <c r="D674"/>
  <c r="C674"/>
  <c r="A674"/>
  <c r="BT673"/>
  <c r="BR673"/>
  <c r="BP673"/>
  <c r="BM673"/>
  <c r="BJ673"/>
  <c r="E673"/>
  <c r="D673"/>
  <c r="C673"/>
  <c r="A673"/>
  <c r="BT672"/>
  <c r="BR672"/>
  <c r="BP672"/>
  <c r="BM672"/>
  <c r="BJ672"/>
  <c r="AO672"/>
  <c r="E672"/>
  <c r="D672"/>
  <c r="C672"/>
  <c r="A672"/>
  <c r="BT671"/>
  <c r="BR671"/>
  <c r="BP671"/>
  <c r="BJ671"/>
  <c r="E671"/>
  <c r="D671"/>
  <c r="C671"/>
  <c r="A671"/>
  <c r="BR670"/>
  <c r="BP670"/>
  <c r="BJ670"/>
  <c r="E670"/>
  <c r="D670"/>
  <c r="C670"/>
  <c r="A670"/>
  <c r="BT669"/>
  <c r="BR669"/>
  <c r="BP669"/>
  <c r="BM669"/>
  <c r="BJ669"/>
  <c r="E669"/>
  <c r="D669"/>
  <c r="C669"/>
  <c r="A669"/>
  <c r="BT668"/>
  <c r="BR668"/>
  <c r="BP668"/>
  <c r="BM668"/>
  <c r="BJ668"/>
  <c r="AO668"/>
  <c r="E668"/>
  <c r="D668"/>
  <c r="C668"/>
  <c r="A668"/>
  <c r="BT667"/>
  <c r="BR667"/>
  <c r="BP667"/>
  <c r="BM667"/>
  <c r="BJ667"/>
  <c r="E667"/>
  <c r="D667"/>
  <c r="C667"/>
  <c r="A667"/>
  <c r="BT666"/>
  <c r="BR666"/>
  <c r="BP666"/>
  <c r="BM666"/>
  <c r="BJ666"/>
  <c r="E666"/>
  <c r="D666"/>
  <c r="C666"/>
  <c r="A666"/>
  <c r="BT665"/>
  <c r="BR665"/>
  <c r="BP665"/>
  <c r="BM665"/>
  <c r="BJ665"/>
  <c r="E665"/>
  <c r="D665"/>
  <c r="C665"/>
  <c r="A665"/>
  <c r="BT664"/>
  <c r="BR664"/>
  <c r="BP664"/>
  <c r="BM664"/>
  <c r="BJ664"/>
  <c r="AO664"/>
  <c r="E664"/>
  <c r="D664"/>
  <c r="C664"/>
  <c r="A664"/>
  <c r="BT663"/>
  <c r="BR663"/>
  <c r="BP663"/>
  <c r="BM663"/>
  <c r="BJ663"/>
  <c r="AO663"/>
  <c r="E663"/>
  <c r="D663"/>
  <c r="C663"/>
  <c r="A663"/>
  <c r="BT662"/>
  <c r="BR662"/>
  <c r="BP662"/>
  <c r="BM662"/>
  <c r="BJ662"/>
  <c r="AO662"/>
  <c r="E662"/>
  <c r="D662"/>
  <c r="C662"/>
  <c r="A662"/>
  <c r="BT661"/>
  <c r="BR661"/>
  <c r="BP661"/>
  <c r="BM661"/>
  <c r="BJ661"/>
  <c r="AO661"/>
  <c r="E661"/>
  <c r="D661"/>
  <c r="C661"/>
  <c r="A661"/>
  <c r="BR660"/>
  <c r="E660"/>
  <c r="D660"/>
  <c r="C660"/>
  <c r="A660"/>
  <c r="BT659"/>
  <c r="BR659"/>
  <c r="BP659"/>
  <c r="BM659"/>
  <c r="BJ659"/>
  <c r="AO659"/>
  <c r="E659"/>
  <c r="D659"/>
  <c r="C659"/>
  <c r="A659"/>
  <c r="BT658"/>
  <c r="BR658"/>
  <c r="BP658"/>
  <c r="BM658"/>
  <c r="BJ658"/>
  <c r="AO658"/>
  <c r="E658"/>
  <c r="D658"/>
  <c r="C658"/>
  <c r="A658"/>
  <c r="BT657"/>
  <c r="BR657"/>
  <c r="BP657"/>
  <c r="BM657"/>
  <c r="BJ657"/>
  <c r="AO657"/>
  <c r="E657"/>
  <c r="D657"/>
  <c r="C657"/>
  <c r="A657"/>
  <c r="BT656"/>
  <c r="BR656"/>
  <c r="BP656"/>
  <c r="BM656"/>
  <c r="BJ656"/>
  <c r="AO656"/>
  <c r="E656"/>
  <c r="D656"/>
  <c r="C656"/>
  <c r="A656"/>
  <c r="BT655"/>
  <c r="BR655"/>
  <c r="BP655"/>
  <c r="BJ655"/>
  <c r="E655"/>
  <c r="D655"/>
  <c r="C655"/>
  <c r="A655"/>
  <c r="BT654"/>
  <c r="BR654"/>
  <c r="BP654"/>
  <c r="BJ654"/>
  <c r="E654"/>
  <c r="D654"/>
  <c r="C654"/>
  <c r="A654"/>
  <c r="BT653"/>
  <c r="BR653"/>
  <c r="BP653"/>
  <c r="BM653"/>
  <c r="BJ653"/>
  <c r="AO653"/>
  <c r="E653"/>
  <c r="D653"/>
  <c r="C653"/>
  <c r="A653"/>
  <c r="BT652"/>
  <c r="BR652"/>
  <c r="BP652"/>
  <c r="BM652"/>
  <c r="BJ652"/>
  <c r="AO652"/>
  <c r="O652"/>
  <c r="E652"/>
  <c r="D652"/>
  <c r="C652"/>
  <c r="A652"/>
  <c r="BT651"/>
  <c r="BR651"/>
  <c r="BP651"/>
  <c r="BJ651"/>
  <c r="E651"/>
  <c r="D651"/>
  <c r="C651"/>
  <c r="A651"/>
  <c r="BT650"/>
  <c r="BR650"/>
  <c r="BP650"/>
  <c r="BM650"/>
  <c r="BJ650"/>
  <c r="E650"/>
  <c r="D650"/>
  <c r="C650"/>
  <c r="A650"/>
  <c r="BT649"/>
  <c r="BR649"/>
  <c r="BP649"/>
  <c r="BM649"/>
  <c r="BJ649"/>
  <c r="E649"/>
  <c r="D649"/>
  <c r="C649"/>
  <c r="A649"/>
  <c r="BT648"/>
  <c r="BR648"/>
  <c r="BP648"/>
  <c r="BM648"/>
  <c r="BJ648"/>
  <c r="AO648"/>
  <c r="E648"/>
  <c r="D648"/>
  <c r="C648"/>
  <c r="A648"/>
  <c r="BR647"/>
  <c r="E647"/>
  <c r="D647"/>
  <c r="C647"/>
  <c r="A647"/>
  <c r="BT646"/>
  <c r="BR646"/>
  <c r="BP646"/>
  <c r="BJ646"/>
  <c r="AO646"/>
  <c r="E646"/>
  <c r="D646"/>
  <c r="C646"/>
  <c r="A646"/>
  <c r="BR645"/>
  <c r="BP645"/>
  <c r="E645"/>
  <c r="D645"/>
  <c r="C645"/>
  <c r="A645"/>
  <c r="BT644"/>
  <c r="BR644"/>
  <c r="BP644"/>
  <c r="BM644"/>
  <c r="BJ644"/>
  <c r="AO644"/>
  <c r="E644"/>
  <c r="D644"/>
  <c r="C644"/>
  <c r="A644"/>
  <c r="BT643"/>
  <c r="BR643"/>
  <c r="BP643"/>
  <c r="BJ643"/>
  <c r="AO643"/>
  <c r="E643"/>
  <c r="D643"/>
  <c r="C643"/>
  <c r="A643"/>
  <c r="BT642"/>
  <c r="BR642"/>
  <c r="BP642"/>
  <c r="BM642"/>
  <c r="BJ642"/>
  <c r="E642"/>
  <c r="D642"/>
  <c r="C642"/>
  <c r="A642"/>
  <c r="BT641"/>
  <c r="BR641"/>
  <c r="BP641"/>
  <c r="BM641"/>
  <c r="BJ641"/>
  <c r="E641"/>
  <c r="D641"/>
  <c r="C641"/>
  <c r="A641"/>
  <c r="BT640"/>
  <c r="BR640"/>
  <c r="BP640"/>
  <c r="BM640"/>
  <c r="BJ640"/>
  <c r="E640"/>
  <c r="D640"/>
  <c r="C640"/>
  <c r="A640"/>
  <c r="BR639"/>
  <c r="BP639"/>
  <c r="E639"/>
  <c r="D639"/>
  <c r="C639"/>
  <c r="A639"/>
  <c r="BT638"/>
  <c r="BR638"/>
  <c r="BP638"/>
  <c r="BJ638"/>
  <c r="AO638"/>
  <c r="E638"/>
  <c r="D638"/>
  <c r="C638"/>
  <c r="A638"/>
  <c r="BT637"/>
  <c r="BR637"/>
  <c r="BP637"/>
  <c r="BM637"/>
  <c r="BJ637"/>
  <c r="E637"/>
  <c r="D637"/>
  <c r="C637"/>
  <c r="A637"/>
  <c r="BT636"/>
  <c r="BR636"/>
  <c r="BP636"/>
  <c r="BM636"/>
  <c r="BJ636"/>
  <c r="AO636"/>
  <c r="E636"/>
  <c r="D636"/>
  <c r="C636"/>
  <c r="A636"/>
  <c r="BT635"/>
  <c r="BR635"/>
  <c r="BP635"/>
  <c r="BJ635"/>
  <c r="E635"/>
  <c r="D635"/>
  <c r="C635"/>
  <c r="A635"/>
  <c r="BR634"/>
  <c r="BP634"/>
  <c r="BJ634"/>
  <c r="E634"/>
  <c r="D634"/>
  <c r="C634"/>
  <c r="A634"/>
  <c r="BT633"/>
  <c r="BR633"/>
  <c r="BP633"/>
  <c r="BM633"/>
  <c r="BJ633"/>
  <c r="E633"/>
  <c r="D633"/>
  <c r="C633"/>
  <c r="A633"/>
  <c r="BR632"/>
  <c r="BP632"/>
  <c r="E632"/>
  <c r="D632"/>
  <c r="C632"/>
  <c r="A632"/>
  <c r="BT631"/>
  <c r="BR631"/>
  <c r="BP631"/>
  <c r="BM631"/>
  <c r="BJ631"/>
  <c r="AO631"/>
  <c r="E631"/>
  <c r="D631"/>
  <c r="C631"/>
  <c r="A631"/>
  <c r="BT630"/>
  <c r="BR630"/>
  <c r="BP630"/>
  <c r="BM630"/>
  <c r="BJ630"/>
  <c r="E630"/>
  <c r="D630"/>
  <c r="C630"/>
  <c r="A630"/>
  <c r="BR629"/>
  <c r="BP629"/>
  <c r="E629"/>
  <c r="D629"/>
  <c r="C629"/>
  <c r="A629"/>
  <c r="BT628"/>
  <c r="BR628"/>
  <c r="BP628"/>
  <c r="BM628"/>
  <c r="BJ628"/>
  <c r="AO628"/>
  <c r="E628"/>
  <c r="D628"/>
  <c r="C628"/>
  <c r="A628"/>
  <c r="BT627"/>
  <c r="BR627"/>
  <c r="BP627"/>
  <c r="BM627"/>
  <c r="BJ627"/>
  <c r="E627"/>
  <c r="D627"/>
  <c r="C627"/>
  <c r="A627"/>
  <c r="BT626"/>
  <c r="BR626"/>
  <c r="BP626"/>
  <c r="BM626"/>
  <c r="BJ626"/>
  <c r="E626"/>
  <c r="D626"/>
  <c r="C626"/>
  <c r="A626"/>
  <c r="BT625"/>
  <c r="BR625"/>
  <c r="BP625"/>
  <c r="BM625"/>
  <c r="BJ625"/>
  <c r="E625"/>
  <c r="D625"/>
  <c r="C625"/>
  <c r="A625"/>
  <c r="BT624"/>
  <c r="BR624"/>
  <c r="BP624"/>
  <c r="BM624"/>
  <c r="BJ624"/>
  <c r="AO624"/>
  <c r="E624"/>
  <c r="D624"/>
  <c r="C624"/>
  <c r="A624"/>
  <c r="BT623"/>
  <c r="BR623"/>
  <c r="BP623"/>
  <c r="BM623"/>
  <c r="BJ623"/>
  <c r="AO623"/>
  <c r="E623"/>
  <c r="D623"/>
  <c r="C623"/>
  <c r="A623"/>
  <c r="BR622"/>
  <c r="BP622"/>
  <c r="BJ622"/>
  <c r="E622"/>
  <c r="D622"/>
  <c r="C622"/>
  <c r="A622"/>
  <c r="BT621"/>
  <c r="BR621"/>
  <c r="BP621"/>
  <c r="E621"/>
  <c r="D621"/>
  <c r="C621"/>
  <c r="A621"/>
  <c r="BT620"/>
  <c r="BR620"/>
  <c r="BP620"/>
  <c r="BM620"/>
  <c r="BJ620"/>
  <c r="E620"/>
  <c r="D620"/>
  <c r="C620"/>
  <c r="A620"/>
  <c r="BT619"/>
  <c r="BR619"/>
  <c r="BP619"/>
  <c r="BM619"/>
  <c r="BJ619"/>
  <c r="AO619"/>
  <c r="E619"/>
  <c r="D619"/>
  <c r="C619"/>
  <c r="A619"/>
  <c r="BT618"/>
  <c r="BR618"/>
  <c r="BP618"/>
  <c r="BM618"/>
  <c r="BJ618"/>
  <c r="AO618"/>
  <c r="E618"/>
  <c r="D618"/>
  <c r="C618"/>
  <c r="A618"/>
  <c r="BT617"/>
  <c r="BR617"/>
  <c r="BP617"/>
  <c r="BM617"/>
  <c r="BJ617"/>
  <c r="AO617"/>
  <c r="V617"/>
  <c r="E617"/>
  <c r="D617"/>
  <c r="C617"/>
  <c r="A617"/>
  <c r="BT616"/>
  <c r="BR616"/>
  <c r="BP616"/>
  <c r="BM616"/>
  <c r="BJ616"/>
  <c r="AO616"/>
  <c r="V616"/>
  <c r="E616"/>
  <c r="D616"/>
  <c r="C616"/>
  <c r="A616"/>
  <c r="BT615"/>
  <c r="BR615"/>
  <c r="BP615"/>
  <c r="BM615"/>
  <c r="BJ615"/>
  <c r="AO615"/>
  <c r="V615"/>
  <c r="E615"/>
  <c r="D615"/>
  <c r="C615"/>
  <c r="A615"/>
  <c r="BT614"/>
  <c r="BR614"/>
  <c r="BP614"/>
  <c r="BM614"/>
  <c r="BJ614"/>
  <c r="AO614"/>
  <c r="V614"/>
  <c r="E614"/>
  <c r="D614"/>
  <c r="C614"/>
  <c r="A614"/>
  <c r="BT613"/>
  <c r="BR613"/>
  <c r="BP613"/>
  <c r="BM613"/>
  <c r="BJ613"/>
  <c r="AO613"/>
  <c r="V613"/>
  <c r="E613"/>
  <c r="D613"/>
  <c r="C613"/>
  <c r="A613"/>
  <c r="BT612"/>
  <c r="BR612"/>
  <c r="BP612"/>
  <c r="BM612"/>
  <c r="BJ612"/>
  <c r="AO612"/>
  <c r="V612"/>
  <c r="E612"/>
  <c r="D612"/>
  <c r="C612"/>
  <c r="A612"/>
  <c r="BT611"/>
  <c r="BR611"/>
  <c r="BP611"/>
  <c r="BM611"/>
  <c r="BJ611"/>
  <c r="AO611"/>
  <c r="V611"/>
  <c r="E611"/>
  <c r="D611"/>
  <c r="C611"/>
  <c r="A611"/>
  <c r="BT610"/>
  <c r="BR610"/>
  <c r="BP610"/>
  <c r="BM610"/>
  <c r="BJ610"/>
  <c r="AO610"/>
  <c r="V610"/>
  <c r="E610"/>
  <c r="D610"/>
  <c r="C610"/>
  <c r="A610"/>
  <c r="BT609"/>
  <c r="BR609"/>
  <c r="BP609"/>
  <c r="BM609"/>
  <c r="BJ609"/>
  <c r="AO609"/>
  <c r="V609"/>
  <c r="E609"/>
  <c r="D609"/>
  <c r="C609"/>
  <c r="A609"/>
  <c r="BT608"/>
  <c r="BR608"/>
  <c r="BP608"/>
  <c r="BM608"/>
  <c r="BJ608"/>
  <c r="AO608"/>
  <c r="V608"/>
  <c r="E608"/>
  <c r="D608"/>
  <c r="C608"/>
  <c r="A608"/>
  <c r="BT607"/>
  <c r="BR607"/>
  <c r="BP607"/>
  <c r="BM607"/>
  <c r="BJ607"/>
  <c r="AO607"/>
  <c r="V607"/>
  <c r="E607"/>
  <c r="D607"/>
  <c r="C607"/>
  <c r="A607"/>
  <c r="BT606"/>
  <c r="BR606"/>
  <c r="BP606"/>
  <c r="BM606"/>
  <c r="BJ606"/>
  <c r="AO606"/>
  <c r="V606"/>
  <c r="E606"/>
  <c r="D606"/>
  <c r="C606"/>
  <c r="A606"/>
  <c r="BT605"/>
  <c r="BR605"/>
  <c r="BP605"/>
  <c r="BM605"/>
  <c r="BJ605"/>
  <c r="AO605"/>
  <c r="V605"/>
  <c r="E605"/>
  <c r="D605"/>
  <c r="C605"/>
  <c r="A605"/>
  <c r="BT604"/>
  <c r="BR604"/>
  <c r="BP604"/>
  <c r="BM604"/>
  <c r="BJ604"/>
  <c r="AO604"/>
  <c r="V604"/>
  <c r="E604"/>
  <c r="D604"/>
  <c r="C604"/>
  <c r="A604"/>
  <c r="BT603"/>
  <c r="BR603"/>
  <c r="BP603"/>
  <c r="BM603"/>
  <c r="BJ603"/>
  <c r="AO603"/>
  <c r="V603"/>
  <c r="E603"/>
  <c r="D603"/>
  <c r="C603"/>
  <c r="A603"/>
  <c r="BT602"/>
  <c r="BR602"/>
  <c r="BP602"/>
  <c r="BM602"/>
  <c r="BJ602"/>
  <c r="AO602"/>
  <c r="V602"/>
  <c r="E602"/>
  <c r="D602"/>
  <c r="C602"/>
  <c r="A602"/>
  <c r="BT601"/>
  <c r="BR601"/>
  <c r="BP601"/>
  <c r="BM601"/>
  <c r="BJ601"/>
  <c r="AO601"/>
  <c r="V601"/>
  <c r="E601"/>
  <c r="D601"/>
  <c r="C601"/>
  <c r="A601"/>
  <c r="BT600"/>
  <c r="BR600"/>
  <c r="BP600"/>
  <c r="BM600"/>
  <c r="BJ600"/>
  <c r="AO600"/>
  <c r="V600"/>
  <c r="E600"/>
  <c r="D600"/>
  <c r="C600"/>
  <c r="A600"/>
  <c r="BT599"/>
  <c r="BR599"/>
  <c r="BP599"/>
  <c r="BM599"/>
  <c r="BJ599"/>
  <c r="AO599"/>
  <c r="V599"/>
  <c r="E599"/>
  <c r="D599"/>
  <c r="C599"/>
  <c r="A599"/>
  <c r="BT598"/>
  <c r="BR598"/>
  <c r="BP598"/>
  <c r="BM598"/>
  <c r="BJ598"/>
  <c r="AO598"/>
  <c r="V598"/>
  <c r="E598"/>
  <c r="D598"/>
  <c r="C598"/>
  <c r="A598"/>
  <c r="BT597"/>
  <c r="BR597"/>
  <c r="BP597"/>
  <c r="BM597"/>
  <c r="BJ597"/>
  <c r="AO597"/>
  <c r="V597"/>
  <c r="E597"/>
  <c r="D597"/>
  <c r="C597"/>
  <c r="A597"/>
  <c r="BT596"/>
  <c r="BR596"/>
  <c r="BP596"/>
  <c r="BM596"/>
  <c r="BJ596"/>
  <c r="AO596"/>
  <c r="V596"/>
  <c r="E596"/>
  <c r="D596"/>
  <c r="C596"/>
  <c r="A596"/>
  <c r="BT595"/>
  <c r="BR595"/>
  <c r="BP595"/>
  <c r="BM595"/>
  <c r="BJ595"/>
  <c r="AO595"/>
  <c r="V595"/>
  <c r="E595"/>
  <c r="D595"/>
  <c r="C595"/>
  <c r="A595"/>
  <c r="BT594"/>
  <c r="BR594"/>
  <c r="BP594"/>
  <c r="BM594"/>
  <c r="BJ594"/>
  <c r="AO594"/>
  <c r="V594"/>
  <c r="E594"/>
  <c r="D594"/>
  <c r="C594"/>
  <c r="A594"/>
  <c r="BT593"/>
  <c r="BR593"/>
  <c r="BP593"/>
  <c r="BM593"/>
  <c r="BJ593"/>
  <c r="AO593"/>
  <c r="V593"/>
  <c r="E593"/>
  <c r="D593"/>
  <c r="C593"/>
  <c r="A593"/>
  <c r="BT592"/>
  <c r="BR592"/>
  <c r="BP592"/>
  <c r="BM592"/>
  <c r="BJ592"/>
  <c r="AO592"/>
  <c r="V592"/>
  <c r="E592"/>
  <c r="D592"/>
  <c r="C592"/>
  <c r="A592"/>
  <c r="BT591"/>
  <c r="BR591"/>
  <c r="BP591"/>
  <c r="BM591"/>
  <c r="BJ591"/>
  <c r="AO591"/>
  <c r="V591"/>
  <c r="O591"/>
  <c r="E591"/>
  <c r="D591"/>
  <c r="C591"/>
  <c r="A591"/>
  <c r="BT590"/>
  <c r="BR590"/>
  <c r="BP590"/>
  <c r="BM590"/>
  <c r="BJ590"/>
  <c r="AO590"/>
  <c r="V590"/>
  <c r="O590"/>
  <c r="E590"/>
  <c r="D590"/>
  <c r="C590"/>
  <c r="A590"/>
  <c r="BT589"/>
  <c r="BR589"/>
  <c r="BP589"/>
  <c r="BM589"/>
  <c r="BJ589"/>
  <c r="AO589"/>
  <c r="V589"/>
  <c r="E589"/>
  <c r="D589"/>
  <c r="C589"/>
  <c r="A589"/>
  <c r="BT588"/>
  <c r="BR588"/>
  <c r="BP588"/>
  <c r="BM588"/>
  <c r="BJ588"/>
  <c r="AO588"/>
  <c r="V588"/>
  <c r="E588"/>
  <c r="D588"/>
  <c r="C588"/>
  <c r="A588"/>
  <c r="BT587"/>
  <c r="BR587"/>
  <c r="BP587"/>
  <c r="BM587"/>
  <c r="BJ587"/>
  <c r="AO587"/>
  <c r="V587"/>
  <c r="E587"/>
  <c r="D587"/>
  <c r="C587"/>
  <c r="A587"/>
  <c r="BT586"/>
  <c r="BR586"/>
  <c r="BP586"/>
  <c r="BM586"/>
  <c r="BJ586"/>
  <c r="AO586"/>
  <c r="V586"/>
  <c r="E586"/>
  <c r="D586"/>
  <c r="C586"/>
  <c r="A586"/>
  <c r="BT585"/>
  <c r="BR585"/>
  <c r="BP585"/>
  <c r="BM585"/>
  <c r="BJ585"/>
  <c r="AO585"/>
  <c r="V585"/>
  <c r="E585"/>
  <c r="D585"/>
  <c r="C585"/>
  <c r="A585"/>
  <c r="BT584"/>
  <c r="BR584"/>
  <c r="BP584"/>
  <c r="BM584"/>
  <c r="BJ584"/>
  <c r="AO584"/>
  <c r="V584"/>
  <c r="E584"/>
  <c r="D584"/>
  <c r="C584"/>
  <c r="A584"/>
  <c r="BT583"/>
  <c r="BR583"/>
  <c r="BP583"/>
  <c r="BM583"/>
  <c r="BJ583"/>
  <c r="AO583"/>
  <c r="V583"/>
  <c r="E583"/>
  <c r="D583"/>
  <c r="C583"/>
  <c r="A583"/>
  <c r="BT582"/>
  <c r="BR582"/>
  <c r="BP582"/>
  <c r="BM582"/>
  <c r="BJ582"/>
  <c r="AO582"/>
  <c r="V582"/>
  <c r="E582"/>
  <c r="D582"/>
  <c r="C582"/>
  <c r="A582"/>
  <c r="BT581"/>
  <c r="BR581"/>
  <c r="BP581"/>
  <c r="BM581"/>
  <c r="BJ581"/>
  <c r="AO581"/>
  <c r="V581"/>
  <c r="E581"/>
  <c r="D581"/>
  <c r="C581"/>
  <c r="A581"/>
  <c r="BT580"/>
  <c r="BR580"/>
  <c r="BP580"/>
  <c r="BM580"/>
  <c r="BJ580"/>
  <c r="AO580"/>
  <c r="V580"/>
  <c r="E580"/>
  <c r="D580"/>
  <c r="C580"/>
  <c r="A580"/>
  <c r="BT579"/>
  <c r="BR579"/>
  <c r="BP579"/>
  <c r="BM579"/>
  <c r="BJ579"/>
  <c r="AO579"/>
  <c r="V579"/>
  <c r="E579"/>
  <c r="D579"/>
  <c r="C579"/>
  <c r="A579"/>
  <c r="BT578"/>
  <c r="BR578"/>
  <c r="BP578"/>
  <c r="BM578"/>
  <c r="BJ578"/>
  <c r="AO578"/>
  <c r="V578"/>
  <c r="E578"/>
  <c r="D578"/>
  <c r="C578"/>
  <c r="A578"/>
  <c r="BT577"/>
  <c r="BR577"/>
  <c r="BP577"/>
  <c r="BM577"/>
  <c r="BJ577"/>
  <c r="AO577"/>
  <c r="V577"/>
  <c r="E577"/>
  <c r="D577"/>
  <c r="C577"/>
  <c r="A577"/>
  <c r="BT576"/>
  <c r="BR576"/>
  <c r="BP576"/>
  <c r="BM576"/>
  <c r="BJ576"/>
  <c r="AO576"/>
  <c r="V576"/>
  <c r="E576"/>
  <c r="D576"/>
  <c r="C576"/>
  <c r="A576"/>
  <c r="BT575"/>
  <c r="BR575"/>
  <c r="BP575"/>
  <c r="BM575"/>
  <c r="BJ575"/>
  <c r="AO575"/>
  <c r="V575"/>
  <c r="O575"/>
  <c r="E575"/>
  <c r="D575"/>
  <c r="C575"/>
  <c r="A575"/>
  <c r="BT574"/>
  <c r="BR574"/>
  <c r="BP574"/>
  <c r="BM574"/>
  <c r="BJ574"/>
  <c r="AO574"/>
  <c r="V574"/>
  <c r="E574"/>
  <c r="D574"/>
  <c r="C574"/>
  <c r="A574"/>
  <c r="BT573"/>
  <c r="BR573"/>
  <c r="BP573"/>
  <c r="BM573"/>
  <c r="BJ573"/>
  <c r="AO573"/>
  <c r="V573"/>
  <c r="E573"/>
  <c r="D573"/>
  <c r="C573"/>
  <c r="A573"/>
  <c r="BT572"/>
  <c r="BR572"/>
  <c r="BP572"/>
  <c r="BM572"/>
  <c r="BJ572"/>
  <c r="AO572"/>
  <c r="V572"/>
  <c r="O572"/>
  <c r="E572"/>
  <c r="D572"/>
  <c r="C572"/>
  <c r="A572"/>
  <c r="BT571"/>
  <c r="BR571"/>
  <c r="BP571"/>
  <c r="BM571"/>
  <c r="BJ571"/>
  <c r="AO571"/>
  <c r="V571"/>
  <c r="E571"/>
  <c r="D571"/>
  <c r="C571"/>
  <c r="A571"/>
  <c r="BT570"/>
  <c r="BR570"/>
  <c r="BP570"/>
  <c r="BM570"/>
  <c r="BJ570"/>
  <c r="AO570"/>
  <c r="V570"/>
  <c r="E570"/>
  <c r="D570"/>
  <c r="C570"/>
  <c r="A570"/>
  <c r="BT569"/>
  <c r="BR569"/>
  <c r="BP569"/>
  <c r="BM569"/>
  <c r="BJ569"/>
  <c r="AO569"/>
  <c r="V569"/>
  <c r="E569"/>
  <c r="D569"/>
  <c r="C569"/>
  <c r="A569"/>
  <c r="BT568"/>
  <c r="BR568"/>
  <c r="BP568"/>
  <c r="BM568"/>
  <c r="BJ568"/>
  <c r="AO568"/>
  <c r="V568"/>
  <c r="E568"/>
  <c r="D568"/>
  <c r="C568"/>
  <c r="A568"/>
  <c r="BT567"/>
  <c r="BR567"/>
  <c r="BP567"/>
  <c r="BM567"/>
  <c r="BJ567"/>
  <c r="AO567"/>
  <c r="V567"/>
  <c r="E567"/>
  <c r="D567"/>
  <c r="C567"/>
  <c r="A567"/>
  <c r="BT566"/>
  <c r="BR566"/>
  <c r="BP566"/>
  <c r="BM566"/>
  <c r="BJ566"/>
  <c r="AO566"/>
  <c r="V566"/>
  <c r="O566"/>
  <c r="E566"/>
  <c r="D566"/>
  <c r="C566"/>
  <c r="A566"/>
  <c r="BT565"/>
  <c r="BR565"/>
  <c r="BP565"/>
  <c r="BM565"/>
  <c r="BJ565"/>
  <c r="AO565"/>
  <c r="V565"/>
  <c r="O565"/>
  <c r="E565"/>
  <c r="D565"/>
  <c r="C565"/>
  <c r="A565"/>
  <c r="BT564"/>
  <c r="BR564"/>
  <c r="BP564"/>
  <c r="BM564"/>
  <c r="BJ564"/>
  <c r="AO564"/>
  <c r="V564"/>
  <c r="E564"/>
  <c r="D564"/>
  <c r="C564"/>
  <c r="A564"/>
  <c r="BT563"/>
  <c r="BR563"/>
  <c r="BP563"/>
  <c r="BM563"/>
  <c r="BJ563"/>
  <c r="AO563"/>
  <c r="V563"/>
  <c r="E563"/>
  <c r="D563"/>
  <c r="C563"/>
  <c r="A563"/>
  <c r="BT562"/>
  <c r="BR562"/>
  <c r="BP562"/>
  <c r="BM562"/>
  <c r="BJ562"/>
  <c r="AO562"/>
  <c r="V562"/>
  <c r="E562"/>
  <c r="D562"/>
  <c r="C562"/>
  <c r="A562"/>
  <c r="BT561"/>
  <c r="BR561"/>
  <c r="BP561"/>
  <c r="BM561"/>
  <c r="BJ561"/>
  <c r="AO561"/>
  <c r="V561"/>
  <c r="E561"/>
  <c r="D561"/>
  <c r="C561"/>
  <c r="A561"/>
  <c r="BT560"/>
  <c r="BR560"/>
  <c r="BP560"/>
  <c r="BM560"/>
  <c r="BJ560"/>
  <c r="AO560"/>
  <c r="V560"/>
  <c r="E560"/>
  <c r="D560"/>
  <c r="C560"/>
  <c r="A560"/>
  <c r="BT559"/>
  <c r="BR559"/>
  <c r="BP559"/>
  <c r="BM559"/>
  <c r="BJ559"/>
  <c r="AO559"/>
  <c r="V559"/>
  <c r="E559"/>
  <c r="D559"/>
  <c r="C559"/>
  <c r="A559"/>
  <c r="BT558"/>
  <c r="BR558"/>
  <c r="BP558"/>
  <c r="BM558"/>
  <c r="BJ558"/>
  <c r="AO558"/>
  <c r="V558"/>
  <c r="E558"/>
  <c r="D558"/>
  <c r="C558"/>
  <c r="A558"/>
  <c r="BT557"/>
  <c r="BR557"/>
  <c r="BP557"/>
  <c r="BM557"/>
  <c r="BJ557"/>
  <c r="AO557"/>
  <c r="V557"/>
  <c r="E557"/>
  <c r="D557"/>
  <c r="C557"/>
  <c r="A557"/>
  <c r="BT556"/>
  <c r="BR556"/>
  <c r="BP556"/>
  <c r="BM556"/>
  <c r="BJ556"/>
  <c r="AO556"/>
  <c r="V556"/>
  <c r="E556"/>
  <c r="D556"/>
  <c r="C556"/>
  <c r="A556"/>
  <c r="BT555"/>
  <c r="BR555"/>
  <c r="BP555"/>
  <c r="BM555"/>
  <c r="BJ555"/>
  <c r="AO555"/>
  <c r="V555"/>
  <c r="E555"/>
  <c r="D555"/>
  <c r="C555"/>
  <c r="A555"/>
  <c r="BT554"/>
  <c r="BR554"/>
  <c r="BP554"/>
  <c r="BM554"/>
  <c r="BJ554"/>
  <c r="AO554"/>
  <c r="V554"/>
  <c r="E554"/>
  <c r="D554"/>
  <c r="C554"/>
  <c r="A554"/>
  <c r="BT553"/>
  <c r="BR553"/>
  <c r="BP553"/>
  <c r="BM553"/>
  <c r="BJ553"/>
  <c r="AO553"/>
  <c r="V553"/>
  <c r="E553"/>
  <c r="D553"/>
  <c r="C553"/>
  <c r="A553"/>
  <c r="BT552"/>
  <c r="BR552"/>
  <c r="BP552"/>
  <c r="BM552"/>
  <c r="BJ552"/>
  <c r="AO552"/>
  <c r="V552"/>
  <c r="E552"/>
  <c r="D552"/>
  <c r="C552"/>
  <c r="A552"/>
  <c r="BT551"/>
  <c r="BR551"/>
  <c r="BP551"/>
  <c r="BM551"/>
  <c r="BJ551"/>
  <c r="AO551"/>
  <c r="V551"/>
  <c r="E551"/>
  <c r="D551"/>
  <c r="C551"/>
  <c r="A551"/>
  <c r="BT550"/>
  <c r="BR550"/>
  <c r="BP550"/>
  <c r="BM550"/>
  <c r="BJ550"/>
  <c r="AO550"/>
  <c r="V550"/>
  <c r="E550"/>
  <c r="D550"/>
  <c r="C550"/>
  <c r="A550"/>
  <c r="BT549"/>
  <c r="BR549"/>
  <c r="BP549"/>
  <c r="BM549"/>
  <c r="BJ549"/>
  <c r="AO549"/>
  <c r="V549"/>
  <c r="O549"/>
  <c r="E549"/>
  <c r="D549"/>
  <c r="C549"/>
  <c r="A549"/>
  <c r="BT548"/>
  <c r="BR548"/>
  <c r="BP548"/>
  <c r="BM548"/>
  <c r="BJ548"/>
  <c r="AO548"/>
  <c r="V548"/>
  <c r="E548"/>
  <c r="D548"/>
  <c r="C548"/>
  <c r="A548"/>
  <c r="BT547"/>
  <c r="BR547"/>
  <c r="BP547"/>
  <c r="BM547"/>
  <c r="BJ547"/>
  <c r="AO547"/>
  <c r="V547"/>
  <c r="E547"/>
  <c r="D547"/>
  <c r="C547"/>
  <c r="A547"/>
  <c r="BT546"/>
  <c r="BR546"/>
  <c r="BP546"/>
  <c r="BM546"/>
  <c r="BJ546"/>
  <c r="AO546"/>
  <c r="V546"/>
  <c r="E546"/>
  <c r="D546"/>
  <c r="C546"/>
  <c r="A546"/>
  <c r="BT545"/>
  <c r="BR545"/>
  <c r="BP545"/>
  <c r="BM545"/>
  <c r="BJ545"/>
  <c r="AO545"/>
  <c r="V545"/>
  <c r="O545"/>
  <c r="E545"/>
  <c r="D545"/>
  <c r="C545"/>
  <c r="A545"/>
  <c r="BT544"/>
  <c r="BR544"/>
  <c r="BP544"/>
  <c r="BM544"/>
  <c r="BJ544"/>
  <c r="AO544"/>
  <c r="V544"/>
  <c r="E544"/>
  <c r="D544"/>
  <c r="C544"/>
  <c r="A544"/>
  <c r="BT543"/>
  <c r="BR543"/>
  <c r="BP543"/>
  <c r="BM543"/>
  <c r="BJ543"/>
  <c r="AO543"/>
  <c r="V543"/>
  <c r="E543"/>
  <c r="D543"/>
  <c r="C543"/>
  <c r="A543"/>
  <c r="BT542"/>
  <c r="BR542"/>
  <c r="BP542"/>
  <c r="BM542"/>
  <c r="BJ542"/>
  <c r="AO542"/>
  <c r="V542"/>
  <c r="E542"/>
  <c r="D542"/>
  <c r="C542"/>
  <c r="A542"/>
  <c r="BT541"/>
  <c r="BR541"/>
  <c r="BP541"/>
  <c r="BM541"/>
  <c r="BJ541"/>
  <c r="AO541"/>
  <c r="V541"/>
  <c r="E541"/>
  <c r="D541"/>
  <c r="C541"/>
  <c r="A541"/>
  <c r="BT540"/>
  <c r="BR540"/>
  <c r="BP540"/>
  <c r="BM540"/>
  <c r="BJ540"/>
  <c r="AO540"/>
  <c r="V540"/>
  <c r="E540"/>
  <c r="D540"/>
  <c r="C540"/>
  <c r="A540"/>
  <c r="BT539"/>
  <c r="BR539"/>
  <c r="BP539"/>
  <c r="BM539"/>
  <c r="BJ539"/>
  <c r="AO539"/>
  <c r="V539"/>
  <c r="E539"/>
  <c r="D539"/>
  <c r="C539"/>
  <c r="A539"/>
  <c r="BT538"/>
  <c r="BR538"/>
  <c r="BP538"/>
  <c r="BM538"/>
  <c r="BJ538"/>
  <c r="AO538"/>
  <c r="V538"/>
  <c r="E538"/>
  <c r="D538"/>
  <c r="C538"/>
  <c r="A538"/>
  <c r="BT537"/>
  <c r="BR537"/>
  <c r="BP537"/>
  <c r="BM537"/>
  <c r="BJ537"/>
  <c r="AO537"/>
  <c r="V537"/>
  <c r="E537"/>
  <c r="D537"/>
  <c r="C537"/>
  <c r="A537"/>
  <c r="BT536"/>
  <c r="BR536"/>
  <c r="BP536"/>
  <c r="BM536"/>
  <c r="BJ536"/>
  <c r="AO536"/>
  <c r="V536"/>
  <c r="E536"/>
  <c r="D536"/>
  <c r="C536"/>
  <c r="A536"/>
  <c r="BT535"/>
  <c r="BR535"/>
  <c r="BP535"/>
  <c r="BM535"/>
  <c r="BJ535"/>
  <c r="AO535"/>
  <c r="V535"/>
  <c r="E535"/>
  <c r="D535"/>
  <c r="C535"/>
  <c r="A535"/>
  <c r="BT534"/>
  <c r="BR534"/>
  <c r="BP534"/>
  <c r="BM534"/>
  <c r="BJ534"/>
  <c r="AO534"/>
  <c r="V534"/>
  <c r="E534"/>
  <c r="D534"/>
  <c r="C534"/>
  <c r="A534"/>
  <c r="BT533"/>
  <c r="BR533"/>
  <c r="BP533"/>
  <c r="BM533"/>
  <c r="BJ533"/>
  <c r="AO533"/>
  <c r="V533"/>
  <c r="E533"/>
  <c r="D533"/>
  <c r="C533"/>
  <c r="A533"/>
  <c r="BT532"/>
  <c r="BR532"/>
  <c r="BP532"/>
  <c r="BM532"/>
  <c r="BJ532"/>
  <c r="AO532"/>
  <c r="V532"/>
  <c r="O532"/>
  <c r="E532"/>
  <c r="D532"/>
  <c r="C532"/>
  <c r="A532"/>
  <c r="BT531"/>
  <c r="BR531"/>
  <c r="BP531"/>
  <c r="BM531"/>
  <c r="BJ531"/>
  <c r="AO531"/>
  <c r="V531"/>
  <c r="O531"/>
  <c r="E531"/>
  <c r="D531"/>
  <c r="C531"/>
  <c r="A531"/>
  <c r="BT530"/>
  <c r="BR530"/>
  <c r="BP530"/>
  <c r="BM530"/>
  <c r="BJ530"/>
  <c r="AO530"/>
  <c r="V530"/>
  <c r="E530"/>
  <c r="D530"/>
  <c r="C530"/>
  <c r="A530"/>
  <c r="BT529"/>
  <c r="BR529"/>
  <c r="BP529"/>
  <c r="BM529"/>
  <c r="BJ529"/>
  <c r="AO529"/>
  <c r="V529"/>
  <c r="E529"/>
  <c r="D529"/>
  <c r="C529"/>
  <c r="A529"/>
  <c r="BT528"/>
  <c r="BR528"/>
  <c r="BP528"/>
  <c r="BM528"/>
  <c r="BJ528"/>
  <c r="AO528"/>
  <c r="V528"/>
  <c r="E528"/>
  <c r="D528"/>
  <c r="C528"/>
  <c r="A528"/>
  <c r="BT527"/>
  <c r="BR527"/>
  <c r="BP527"/>
  <c r="BM527"/>
  <c r="BJ527"/>
  <c r="AO527"/>
  <c r="V527"/>
  <c r="E527"/>
  <c r="D527"/>
  <c r="C527"/>
  <c r="A527"/>
  <c r="BT526"/>
  <c r="BR526"/>
  <c r="BP526"/>
  <c r="BM526"/>
  <c r="BJ526"/>
  <c r="AO526"/>
  <c r="V526"/>
  <c r="E526"/>
  <c r="D526"/>
  <c r="C526"/>
  <c r="A526"/>
  <c r="BT525"/>
  <c r="BR525"/>
  <c r="BP525"/>
  <c r="BM525"/>
  <c r="BJ525"/>
  <c r="AO525"/>
  <c r="V525"/>
  <c r="E525"/>
  <c r="D525"/>
  <c r="C525"/>
  <c r="A525"/>
  <c r="BT524"/>
  <c r="BR524"/>
  <c r="BP524"/>
  <c r="BM524"/>
  <c r="BJ524"/>
  <c r="AO524"/>
  <c r="V524"/>
  <c r="E524"/>
  <c r="D524"/>
  <c r="C524"/>
  <c r="A524"/>
  <c r="BT523"/>
  <c r="BR523"/>
  <c r="BP523"/>
  <c r="BM523"/>
  <c r="BJ523"/>
  <c r="AO523"/>
  <c r="V523"/>
  <c r="E523"/>
  <c r="D523"/>
  <c r="C523"/>
  <c r="A523"/>
  <c r="BT522"/>
  <c r="BR522"/>
  <c r="BP522"/>
  <c r="BM522"/>
  <c r="BJ522"/>
  <c r="AO522"/>
  <c r="V522"/>
  <c r="E522"/>
  <c r="D522"/>
  <c r="C522"/>
  <c r="A522"/>
  <c r="BT521"/>
  <c r="BR521"/>
  <c r="BP521"/>
  <c r="BM521"/>
  <c r="BJ521"/>
  <c r="AO521"/>
  <c r="V521"/>
  <c r="E521"/>
  <c r="D521"/>
  <c r="C521"/>
  <c r="A521"/>
  <c r="BT520"/>
  <c r="BR520"/>
  <c r="BP520"/>
  <c r="BM520"/>
  <c r="BJ520"/>
  <c r="AO520"/>
  <c r="V520"/>
  <c r="E520"/>
  <c r="D520"/>
  <c r="C520"/>
  <c r="A520"/>
  <c r="BT519"/>
  <c r="BR519"/>
  <c r="BP519"/>
  <c r="BM519"/>
  <c r="BJ519"/>
  <c r="AO519"/>
  <c r="V519"/>
  <c r="E519"/>
  <c r="D519"/>
  <c r="C519"/>
  <c r="A519"/>
  <c r="BT518"/>
  <c r="BR518"/>
  <c r="BP518"/>
  <c r="BM518"/>
  <c r="BJ518"/>
  <c r="AO518"/>
  <c r="V518"/>
  <c r="E518"/>
  <c r="D518"/>
  <c r="C518"/>
  <c r="A518"/>
  <c r="BT517"/>
  <c r="BR517"/>
  <c r="BP517"/>
  <c r="BM517"/>
  <c r="BJ517"/>
  <c r="AO517"/>
  <c r="V517"/>
  <c r="E517"/>
  <c r="D517"/>
  <c r="C517"/>
  <c r="A517"/>
  <c r="BT516"/>
  <c r="BR516"/>
  <c r="BP516"/>
  <c r="BM516"/>
  <c r="BJ516"/>
  <c r="AO516"/>
  <c r="V516"/>
  <c r="E516"/>
  <c r="D516"/>
  <c r="C516"/>
  <c r="A516"/>
  <c r="BT515"/>
  <c r="BR515"/>
  <c r="BP515"/>
  <c r="BM515"/>
  <c r="BJ515"/>
  <c r="AO515"/>
  <c r="V515"/>
  <c r="E515"/>
  <c r="D515"/>
  <c r="C515"/>
  <c r="A515"/>
  <c r="BT514"/>
  <c r="BR514"/>
  <c r="BP514"/>
  <c r="BM514"/>
  <c r="BJ514"/>
  <c r="AO514"/>
  <c r="V514"/>
  <c r="O514"/>
  <c r="E514"/>
  <c r="D514"/>
  <c r="C514"/>
  <c r="A514"/>
  <c r="BT513"/>
  <c r="BR513"/>
  <c r="BP513"/>
  <c r="BM513"/>
  <c r="BJ513"/>
  <c r="AO513"/>
  <c r="V513"/>
  <c r="E513"/>
  <c r="D513"/>
  <c r="C513"/>
  <c r="A513"/>
  <c r="BT512"/>
  <c r="BR512"/>
  <c r="BP512"/>
  <c r="BM512"/>
  <c r="BJ512"/>
  <c r="AO512"/>
  <c r="V512"/>
  <c r="E512"/>
  <c r="D512"/>
  <c r="C512"/>
  <c r="A512"/>
  <c r="BT511"/>
  <c r="BR511"/>
  <c r="BP511"/>
  <c r="BM511"/>
  <c r="BJ511"/>
  <c r="AO511"/>
  <c r="V511"/>
  <c r="E511"/>
  <c r="D511"/>
  <c r="C511"/>
  <c r="A511"/>
  <c r="BT510"/>
  <c r="BR510"/>
  <c r="BP510"/>
  <c r="BM510"/>
  <c r="BJ510"/>
  <c r="AO510"/>
  <c r="V510"/>
  <c r="E510"/>
  <c r="D510"/>
  <c r="C510"/>
  <c r="A510"/>
  <c r="BT509"/>
  <c r="BR509"/>
  <c r="BP509"/>
  <c r="BM509"/>
  <c r="BJ509"/>
  <c r="AO509"/>
  <c r="V509"/>
  <c r="E509"/>
  <c r="D509"/>
  <c r="C509"/>
  <c r="A509"/>
  <c r="BT508"/>
  <c r="BR508"/>
  <c r="BP508"/>
  <c r="BM508"/>
  <c r="BJ508"/>
  <c r="AO508"/>
  <c r="V508"/>
  <c r="E508"/>
  <c r="D508"/>
  <c r="C508"/>
  <c r="A508"/>
  <c r="BT507"/>
  <c r="BR507"/>
  <c r="BP507"/>
  <c r="BM507"/>
  <c r="BJ507"/>
  <c r="AO507"/>
  <c r="V507"/>
  <c r="E507"/>
  <c r="D507"/>
  <c r="C507"/>
  <c r="A507"/>
  <c r="BT506"/>
  <c r="BR506"/>
  <c r="BP506"/>
  <c r="BM506"/>
  <c r="BJ506"/>
  <c r="AO506"/>
  <c r="V506"/>
  <c r="E506"/>
  <c r="D506"/>
  <c r="C506"/>
  <c r="A506"/>
  <c r="BT505"/>
  <c r="BR505"/>
  <c r="BP505"/>
  <c r="BM505"/>
  <c r="BJ505"/>
  <c r="AO505"/>
  <c r="V505"/>
  <c r="O505"/>
  <c r="E505"/>
  <c r="D505"/>
  <c r="C505"/>
  <c r="A505"/>
  <c r="BT504"/>
  <c r="BR504"/>
  <c r="BP504"/>
  <c r="BM504"/>
  <c r="BJ504"/>
  <c r="AO504"/>
  <c r="V504"/>
  <c r="E504"/>
  <c r="D504"/>
  <c r="C504"/>
  <c r="A504"/>
  <c r="BT503"/>
  <c r="BR503"/>
  <c r="BP503"/>
  <c r="BM503"/>
  <c r="BJ503"/>
  <c r="AO503"/>
  <c r="V503"/>
  <c r="E503"/>
  <c r="D503"/>
  <c r="C503"/>
  <c r="A503"/>
  <c r="BT502"/>
  <c r="BR502"/>
  <c r="BP502"/>
  <c r="BM502"/>
  <c r="BJ502"/>
  <c r="AO502"/>
  <c r="V502"/>
  <c r="E502"/>
  <c r="D502"/>
  <c r="C502"/>
  <c r="A502"/>
  <c r="BT501"/>
  <c r="BR501"/>
  <c r="BP501"/>
  <c r="BM501"/>
  <c r="BJ501"/>
  <c r="AO501"/>
  <c r="V501"/>
  <c r="O501"/>
  <c r="E501"/>
  <c r="D501"/>
  <c r="C501"/>
  <c r="A501"/>
  <c r="BT500"/>
  <c r="BR500"/>
  <c r="BP500"/>
  <c r="BM500"/>
  <c r="BJ500"/>
  <c r="AO500"/>
  <c r="V500"/>
  <c r="E500"/>
  <c r="D500"/>
  <c r="C500"/>
  <c r="A500"/>
  <c r="BT499"/>
  <c r="BR499"/>
  <c r="BP499"/>
  <c r="BM499"/>
  <c r="BJ499"/>
  <c r="AO499"/>
  <c r="V499"/>
  <c r="E499"/>
  <c r="D499"/>
  <c r="C499"/>
  <c r="A499"/>
  <c r="BT498"/>
  <c r="BR498"/>
  <c r="BP498"/>
  <c r="BM498"/>
  <c r="BJ498"/>
  <c r="AO498"/>
  <c r="V498"/>
  <c r="E498"/>
  <c r="D498"/>
  <c r="C498"/>
  <c r="A498"/>
  <c r="BT497"/>
  <c r="BR497"/>
  <c r="BP497"/>
  <c r="BM497"/>
  <c r="BJ497"/>
  <c r="AO497"/>
  <c r="V497"/>
  <c r="E497"/>
  <c r="D497"/>
  <c r="C497"/>
  <c r="A497"/>
  <c r="BT496"/>
  <c r="BR496"/>
  <c r="BP496"/>
  <c r="BM496"/>
  <c r="BJ496"/>
  <c r="AO496"/>
  <c r="V496"/>
  <c r="O496"/>
  <c r="E496"/>
  <c r="D496"/>
  <c r="C496"/>
  <c r="A496"/>
  <c r="BT495"/>
  <c r="BR495"/>
  <c r="BP495"/>
  <c r="BM495"/>
  <c r="BJ495"/>
  <c r="AO495"/>
  <c r="V495"/>
  <c r="O495"/>
  <c r="E495"/>
  <c r="D495"/>
  <c r="C495"/>
  <c r="A495"/>
  <c r="BT494"/>
  <c r="BR494"/>
  <c r="BP494"/>
  <c r="BM494"/>
  <c r="BJ494"/>
  <c r="AO494"/>
  <c r="V494"/>
  <c r="E494"/>
  <c r="D494"/>
  <c r="C494"/>
  <c r="A494"/>
  <c r="BT493"/>
  <c r="BR493"/>
  <c r="BP493"/>
  <c r="BM493"/>
  <c r="BJ493"/>
  <c r="AO493"/>
  <c r="V493"/>
  <c r="O493"/>
  <c r="E493"/>
  <c r="D493"/>
  <c r="C493"/>
  <c r="A493"/>
  <c r="BT492"/>
  <c r="BR492"/>
  <c r="BP492"/>
  <c r="BM492"/>
  <c r="BJ492"/>
  <c r="AO492"/>
  <c r="V492"/>
  <c r="E492"/>
  <c r="D492"/>
  <c r="C492"/>
  <c r="A492"/>
  <c r="BT491"/>
  <c r="BR491"/>
  <c r="BP491"/>
  <c r="BM491"/>
  <c r="BJ491"/>
  <c r="AO491"/>
  <c r="V491"/>
  <c r="O491"/>
  <c r="E491"/>
  <c r="D491"/>
  <c r="C491"/>
  <c r="A491"/>
  <c r="BT490"/>
  <c r="BR490"/>
  <c r="BP490"/>
  <c r="BM490"/>
  <c r="BJ490"/>
  <c r="AO490"/>
  <c r="V490"/>
  <c r="E490"/>
  <c r="D490"/>
  <c r="C490"/>
  <c r="A490"/>
  <c r="BT489"/>
  <c r="BR489"/>
  <c r="BP489"/>
  <c r="BM489"/>
  <c r="BJ489"/>
  <c r="AO489"/>
  <c r="V489"/>
  <c r="E489"/>
  <c r="D489"/>
  <c r="C489"/>
  <c r="A489"/>
  <c r="BT488"/>
  <c r="BR488"/>
  <c r="BP488"/>
  <c r="BM488"/>
  <c r="BJ488"/>
  <c r="AO488"/>
  <c r="V488"/>
  <c r="E488"/>
  <c r="D488"/>
  <c r="C488"/>
  <c r="A488"/>
  <c r="BT487"/>
  <c r="BR487"/>
  <c r="BP487"/>
  <c r="BM487"/>
  <c r="BJ487"/>
  <c r="AO487"/>
  <c r="V487"/>
  <c r="E487"/>
  <c r="D487"/>
  <c r="C487"/>
  <c r="A487"/>
  <c r="BT486"/>
  <c r="BR486"/>
  <c r="BP486"/>
  <c r="BM486"/>
  <c r="BJ486"/>
  <c r="AO486"/>
  <c r="V486"/>
  <c r="O486"/>
  <c r="E486"/>
  <c r="D486"/>
  <c r="C486"/>
  <c r="A486"/>
  <c r="BT485"/>
  <c r="BR485"/>
  <c r="BP485"/>
  <c r="BM485"/>
  <c r="BJ485"/>
  <c r="AO485"/>
  <c r="V485"/>
  <c r="E485"/>
  <c r="D485"/>
  <c r="C485"/>
  <c r="A485"/>
  <c r="BT484"/>
  <c r="BR484"/>
  <c r="BP484"/>
  <c r="BM484"/>
  <c r="BJ484"/>
  <c r="AO484"/>
  <c r="V484"/>
  <c r="E484"/>
  <c r="D484"/>
  <c r="C484"/>
  <c r="A484"/>
  <c r="BT483"/>
  <c r="BR483"/>
  <c r="BP483"/>
  <c r="BM483"/>
  <c r="BJ483"/>
  <c r="AO483"/>
  <c r="V483"/>
  <c r="O483"/>
  <c r="E483"/>
  <c r="D483"/>
  <c r="C483"/>
  <c r="A483"/>
  <c r="BT482"/>
  <c r="BR482"/>
  <c r="BP482"/>
  <c r="BM482"/>
  <c r="BJ482"/>
  <c r="AO482"/>
  <c r="V482"/>
  <c r="O482"/>
  <c r="E482"/>
  <c r="D482"/>
  <c r="C482"/>
  <c r="A482"/>
  <c r="BT481"/>
  <c r="BR481"/>
  <c r="BP481"/>
  <c r="BM481"/>
  <c r="BJ481"/>
  <c r="AO481"/>
  <c r="V481"/>
  <c r="O481"/>
  <c r="E481"/>
  <c r="D481"/>
  <c r="C481"/>
  <c r="A481"/>
  <c r="BT480"/>
  <c r="BR480"/>
  <c r="BP480"/>
  <c r="BM480"/>
  <c r="BJ480"/>
  <c r="AO480"/>
  <c r="V480"/>
  <c r="E480"/>
  <c r="D480"/>
  <c r="C480"/>
  <c r="A480"/>
  <c r="BT479"/>
  <c r="BR479"/>
  <c r="BP479"/>
  <c r="BM479"/>
  <c r="BJ479"/>
  <c r="AO479"/>
  <c r="V479"/>
  <c r="O479"/>
  <c r="E479"/>
  <c r="D479"/>
  <c r="C479"/>
  <c r="A479"/>
  <c r="BT478"/>
  <c r="BR478"/>
  <c r="BP478"/>
  <c r="BM478"/>
  <c r="BJ478"/>
  <c r="AO478"/>
  <c r="V478"/>
  <c r="E478"/>
  <c r="D478"/>
  <c r="C478"/>
  <c r="A478"/>
  <c r="BT477"/>
  <c r="BR477"/>
  <c r="BP477"/>
  <c r="BM477"/>
  <c r="BJ477"/>
  <c r="AO477"/>
  <c r="V477"/>
  <c r="E477"/>
  <c r="D477"/>
  <c r="C477"/>
  <c r="A477"/>
  <c r="BT476"/>
  <c r="BR476"/>
  <c r="BP476"/>
  <c r="BM476"/>
  <c r="BJ476"/>
  <c r="AO476"/>
  <c r="V476"/>
  <c r="E476"/>
  <c r="D476"/>
  <c r="C476"/>
  <c r="A476"/>
  <c r="BT475"/>
  <c r="BR475"/>
  <c r="BP475"/>
  <c r="BM475"/>
  <c r="BJ475"/>
  <c r="AO475"/>
  <c r="V475"/>
  <c r="E475"/>
  <c r="D475"/>
  <c r="C475"/>
  <c r="A475"/>
  <c r="BT474"/>
  <c r="BR474"/>
  <c r="BP474"/>
  <c r="BM474"/>
  <c r="BJ474"/>
  <c r="AO474"/>
  <c r="V474"/>
  <c r="E474"/>
  <c r="D474"/>
  <c r="C474"/>
  <c r="A474"/>
  <c r="BT473"/>
  <c r="BR473"/>
  <c r="BP473"/>
  <c r="BM473"/>
  <c r="BJ473"/>
  <c r="AO473"/>
  <c r="V473"/>
  <c r="E473"/>
  <c r="D473"/>
  <c r="C473"/>
  <c r="A473"/>
  <c r="BT472"/>
  <c r="BR472"/>
  <c r="BP472"/>
  <c r="BM472"/>
  <c r="BJ472"/>
  <c r="AO472"/>
  <c r="V472"/>
  <c r="E472"/>
  <c r="D472"/>
  <c r="C472"/>
  <c r="A472"/>
  <c r="BT471"/>
  <c r="BR471"/>
  <c r="BP471"/>
  <c r="BM471"/>
  <c r="BJ471"/>
  <c r="AO471"/>
  <c r="V471"/>
  <c r="E471"/>
  <c r="D471"/>
  <c r="C471"/>
  <c r="A471"/>
  <c r="BT470"/>
  <c r="BR470"/>
  <c r="BP470"/>
  <c r="BM470"/>
  <c r="BJ470"/>
  <c r="AO470"/>
  <c r="V470"/>
  <c r="O470"/>
  <c r="E470"/>
  <c r="D470"/>
  <c r="C470"/>
  <c r="A470"/>
  <c r="BT469"/>
  <c r="BR469"/>
  <c r="BP469"/>
  <c r="BM469"/>
  <c r="BJ469"/>
  <c r="AO469"/>
  <c r="V469"/>
  <c r="E469"/>
  <c r="D469"/>
  <c r="C469"/>
  <c r="A469"/>
  <c r="BT468"/>
  <c r="BR468"/>
  <c r="BP468"/>
  <c r="BM468"/>
  <c r="BJ468"/>
  <c r="AO468"/>
  <c r="V468"/>
  <c r="E468"/>
  <c r="D468"/>
  <c r="C468"/>
  <c r="A468"/>
  <c r="BT467"/>
  <c r="BR467"/>
  <c r="BP467"/>
  <c r="BM467"/>
  <c r="BJ467"/>
  <c r="AO467"/>
  <c r="V467"/>
  <c r="E467"/>
  <c r="D467"/>
  <c r="C467"/>
  <c r="A467"/>
  <c r="BT466"/>
  <c r="BR466"/>
  <c r="BP466"/>
  <c r="BM466"/>
  <c r="BJ466"/>
  <c r="AO466"/>
  <c r="V466"/>
  <c r="E466"/>
  <c r="D466"/>
  <c r="C466"/>
  <c r="A466"/>
  <c r="BT465"/>
  <c r="BR465"/>
  <c r="BP465"/>
  <c r="BM465"/>
  <c r="BJ465"/>
  <c r="AO465"/>
  <c r="V465"/>
  <c r="E465"/>
  <c r="D465"/>
  <c r="C465"/>
  <c r="A465"/>
  <c r="BT464"/>
  <c r="BR464"/>
  <c r="BP464"/>
  <c r="BM464"/>
  <c r="BJ464"/>
  <c r="AO464"/>
  <c r="V464"/>
  <c r="E464"/>
  <c r="D464"/>
  <c r="C464"/>
  <c r="A464"/>
  <c r="BT463"/>
  <c r="BR463"/>
  <c r="BP463"/>
  <c r="BM463"/>
  <c r="BJ463"/>
  <c r="AO463"/>
  <c r="V463"/>
  <c r="O463"/>
  <c r="E463"/>
  <c r="D463"/>
  <c r="C463"/>
  <c r="A463"/>
  <c r="BT462"/>
  <c r="BR462"/>
  <c r="BP462"/>
  <c r="BM462"/>
  <c r="BJ462"/>
  <c r="AO462"/>
  <c r="V462"/>
  <c r="E462"/>
  <c r="D462"/>
  <c r="C462"/>
  <c r="A462"/>
  <c r="BT461"/>
  <c r="BR461"/>
  <c r="BP461"/>
  <c r="BM461"/>
  <c r="BJ461"/>
  <c r="AO461"/>
  <c r="V461"/>
  <c r="E461"/>
  <c r="D461"/>
  <c r="C461"/>
  <c r="A461"/>
  <c r="BT460"/>
  <c r="BR460"/>
  <c r="BP460"/>
  <c r="BM460"/>
  <c r="BJ460"/>
  <c r="AO460"/>
  <c r="V460"/>
  <c r="E460"/>
  <c r="D460"/>
  <c r="C460"/>
  <c r="A460"/>
  <c r="BT459"/>
  <c r="BR459"/>
  <c r="BP459"/>
  <c r="BM459"/>
  <c r="BJ459"/>
  <c r="AO459"/>
  <c r="V459"/>
  <c r="O459"/>
  <c r="E459"/>
  <c r="D459"/>
  <c r="C459"/>
  <c r="A459"/>
  <c r="BT458"/>
  <c r="BR458"/>
  <c r="BP458"/>
  <c r="BM458"/>
  <c r="BJ458"/>
  <c r="AO458"/>
  <c r="V458"/>
  <c r="E458"/>
  <c r="D458"/>
  <c r="C458"/>
  <c r="A458"/>
  <c r="BT457"/>
  <c r="BR457"/>
  <c r="BP457"/>
  <c r="BM457"/>
  <c r="BJ457"/>
  <c r="AO457"/>
  <c r="V457"/>
  <c r="E457"/>
  <c r="D457"/>
  <c r="C457"/>
  <c r="A457"/>
  <c r="BT456"/>
  <c r="BR456"/>
  <c r="BP456"/>
  <c r="BM456"/>
  <c r="BJ456"/>
  <c r="AO456"/>
  <c r="V456"/>
  <c r="E456"/>
  <c r="D456"/>
  <c r="C456"/>
  <c r="A456"/>
  <c r="BT455"/>
  <c r="BR455"/>
  <c r="BP455"/>
  <c r="BM455"/>
  <c r="BJ455"/>
  <c r="AO455"/>
  <c r="V455"/>
  <c r="O455"/>
  <c r="E455"/>
  <c r="D455"/>
  <c r="C455"/>
  <c r="A455"/>
  <c r="BT454"/>
  <c r="BR454"/>
  <c r="BP454"/>
  <c r="BM454"/>
  <c r="BJ454"/>
  <c r="AO454"/>
  <c r="V454"/>
  <c r="E454"/>
  <c r="D454"/>
  <c r="C454"/>
  <c r="A454"/>
  <c r="BT453"/>
  <c r="BR453"/>
  <c r="BP453"/>
  <c r="BM453"/>
  <c r="BJ453"/>
  <c r="AO453"/>
  <c r="V453"/>
  <c r="O453"/>
  <c r="E453"/>
  <c r="D453"/>
  <c r="C453"/>
  <c r="A453"/>
  <c r="BT452"/>
  <c r="BR452"/>
  <c r="BP452"/>
  <c r="BM452"/>
  <c r="BJ452"/>
  <c r="AO452"/>
  <c r="V452"/>
  <c r="E452"/>
  <c r="D452"/>
  <c r="C452"/>
  <c r="A452"/>
  <c r="BT451"/>
  <c r="BR451"/>
  <c r="BP451"/>
  <c r="BM451"/>
  <c r="BJ451"/>
  <c r="AO451"/>
  <c r="V451"/>
  <c r="O451"/>
  <c r="E451"/>
  <c r="D451"/>
  <c r="C451"/>
  <c r="A451"/>
  <c r="BT450"/>
  <c r="BR450"/>
  <c r="BP450"/>
  <c r="BM450"/>
  <c r="BJ450"/>
  <c r="AO450"/>
  <c r="V450"/>
  <c r="O450"/>
  <c r="E450"/>
  <c r="D450"/>
  <c r="C450"/>
  <c r="A450"/>
  <c r="BT449"/>
  <c r="BR449"/>
  <c r="BP449"/>
  <c r="BM449"/>
  <c r="BJ449"/>
  <c r="AO449"/>
  <c r="V449"/>
  <c r="O449"/>
  <c r="E449"/>
  <c r="D449"/>
  <c r="C449"/>
  <c r="A449"/>
  <c r="BT448"/>
  <c r="BR448"/>
  <c r="BP448"/>
  <c r="BM448"/>
  <c r="BJ448"/>
  <c r="AO448"/>
  <c r="V448"/>
  <c r="O448"/>
  <c r="E448"/>
  <c r="D448"/>
  <c r="C448"/>
  <c r="A448"/>
  <c r="BT447"/>
  <c r="BR447"/>
  <c r="BP447"/>
  <c r="BM447"/>
  <c r="BJ447"/>
  <c r="AO447"/>
  <c r="V447"/>
  <c r="O447"/>
  <c r="E447"/>
  <c r="D447"/>
  <c r="C447"/>
  <c r="A447"/>
  <c r="BT446"/>
  <c r="BR446"/>
  <c r="BP446"/>
  <c r="BM446"/>
  <c r="BJ446"/>
  <c r="AO446"/>
  <c r="V446"/>
  <c r="O446"/>
  <c r="E446"/>
  <c r="D446"/>
  <c r="C446"/>
  <c r="A446"/>
  <c r="BT445"/>
  <c r="BR445"/>
  <c r="BP445"/>
  <c r="BM445"/>
  <c r="BJ445"/>
  <c r="AO445"/>
  <c r="V445"/>
  <c r="E445"/>
  <c r="D445"/>
  <c r="C445"/>
  <c r="A445"/>
  <c r="BT444"/>
  <c r="BR444"/>
  <c r="BP444"/>
  <c r="BM444"/>
  <c r="BJ444"/>
  <c r="AO444"/>
  <c r="V444"/>
  <c r="O444"/>
  <c r="E444"/>
  <c r="D444"/>
  <c r="C444"/>
  <c r="A444"/>
  <c r="BT443"/>
  <c r="BR443"/>
  <c r="BP443"/>
  <c r="BM443"/>
  <c r="BJ443"/>
  <c r="AO443"/>
  <c r="V443"/>
  <c r="O443"/>
  <c r="E443"/>
  <c r="D443"/>
  <c r="C443"/>
  <c r="A443"/>
  <c r="BT442"/>
  <c r="BR442"/>
  <c r="BP442"/>
  <c r="BM442"/>
  <c r="BJ442"/>
  <c r="AO442"/>
  <c r="V442"/>
  <c r="E442"/>
  <c r="D442"/>
  <c r="C442"/>
  <c r="A442"/>
  <c r="BT441"/>
  <c r="BR441"/>
  <c r="BP441"/>
  <c r="BM441"/>
  <c r="BJ441"/>
  <c r="AO441"/>
  <c r="V441"/>
  <c r="O441"/>
  <c r="E441"/>
  <c r="D441"/>
  <c r="C441"/>
  <c r="A441"/>
  <c r="BT440"/>
  <c r="BR440"/>
  <c r="BP440"/>
  <c r="BM440"/>
  <c r="BJ440"/>
  <c r="AO440"/>
  <c r="V440"/>
  <c r="E440"/>
  <c r="D440"/>
  <c r="C440"/>
  <c r="A440"/>
  <c r="BT439"/>
  <c r="BR439"/>
  <c r="BP439"/>
  <c r="BM439"/>
  <c r="BJ439"/>
  <c r="AO439"/>
  <c r="V439"/>
  <c r="O439"/>
  <c r="E439"/>
  <c r="D439"/>
  <c r="C439"/>
  <c r="A439"/>
  <c r="BT438"/>
  <c r="BR438"/>
  <c r="BP438"/>
  <c r="BM438"/>
  <c r="BJ438"/>
  <c r="AO438"/>
  <c r="V438"/>
  <c r="E438"/>
  <c r="D438"/>
  <c r="C438"/>
  <c r="A438"/>
  <c r="BT437"/>
  <c r="BR437"/>
  <c r="BP437"/>
  <c r="BM437"/>
  <c r="BJ437"/>
  <c r="AO437"/>
  <c r="V437"/>
  <c r="O437"/>
  <c r="E437"/>
  <c r="D437"/>
  <c r="C437"/>
  <c r="A437"/>
  <c r="BT436"/>
  <c r="BR436"/>
  <c r="BP436"/>
  <c r="BM436"/>
  <c r="BJ436"/>
  <c r="AO436"/>
  <c r="V436"/>
  <c r="O436"/>
  <c r="E436"/>
  <c r="D436"/>
  <c r="C436"/>
  <c r="A436"/>
  <c r="BV435"/>
  <c r="BT435"/>
  <c r="BR435"/>
  <c r="BP435"/>
  <c r="BM435"/>
  <c r="BJ435"/>
  <c r="AO435"/>
  <c r="V435"/>
  <c r="O435"/>
  <c r="E435"/>
  <c r="D435"/>
  <c r="C435"/>
  <c r="A435"/>
  <c r="BT434"/>
  <c r="BR434"/>
  <c r="BP434"/>
  <c r="BM434"/>
  <c r="BJ434"/>
  <c r="AO434"/>
  <c r="V434"/>
  <c r="E434"/>
  <c r="D434"/>
  <c r="C434"/>
  <c r="A434"/>
  <c r="BT433"/>
  <c r="BR433"/>
  <c r="BP433"/>
  <c r="BM433"/>
  <c r="BJ433"/>
  <c r="AO433"/>
  <c r="V433"/>
  <c r="E433"/>
  <c r="D433"/>
  <c r="C433"/>
  <c r="A433"/>
  <c r="BT432"/>
  <c r="BR432"/>
  <c r="BP432"/>
  <c r="BM432"/>
  <c r="BJ432"/>
  <c r="AO432"/>
  <c r="V432"/>
  <c r="E432"/>
  <c r="D432"/>
  <c r="C432"/>
  <c r="A432"/>
  <c r="BT431"/>
  <c r="BR431"/>
  <c r="BP431"/>
  <c r="BM431"/>
  <c r="BJ431"/>
  <c r="AO431"/>
  <c r="V431"/>
  <c r="E431"/>
  <c r="D431"/>
  <c r="C431"/>
  <c r="A431"/>
  <c r="BT430"/>
  <c r="BR430"/>
  <c r="BP430"/>
  <c r="BM430"/>
  <c r="BJ430"/>
  <c r="AO430"/>
  <c r="V430"/>
  <c r="E430"/>
  <c r="D430"/>
  <c r="C430"/>
  <c r="A430"/>
  <c r="BT429"/>
  <c r="BR429"/>
  <c r="BP429"/>
  <c r="BM429"/>
  <c r="BJ429"/>
  <c r="AO429"/>
  <c r="V429"/>
  <c r="E429"/>
  <c r="D429"/>
  <c r="C429"/>
  <c r="A429"/>
  <c r="BT428"/>
  <c r="BR428"/>
  <c r="BP428"/>
  <c r="BM428"/>
  <c r="BJ428"/>
  <c r="AO428"/>
  <c r="V428"/>
  <c r="E428"/>
  <c r="D428"/>
  <c r="C428"/>
  <c r="A428"/>
  <c r="BT427"/>
  <c r="BR427"/>
  <c r="BP427"/>
  <c r="BM427"/>
  <c r="BJ427"/>
  <c r="AO427"/>
  <c r="V427"/>
  <c r="E427"/>
  <c r="D427"/>
  <c r="C427"/>
  <c r="A427"/>
  <c r="BT426"/>
  <c r="BR426"/>
  <c r="BP426"/>
  <c r="BM426"/>
  <c r="BJ426"/>
  <c r="AO426"/>
  <c r="V426"/>
  <c r="E426"/>
  <c r="D426"/>
  <c r="C426"/>
  <c r="A426"/>
  <c r="BT425"/>
  <c r="BR425"/>
  <c r="BP425"/>
  <c r="BM425"/>
  <c r="BJ425"/>
  <c r="AO425"/>
  <c r="V425"/>
  <c r="E425"/>
  <c r="D425"/>
  <c r="C425"/>
  <c r="A425"/>
  <c r="BT424"/>
  <c r="BR424"/>
  <c r="BP424"/>
  <c r="BM424"/>
  <c r="BJ424"/>
  <c r="AO424"/>
  <c r="V424"/>
  <c r="E424"/>
  <c r="D424"/>
  <c r="C424"/>
  <c r="A424"/>
  <c r="BT423"/>
  <c r="BR423"/>
  <c r="BP423"/>
  <c r="BM423"/>
  <c r="BJ423"/>
  <c r="AO423"/>
  <c r="V423"/>
  <c r="E423"/>
  <c r="D423"/>
  <c r="C423"/>
  <c r="A423"/>
  <c r="BT422"/>
  <c r="BR422"/>
  <c r="BP422"/>
  <c r="BM422"/>
  <c r="BJ422"/>
  <c r="AO422"/>
  <c r="V422"/>
  <c r="O422"/>
  <c r="E422"/>
  <c r="D422"/>
  <c r="C422"/>
  <c r="A422"/>
  <c r="BT421"/>
  <c r="BR421"/>
  <c r="BP421"/>
  <c r="BM421"/>
  <c r="BJ421"/>
  <c r="AO421"/>
  <c r="V421"/>
  <c r="E421"/>
  <c r="D421"/>
  <c r="C421"/>
  <c r="A421"/>
  <c r="BT420"/>
  <c r="BR420"/>
  <c r="BP420"/>
  <c r="BM420"/>
  <c r="BJ420"/>
  <c r="AO420"/>
  <c r="V420"/>
  <c r="E420"/>
  <c r="D420"/>
  <c r="C420"/>
  <c r="A420"/>
  <c r="BT419"/>
  <c r="BR419"/>
  <c r="BP419"/>
  <c r="BM419"/>
  <c r="BJ419"/>
  <c r="AO419"/>
  <c r="V419"/>
  <c r="O419"/>
  <c r="E419"/>
  <c r="D419"/>
  <c r="C419"/>
  <c r="A419"/>
  <c r="BT418"/>
  <c r="BR418"/>
  <c r="BP418"/>
  <c r="BM418"/>
  <c r="BJ418"/>
  <c r="AO418"/>
  <c r="V418"/>
  <c r="E418"/>
  <c r="D418"/>
  <c r="C418"/>
  <c r="A418"/>
  <c r="BT417"/>
  <c r="BR417"/>
  <c r="BP417"/>
  <c r="BM417"/>
  <c r="BJ417"/>
  <c r="AO417"/>
  <c r="V417"/>
  <c r="E417"/>
  <c r="D417"/>
  <c r="C417"/>
  <c r="A417"/>
  <c r="BT416"/>
  <c r="BR416"/>
  <c r="BP416"/>
  <c r="BM416"/>
  <c r="BJ416"/>
  <c r="AO416"/>
  <c r="V416"/>
  <c r="O416"/>
  <c r="E416"/>
  <c r="D416"/>
  <c r="C416"/>
  <c r="A416"/>
  <c r="BT415"/>
  <c r="BR415"/>
  <c r="BP415"/>
  <c r="BM415"/>
  <c r="BJ415"/>
  <c r="AO415"/>
  <c r="V415"/>
  <c r="E415"/>
  <c r="D415"/>
  <c r="C415"/>
  <c r="A415"/>
  <c r="BT414"/>
  <c r="BR414"/>
  <c r="BP414"/>
  <c r="BM414"/>
  <c r="BJ414"/>
  <c r="AO414"/>
  <c r="V414"/>
  <c r="E414"/>
  <c r="D414"/>
  <c r="C414"/>
  <c r="A414"/>
  <c r="BT413"/>
  <c r="BR413"/>
  <c r="BP413"/>
  <c r="BM413"/>
  <c r="BJ413"/>
  <c r="AO413"/>
  <c r="V413"/>
  <c r="E413"/>
  <c r="D413"/>
  <c r="C413"/>
  <c r="A413"/>
  <c r="BT412"/>
  <c r="BR412"/>
  <c r="BP412"/>
  <c r="BM412"/>
  <c r="BJ412"/>
  <c r="AO412"/>
  <c r="V412"/>
  <c r="E412"/>
  <c r="D412"/>
  <c r="C412"/>
  <c r="A412"/>
  <c r="BT411"/>
  <c r="BR411"/>
  <c r="BP411"/>
  <c r="BM411"/>
  <c r="BJ411"/>
  <c r="AO411"/>
  <c r="V411"/>
  <c r="E411"/>
  <c r="D411"/>
  <c r="C411"/>
  <c r="A411"/>
  <c r="BT410"/>
  <c r="BR410"/>
  <c r="BP410"/>
  <c r="BM410"/>
  <c r="BJ410"/>
  <c r="AO410"/>
  <c r="V410"/>
  <c r="E410"/>
  <c r="D410"/>
  <c r="C410"/>
  <c r="A410"/>
  <c r="BT409"/>
  <c r="BR409"/>
  <c r="BP409"/>
  <c r="BM409"/>
  <c r="BJ409"/>
  <c r="AO409"/>
  <c r="V409"/>
  <c r="O409"/>
  <c r="E409"/>
  <c r="D409"/>
  <c r="C409"/>
  <c r="A409"/>
  <c r="BT408"/>
  <c r="BR408"/>
  <c r="BP408"/>
  <c r="BM408"/>
  <c r="BJ408"/>
  <c r="AO408"/>
  <c r="V408"/>
  <c r="E408"/>
  <c r="D408"/>
  <c r="C408"/>
  <c r="A408"/>
  <c r="BT407"/>
  <c r="BR407"/>
  <c r="BP407"/>
  <c r="BM407"/>
  <c r="BJ407"/>
  <c r="AO407"/>
  <c r="V407"/>
  <c r="E407"/>
  <c r="D407"/>
  <c r="C407"/>
  <c r="A407"/>
  <c r="BT406"/>
  <c r="BR406"/>
  <c r="BP406"/>
  <c r="BM406"/>
  <c r="BJ406"/>
  <c r="AO406"/>
  <c r="V406"/>
  <c r="E406"/>
  <c r="D406"/>
  <c r="C406"/>
  <c r="A406"/>
  <c r="BT405"/>
  <c r="BR405"/>
  <c r="BP405"/>
  <c r="BM405"/>
  <c r="BJ405"/>
  <c r="AO405"/>
  <c r="V405"/>
  <c r="O405"/>
  <c r="E405"/>
  <c r="D405"/>
  <c r="C405"/>
  <c r="A405"/>
  <c r="BT404"/>
  <c r="BR404"/>
  <c r="BP404"/>
  <c r="BM404"/>
  <c r="BJ404"/>
  <c r="AO404"/>
  <c r="V404"/>
  <c r="O404"/>
  <c r="E404"/>
  <c r="D404"/>
  <c r="C404"/>
  <c r="A404"/>
  <c r="BT403"/>
  <c r="BR403"/>
  <c r="BP403"/>
  <c r="BM403"/>
  <c r="BJ403"/>
  <c r="AO403"/>
  <c r="V403"/>
  <c r="O403"/>
  <c r="E403"/>
  <c r="D403"/>
  <c r="C403"/>
  <c r="A403"/>
  <c r="BT402"/>
  <c r="BR402"/>
  <c r="BP402"/>
  <c r="BM402"/>
  <c r="BJ402"/>
  <c r="AO402"/>
  <c r="V402"/>
  <c r="O402"/>
  <c r="E402"/>
  <c r="D402"/>
  <c r="C402"/>
  <c r="A402"/>
  <c r="BT401"/>
  <c r="BR401"/>
  <c r="BP401"/>
  <c r="BM401"/>
  <c r="BJ401"/>
  <c r="AO401"/>
  <c r="V401"/>
  <c r="E401"/>
  <c r="D401"/>
  <c r="C401"/>
  <c r="A401"/>
  <c r="BT400"/>
  <c r="BR400"/>
  <c r="BP400"/>
  <c r="BM400"/>
  <c r="BJ400"/>
  <c r="AO400"/>
  <c r="V400"/>
  <c r="E400"/>
  <c r="D400"/>
  <c r="C400"/>
  <c r="A400"/>
  <c r="BT399"/>
  <c r="BR399"/>
  <c r="BP399"/>
  <c r="BM399"/>
  <c r="BJ399"/>
  <c r="AO399"/>
  <c r="V399"/>
  <c r="E399"/>
  <c r="D399"/>
  <c r="C399"/>
  <c r="A399"/>
  <c r="BT398"/>
  <c r="BR398"/>
  <c r="BP398"/>
  <c r="BM398"/>
  <c r="BJ398"/>
  <c r="AO398"/>
  <c r="V398"/>
  <c r="E398"/>
  <c r="D398"/>
  <c r="C398"/>
  <c r="A398"/>
  <c r="BT397"/>
  <c r="BR397"/>
  <c r="BP397"/>
  <c r="BM397"/>
  <c r="BJ397"/>
  <c r="AO397"/>
  <c r="V397"/>
  <c r="O397"/>
  <c r="E397"/>
  <c r="D397"/>
  <c r="C397"/>
  <c r="A397"/>
  <c r="BT396"/>
  <c r="BR396"/>
  <c r="BP396"/>
  <c r="BM396"/>
  <c r="BJ396"/>
  <c r="AO396"/>
  <c r="V396"/>
  <c r="E396"/>
  <c r="D396"/>
  <c r="C396"/>
  <c r="A396"/>
  <c r="BT395"/>
  <c r="BR395"/>
  <c r="BP395"/>
  <c r="BM395"/>
  <c r="BJ395"/>
  <c r="AO395"/>
  <c r="V395"/>
  <c r="O395"/>
  <c r="E395"/>
  <c r="D395"/>
  <c r="C395"/>
  <c r="A395"/>
  <c r="BT394"/>
  <c r="BR394"/>
  <c r="BP394"/>
  <c r="BM394"/>
  <c r="BJ394"/>
  <c r="AO394"/>
  <c r="V394"/>
  <c r="E394"/>
  <c r="D394"/>
  <c r="C394"/>
  <c r="A394"/>
  <c r="BT393"/>
  <c r="BR393"/>
  <c r="BP393"/>
  <c r="BM393"/>
  <c r="BJ393"/>
  <c r="AO393"/>
  <c r="V393"/>
  <c r="E393"/>
  <c r="D393"/>
  <c r="C393"/>
  <c r="A393"/>
  <c r="BT392"/>
  <c r="BR392"/>
  <c r="BP392"/>
  <c r="BM392"/>
  <c r="BJ392"/>
  <c r="AO392"/>
  <c r="V392"/>
  <c r="O392"/>
  <c r="E392"/>
  <c r="D392"/>
  <c r="C392"/>
  <c r="A392"/>
  <c r="BT391"/>
  <c r="BR391"/>
  <c r="BP391"/>
  <c r="BM391"/>
  <c r="BJ391"/>
  <c r="AO391"/>
  <c r="V391"/>
  <c r="E391"/>
  <c r="D391"/>
  <c r="C391"/>
  <c r="A391"/>
  <c r="BT390"/>
  <c r="BR390"/>
  <c r="BP390"/>
  <c r="BM390"/>
  <c r="BJ390"/>
  <c r="AO390"/>
  <c r="V390"/>
  <c r="E390"/>
  <c r="D390"/>
  <c r="C390"/>
  <c r="A390"/>
  <c r="BT389"/>
  <c r="BR389"/>
  <c r="BP389"/>
  <c r="BM389"/>
  <c r="BJ389"/>
  <c r="AO389"/>
  <c r="V389"/>
  <c r="E389"/>
  <c r="D389"/>
  <c r="C389"/>
  <c r="A389"/>
  <c r="BT388"/>
  <c r="BR388"/>
  <c r="BP388"/>
  <c r="BM388"/>
  <c r="BJ388"/>
  <c r="AO388"/>
  <c r="V388"/>
  <c r="E388"/>
  <c r="D388"/>
  <c r="C388"/>
  <c r="A388"/>
  <c r="BT387"/>
  <c r="BR387"/>
  <c r="BP387"/>
  <c r="BM387"/>
  <c r="BJ387"/>
  <c r="AO387"/>
  <c r="V387"/>
  <c r="E387"/>
  <c r="D387"/>
  <c r="C387"/>
  <c r="A387"/>
  <c r="BT386"/>
  <c r="BR386"/>
  <c r="BP386"/>
  <c r="BM386"/>
  <c r="BJ386"/>
  <c r="AO386"/>
  <c r="V386"/>
  <c r="E386"/>
  <c r="D386"/>
  <c r="C386"/>
  <c r="A386"/>
  <c r="BT385"/>
  <c r="BR385"/>
  <c r="BP385"/>
  <c r="BM385"/>
  <c r="BJ385"/>
  <c r="AO385"/>
  <c r="V385"/>
  <c r="O385"/>
  <c r="E385"/>
  <c r="D385"/>
  <c r="C385"/>
  <c r="A385"/>
  <c r="BT384"/>
  <c r="BR384"/>
  <c r="BP384"/>
  <c r="BM384"/>
  <c r="BJ384"/>
  <c r="AO384"/>
  <c r="V384"/>
  <c r="O384"/>
  <c r="E384"/>
  <c r="D384"/>
  <c r="C384"/>
  <c r="A384"/>
  <c r="BT383"/>
  <c r="BR383"/>
  <c r="BP383"/>
  <c r="BM383"/>
  <c r="BJ383"/>
  <c r="AO383"/>
  <c r="V383"/>
  <c r="O383"/>
  <c r="E383"/>
  <c r="D383"/>
  <c r="C383"/>
  <c r="A383"/>
  <c r="BT382"/>
  <c r="BR382"/>
  <c r="BP382"/>
  <c r="BM382"/>
  <c r="BJ382"/>
  <c r="AO382"/>
  <c r="V382"/>
  <c r="E382"/>
  <c r="D382"/>
  <c r="C382"/>
  <c r="A382"/>
  <c r="BT381"/>
  <c r="BR381"/>
  <c r="BP381"/>
  <c r="BM381"/>
  <c r="BJ381"/>
  <c r="AO381"/>
  <c r="V381"/>
  <c r="O381"/>
  <c r="E381"/>
  <c r="D381"/>
  <c r="C381"/>
  <c r="A381"/>
  <c r="BT380"/>
  <c r="BR380"/>
  <c r="BP380"/>
  <c r="BM380"/>
  <c r="BJ380"/>
  <c r="AO380"/>
  <c r="V380"/>
  <c r="E380"/>
  <c r="D380"/>
  <c r="C380"/>
  <c r="A380"/>
  <c r="BT379"/>
  <c r="BR379"/>
  <c r="BP379"/>
  <c r="BM379"/>
  <c r="BJ379"/>
  <c r="AO379"/>
  <c r="V379"/>
  <c r="O379"/>
  <c r="E379"/>
  <c r="D379"/>
  <c r="C379"/>
  <c r="A379"/>
  <c r="BT378"/>
  <c r="BR378"/>
  <c r="BP378"/>
  <c r="BM378"/>
  <c r="BJ378"/>
  <c r="AO378"/>
  <c r="V378"/>
  <c r="O378"/>
  <c r="E378"/>
  <c r="D378"/>
  <c r="C378"/>
  <c r="A378"/>
  <c r="BT377"/>
  <c r="BR377"/>
  <c r="BP377"/>
  <c r="BM377"/>
  <c r="BJ377"/>
  <c r="AO377"/>
  <c r="V377"/>
  <c r="E377"/>
  <c r="D377"/>
  <c r="C377"/>
  <c r="A377"/>
  <c r="BT376"/>
  <c r="BR376"/>
  <c r="BP376"/>
  <c r="BM376"/>
  <c r="BJ376"/>
  <c r="AO376"/>
  <c r="V376"/>
  <c r="E376"/>
  <c r="D376"/>
  <c r="C376"/>
  <c r="A376"/>
  <c r="BT375"/>
  <c r="BR375"/>
  <c r="BP375"/>
  <c r="BM375"/>
  <c r="BJ375"/>
  <c r="AO375"/>
  <c r="V375"/>
  <c r="E375"/>
  <c r="D375"/>
  <c r="C375"/>
  <c r="A375"/>
  <c r="BT374"/>
  <c r="BR374"/>
  <c r="BP374"/>
  <c r="BM374"/>
  <c r="BJ374"/>
  <c r="AO374"/>
  <c r="V374"/>
  <c r="E374"/>
  <c r="D374"/>
  <c r="C374"/>
  <c r="A374"/>
  <c r="BT373"/>
  <c r="BR373"/>
  <c r="BP373"/>
  <c r="BM373"/>
  <c r="BJ373"/>
  <c r="AO373"/>
  <c r="V373"/>
  <c r="O373"/>
  <c r="E373"/>
  <c r="D373"/>
  <c r="C373"/>
  <c r="A373"/>
  <c r="BT372"/>
  <c r="BR372"/>
  <c r="BP372"/>
  <c r="BM372"/>
  <c r="BJ372"/>
  <c r="AO372"/>
  <c r="V372"/>
  <c r="E372"/>
  <c r="D372"/>
  <c r="C372"/>
  <c r="A372"/>
  <c r="BT371"/>
  <c r="BR371"/>
  <c r="BP371"/>
  <c r="BM371"/>
  <c r="BJ371"/>
  <c r="AO371"/>
  <c r="V371"/>
  <c r="O371"/>
  <c r="E371"/>
  <c r="D371"/>
  <c r="C371"/>
  <c r="A371"/>
  <c r="BT370"/>
  <c r="BR370"/>
  <c r="BP370"/>
  <c r="BM370"/>
  <c r="BJ370"/>
  <c r="AO370"/>
  <c r="V370"/>
  <c r="E370"/>
  <c r="D370"/>
  <c r="C370"/>
  <c r="A370"/>
  <c r="BT369"/>
  <c r="BR369"/>
  <c r="BP369"/>
  <c r="BM369"/>
  <c r="BJ369"/>
  <c r="AO369"/>
  <c r="V369"/>
  <c r="E369"/>
  <c r="D369"/>
  <c r="C369"/>
  <c r="A369"/>
  <c r="BT368"/>
  <c r="BR368"/>
  <c r="BP368"/>
  <c r="BM368"/>
  <c r="BJ368"/>
  <c r="AO368"/>
  <c r="V368"/>
  <c r="E368"/>
  <c r="D368"/>
  <c r="C368"/>
  <c r="A368"/>
  <c r="BT367"/>
  <c r="BR367"/>
  <c r="BP367"/>
  <c r="BM367"/>
  <c r="BJ367"/>
  <c r="AO367"/>
  <c r="V367"/>
  <c r="E367"/>
  <c r="D367"/>
  <c r="C367"/>
  <c r="A367"/>
  <c r="BT366"/>
  <c r="BR366"/>
  <c r="BP366"/>
  <c r="BM366"/>
  <c r="BJ366"/>
  <c r="AO366"/>
  <c r="V366"/>
  <c r="E366"/>
  <c r="D366"/>
  <c r="C366"/>
  <c r="A366"/>
  <c r="BT365"/>
  <c r="BR365"/>
  <c r="BP365"/>
  <c r="BM365"/>
  <c r="BJ365"/>
  <c r="AO365"/>
  <c r="V365"/>
  <c r="E365"/>
  <c r="D365"/>
  <c r="C365"/>
  <c r="A365"/>
  <c r="BT364"/>
  <c r="BR364"/>
  <c r="BP364"/>
  <c r="BM364"/>
  <c r="BJ364"/>
  <c r="AO364"/>
  <c r="V364"/>
  <c r="E364"/>
  <c r="D364"/>
  <c r="C364"/>
  <c r="A364"/>
  <c r="BT363"/>
  <c r="BR363"/>
  <c r="BP363"/>
  <c r="BM363"/>
  <c r="BJ363"/>
  <c r="AO363"/>
  <c r="V363"/>
  <c r="E363"/>
  <c r="D363"/>
  <c r="C363"/>
  <c r="A363"/>
  <c r="BT362"/>
  <c r="BR362"/>
  <c r="BP362"/>
  <c r="BM362"/>
  <c r="BJ362"/>
  <c r="AO362"/>
  <c r="V362"/>
  <c r="O362"/>
  <c r="E362"/>
  <c r="D362"/>
  <c r="C362"/>
  <c r="A362"/>
  <c r="BT361"/>
  <c r="BR361"/>
  <c r="BP361"/>
  <c r="BM361"/>
  <c r="BJ361"/>
  <c r="AO361"/>
  <c r="V361"/>
  <c r="E361"/>
  <c r="D361"/>
  <c r="C361"/>
  <c r="A361"/>
  <c r="BT360"/>
  <c r="BR360"/>
  <c r="BP360"/>
  <c r="BM360"/>
  <c r="BJ360"/>
  <c r="AO360"/>
  <c r="V360"/>
  <c r="O360"/>
  <c r="E360"/>
  <c r="D360"/>
  <c r="C360"/>
  <c r="A360"/>
  <c r="BT359"/>
  <c r="BR359"/>
  <c r="BP359"/>
  <c r="BM359"/>
  <c r="BJ359"/>
  <c r="AO359"/>
  <c r="V359"/>
  <c r="O359"/>
  <c r="E359"/>
  <c r="D359"/>
  <c r="C359"/>
  <c r="A359"/>
  <c r="BT358"/>
  <c r="BR358"/>
  <c r="BP358"/>
  <c r="BM358"/>
  <c r="BJ358"/>
  <c r="AO358"/>
  <c r="V358"/>
  <c r="E358"/>
  <c r="D358"/>
  <c r="C358"/>
  <c r="A358"/>
  <c r="BT357"/>
  <c r="BR357"/>
  <c r="BP357"/>
  <c r="BM357"/>
  <c r="BJ357"/>
  <c r="AO357"/>
  <c r="V357"/>
  <c r="E357"/>
  <c r="D357"/>
  <c r="C357"/>
  <c r="A357"/>
  <c r="BT356"/>
  <c r="BR356"/>
  <c r="BP356"/>
  <c r="BM356"/>
  <c r="BJ356"/>
  <c r="AO356"/>
  <c r="V356"/>
  <c r="E356"/>
  <c r="D356"/>
  <c r="C356"/>
  <c r="A356"/>
  <c r="BT355"/>
  <c r="BR355"/>
  <c r="BP355"/>
  <c r="BM355"/>
  <c r="BJ355"/>
  <c r="AO355"/>
  <c r="V355"/>
  <c r="O355"/>
  <c r="E355"/>
  <c r="D355"/>
  <c r="C355"/>
  <c r="A355"/>
  <c r="BT354"/>
  <c r="BR354"/>
  <c r="BP354"/>
  <c r="BM354"/>
  <c r="BJ354"/>
  <c r="AO354"/>
  <c r="V354"/>
  <c r="E354"/>
  <c r="D354"/>
  <c r="C354"/>
  <c r="A354"/>
  <c r="BT353"/>
  <c r="BR353"/>
  <c r="BP353"/>
  <c r="BM353"/>
  <c r="BJ353"/>
  <c r="AO353"/>
  <c r="V353"/>
  <c r="O353"/>
  <c r="E353"/>
  <c r="D353"/>
  <c r="C353"/>
  <c r="A353"/>
  <c r="BT352"/>
  <c r="BR352"/>
  <c r="BP352"/>
  <c r="BM352"/>
  <c r="BJ352"/>
  <c r="BI352"/>
  <c r="AO352"/>
  <c r="V352"/>
  <c r="E352"/>
  <c r="D352"/>
  <c r="C352"/>
  <c r="A352"/>
  <c r="BT351"/>
  <c r="BR351"/>
  <c r="BP351"/>
  <c r="BM351"/>
  <c r="BJ351"/>
  <c r="AO351"/>
  <c r="V351"/>
  <c r="O351"/>
  <c r="E351"/>
  <c r="D351"/>
  <c r="C351"/>
  <c r="A351"/>
  <c r="BT350"/>
  <c r="BR350"/>
  <c r="BP350"/>
  <c r="BM350"/>
  <c r="BJ350"/>
  <c r="BI350"/>
  <c r="AO350"/>
  <c r="V350"/>
  <c r="O350"/>
  <c r="E350"/>
  <c r="D350"/>
  <c r="C350"/>
  <c r="A350"/>
  <c r="BT349"/>
  <c r="BR349"/>
  <c r="BP349"/>
  <c r="BM349"/>
  <c r="BJ349"/>
  <c r="BI349"/>
  <c r="AO349"/>
  <c r="V349"/>
  <c r="O349"/>
  <c r="E349"/>
  <c r="D349"/>
  <c r="C349"/>
  <c r="A349"/>
  <c r="BT348"/>
  <c r="BR348"/>
  <c r="BP348"/>
  <c r="BM348"/>
  <c r="BJ348"/>
  <c r="AO348"/>
  <c r="V348"/>
  <c r="E348"/>
  <c r="D348"/>
  <c r="C348"/>
  <c r="A348"/>
  <c r="BT347"/>
  <c r="BR347"/>
  <c r="BP347"/>
  <c r="BM347"/>
  <c r="BJ347"/>
  <c r="AO347"/>
  <c r="V347"/>
  <c r="E347"/>
  <c r="D347"/>
  <c r="C347"/>
  <c r="A347"/>
  <c r="BT346"/>
  <c r="BR346"/>
  <c r="BP346"/>
  <c r="BM346"/>
  <c r="BJ346"/>
  <c r="AO346"/>
  <c r="V346"/>
  <c r="E346"/>
  <c r="D346"/>
  <c r="C346"/>
  <c r="A346"/>
  <c r="BT345"/>
  <c r="BR345"/>
  <c r="BP345"/>
  <c r="BM345"/>
  <c r="BJ345"/>
  <c r="AO345"/>
  <c r="V345"/>
  <c r="O345"/>
  <c r="E345"/>
  <c r="D345"/>
  <c r="C345"/>
  <c r="A345"/>
  <c r="BT344"/>
  <c r="BR344"/>
  <c r="BP344"/>
  <c r="BM344"/>
  <c r="BJ344"/>
  <c r="AO344"/>
  <c r="V344"/>
  <c r="O344"/>
  <c r="E344"/>
  <c r="D344"/>
  <c r="C344"/>
  <c r="A344"/>
  <c r="BT343"/>
  <c r="BR343"/>
  <c r="BP343"/>
  <c r="BM343"/>
  <c r="BJ343"/>
  <c r="BI343"/>
  <c r="AO343"/>
  <c r="V343"/>
  <c r="O343"/>
  <c r="E343"/>
  <c r="D343"/>
  <c r="C343"/>
  <c r="A343"/>
  <c r="BT342"/>
  <c r="BR342"/>
  <c r="BP342"/>
  <c r="BM342"/>
  <c r="BJ342"/>
  <c r="AO342"/>
  <c r="V342"/>
  <c r="O342"/>
  <c r="E342"/>
  <c r="D342"/>
  <c r="C342"/>
  <c r="A342"/>
  <c r="BT341"/>
  <c r="BR341"/>
  <c r="BP341"/>
  <c r="BM341"/>
  <c r="BJ341"/>
  <c r="AO341"/>
  <c r="V341"/>
  <c r="E341"/>
  <c r="D341"/>
  <c r="C341"/>
  <c r="A341"/>
  <c r="BT340"/>
  <c r="BR340"/>
  <c r="BP340"/>
  <c r="BM340"/>
  <c r="BJ340"/>
  <c r="AO340"/>
  <c r="V340"/>
  <c r="O340"/>
  <c r="E340"/>
  <c r="D340"/>
  <c r="C340"/>
  <c r="A340"/>
  <c r="BT339"/>
  <c r="BR339"/>
  <c r="BP339"/>
  <c r="BM339"/>
  <c r="BJ339"/>
  <c r="BI339"/>
  <c r="AO339"/>
  <c r="V339"/>
  <c r="O339"/>
  <c r="E339"/>
  <c r="D339"/>
  <c r="C339"/>
  <c r="A339"/>
  <c r="BT338"/>
  <c r="BR338"/>
  <c r="BP338"/>
  <c r="BM338"/>
  <c r="BJ338"/>
  <c r="AO338"/>
  <c r="V338"/>
  <c r="O338"/>
  <c r="E338"/>
  <c r="D338"/>
  <c r="C338"/>
  <c r="A338"/>
  <c r="BT337"/>
  <c r="BR337"/>
  <c r="BP337"/>
  <c r="BM337"/>
  <c r="BJ337"/>
  <c r="BI337"/>
  <c r="AO337"/>
  <c r="V337"/>
  <c r="E337"/>
  <c r="D337"/>
  <c r="C337"/>
  <c r="A337"/>
  <c r="BT336"/>
  <c r="BR336"/>
  <c r="BP336"/>
  <c r="BM336"/>
  <c r="BJ336"/>
  <c r="AO336"/>
  <c r="V336"/>
  <c r="O336"/>
  <c r="E336"/>
  <c r="D336"/>
  <c r="C336"/>
  <c r="A336"/>
  <c r="BT335"/>
  <c r="BR335"/>
  <c r="BP335"/>
  <c r="BM335"/>
  <c r="BJ335"/>
  <c r="AO335"/>
  <c r="V335"/>
  <c r="E335"/>
  <c r="D335"/>
  <c r="C335"/>
  <c r="A335"/>
  <c r="BT334"/>
  <c r="BR334"/>
  <c r="BP334"/>
  <c r="BM334"/>
  <c r="BJ334"/>
  <c r="AO334"/>
  <c r="V334"/>
  <c r="E334"/>
  <c r="D334"/>
  <c r="C334"/>
  <c r="A334"/>
  <c r="BT333"/>
  <c r="BR333"/>
  <c r="BP333"/>
  <c r="BM333"/>
  <c r="BJ333"/>
  <c r="BI333"/>
  <c r="AO333"/>
  <c r="V333"/>
  <c r="O333"/>
  <c r="E333"/>
  <c r="D333"/>
  <c r="C333"/>
  <c r="A333"/>
  <c r="BT332"/>
  <c r="BR332"/>
  <c r="BP332"/>
  <c r="BM332"/>
  <c r="BJ332"/>
  <c r="BI332"/>
  <c r="AO332"/>
  <c r="V332"/>
  <c r="E332"/>
  <c r="D332"/>
  <c r="C332"/>
  <c r="A332"/>
  <c r="BT331"/>
  <c r="BR331"/>
  <c r="BP331"/>
  <c r="BM331"/>
  <c r="BJ331"/>
  <c r="AO331"/>
  <c r="V331"/>
  <c r="O331"/>
  <c r="E331"/>
  <c r="D331"/>
  <c r="C331"/>
  <c r="A331"/>
  <c r="BT330"/>
  <c r="BR330"/>
  <c r="BP330"/>
  <c r="BM330"/>
  <c r="BJ330"/>
  <c r="AO330"/>
  <c r="V330"/>
  <c r="O330"/>
  <c r="E330"/>
  <c r="D330"/>
  <c r="C330"/>
  <c r="A330"/>
  <c r="BT329"/>
  <c r="BR329"/>
  <c r="BP329"/>
  <c r="BM329"/>
  <c r="BJ329"/>
  <c r="AO329"/>
  <c r="V329"/>
  <c r="E329"/>
  <c r="D329"/>
  <c r="C329"/>
  <c r="A329"/>
  <c r="BT328"/>
  <c r="BR328"/>
  <c r="BP328"/>
  <c r="BM328"/>
  <c r="BJ328"/>
  <c r="AO328"/>
  <c r="V328"/>
  <c r="E328"/>
  <c r="D328"/>
  <c r="C328"/>
  <c r="A328"/>
  <c r="BT327"/>
  <c r="BR327"/>
  <c r="BP327"/>
  <c r="BM327"/>
  <c r="BJ327"/>
  <c r="AO327"/>
  <c r="V327"/>
  <c r="O327"/>
  <c r="E327"/>
  <c r="D327"/>
  <c r="C327"/>
  <c r="A327"/>
  <c r="BT309"/>
  <c r="BR309"/>
  <c r="BP309"/>
  <c r="BM309"/>
  <c r="BJ309"/>
  <c r="AO309"/>
  <c r="V309"/>
  <c r="S309"/>
  <c r="E309"/>
  <c r="D309"/>
  <c r="C309"/>
  <c r="A309"/>
  <c r="BT308"/>
  <c r="BR308"/>
  <c r="BP308"/>
  <c r="BM308"/>
  <c r="BJ308"/>
  <c r="BI308"/>
  <c r="AO308"/>
  <c r="V308"/>
  <c r="S308"/>
  <c r="O308"/>
  <c r="E308"/>
  <c r="D308"/>
  <c r="C308"/>
  <c r="A308"/>
  <c r="BV307"/>
  <c r="BT307"/>
  <c r="BR307"/>
  <c r="BP307"/>
  <c r="BM307"/>
  <c r="BJ307"/>
  <c r="AO307"/>
  <c r="V307"/>
  <c r="S307"/>
  <c r="E307"/>
  <c r="D307"/>
  <c r="C307"/>
  <c r="A307"/>
  <c r="BT306"/>
  <c r="BR306"/>
  <c r="BP306"/>
  <c r="BM306"/>
  <c r="BJ306"/>
  <c r="BI306"/>
  <c r="AO306"/>
  <c r="V306"/>
  <c r="S306"/>
  <c r="O306"/>
  <c r="E306"/>
  <c r="D306"/>
  <c r="C306"/>
  <c r="A306"/>
  <c r="BT305"/>
  <c r="BR305"/>
  <c r="BP305"/>
  <c r="BM305"/>
  <c r="BJ305"/>
  <c r="AO305"/>
  <c r="V305"/>
  <c r="S305"/>
  <c r="E305"/>
  <c r="D305"/>
  <c r="C305"/>
  <c r="A305"/>
  <c r="BT304"/>
  <c r="BR304"/>
  <c r="BP304"/>
  <c r="BM304"/>
  <c r="BJ304"/>
  <c r="BI304"/>
  <c r="AO304"/>
  <c r="V304"/>
  <c r="S304"/>
  <c r="O304"/>
  <c r="E304"/>
  <c r="D304"/>
  <c r="C304"/>
  <c r="A304"/>
  <c r="BT303"/>
  <c r="BR303"/>
  <c r="BP303"/>
  <c r="BM303"/>
  <c r="BJ303"/>
  <c r="BI303"/>
  <c r="AO303"/>
  <c r="V303"/>
  <c r="S303"/>
  <c r="E303"/>
  <c r="D303"/>
  <c r="C303"/>
  <c r="A303"/>
  <c r="BT302"/>
  <c r="BR302"/>
  <c r="BP302"/>
  <c r="BM302"/>
  <c r="BJ302"/>
  <c r="BI302"/>
  <c r="AO302"/>
  <c r="V302"/>
  <c r="S302"/>
  <c r="E302"/>
  <c r="D302"/>
  <c r="C302"/>
  <c r="A302"/>
  <c r="BV301"/>
  <c r="BT301"/>
  <c r="BR301"/>
  <c r="BP301"/>
  <c r="BM301"/>
  <c r="BJ301"/>
  <c r="AO301"/>
  <c r="V301"/>
  <c r="S301"/>
  <c r="O301"/>
  <c r="E301"/>
  <c r="D301"/>
  <c r="C301"/>
  <c r="A301"/>
  <c r="BT300"/>
  <c r="BR300"/>
  <c r="BP300"/>
  <c r="BM300"/>
  <c r="BJ300"/>
  <c r="AO300"/>
  <c r="V300"/>
  <c r="S300"/>
  <c r="O300"/>
  <c r="E300"/>
  <c r="D300"/>
  <c r="C300"/>
  <c r="A300"/>
  <c r="BT299"/>
  <c r="BR299"/>
  <c r="BP299"/>
  <c r="BM299"/>
  <c r="BJ299"/>
  <c r="BI299"/>
  <c r="AO299"/>
  <c r="V299"/>
  <c r="S299"/>
  <c r="O299"/>
  <c r="E299"/>
  <c r="D299"/>
  <c r="C299"/>
  <c r="A299"/>
  <c r="BT298"/>
  <c r="BR298"/>
  <c r="BP298"/>
  <c r="BM298"/>
  <c r="BJ298"/>
  <c r="BI298"/>
  <c r="AO298"/>
  <c r="V298"/>
  <c r="S298"/>
  <c r="O298"/>
  <c r="E298"/>
  <c r="D298"/>
  <c r="C298"/>
  <c r="A298"/>
  <c r="BT297"/>
  <c r="BR297"/>
  <c r="BP297"/>
  <c r="BM297"/>
  <c r="BJ297"/>
  <c r="BI297"/>
  <c r="AO297"/>
  <c r="V297"/>
  <c r="S297"/>
  <c r="O297"/>
  <c r="E297"/>
  <c r="D297"/>
  <c r="C297"/>
  <c r="A297"/>
  <c r="BT296"/>
  <c r="BR296"/>
  <c r="BP296"/>
  <c r="BM296"/>
  <c r="BJ296"/>
  <c r="BI296"/>
  <c r="AO296"/>
  <c r="V296"/>
  <c r="S296"/>
  <c r="O296"/>
  <c r="E296"/>
  <c r="D296"/>
  <c r="C296"/>
  <c r="A296"/>
  <c r="BT294"/>
  <c r="BR294"/>
  <c r="BP294"/>
  <c r="BM294"/>
  <c r="BJ294"/>
  <c r="BI294"/>
  <c r="AO294"/>
  <c r="V294"/>
  <c r="S294"/>
  <c r="O294"/>
  <c r="E294"/>
  <c r="D294"/>
  <c r="C294"/>
  <c r="A294"/>
  <c r="BT293"/>
  <c r="BR293"/>
  <c r="BP293"/>
  <c r="BM293"/>
  <c r="BJ293"/>
  <c r="BI293"/>
  <c r="AO293"/>
  <c r="V293"/>
  <c r="S293"/>
  <c r="E293"/>
  <c r="D293"/>
  <c r="C293"/>
  <c r="A293"/>
  <c r="BT291"/>
  <c r="BR291"/>
  <c r="BP291"/>
  <c r="BM291"/>
  <c r="BJ291"/>
  <c r="BI291"/>
  <c r="AO291"/>
  <c r="V291"/>
  <c r="S291"/>
  <c r="E291"/>
  <c r="D291"/>
  <c r="C291"/>
  <c r="A291"/>
  <c r="BT290"/>
  <c r="BR290"/>
  <c r="BP290"/>
  <c r="BM290"/>
  <c r="BJ290"/>
  <c r="BI290"/>
  <c r="AO290"/>
  <c r="V290"/>
  <c r="S290"/>
  <c r="O290"/>
  <c r="E290"/>
  <c r="D290"/>
  <c r="C290"/>
  <c r="A290"/>
  <c r="BT289"/>
  <c r="BR289"/>
  <c r="BP289"/>
  <c r="BM289"/>
  <c r="BJ289"/>
  <c r="BI289"/>
  <c r="AO289"/>
  <c r="V289"/>
  <c r="S289"/>
  <c r="O289"/>
  <c r="E289"/>
  <c r="D289"/>
  <c r="C289"/>
  <c r="A289"/>
  <c r="BT288"/>
  <c r="BR288"/>
  <c r="BP288"/>
  <c r="BM288"/>
  <c r="BJ288"/>
  <c r="BI288"/>
  <c r="AO288"/>
  <c r="V288"/>
  <c r="S288"/>
  <c r="O288"/>
  <c r="E288"/>
  <c r="D288"/>
  <c r="C288"/>
  <c r="A288"/>
  <c r="BT287"/>
  <c r="BR287"/>
  <c r="BP287"/>
  <c r="BM287"/>
  <c r="BJ287"/>
  <c r="BI287"/>
  <c r="AO287"/>
  <c r="V287"/>
  <c r="S287"/>
  <c r="O287"/>
  <c r="E287"/>
  <c r="D287"/>
  <c r="C287"/>
  <c r="A287"/>
  <c r="BT286"/>
  <c r="BR286"/>
  <c r="BP286"/>
  <c r="BM286"/>
  <c r="BJ286"/>
  <c r="BI286"/>
  <c r="AO286"/>
  <c r="V286"/>
  <c r="S286"/>
  <c r="O286"/>
  <c r="E286"/>
  <c r="D286"/>
  <c r="C286"/>
  <c r="A286"/>
  <c r="BT284"/>
  <c r="BR284"/>
  <c r="BP284"/>
  <c r="BM284"/>
  <c r="BJ284"/>
  <c r="BI284"/>
  <c r="AO284"/>
  <c r="V284"/>
  <c r="S284"/>
  <c r="E284"/>
  <c r="D284"/>
  <c r="C284"/>
  <c r="A284"/>
  <c r="BT283"/>
  <c r="BR283"/>
  <c r="BP283"/>
  <c r="BM283"/>
  <c r="BJ283"/>
  <c r="BI283"/>
  <c r="AO283"/>
  <c r="V283"/>
  <c r="S283"/>
  <c r="O283"/>
  <c r="E283"/>
  <c r="D283"/>
  <c r="C283"/>
  <c r="A283"/>
  <c r="BT282"/>
  <c r="BR282"/>
  <c r="BP282"/>
  <c r="BM282"/>
  <c r="BJ282"/>
  <c r="BI282"/>
  <c r="AO282"/>
  <c r="V282"/>
  <c r="S282"/>
  <c r="O282"/>
  <c r="E282"/>
  <c r="D282"/>
  <c r="C282"/>
  <c r="A282"/>
  <c r="BT280"/>
  <c r="BR280"/>
  <c r="BP280"/>
  <c r="BM280"/>
  <c r="BJ280"/>
  <c r="BI280"/>
  <c r="AO280"/>
  <c r="V280"/>
  <c r="S280"/>
  <c r="O280"/>
  <c r="E280"/>
  <c r="D280"/>
  <c r="C280"/>
  <c r="A280"/>
  <c r="BT279"/>
  <c r="BR279"/>
  <c r="BP279"/>
  <c r="BM279"/>
  <c r="BJ279"/>
  <c r="BI279"/>
  <c r="AO279"/>
  <c r="V279"/>
  <c r="S279"/>
  <c r="E279"/>
  <c r="D279"/>
  <c r="C279"/>
  <c r="A279"/>
  <c r="BT278"/>
  <c r="BR278"/>
  <c r="BP278"/>
  <c r="BM278"/>
  <c r="BJ278"/>
  <c r="BI278"/>
  <c r="AO278"/>
  <c r="V278"/>
  <c r="S278"/>
  <c r="O278"/>
  <c r="E278"/>
  <c r="D278"/>
  <c r="C278"/>
  <c r="A278"/>
  <c r="BT277"/>
  <c r="BR277"/>
  <c r="BP277"/>
  <c r="BM277"/>
  <c r="BJ277"/>
  <c r="BI277"/>
  <c r="AO277"/>
  <c r="V277"/>
  <c r="S277"/>
  <c r="O277"/>
  <c r="E277"/>
  <c r="D277"/>
  <c r="C277"/>
  <c r="A277"/>
  <c r="BT276"/>
  <c r="BR276"/>
  <c r="BP276"/>
  <c r="BM276"/>
  <c r="BJ276"/>
  <c r="BI276"/>
  <c r="AO276"/>
  <c r="V276"/>
  <c r="S276"/>
  <c r="O276"/>
  <c r="E276"/>
  <c r="D276"/>
  <c r="C276"/>
  <c r="A276"/>
  <c r="BT275"/>
  <c r="BR275"/>
  <c r="BP275"/>
  <c r="BM275"/>
  <c r="BJ275"/>
  <c r="BI275"/>
  <c r="AO275"/>
  <c r="V275"/>
  <c r="S275"/>
  <c r="E275"/>
  <c r="D275"/>
  <c r="C275"/>
  <c r="A275"/>
  <c r="BT274"/>
  <c r="BR274"/>
  <c r="BP274"/>
  <c r="BM274"/>
  <c r="BJ274"/>
  <c r="BI274"/>
  <c r="AO274"/>
  <c r="V274"/>
  <c r="S274"/>
  <c r="O274"/>
  <c r="E274"/>
  <c r="D274"/>
  <c r="C274"/>
  <c r="A274"/>
  <c r="BT273"/>
  <c r="BR273"/>
  <c r="BP273"/>
  <c r="BM273"/>
  <c r="BJ273"/>
  <c r="BI273"/>
  <c r="AO273"/>
  <c r="V273"/>
  <c r="S273"/>
  <c r="O273"/>
  <c r="E273"/>
  <c r="D273"/>
  <c r="C273"/>
  <c r="A273"/>
  <c r="BT272"/>
  <c r="BR272"/>
  <c r="BP272"/>
  <c r="BM272"/>
  <c r="BJ272"/>
  <c r="BI272"/>
  <c r="AO272"/>
  <c r="V272"/>
  <c r="S272"/>
  <c r="O272"/>
  <c r="E272"/>
  <c r="D272"/>
  <c r="C272"/>
  <c r="A272"/>
  <c r="BT271"/>
  <c r="BR271"/>
  <c r="BP271"/>
  <c r="BM271"/>
  <c r="BJ271"/>
  <c r="BI271"/>
  <c r="AO271"/>
  <c r="V271"/>
  <c r="S271"/>
  <c r="O271"/>
  <c r="E271"/>
  <c r="D271"/>
  <c r="C271"/>
  <c r="A271"/>
  <c r="BT270"/>
  <c r="BR270"/>
  <c r="BP270"/>
  <c r="BM270"/>
  <c r="BJ270"/>
  <c r="BI270"/>
  <c r="AO270"/>
  <c r="V270"/>
  <c r="S270"/>
  <c r="O270"/>
  <c r="E270"/>
  <c r="D270"/>
  <c r="C270"/>
  <c r="A270"/>
  <c r="BT269"/>
  <c r="BR269"/>
  <c r="BP269"/>
  <c r="BM269"/>
  <c r="BJ269"/>
  <c r="BI269"/>
  <c r="AO269"/>
  <c r="V269"/>
  <c r="S269"/>
  <c r="O269"/>
  <c r="E269"/>
  <c r="D269"/>
  <c r="C269"/>
  <c r="A269"/>
  <c r="BT268"/>
  <c r="BR268"/>
  <c r="BP268"/>
  <c r="BM268"/>
  <c r="BJ268"/>
  <c r="BI268"/>
  <c r="AO268"/>
  <c r="V268"/>
  <c r="S268"/>
  <c r="O268"/>
  <c r="E268"/>
  <c r="D268"/>
  <c r="C268"/>
  <c r="A268"/>
  <c r="BT266"/>
  <c r="BR266"/>
  <c r="BP266"/>
  <c r="BM266"/>
  <c r="BJ266"/>
  <c r="BI266"/>
  <c r="AO266"/>
  <c r="V266"/>
  <c r="S266"/>
  <c r="O266"/>
  <c r="E266"/>
  <c r="D266"/>
  <c r="C266"/>
  <c r="A266"/>
  <c r="BT265"/>
  <c r="BR265"/>
  <c r="BP265"/>
  <c r="BM265"/>
  <c r="BJ265"/>
  <c r="BI265"/>
  <c r="AO265"/>
  <c r="V265"/>
  <c r="S265"/>
  <c r="O265"/>
  <c r="E265"/>
  <c r="D265"/>
  <c r="C265"/>
  <c r="A265"/>
  <c r="BT264"/>
  <c r="BR264"/>
  <c r="BP264"/>
  <c r="BM264"/>
  <c r="BJ264"/>
  <c r="BI264"/>
  <c r="AO264"/>
  <c r="V264"/>
  <c r="S264"/>
  <c r="O264"/>
  <c r="E264"/>
  <c r="D264"/>
  <c r="C264"/>
  <c r="A264"/>
  <c r="BT263"/>
  <c r="BR263"/>
  <c r="BP263"/>
  <c r="BM263"/>
  <c r="BJ263"/>
  <c r="BI263"/>
  <c r="AO263"/>
  <c r="V263"/>
  <c r="S263"/>
  <c r="E263"/>
  <c r="D263"/>
  <c r="C263"/>
  <c r="A263"/>
  <c r="BT262"/>
  <c r="BR262"/>
  <c r="BP262"/>
  <c r="BM262"/>
  <c r="BJ262"/>
  <c r="BI262"/>
  <c r="AO262"/>
  <c r="V262"/>
  <c r="S262"/>
  <c r="E262"/>
  <c r="D262"/>
  <c r="C262"/>
  <c r="A262"/>
  <c r="BT261"/>
  <c r="BR261"/>
  <c r="BP261"/>
  <c r="BM261"/>
  <c r="BJ261"/>
  <c r="BI261"/>
  <c r="AO261"/>
  <c r="V261"/>
  <c r="S261"/>
  <c r="O261"/>
  <c r="E261"/>
  <c r="D261"/>
  <c r="C261"/>
  <c r="A261"/>
  <c r="BT260"/>
  <c r="BR260"/>
  <c r="BP260"/>
  <c r="BM260"/>
  <c r="BJ260"/>
  <c r="BI260"/>
  <c r="AO260"/>
  <c r="V260"/>
  <c r="S260"/>
  <c r="O260"/>
  <c r="E260"/>
  <c r="D260"/>
  <c r="C260"/>
  <c r="A260"/>
  <c r="BX259"/>
  <c r="BV259"/>
  <c r="BT259"/>
  <c r="BR259"/>
  <c r="BP259"/>
  <c r="BM259"/>
  <c r="BJ259"/>
  <c r="AO259"/>
  <c r="V259"/>
  <c r="S259"/>
  <c r="O259"/>
  <c r="E259"/>
  <c r="D259"/>
  <c r="C259"/>
  <c r="A259"/>
  <c r="BT258"/>
  <c r="BR258"/>
  <c r="BP258"/>
  <c r="BM258"/>
  <c r="BJ258"/>
  <c r="BI258"/>
  <c r="AO258"/>
  <c r="V258"/>
  <c r="S258"/>
  <c r="O258"/>
  <c r="E258"/>
  <c r="D258"/>
  <c r="C258"/>
  <c r="A258"/>
  <c r="BX257"/>
  <c r="BV257"/>
  <c r="BT257"/>
  <c r="BR257"/>
  <c r="BP257"/>
  <c r="BM257"/>
  <c r="BJ257"/>
  <c r="AO257"/>
  <c r="V257"/>
  <c r="S257"/>
  <c r="E257"/>
  <c r="D257"/>
  <c r="C257"/>
  <c r="A257"/>
  <c r="BX256"/>
  <c r="BT256"/>
  <c r="BR256"/>
  <c r="BP256"/>
  <c r="BM256"/>
  <c r="BJ256"/>
  <c r="AO256"/>
  <c r="V256"/>
  <c r="S256"/>
  <c r="O256"/>
  <c r="E256"/>
  <c r="D256"/>
  <c r="C256"/>
  <c r="A256"/>
  <c r="BT255"/>
  <c r="BR255"/>
  <c r="BP255"/>
  <c r="BM255"/>
  <c r="BJ255"/>
  <c r="BI255"/>
  <c r="AO255"/>
  <c r="V255"/>
  <c r="S255"/>
  <c r="E255"/>
  <c r="D255"/>
  <c r="C255"/>
  <c r="A255"/>
  <c r="BT254"/>
  <c r="BR254"/>
  <c r="BP254"/>
  <c r="BM254"/>
  <c r="BJ254"/>
  <c r="BI254"/>
  <c r="AO254"/>
  <c r="V254"/>
  <c r="S254"/>
  <c r="E254"/>
  <c r="D254"/>
  <c r="C254"/>
  <c r="A254"/>
  <c r="BT253"/>
  <c r="BR253"/>
  <c r="BP253"/>
  <c r="BM253"/>
  <c r="BJ253"/>
  <c r="BI253"/>
  <c r="AO253"/>
  <c r="V253"/>
  <c r="S253"/>
  <c r="O253"/>
  <c r="E253"/>
  <c r="D253"/>
  <c r="C253"/>
  <c r="A253"/>
  <c r="BT252"/>
  <c r="BR252"/>
  <c r="BP252"/>
  <c r="BM252"/>
  <c r="BJ252"/>
  <c r="BI252"/>
  <c r="AO252"/>
  <c r="V252"/>
  <c r="S252"/>
  <c r="O252"/>
  <c r="E252"/>
  <c r="D252"/>
  <c r="C252"/>
  <c r="A252"/>
  <c r="BT251"/>
  <c r="BR251"/>
  <c r="BP251"/>
  <c r="BM251"/>
  <c r="BJ251"/>
  <c r="BI251"/>
  <c r="AO251"/>
  <c r="V251"/>
  <c r="S251"/>
  <c r="O251"/>
  <c r="E251"/>
  <c r="D251"/>
  <c r="C251"/>
  <c r="A251"/>
  <c r="BT250"/>
  <c r="BR250"/>
  <c r="BP250"/>
  <c r="BM250"/>
  <c r="BJ250"/>
  <c r="BI250"/>
  <c r="AO250"/>
  <c r="V250"/>
  <c r="S250"/>
  <c r="O250"/>
  <c r="E250"/>
  <c r="D250"/>
  <c r="C250"/>
  <c r="A250"/>
  <c r="BT249"/>
  <c r="BR249"/>
  <c r="BP249"/>
  <c r="BM249"/>
  <c r="BJ249"/>
  <c r="BI249"/>
  <c r="AO249"/>
  <c r="V249"/>
  <c r="S249"/>
  <c r="O249"/>
  <c r="E249"/>
  <c r="D249"/>
  <c r="C249"/>
  <c r="A249"/>
  <c r="BT248"/>
  <c r="BR248"/>
  <c r="BP248"/>
  <c r="BM248"/>
  <c r="BJ248"/>
  <c r="BI248"/>
  <c r="AO248"/>
  <c r="V248"/>
  <c r="S248"/>
  <c r="E248"/>
  <c r="D248"/>
  <c r="C248"/>
  <c r="A248"/>
  <c r="BT247"/>
  <c r="BR247"/>
  <c r="BP247"/>
  <c r="BM247"/>
  <c r="BJ247"/>
  <c r="BI247"/>
  <c r="AO247"/>
  <c r="V247"/>
  <c r="S247"/>
  <c r="O247"/>
  <c r="E247"/>
  <c r="D247"/>
  <c r="C247"/>
  <c r="A247"/>
  <c r="BT246"/>
  <c r="BR246"/>
  <c r="BP246"/>
  <c r="BM246"/>
  <c r="BJ246"/>
  <c r="BI246"/>
  <c r="AO246"/>
  <c r="V246"/>
  <c r="S246"/>
  <c r="O246"/>
  <c r="E246"/>
  <c r="D246"/>
  <c r="C246"/>
  <c r="A246"/>
  <c r="BT245"/>
  <c r="BR245"/>
  <c r="BP245"/>
  <c r="BM245"/>
  <c r="BJ245"/>
  <c r="BI245"/>
  <c r="AO245"/>
  <c r="V245"/>
  <c r="S245"/>
  <c r="O245"/>
  <c r="E245"/>
  <c r="D245"/>
  <c r="C245"/>
  <c r="A245"/>
  <c r="BT244"/>
  <c r="BR244"/>
  <c r="BP244"/>
  <c r="BM244"/>
  <c r="BJ244"/>
  <c r="BI244"/>
  <c r="AO244"/>
  <c r="V244"/>
  <c r="S244"/>
  <c r="O244"/>
  <c r="E244"/>
  <c r="D244"/>
  <c r="C244"/>
  <c r="A244"/>
  <c r="BT243"/>
  <c r="BR243"/>
  <c r="BP243"/>
  <c r="BM243"/>
  <c r="BJ243"/>
  <c r="BI243"/>
  <c r="AO243"/>
  <c r="V243"/>
  <c r="S243"/>
  <c r="O243"/>
  <c r="E243"/>
  <c r="D243"/>
  <c r="C243"/>
  <c r="A243"/>
  <c r="BT242"/>
  <c r="BR242"/>
  <c r="BP242"/>
  <c r="BM242"/>
  <c r="BJ242"/>
  <c r="BI242"/>
  <c r="AO242"/>
  <c r="V242"/>
  <c r="S242"/>
  <c r="O242"/>
  <c r="E242"/>
  <c r="D242"/>
  <c r="C242"/>
  <c r="A242"/>
  <c r="BT241"/>
  <c r="BR241"/>
  <c r="BP241"/>
  <c r="BM241"/>
  <c r="BJ241"/>
  <c r="BI241"/>
  <c r="AO241"/>
  <c r="V241"/>
  <c r="S241"/>
  <c r="E241"/>
  <c r="D241"/>
  <c r="C241"/>
  <c r="A241"/>
  <c r="BT240"/>
  <c r="BR240"/>
  <c r="BP240"/>
  <c r="BM240"/>
  <c r="BJ240"/>
  <c r="BI240"/>
  <c r="AO240"/>
  <c r="V240"/>
  <c r="S240"/>
  <c r="O240"/>
  <c r="E240"/>
  <c r="D240"/>
  <c r="C240"/>
  <c r="A240"/>
  <c r="BT239"/>
  <c r="BR239"/>
  <c r="BP239"/>
  <c r="BM239"/>
  <c r="BJ239"/>
  <c r="BI239"/>
  <c r="AO239"/>
  <c r="V239"/>
  <c r="S239"/>
  <c r="E239"/>
  <c r="D239"/>
  <c r="C239"/>
  <c r="A239"/>
  <c r="BT238"/>
  <c r="BR238"/>
  <c r="BP238"/>
  <c r="BM238"/>
  <c r="BJ238"/>
  <c r="BI238"/>
  <c r="AO238"/>
  <c r="V238"/>
  <c r="S238"/>
  <c r="O238"/>
  <c r="E238"/>
  <c r="D238"/>
  <c r="C238"/>
  <c r="A238"/>
  <c r="BT237"/>
  <c r="BR237"/>
  <c r="BP237"/>
  <c r="BM237"/>
  <c r="BJ237"/>
  <c r="BI237"/>
  <c r="AO237"/>
  <c r="V237"/>
  <c r="S237"/>
  <c r="O237"/>
  <c r="E237"/>
  <c r="D237"/>
  <c r="C237"/>
  <c r="A237"/>
  <c r="BT236"/>
  <c r="BR236"/>
  <c r="BP236"/>
  <c r="BM236"/>
  <c r="BJ236"/>
  <c r="BI236"/>
  <c r="AO236"/>
  <c r="V236"/>
  <c r="S236"/>
  <c r="O236"/>
  <c r="E236"/>
  <c r="D236"/>
  <c r="C236"/>
  <c r="A236"/>
  <c r="BT235"/>
  <c r="BR235"/>
  <c r="BP235"/>
  <c r="BM235"/>
  <c r="BJ235"/>
  <c r="BI235"/>
  <c r="AO235"/>
  <c r="V235"/>
  <c r="S235"/>
  <c r="O235"/>
  <c r="E235"/>
  <c r="D235"/>
  <c r="C235"/>
  <c r="A235"/>
  <c r="BT234"/>
  <c r="BR234"/>
  <c r="BP234"/>
  <c r="BM234"/>
  <c r="BJ234"/>
  <c r="BI234"/>
  <c r="AO234"/>
  <c r="V234"/>
  <c r="S234"/>
  <c r="E234"/>
  <c r="D234"/>
  <c r="C234"/>
  <c r="A234"/>
  <c r="BT233"/>
  <c r="BR233"/>
  <c r="BP233"/>
  <c r="BM233"/>
  <c r="BJ233"/>
  <c r="BI233"/>
  <c r="AO233"/>
  <c r="V233"/>
  <c r="S233"/>
  <c r="O233"/>
  <c r="E233"/>
  <c r="D233"/>
  <c r="C233"/>
  <c r="A233"/>
  <c r="BT232"/>
  <c r="BR232"/>
  <c r="BP232"/>
  <c r="BM232"/>
  <c r="BJ232"/>
  <c r="BI232"/>
  <c r="AO232"/>
  <c r="V232"/>
  <c r="S232"/>
  <c r="E232"/>
  <c r="D232"/>
  <c r="C232"/>
  <c r="A232"/>
  <c r="BT231"/>
  <c r="BR231"/>
  <c r="BP231"/>
  <c r="BM231"/>
  <c r="BJ231"/>
  <c r="BI231"/>
  <c r="AO231"/>
  <c r="V231"/>
  <c r="S231"/>
  <c r="E231"/>
  <c r="D231"/>
  <c r="C231"/>
  <c r="A231"/>
  <c r="BT230"/>
  <c r="BR230"/>
  <c r="BP230"/>
  <c r="BM230"/>
  <c r="BJ230"/>
  <c r="BI230"/>
  <c r="AO230"/>
  <c r="V230"/>
  <c r="S230"/>
  <c r="E230"/>
  <c r="D230"/>
  <c r="C230"/>
  <c r="A230"/>
  <c r="BT229"/>
  <c r="BR229"/>
  <c r="BP229"/>
  <c r="BM229"/>
  <c r="BJ229"/>
  <c r="BI229"/>
  <c r="AO229"/>
  <c r="V229"/>
  <c r="S229"/>
  <c r="O229"/>
  <c r="E229"/>
  <c r="D229"/>
  <c r="C229"/>
  <c r="A229"/>
  <c r="BT228"/>
  <c r="BR228"/>
  <c r="BP228"/>
  <c r="BM228"/>
  <c r="BJ228"/>
  <c r="BI228"/>
  <c r="AO228"/>
  <c r="V228"/>
  <c r="S228"/>
  <c r="E228"/>
  <c r="D228"/>
  <c r="C228"/>
  <c r="A228"/>
  <c r="BT227"/>
  <c r="BR227"/>
  <c r="BP227"/>
  <c r="BM227"/>
  <c r="BJ227"/>
  <c r="BI227"/>
  <c r="AO227"/>
  <c r="V227"/>
  <c r="S227"/>
  <c r="E227"/>
  <c r="D227"/>
  <c r="C227"/>
  <c r="A227"/>
  <c r="BT226"/>
  <c r="BR226"/>
  <c r="BP226"/>
  <c r="BM226"/>
  <c r="BJ226"/>
  <c r="BI226"/>
  <c r="AO226"/>
  <c r="V226"/>
  <c r="S226"/>
  <c r="E226"/>
  <c r="D226"/>
  <c r="C226"/>
  <c r="A226"/>
  <c r="BT225"/>
  <c r="BR225"/>
  <c r="BP225"/>
  <c r="BM225"/>
  <c r="BJ225"/>
  <c r="BI225"/>
  <c r="AO225"/>
  <c r="V225"/>
  <c r="S225"/>
  <c r="E225"/>
  <c r="D225"/>
  <c r="C225"/>
  <c r="A225"/>
  <c r="BT224"/>
  <c r="BR224"/>
  <c r="BP224"/>
  <c r="BM224"/>
  <c r="BJ224"/>
  <c r="BI224"/>
  <c r="AO224"/>
  <c r="V224"/>
  <c r="S224"/>
  <c r="E224"/>
  <c r="D224"/>
  <c r="C224"/>
  <c r="A224"/>
  <c r="BT223"/>
  <c r="BR223"/>
  <c r="BP223"/>
  <c r="BM223"/>
  <c r="BJ223"/>
  <c r="BI223"/>
  <c r="AO223"/>
  <c r="V223"/>
  <c r="S223"/>
  <c r="E223"/>
  <c r="D223"/>
  <c r="C223"/>
  <c r="A223"/>
  <c r="BT222"/>
  <c r="BR222"/>
  <c r="BP222"/>
  <c r="BM222"/>
  <c r="BJ222"/>
  <c r="BI222"/>
  <c r="AO222"/>
  <c r="V222"/>
  <c r="S222"/>
  <c r="O222"/>
  <c r="E222"/>
  <c r="D222"/>
  <c r="C222"/>
  <c r="A222"/>
  <c r="BT221"/>
  <c r="BR221"/>
  <c r="BP221"/>
  <c r="BM221"/>
  <c r="BJ221"/>
  <c r="BI221"/>
  <c r="AO221"/>
  <c r="V221"/>
  <c r="S221"/>
  <c r="O221"/>
  <c r="E221"/>
  <c r="D221"/>
  <c r="C221"/>
  <c r="A221"/>
  <c r="BT220"/>
  <c r="BR220"/>
  <c r="BP220"/>
  <c r="BM220"/>
  <c r="BJ220"/>
  <c r="BI220"/>
  <c r="AO220"/>
  <c r="V220"/>
  <c r="S220"/>
  <c r="O220"/>
  <c r="E220"/>
  <c r="D220"/>
  <c r="C220"/>
  <c r="A220"/>
  <c r="BT219"/>
  <c r="BR219"/>
  <c r="BP219"/>
  <c r="BM219"/>
  <c r="BJ219"/>
  <c r="BI219"/>
  <c r="AO219"/>
  <c r="V219"/>
  <c r="S219"/>
  <c r="O219"/>
  <c r="E219"/>
  <c r="D219"/>
  <c r="C219"/>
  <c r="A219"/>
  <c r="BT218"/>
  <c r="BR218"/>
  <c r="BP218"/>
  <c r="BM218"/>
  <c r="BJ218"/>
  <c r="BI218"/>
  <c r="AO218"/>
  <c r="V218"/>
  <c r="S218"/>
  <c r="E218"/>
  <c r="D218"/>
  <c r="C218"/>
  <c r="A218"/>
  <c r="BT217"/>
  <c r="BR217"/>
  <c r="BP217"/>
  <c r="BM217"/>
  <c r="BJ217"/>
  <c r="BI217"/>
  <c r="AO217"/>
  <c r="V217"/>
  <c r="S217"/>
  <c r="E217"/>
  <c r="D217"/>
  <c r="C217"/>
  <c r="A217"/>
  <c r="BX216"/>
  <c r="BV216"/>
  <c r="BT216"/>
  <c r="BR216"/>
  <c r="BP216"/>
  <c r="BM216"/>
  <c r="BJ216"/>
  <c r="AO216"/>
  <c r="V216"/>
  <c r="S216"/>
  <c r="E216"/>
  <c r="D216"/>
  <c r="C216"/>
  <c r="A216"/>
  <c r="BT215"/>
  <c r="BR215"/>
  <c r="BP215"/>
  <c r="BM215"/>
  <c r="BJ215"/>
  <c r="BI215"/>
  <c r="AO215"/>
  <c r="V215"/>
  <c r="S215"/>
  <c r="O215"/>
  <c r="E215"/>
  <c r="D215"/>
  <c r="C215"/>
  <c r="A215"/>
  <c r="BT214"/>
  <c r="BR214"/>
  <c r="BP214"/>
  <c r="BM214"/>
  <c r="BJ214"/>
  <c r="AO214"/>
  <c r="V214"/>
  <c r="S214"/>
  <c r="O214"/>
  <c r="E214"/>
  <c r="D214"/>
  <c r="C214"/>
  <c r="A214"/>
  <c r="BT213"/>
  <c r="BR213"/>
  <c r="BP213"/>
  <c r="BM213"/>
  <c r="BJ213"/>
  <c r="BI213"/>
  <c r="AO213"/>
  <c r="V213"/>
  <c r="S213"/>
  <c r="O213"/>
  <c r="E213"/>
  <c r="D213"/>
  <c r="C213"/>
  <c r="A213"/>
  <c r="BT212"/>
  <c r="BR212"/>
  <c r="BP212"/>
  <c r="BM212"/>
  <c r="BJ212"/>
  <c r="BI212"/>
  <c r="AO212"/>
  <c r="V212"/>
  <c r="S212"/>
  <c r="O212"/>
  <c r="E212"/>
  <c r="D212"/>
  <c r="C212"/>
  <c r="A212"/>
  <c r="BX211"/>
  <c r="BT211"/>
  <c r="BR211"/>
  <c r="BP211"/>
  <c r="BM211"/>
  <c r="BJ211"/>
  <c r="BI211"/>
  <c r="AO211"/>
  <c r="V211"/>
  <c r="S211"/>
  <c r="O211"/>
  <c r="E211"/>
  <c r="D211"/>
  <c r="C211"/>
  <c r="A211"/>
  <c r="BT210"/>
  <c r="BR210"/>
  <c r="BP210"/>
  <c r="BM210"/>
  <c r="BJ210"/>
  <c r="BI210"/>
  <c r="AO210"/>
  <c r="V210"/>
  <c r="S210"/>
  <c r="O210"/>
  <c r="E210"/>
  <c r="D210"/>
  <c r="C210"/>
  <c r="A210"/>
  <c r="BT209"/>
  <c r="BR209"/>
  <c r="BP209"/>
  <c r="BM209"/>
  <c r="BJ209"/>
  <c r="BI209"/>
  <c r="AO209"/>
  <c r="V209"/>
  <c r="S209"/>
  <c r="E209"/>
  <c r="D209"/>
  <c r="C209"/>
  <c r="A209"/>
  <c r="BT208"/>
  <c r="BR208"/>
  <c r="BP208"/>
  <c r="BM208"/>
  <c r="BJ208"/>
  <c r="BI208"/>
  <c r="AO208"/>
  <c r="V208"/>
  <c r="S208"/>
  <c r="E208"/>
  <c r="D208"/>
  <c r="C208"/>
  <c r="A208"/>
  <c r="BT207"/>
  <c r="BR207"/>
  <c r="BP207"/>
  <c r="BM207"/>
  <c r="BJ207"/>
  <c r="BI207"/>
  <c r="AO207"/>
  <c r="V207"/>
  <c r="S207"/>
  <c r="O207"/>
  <c r="E207"/>
  <c r="D207"/>
  <c r="C207"/>
  <c r="A207"/>
  <c r="BT206"/>
  <c r="BR206"/>
  <c r="BP206"/>
  <c r="BM206"/>
  <c r="BJ206"/>
  <c r="BI206"/>
  <c r="AO206"/>
  <c r="V206"/>
  <c r="S206"/>
  <c r="O206"/>
  <c r="E206"/>
  <c r="D206"/>
  <c r="C206"/>
  <c r="A206"/>
  <c r="BT205"/>
  <c r="BR205"/>
  <c r="BP205"/>
  <c r="BM205"/>
  <c r="BJ205"/>
  <c r="BI205"/>
  <c r="AO205"/>
  <c r="V205"/>
  <c r="S205"/>
  <c r="O205"/>
  <c r="E205"/>
  <c r="D205"/>
  <c r="C205"/>
  <c r="A205"/>
  <c r="BT204"/>
  <c r="BR204"/>
  <c r="BP204"/>
  <c r="BM204"/>
  <c r="BJ204"/>
  <c r="BI204"/>
  <c r="AO204"/>
  <c r="V204"/>
  <c r="S204"/>
  <c r="O204"/>
  <c r="E204"/>
  <c r="D204"/>
  <c r="C204"/>
  <c r="A204"/>
  <c r="BT203"/>
  <c r="BR203"/>
  <c r="BP203"/>
  <c r="BM203"/>
  <c r="BJ203"/>
  <c r="BI203"/>
  <c r="AO203"/>
  <c r="V203"/>
  <c r="S203"/>
  <c r="O203"/>
  <c r="E203"/>
  <c r="D203"/>
  <c r="C203"/>
  <c r="A203"/>
  <c r="BT202"/>
  <c r="BR202"/>
  <c r="BP202"/>
  <c r="BM202"/>
  <c r="BJ202"/>
  <c r="AO202"/>
  <c r="V202"/>
  <c r="S202"/>
  <c r="E202"/>
  <c r="D202"/>
  <c r="C202"/>
  <c r="A202"/>
  <c r="BT201"/>
  <c r="BR201"/>
  <c r="BP201"/>
  <c r="BM201"/>
  <c r="BJ201"/>
  <c r="BI201"/>
  <c r="AO201"/>
  <c r="V201"/>
  <c r="S201"/>
  <c r="E201"/>
  <c r="D201"/>
  <c r="C201"/>
  <c r="A201"/>
  <c r="BT200"/>
  <c r="BR200"/>
  <c r="BP200"/>
  <c r="BM200"/>
  <c r="BJ200"/>
  <c r="BI200"/>
  <c r="AO200"/>
  <c r="V200"/>
  <c r="S200"/>
  <c r="E200"/>
  <c r="D200"/>
  <c r="C200"/>
  <c r="A200"/>
  <c r="BT199"/>
  <c r="BR199"/>
  <c r="BP199"/>
  <c r="BM199"/>
  <c r="BJ199"/>
  <c r="BI199"/>
  <c r="AO199"/>
  <c r="V199"/>
  <c r="S199"/>
  <c r="E199"/>
  <c r="D199"/>
  <c r="C199"/>
  <c r="A199"/>
  <c r="BT198"/>
  <c r="BR198"/>
  <c r="BP198"/>
  <c r="BM198"/>
  <c r="BJ198"/>
  <c r="BI198"/>
  <c r="AO198"/>
  <c r="V198"/>
  <c r="S198"/>
  <c r="E198"/>
  <c r="D198"/>
  <c r="C198"/>
  <c r="A198"/>
  <c r="BT197"/>
  <c r="BR197"/>
  <c r="BP197"/>
  <c r="BM197"/>
  <c r="BJ197"/>
  <c r="BI197"/>
  <c r="AO197"/>
  <c r="V197"/>
  <c r="S197"/>
  <c r="E197"/>
  <c r="D197"/>
  <c r="C197"/>
  <c r="A197"/>
  <c r="BT196"/>
  <c r="BR196"/>
  <c r="BP196"/>
  <c r="BM196"/>
  <c r="BJ196"/>
  <c r="BI196"/>
  <c r="AO196"/>
  <c r="V196"/>
  <c r="S196"/>
  <c r="E196"/>
  <c r="D196"/>
  <c r="C196"/>
  <c r="A196"/>
  <c r="BT195"/>
  <c r="BR195"/>
  <c r="BP195"/>
  <c r="BM195"/>
  <c r="BJ195"/>
  <c r="BI195"/>
  <c r="AO195"/>
  <c r="V195"/>
  <c r="S195"/>
  <c r="O195"/>
  <c r="E195"/>
  <c r="D195"/>
  <c r="C195"/>
  <c r="A195"/>
  <c r="BT194"/>
  <c r="BR194"/>
  <c r="BP194"/>
  <c r="BM194"/>
  <c r="BJ194"/>
  <c r="BI194"/>
  <c r="AO194"/>
  <c r="V194"/>
  <c r="S194"/>
  <c r="E194"/>
  <c r="D194"/>
  <c r="C194"/>
  <c r="A194"/>
  <c r="BT193"/>
  <c r="BR193"/>
  <c r="BP193"/>
  <c r="BM193"/>
  <c r="BJ193"/>
  <c r="BI193"/>
  <c r="AO193"/>
  <c r="V193"/>
  <c r="S193"/>
  <c r="O193"/>
  <c r="E193"/>
  <c r="D193"/>
  <c r="C193"/>
  <c r="A193"/>
  <c r="BT192"/>
  <c r="BR192"/>
  <c r="BP192"/>
  <c r="BM192"/>
  <c r="BJ192"/>
  <c r="BI192"/>
  <c r="AO192"/>
  <c r="V192"/>
  <c r="S192"/>
  <c r="O192"/>
  <c r="E192"/>
  <c r="D192"/>
  <c r="C192"/>
  <c r="A192"/>
  <c r="BT191"/>
  <c r="BR191"/>
  <c r="BP191"/>
  <c r="BM191"/>
  <c r="BJ191"/>
  <c r="BI191"/>
  <c r="AO191"/>
  <c r="V191"/>
  <c r="S191"/>
  <c r="O191"/>
  <c r="E191"/>
  <c r="D191"/>
  <c r="C191"/>
  <c r="A191"/>
  <c r="BT190"/>
  <c r="BR190"/>
  <c r="BP190"/>
  <c r="BM190"/>
  <c r="BJ190"/>
  <c r="BI190"/>
  <c r="AO190"/>
  <c r="V190"/>
  <c r="S190"/>
  <c r="O190"/>
  <c r="E190"/>
  <c r="D190"/>
  <c r="C190"/>
  <c r="A190"/>
  <c r="BT189"/>
  <c r="BR189"/>
  <c r="BP189"/>
  <c r="BM189"/>
  <c r="BJ189"/>
  <c r="BI189"/>
  <c r="AO189"/>
  <c r="V189"/>
  <c r="S189"/>
  <c r="E189"/>
  <c r="D189"/>
  <c r="C189"/>
  <c r="A189"/>
  <c r="BT188"/>
  <c r="BR188"/>
  <c r="BP188"/>
  <c r="BM188"/>
  <c r="BJ188"/>
  <c r="BI188"/>
  <c r="AO188"/>
  <c r="V188"/>
  <c r="S188"/>
  <c r="O188"/>
  <c r="E188"/>
  <c r="D188"/>
  <c r="C188"/>
  <c r="A188"/>
  <c r="BT187"/>
  <c r="BR187"/>
  <c r="BP187"/>
  <c r="BM187"/>
  <c r="BJ187"/>
  <c r="BI187"/>
  <c r="AO187"/>
  <c r="V187"/>
  <c r="S187"/>
  <c r="O187"/>
  <c r="E187"/>
  <c r="D187"/>
  <c r="C187"/>
  <c r="A187"/>
  <c r="BT186"/>
  <c r="BR186"/>
  <c r="BP186"/>
  <c r="BM186"/>
  <c r="BJ186"/>
  <c r="AO186"/>
  <c r="V186"/>
  <c r="E186"/>
  <c r="D186"/>
  <c r="C186"/>
  <c r="A186"/>
  <c r="BT184"/>
  <c r="BR184"/>
  <c r="BP184"/>
  <c r="BM184"/>
  <c r="BJ184"/>
  <c r="BI184"/>
  <c r="AO184"/>
  <c r="V184"/>
  <c r="S184"/>
  <c r="O184"/>
  <c r="E184"/>
  <c r="D184"/>
  <c r="C184"/>
  <c r="A184"/>
  <c r="BT183"/>
  <c r="BR183"/>
  <c r="BP183"/>
  <c r="BM183"/>
  <c r="BJ183"/>
  <c r="BI183"/>
  <c r="AO183"/>
  <c r="V183"/>
  <c r="S183"/>
  <c r="O183"/>
  <c r="E183"/>
  <c r="D183"/>
  <c r="C183"/>
  <c r="A183"/>
  <c r="BT182"/>
  <c r="BR182"/>
  <c r="BP182"/>
  <c r="BM182"/>
  <c r="BJ182"/>
  <c r="BI182"/>
  <c r="AO182"/>
  <c r="V182"/>
  <c r="S182"/>
  <c r="O182"/>
  <c r="E182"/>
  <c r="D182"/>
  <c r="C182"/>
  <c r="A182"/>
  <c r="BT181"/>
  <c r="BR181"/>
  <c r="BP181"/>
  <c r="BM181"/>
  <c r="BJ181"/>
  <c r="BI181"/>
  <c r="AO181"/>
  <c r="V181"/>
  <c r="S181"/>
  <c r="O181"/>
  <c r="E181"/>
  <c r="D181"/>
  <c r="C181"/>
  <c r="A181"/>
  <c r="BT180"/>
  <c r="BR180"/>
  <c r="BP180"/>
  <c r="BM180"/>
  <c r="BJ180"/>
  <c r="BI180"/>
  <c r="AO180"/>
  <c r="V180"/>
  <c r="S180"/>
  <c r="O180"/>
  <c r="E180"/>
  <c r="D180"/>
  <c r="C180"/>
  <c r="A180"/>
  <c r="BT179"/>
  <c r="BR179"/>
  <c r="BP179"/>
  <c r="BM179"/>
  <c r="BJ179"/>
  <c r="BI179"/>
  <c r="AO179"/>
  <c r="V179"/>
  <c r="S179"/>
  <c r="O179"/>
  <c r="E179"/>
  <c r="D179"/>
  <c r="C179"/>
  <c r="A179"/>
  <c r="BT178"/>
  <c r="BR178"/>
  <c r="BP178"/>
  <c r="BM178"/>
  <c r="BJ178"/>
  <c r="BI178"/>
  <c r="AO178"/>
  <c r="V178"/>
  <c r="S178"/>
  <c r="O178"/>
  <c r="E178"/>
  <c r="D178"/>
  <c r="C178"/>
  <c r="A178"/>
  <c r="BT176"/>
  <c r="BR176"/>
  <c r="BP176"/>
  <c r="BM176"/>
  <c r="BJ176"/>
  <c r="BI176"/>
  <c r="AO176"/>
  <c r="V176"/>
  <c r="S176"/>
  <c r="O176"/>
  <c r="E176"/>
  <c r="D176"/>
  <c r="C176"/>
  <c r="A176"/>
  <c r="BT175"/>
  <c r="BR175"/>
  <c r="BP175"/>
  <c r="BM175"/>
  <c r="BJ175"/>
  <c r="BI175"/>
  <c r="AO175"/>
  <c r="V175"/>
  <c r="S175"/>
  <c r="O175"/>
  <c r="E175"/>
  <c r="D175"/>
  <c r="C175"/>
  <c r="A175"/>
  <c r="BT174"/>
  <c r="BR174"/>
  <c r="BP174"/>
  <c r="BM174"/>
  <c r="BJ174"/>
  <c r="BI174"/>
  <c r="AO174"/>
  <c r="V174"/>
  <c r="S174"/>
  <c r="O174"/>
  <c r="E174"/>
  <c r="D174"/>
  <c r="C174"/>
  <c r="A174"/>
  <c r="BT173"/>
  <c r="BR173"/>
  <c r="BP173"/>
  <c r="BM173"/>
  <c r="BJ173"/>
  <c r="BI173"/>
  <c r="AO173"/>
  <c r="V173"/>
  <c r="S173"/>
  <c r="E173"/>
  <c r="D173"/>
  <c r="C173"/>
  <c r="A173"/>
  <c r="BT172"/>
  <c r="BR172"/>
  <c r="BP172"/>
  <c r="BM172"/>
  <c r="BJ172"/>
  <c r="BI172"/>
  <c r="AO172"/>
  <c r="V172"/>
  <c r="S172"/>
  <c r="O172"/>
  <c r="E172"/>
  <c r="D172"/>
  <c r="C172"/>
  <c r="A172"/>
  <c r="BT171"/>
  <c r="BR171"/>
  <c r="BP171"/>
  <c r="BM171"/>
  <c r="BJ171"/>
  <c r="BI171"/>
  <c r="AO171"/>
  <c r="V171"/>
  <c r="S171"/>
  <c r="O171"/>
  <c r="E171"/>
  <c r="D171"/>
  <c r="C171"/>
  <c r="A171"/>
  <c r="BT170"/>
  <c r="BR170"/>
  <c r="BP170"/>
  <c r="BM170"/>
  <c r="BJ170"/>
  <c r="BI170"/>
  <c r="AO170"/>
  <c r="V170"/>
  <c r="S170"/>
  <c r="E170"/>
  <c r="D170"/>
  <c r="C170"/>
  <c r="A170"/>
  <c r="BT169"/>
  <c r="BR169"/>
  <c r="BP169"/>
  <c r="BM169"/>
  <c r="BJ169"/>
  <c r="BI169"/>
  <c r="AO169"/>
  <c r="V169"/>
  <c r="S169"/>
  <c r="O169"/>
  <c r="E169"/>
  <c r="D169"/>
  <c r="C169"/>
  <c r="A169"/>
  <c r="BT168"/>
  <c r="BR168"/>
  <c r="BP168"/>
  <c r="BM168"/>
  <c r="BJ168"/>
  <c r="BI168"/>
  <c r="AO168"/>
  <c r="V168"/>
  <c r="S168"/>
  <c r="E168"/>
  <c r="D168"/>
  <c r="C168"/>
  <c r="A168"/>
  <c r="BT167"/>
  <c r="BR167"/>
  <c r="BP167"/>
  <c r="BM167"/>
  <c r="BJ167"/>
  <c r="BI167"/>
  <c r="AO167"/>
  <c r="V167"/>
  <c r="S167"/>
  <c r="E167"/>
  <c r="D167"/>
  <c r="C167"/>
  <c r="A167"/>
  <c r="BT165"/>
  <c r="BR165"/>
  <c r="BP165"/>
  <c r="BM165"/>
  <c r="BJ165"/>
  <c r="BI165"/>
  <c r="AO165"/>
  <c r="V165"/>
  <c r="S165"/>
  <c r="O165"/>
  <c r="E165"/>
  <c r="D165"/>
  <c r="C165"/>
  <c r="A165"/>
  <c r="BT164"/>
  <c r="BR164"/>
  <c r="BP164"/>
  <c r="BM164"/>
  <c r="BJ164"/>
  <c r="BI164"/>
  <c r="AO164"/>
  <c r="V164"/>
  <c r="S164"/>
  <c r="O164"/>
  <c r="E164"/>
  <c r="D164"/>
  <c r="C164"/>
  <c r="A164"/>
  <c r="BT163"/>
  <c r="BR163"/>
  <c r="BP163"/>
  <c r="BM163"/>
  <c r="BJ163"/>
  <c r="BI163"/>
  <c r="AO163"/>
  <c r="V163"/>
  <c r="S163"/>
  <c r="O163"/>
  <c r="E163"/>
  <c r="D163"/>
  <c r="C163"/>
  <c r="A163"/>
  <c r="BT162"/>
  <c r="BR162"/>
  <c r="BP162"/>
  <c r="BM162"/>
  <c r="BJ162"/>
  <c r="BI162"/>
  <c r="AO162"/>
  <c r="V162"/>
  <c r="S162"/>
  <c r="E162"/>
  <c r="D162"/>
  <c r="C162"/>
  <c r="A162"/>
  <c r="BT161"/>
  <c r="BR161"/>
  <c r="BP161"/>
  <c r="BM161"/>
  <c r="BJ161"/>
  <c r="AO161"/>
  <c r="V161"/>
  <c r="S161"/>
  <c r="E161"/>
  <c r="D161"/>
  <c r="C161"/>
  <c r="A161"/>
  <c r="BT160"/>
  <c r="BR160"/>
  <c r="BP160"/>
  <c r="BM160"/>
  <c r="BJ160"/>
  <c r="BI160"/>
  <c r="AO160"/>
  <c r="V160"/>
  <c r="S160"/>
  <c r="O160"/>
  <c r="E160"/>
  <c r="D160"/>
  <c r="C160"/>
  <c r="A160"/>
  <c r="BT158"/>
  <c r="BR158"/>
  <c r="BP158"/>
  <c r="BM158"/>
  <c r="BJ158"/>
  <c r="BI158"/>
  <c r="AO158"/>
  <c r="V158"/>
  <c r="S158"/>
  <c r="O158"/>
  <c r="E158"/>
  <c r="D158"/>
  <c r="C158"/>
  <c r="A158"/>
  <c r="BT156"/>
  <c r="BR156"/>
  <c r="BP156"/>
  <c r="BM156"/>
  <c r="BJ156"/>
  <c r="BI156"/>
  <c r="AO156"/>
  <c r="V156"/>
  <c r="S156"/>
  <c r="O156"/>
  <c r="E156"/>
  <c r="D156"/>
  <c r="C156"/>
  <c r="A156"/>
  <c r="BT155"/>
  <c r="BR155"/>
  <c r="BP155"/>
  <c r="BM155"/>
  <c r="BJ155"/>
  <c r="BI155"/>
  <c r="AO155"/>
  <c r="V155"/>
  <c r="S155"/>
  <c r="O155"/>
  <c r="E155"/>
  <c r="D155"/>
  <c r="C155"/>
  <c r="A155"/>
  <c r="BT153"/>
  <c r="BR153"/>
  <c r="BP153"/>
  <c r="BM153"/>
  <c r="BJ153"/>
  <c r="BI153"/>
  <c r="AO153"/>
  <c r="V153"/>
  <c r="S153"/>
  <c r="O153"/>
  <c r="E153"/>
  <c r="D153"/>
  <c r="C153"/>
  <c r="A153"/>
  <c r="BT152"/>
  <c r="BR152"/>
  <c r="BP152"/>
  <c r="BM152"/>
  <c r="BJ152"/>
  <c r="BI152"/>
  <c r="AO152"/>
  <c r="V152"/>
  <c r="S152"/>
  <c r="O152"/>
  <c r="E152"/>
  <c r="D152"/>
  <c r="C152"/>
  <c r="A152"/>
  <c r="BT151"/>
  <c r="BR151"/>
  <c r="BP151"/>
  <c r="BM151"/>
  <c r="BJ151"/>
  <c r="BI151"/>
  <c r="AO151"/>
  <c r="V151"/>
  <c r="S151"/>
  <c r="O151"/>
  <c r="E151"/>
  <c r="D151"/>
  <c r="C151"/>
  <c r="A151"/>
  <c r="BT150"/>
  <c r="BR150"/>
  <c r="BP150"/>
  <c r="BM150"/>
  <c r="BJ150"/>
  <c r="BI150"/>
  <c r="AO150"/>
  <c r="V150"/>
  <c r="S150"/>
  <c r="O150"/>
  <c r="E150"/>
  <c r="D150"/>
  <c r="C150"/>
  <c r="A150"/>
  <c r="BT148"/>
  <c r="BR148"/>
  <c r="BP148"/>
  <c r="BM148"/>
  <c r="BJ148"/>
  <c r="AO148"/>
  <c r="V148"/>
  <c r="S148"/>
  <c r="E148"/>
  <c r="D148"/>
  <c r="C148"/>
  <c r="A148"/>
  <c r="BT147"/>
  <c r="BR147"/>
  <c r="BP147"/>
  <c r="BM147"/>
  <c r="BJ147"/>
  <c r="AO147"/>
  <c r="V147"/>
  <c r="S147"/>
  <c r="E147"/>
  <c r="D147"/>
  <c r="C147"/>
  <c r="A147"/>
  <c r="BT146"/>
  <c r="BR146"/>
  <c r="BP146"/>
  <c r="BM146"/>
  <c r="BJ146"/>
  <c r="BI146"/>
  <c r="AO146"/>
  <c r="V146"/>
  <c r="S146"/>
  <c r="E146"/>
  <c r="D146"/>
  <c r="C146"/>
  <c r="A146"/>
  <c r="BV145"/>
  <c r="BT145"/>
  <c r="BR145"/>
  <c r="BP145"/>
  <c r="BM145"/>
  <c r="BJ145"/>
  <c r="BI145"/>
  <c r="AO145"/>
  <c r="V145"/>
  <c r="S145"/>
  <c r="E145"/>
  <c r="D145"/>
  <c r="C145"/>
  <c r="A145"/>
  <c r="BT144"/>
  <c r="BR144"/>
  <c r="BP144"/>
  <c r="BM144"/>
  <c r="BJ144"/>
  <c r="BI144"/>
  <c r="AO144"/>
  <c r="V144"/>
  <c r="S144"/>
  <c r="E144"/>
  <c r="D144"/>
  <c r="C144"/>
  <c r="A144"/>
  <c r="BT143"/>
  <c r="BR143"/>
  <c r="BP143"/>
  <c r="BM143"/>
  <c r="BJ143"/>
  <c r="BI143"/>
  <c r="AO143"/>
  <c r="V143"/>
  <c r="S143"/>
  <c r="E143"/>
  <c r="D143"/>
  <c r="C143"/>
  <c r="A143"/>
  <c r="BT142"/>
  <c r="BR142"/>
  <c r="BP142"/>
  <c r="BM142"/>
  <c r="BJ142"/>
  <c r="BI142"/>
  <c r="AO142"/>
  <c r="V142"/>
  <c r="S142"/>
  <c r="O142"/>
  <c r="E142"/>
  <c r="D142"/>
  <c r="C142"/>
  <c r="A142"/>
  <c r="BT141"/>
  <c r="BR141"/>
  <c r="BP141"/>
  <c r="BM141"/>
  <c r="BJ141"/>
  <c r="BI141"/>
  <c r="AO141"/>
  <c r="V141"/>
  <c r="S141"/>
  <c r="E141"/>
  <c r="D141"/>
  <c r="C141"/>
  <c r="A141"/>
  <c r="BT140"/>
  <c r="BR140"/>
  <c r="BP140"/>
  <c r="BM140"/>
  <c r="BJ140"/>
  <c r="BI140"/>
  <c r="AO140"/>
  <c r="V140"/>
  <c r="S140"/>
  <c r="O140"/>
  <c r="E140"/>
  <c r="D140"/>
  <c r="C140"/>
  <c r="A140"/>
  <c r="BV139"/>
  <c r="BT139"/>
  <c r="BR139"/>
  <c r="BP139"/>
  <c r="BM139"/>
  <c r="BJ139"/>
  <c r="BI139"/>
  <c r="AO139"/>
  <c r="V139"/>
  <c r="S139"/>
  <c r="E139"/>
  <c r="D139"/>
  <c r="C139"/>
  <c r="A139"/>
  <c r="BV138"/>
  <c r="BT138"/>
  <c r="BR138"/>
  <c r="BP138"/>
  <c r="BM138"/>
  <c r="BJ138"/>
  <c r="BI138"/>
  <c r="AO138"/>
  <c r="V138"/>
  <c r="S138"/>
  <c r="E138"/>
  <c r="D138"/>
  <c r="C138"/>
  <c r="A138"/>
  <c r="BV137"/>
  <c r="BT137"/>
  <c r="BR137"/>
  <c r="BP137"/>
  <c r="BM137"/>
  <c r="BJ137"/>
  <c r="BI137"/>
  <c r="AO137"/>
  <c r="V137"/>
  <c r="S137"/>
  <c r="O137"/>
  <c r="E137"/>
  <c r="D137"/>
  <c r="C137"/>
  <c r="A137"/>
  <c r="BV136"/>
  <c r="BT136"/>
  <c r="BR136"/>
  <c r="BP136"/>
  <c r="BM136"/>
  <c r="BJ136"/>
  <c r="BI136"/>
  <c r="AO136"/>
  <c r="V136"/>
  <c r="S136"/>
  <c r="E136"/>
  <c r="D136"/>
  <c r="C136"/>
  <c r="A136"/>
  <c r="BV135"/>
  <c r="BT135"/>
  <c r="BR135"/>
  <c r="BP135"/>
  <c r="BM135"/>
  <c r="BJ135"/>
  <c r="BI135"/>
  <c r="AO135"/>
  <c r="V135"/>
  <c r="S135"/>
  <c r="E135"/>
  <c r="D135"/>
  <c r="C135"/>
  <c r="A135"/>
  <c r="BV134"/>
  <c r="BT134"/>
  <c r="BR134"/>
  <c r="BP134"/>
  <c r="BM134"/>
  <c r="BJ134"/>
  <c r="BI134"/>
  <c r="AO134"/>
  <c r="V134"/>
  <c r="S134"/>
  <c r="E134"/>
  <c r="D134"/>
  <c r="C134"/>
  <c r="A134"/>
  <c r="BV133"/>
  <c r="BT133"/>
  <c r="BR133"/>
  <c r="BP133"/>
  <c r="BM133"/>
  <c r="BJ133"/>
  <c r="BI133"/>
  <c r="AO133"/>
  <c r="V133"/>
  <c r="S133"/>
  <c r="O133"/>
  <c r="E133"/>
  <c r="D133"/>
  <c r="C133"/>
  <c r="A133"/>
  <c r="BT131"/>
  <c r="BR131"/>
  <c r="BP131"/>
  <c r="BM131"/>
  <c r="BJ131"/>
  <c r="BI131"/>
  <c r="AO131"/>
  <c r="V131"/>
  <c r="S131"/>
  <c r="E131"/>
  <c r="D131"/>
  <c r="C131"/>
  <c r="A131"/>
  <c r="BT129"/>
  <c r="BR129"/>
  <c r="BP129"/>
  <c r="BM129"/>
  <c r="BJ129"/>
  <c r="BI129"/>
  <c r="AO129"/>
  <c r="V129"/>
  <c r="S129"/>
  <c r="O129"/>
  <c r="E129"/>
  <c r="D129"/>
  <c r="C129"/>
  <c r="A129"/>
  <c r="BT127"/>
  <c r="BR127"/>
  <c r="BP127"/>
  <c r="BM127"/>
  <c r="BJ127"/>
  <c r="BI127"/>
  <c r="AO127"/>
  <c r="V127"/>
  <c r="S127"/>
  <c r="O127"/>
  <c r="E127"/>
  <c r="D127"/>
  <c r="C127"/>
  <c r="A127"/>
  <c r="BT125"/>
  <c r="BR125"/>
  <c r="BP125"/>
  <c r="BM125"/>
  <c r="BJ125"/>
  <c r="BI125"/>
  <c r="AO125"/>
  <c r="V125"/>
  <c r="S125"/>
  <c r="O125"/>
  <c r="E125"/>
  <c r="D125"/>
  <c r="C125"/>
  <c r="A125"/>
  <c r="BT124"/>
  <c r="BR124"/>
  <c r="BP124"/>
  <c r="BM124"/>
  <c r="BJ124"/>
  <c r="AO124"/>
  <c r="V124"/>
  <c r="S124"/>
  <c r="O124"/>
  <c r="E124"/>
  <c r="D124"/>
  <c r="C124"/>
  <c r="A124"/>
  <c r="BT123"/>
  <c r="BR123"/>
  <c r="BP123"/>
  <c r="BM123"/>
  <c r="BJ123"/>
  <c r="BI123"/>
  <c r="AO123"/>
  <c r="V123"/>
  <c r="S123"/>
  <c r="O123"/>
  <c r="E123"/>
  <c r="D123"/>
  <c r="C123"/>
  <c r="A123"/>
  <c r="BT122"/>
  <c r="BR122"/>
  <c r="BP122"/>
  <c r="BM122"/>
  <c r="BJ122"/>
  <c r="BI122"/>
  <c r="AO122"/>
  <c r="V122"/>
  <c r="S122"/>
  <c r="O122"/>
  <c r="E122"/>
  <c r="D122"/>
  <c r="C122"/>
  <c r="A122"/>
  <c r="BT121"/>
  <c r="BR121"/>
  <c r="BP121"/>
  <c r="BM121"/>
  <c r="BJ121"/>
  <c r="BI121"/>
  <c r="AO121"/>
  <c r="V121"/>
  <c r="S121"/>
  <c r="O121"/>
  <c r="E121"/>
  <c r="D121"/>
  <c r="C121"/>
  <c r="A121"/>
  <c r="BT120"/>
  <c r="BR120"/>
  <c r="BP120"/>
  <c r="BM120"/>
  <c r="BJ120"/>
  <c r="BI120"/>
  <c r="AO120"/>
  <c r="V120"/>
  <c r="S120"/>
  <c r="O120"/>
  <c r="E120"/>
  <c r="D120"/>
  <c r="C120"/>
  <c r="A120"/>
  <c r="BT119"/>
  <c r="BR119"/>
  <c r="BP119"/>
  <c r="BM119"/>
  <c r="BJ119"/>
  <c r="BI119"/>
  <c r="AO119"/>
  <c r="V119"/>
  <c r="S119"/>
  <c r="O119"/>
  <c r="E119"/>
  <c r="D119"/>
  <c r="C119"/>
  <c r="A119"/>
  <c r="BT118"/>
  <c r="BR118"/>
  <c r="BP118"/>
  <c r="BM118"/>
  <c r="BJ118"/>
  <c r="BI118"/>
  <c r="AO118"/>
  <c r="V118"/>
  <c r="S118"/>
  <c r="O118"/>
  <c r="E118"/>
  <c r="D118"/>
  <c r="C118"/>
  <c r="A118"/>
  <c r="BT117"/>
  <c r="BR117"/>
  <c r="BP117"/>
  <c r="BM117"/>
  <c r="BJ117"/>
  <c r="BI117"/>
  <c r="AO117"/>
  <c r="V117"/>
  <c r="S117"/>
  <c r="E117"/>
  <c r="D117"/>
  <c r="C117"/>
  <c r="A117"/>
  <c r="BT116"/>
  <c r="BR116"/>
  <c r="BP116"/>
  <c r="BM116"/>
  <c r="BJ116"/>
  <c r="BI116"/>
  <c r="AO116"/>
  <c r="V116"/>
  <c r="S116"/>
  <c r="O116"/>
  <c r="E116"/>
  <c r="D116"/>
  <c r="C116"/>
  <c r="A116"/>
  <c r="BT114"/>
  <c r="BR114"/>
  <c r="BP114"/>
  <c r="BM114"/>
  <c r="BJ114"/>
  <c r="BI114"/>
  <c r="AO114"/>
  <c r="V114"/>
  <c r="S114"/>
  <c r="O114"/>
  <c r="E114"/>
  <c r="D114"/>
  <c r="C114"/>
  <c r="A114"/>
  <c r="BT113"/>
  <c r="BR113"/>
  <c r="BP113"/>
  <c r="BM113"/>
  <c r="BJ113"/>
  <c r="BI113"/>
  <c r="AO113"/>
  <c r="V113"/>
  <c r="S113"/>
  <c r="E113"/>
  <c r="D113"/>
  <c r="C113"/>
  <c r="A113"/>
  <c r="BT112"/>
  <c r="BR112"/>
  <c r="BP112"/>
  <c r="BM112"/>
  <c r="BJ112"/>
  <c r="BI112"/>
  <c r="AO112"/>
  <c r="V112"/>
  <c r="S112"/>
  <c r="E112"/>
  <c r="D112"/>
  <c r="C112"/>
  <c r="A112"/>
  <c r="BT111"/>
  <c r="BR111"/>
  <c r="BP111"/>
  <c r="BM111"/>
  <c r="BJ111"/>
  <c r="BI111"/>
  <c r="AO111"/>
  <c r="V111"/>
  <c r="S111"/>
  <c r="E111"/>
  <c r="D111"/>
  <c r="C111"/>
  <c r="A111"/>
  <c r="BT110"/>
  <c r="BR110"/>
  <c r="BP110"/>
  <c r="BM110"/>
  <c r="BJ110"/>
  <c r="BI110"/>
  <c r="AO110"/>
  <c r="V110"/>
  <c r="S110"/>
  <c r="E110"/>
  <c r="D110"/>
  <c r="C110"/>
  <c r="A110"/>
  <c r="BT109"/>
  <c r="BR109"/>
  <c r="BP109"/>
  <c r="BM109"/>
  <c r="BJ109"/>
  <c r="BI109"/>
  <c r="AO109"/>
  <c r="V109"/>
  <c r="S109"/>
  <c r="E109"/>
  <c r="D109"/>
  <c r="C109"/>
  <c r="A109"/>
  <c r="BT108"/>
  <c r="BR108"/>
  <c r="BP108"/>
  <c r="BM108"/>
  <c r="BJ108"/>
  <c r="BI108"/>
  <c r="AO108"/>
  <c r="V108"/>
  <c r="S108"/>
  <c r="O108"/>
  <c r="E108"/>
  <c r="D108"/>
  <c r="C108"/>
  <c r="A108"/>
  <c r="BT107"/>
  <c r="BR107"/>
  <c r="BP107"/>
  <c r="BM107"/>
  <c r="BJ107"/>
  <c r="BI107"/>
  <c r="AO107"/>
  <c r="V107"/>
  <c r="S107"/>
  <c r="O107"/>
  <c r="E107"/>
  <c r="D107"/>
  <c r="C107"/>
  <c r="A107"/>
  <c r="BT106"/>
  <c r="BR106"/>
  <c r="BP106"/>
  <c r="BM106"/>
  <c r="BJ106"/>
  <c r="BI106"/>
  <c r="AO106"/>
  <c r="V106"/>
  <c r="S106"/>
  <c r="O106"/>
  <c r="E106"/>
  <c r="D106"/>
  <c r="C106"/>
  <c r="A106"/>
  <c r="BT103"/>
  <c r="BR103"/>
  <c r="BP103"/>
  <c r="BM103"/>
  <c r="BJ103"/>
  <c r="AO103"/>
  <c r="V103"/>
  <c r="O103"/>
  <c r="E103"/>
  <c r="D103"/>
  <c r="C103"/>
  <c r="A103"/>
  <c r="BT101"/>
  <c r="BR101"/>
  <c r="BP101"/>
  <c r="BM101"/>
  <c r="BJ101"/>
  <c r="AO101"/>
  <c r="V101"/>
  <c r="S101"/>
  <c r="E101"/>
  <c r="D101"/>
  <c r="C101"/>
  <c r="A101"/>
  <c r="BT100"/>
  <c r="BR100"/>
  <c r="BP100"/>
  <c r="BM100"/>
  <c r="BJ100"/>
  <c r="AO100"/>
  <c r="V100"/>
  <c r="S100"/>
  <c r="E100"/>
  <c r="D100"/>
  <c r="C100"/>
  <c r="A100"/>
  <c r="BT98"/>
  <c r="BR98"/>
  <c r="BP98"/>
  <c r="BM98"/>
  <c r="BJ98"/>
  <c r="AO98"/>
  <c r="V98"/>
  <c r="S98"/>
  <c r="O98"/>
  <c r="E98"/>
  <c r="D98"/>
  <c r="C98"/>
  <c r="A98"/>
  <c r="BT96"/>
  <c r="BR96"/>
  <c r="BP96"/>
  <c r="BM96"/>
  <c r="BJ96"/>
  <c r="AO96"/>
  <c r="V96"/>
  <c r="S96"/>
  <c r="O96"/>
  <c r="E96"/>
  <c r="D96"/>
  <c r="C96"/>
  <c r="A96"/>
  <c r="BT94"/>
  <c r="BR94"/>
  <c r="BP94"/>
  <c r="BM94"/>
  <c r="BJ94"/>
  <c r="AO94"/>
  <c r="V94"/>
  <c r="S94"/>
  <c r="O94"/>
  <c r="E94"/>
  <c r="D94"/>
  <c r="C94"/>
  <c r="A94"/>
  <c r="BT93"/>
  <c r="BR93"/>
  <c r="BP93"/>
  <c r="BM93"/>
  <c r="BJ93"/>
  <c r="AO93"/>
  <c r="V93"/>
  <c r="S93"/>
  <c r="E93"/>
  <c r="D93"/>
  <c r="C93"/>
  <c r="A93"/>
  <c r="BT91"/>
  <c r="BR91"/>
  <c r="BP91"/>
  <c r="BM91"/>
  <c r="BJ91"/>
  <c r="AO91"/>
  <c r="V91"/>
  <c r="S91"/>
  <c r="E91"/>
  <c r="D91"/>
  <c r="C91"/>
  <c r="A91"/>
  <c r="BT90"/>
  <c r="BR90"/>
  <c r="BP90"/>
  <c r="BM90"/>
  <c r="BJ90"/>
  <c r="AO90"/>
  <c r="V90"/>
  <c r="S90"/>
  <c r="E90"/>
  <c r="D90"/>
  <c r="C90"/>
  <c r="A90"/>
  <c r="BT88"/>
  <c r="BR88"/>
  <c r="BP88"/>
  <c r="BM88"/>
  <c r="BJ88"/>
  <c r="BI88"/>
  <c r="AO88"/>
  <c r="V88"/>
  <c r="S88"/>
  <c r="O88"/>
  <c r="E88"/>
  <c r="D88"/>
  <c r="C88"/>
  <c r="A88"/>
  <c r="BT87"/>
  <c r="BR87"/>
  <c r="BP87"/>
  <c r="BM87"/>
  <c r="BJ87"/>
  <c r="BI87"/>
  <c r="AO87"/>
  <c r="V87"/>
  <c r="S87"/>
  <c r="O87"/>
  <c r="E87"/>
  <c r="D87"/>
  <c r="C87"/>
  <c r="A87"/>
  <c r="BT86"/>
  <c r="BR86"/>
  <c r="BP86"/>
  <c r="BM86"/>
  <c r="BJ86"/>
  <c r="BI86"/>
  <c r="AO86"/>
  <c r="V86"/>
  <c r="S86"/>
  <c r="O86"/>
  <c r="E86"/>
  <c r="D86"/>
  <c r="C86"/>
  <c r="A86"/>
  <c r="BT85"/>
  <c r="BR85"/>
  <c r="BP85"/>
  <c r="BM85"/>
  <c r="BJ85"/>
  <c r="BI85"/>
  <c r="AO85"/>
  <c r="V85"/>
  <c r="S85"/>
  <c r="O85"/>
  <c r="E85"/>
  <c r="D85"/>
  <c r="C85"/>
  <c r="A85"/>
  <c r="BT84"/>
  <c r="BR84"/>
  <c r="BP84"/>
  <c r="BM84"/>
  <c r="BJ84"/>
  <c r="BI84"/>
  <c r="AO84"/>
  <c r="V84"/>
  <c r="S84"/>
  <c r="O84"/>
  <c r="E84"/>
  <c r="D84"/>
  <c r="C84"/>
  <c r="A84"/>
  <c r="BT83"/>
  <c r="BR83"/>
  <c r="BP83"/>
  <c r="BM83"/>
  <c r="BJ83"/>
  <c r="AO83"/>
  <c r="V83"/>
  <c r="S83"/>
  <c r="O83"/>
  <c r="E83"/>
  <c r="D83"/>
  <c r="C83"/>
  <c r="A83"/>
  <c r="BT82"/>
  <c r="BR82"/>
  <c r="BP82"/>
  <c r="BM82"/>
  <c r="BJ82"/>
  <c r="BI82"/>
  <c r="AO82"/>
  <c r="V82"/>
  <c r="S82"/>
  <c r="O82"/>
  <c r="E82"/>
  <c r="D82"/>
  <c r="C82"/>
  <c r="A82"/>
  <c r="BT81"/>
  <c r="BR81"/>
  <c r="BP81"/>
  <c r="BM81"/>
  <c r="BJ81"/>
  <c r="BI81"/>
  <c r="AO81"/>
  <c r="V81"/>
  <c r="S81"/>
  <c r="O81"/>
  <c r="E81"/>
  <c r="D81"/>
  <c r="C81"/>
  <c r="A81"/>
  <c r="BT80"/>
  <c r="BR80"/>
  <c r="BP80"/>
  <c r="BM80"/>
  <c r="BJ80"/>
  <c r="BI80"/>
  <c r="AO80"/>
  <c r="V80"/>
  <c r="S80"/>
  <c r="O80"/>
  <c r="E80"/>
  <c r="D80"/>
  <c r="C80"/>
  <c r="A80"/>
  <c r="BT79"/>
  <c r="BR79"/>
  <c r="BP79"/>
  <c r="BM79"/>
  <c r="BJ79"/>
  <c r="BI79"/>
  <c r="AO79"/>
  <c r="V79"/>
  <c r="S79"/>
  <c r="O79"/>
  <c r="E79"/>
  <c r="D79"/>
  <c r="C79"/>
  <c r="A79"/>
  <c r="BT77"/>
  <c r="BR77"/>
  <c r="BP77"/>
  <c r="BM77"/>
  <c r="BJ77"/>
  <c r="AO77"/>
  <c r="V77"/>
  <c r="S77"/>
  <c r="O77"/>
  <c r="E77"/>
  <c r="D77"/>
  <c r="C77"/>
  <c r="A77"/>
  <c r="BT76"/>
  <c r="BR76"/>
  <c r="BP76"/>
  <c r="BM76"/>
  <c r="BJ76"/>
  <c r="AO76"/>
  <c r="V76"/>
  <c r="S76"/>
  <c r="E76"/>
  <c r="D76"/>
  <c r="C76"/>
  <c r="A76"/>
  <c r="BT75"/>
  <c r="BR75"/>
  <c r="BP75"/>
  <c r="BM75"/>
  <c r="BJ75"/>
  <c r="AO75"/>
  <c r="V75"/>
  <c r="S75"/>
  <c r="E75"/>
  <c r="D75"/>
  <c r="C75"/>
  <c r="A75"/>
  <c r="BT74"/>
  <c r="BR74"/>
  <c r="BP74"/>
  <c r="BM74"/>
  <c r="BJ74"/>
  <c r="AO74"/>
  <c r="V74"/>
  <c r="S74"/>
  <c r="E74"/>
  <c r="D74"/>
  <c r="C74"/>
  <c r="A74"/>
  <c r="BT73"/>
  <c r="BR73"/>
  <c r="BP73"/>
  <c r="BM73"/>
  <c r="BJ73"/>
  <c r="AO73"/>
  <c r="V73"/>
  <c r="S73"/>
  <c r="O73"/>
  <c r="E73"/>
  <c r="D73"/>
  <c r="C73"/>
  <c r="A73"/>
  <c r="BT72"/>
  <c r="BR72"/>
  <c r="BP72"/>
  <c r="BM72"/>
  <c r="BJ72"/>
  <c r="AO72"/>
  <c r="V72"/>
  <c r="S72"/>
  <c r="O72"/>
  <c r="E72"/>
  <c r="D72"/>
  <c r="C72"/>
  <c r="A72"/>
  <c r="BT71"/>
  <c r="BR71"/>
  <c r="BP71"/>
  <c r="BM71"/>
  <c r="BJ71"/>
  <c r="AO71"/>
  <c r="V71"/>
  <c r="S71"/>
  <c r="O71"/>
  <c r="E71"/>
  <c r="D71"/>
  <c r="C71"/>
  <c r="A71"/>
  <c r="BT70"/>
  <c r="BR70"/>
  <c r="BP70"/>
  <c r="BM70"/>
  <c r="BJ70"/>
  <c r="AO70"/>
  <c r="V70"/>
  <c r="S70"/>
  <c r="E70"/>
  <c r="D70"/>
  <c r="C70"/>
  <c r="A70"/>
  <c r="BT69"/>
  <c r="BR69"/>
  <c r="BP69"/>
  <c r="BM69"/>
  <c r="BJ69"/>
  <c r="AO69"/>
  <c r="V69"/>
  <c r="S69"/>
  <c r="O69"/>
  <c r="E69"/>
  <c r="D69"/>
  <c r="C69"/>
  <c r="A69"/>
  <c r="BT68"/>
  <c r="BR68"/>
  <c r="BP68"/>
  <c r="BM68"/>
  <c r="BJ68"/>
  <c r="AO68"/>
  <c r="V68"/>
  <c r="S68"/>
  <c r="O68"/>
  <c r="E68"/>
  <c r="D68"/>
  <c r="C68"/>
  <c r="A68"/>
  <c r="BT67"/>
  <c r="BR67"/>
  <c r="BP67"/>
  <c r="BM67"/>
  <c r="BJ67"/>
  <c r="AO67"/>
  <c r="V67"/>
  <c r="S67"/>
  <c r="O67"/>
  <c r="E67"/>
  <c r="D67"/>
  <c r="C67"/>
  <c r="A67"/>
  <c r="BT66"/>
  <c r="BR66"/>
  <c r="BP66"/>
  <c r="BM66"/>
  <c r="BJ66"/>
  <c r="AO66"/>
  <c r="V66"/>
  <c r="S66"/>
  <c r="O66"/>
  <c r="E66"/>
  <c r="D66"/>
  <c r="C66"/>
  <c r="A66"/>
  <c r="BT65"/>
  <c r="BR65"/>
  <c r="BP65"/>
  <c r="BM65"/>
  <c r="BJ65"/>
  <c r="AO65"/>
  <c r="V65"/>
  <c r="S65"/>
  <c r="O65"/>
  <c r="E65"/>
  <c r="D65"/>
  <c r="C65"/>
  <c r="A65"/>
  <c r="BT64"/>
  <c r="BR64"/>
  <c r="BP64"/>
  <c r="BM64"/>
  <c r="BJ64"/>
  <c r="AO64"/>
  <c r="V64"/>
  <c r="S64"/>
  <c r="O64"/>
  <c r="E64"/>
  <c r="D64"/>
  <c r="C64"/>
  <c r="A64"/>
  <c r="BT63"/>
  <c r="BR63"/>
  <c r="BP63"/>
  <c r="BM63"/>
  <c r="BJ63"/>
  <c r="AO63"/>
  <c r="V63"/>
  <c r="S63"/>
  <c r="O63"/>
  <c r="E63"/>
  <c r="D63"/>
  <c r="C63"/>
  <c r="A63"/>
  <c r="BT62"/>
  <c r="BR62"/>
  <c r="BP62"/>
  <c r="BM62"/>
  <c r="BJ62"/>
  <c r="AO62"/>
  <c r="V62"/>
  <c r="S62"/>
  <c r="O62"/>
  <c r="E62"/>
  <c r="D62"/>
  <c r="C62"/>
  <c r="A62"/>
  <c r="BT61"/>
  <c r="BR61"/>
  <c r="BP61"/>
  <c r="BM61"/>
  <c r="BJ61"/>
  <c r="AO61"/>
  <c r="V61"/>
  <c r="S61"/>
  <c r="O61"/>
  <c r="E61"/>
  <c r="D61"/>
  <c r="C61"/>
  <c r="A61"/>
  <c r="BT60"/>
  <c r="BR60"/>
  <c r="BP60"/>
  <c r="BM60"/>
  <c r="BJ60"/>
  <c r="AO60"/>
  <c r="V60"/>
  <c r="S60"/>
  <c r="O60"/>
  <c r="E60"/>
  <c r="D60"/>
  <c r="C60"/>
  <c r="A60"/>
  <c r="BT59"/>
  <c r="BR59"/>
  <c r="BP59"/>
  <c r="BM59"/>
  <c r="BJ59"/>
  <c r="AO59"/>
  <c r="V59"/>
  <c r="S59"/>
  <c r="O59"/>
  <c r="E59"/>
  <c r="D59"/>
  <c r="C59"/>
  <c r="A59"/>
  <c r="BT58"/>
  <c r="BR58"/>
  <c r="BP58"/>
  <c r="BM58"/>
  <c r="BJ58"/>
  <c r="AO58"/>
  <c r="V58"/>
  <c r="S58"/>
  <c r="O58"/>
  <c r="E58"/>
  <c r="D58"/>
  <c r="C58"/>
  <c r="A58"/>
  <c r="BT57"/>
  <c r="BR57"/>
  <c r="BP57"/>
  <c r="BM57"/>
  <c r="BJ57"/>
  <c r="AO57"/>
  <c r="V57"/>
  <c r="S57"/>
  <c r="O57"/>
  <c r="E57"/>
  <c r="D57"/>
  <c r="C57"/>
  <c r="A57"/>
  <c r="BT56"/>
  <c r="BR56"/>
  <c r="BP56"/>
  <c r="BM56"/>
  <c r="BJ56"/>
  <c r="AO56"/>
  <c r="V56"/>
  <c r="S56"/>
  <c r="O56"/>
  <c r="E56"/>
  <c r="D56"/>
  <c r="C56"/>
  <c r="A56"/>
  <c r="BT55"/>
  <c r="BR55"/>
  <c r="BP55"/>
  <c r="BM55"/>
  <c r="BJ55"/>
  <c r="AO55"/>
  <c r="V55"/>
  <c r="S55"/>
  <c r="O55"/>
  <c r="E55"/>
  <c r="D55"/>
  <c r="C55"/>
  <c r="A55"/>
  <c r="BT54"/>
  <c r="BR54"/>
  <c r="BP54"/>
  <c r="BM54"/>
  <c r="BJ54"/>
  <c r="AO54"/>
  <c r="V54"/>
  <c r="S54"/>
  <c r="O54"/>
  <c r="E54"/>
  <c r="D54"/>
  <c r="C54"/>
  <c r="A54"/>
  <c r="BT53"/>
  <c r="BR53"/>
  <c r="BP53"/>
  <c r="BM53"/>
  <c r="BJ53"/>
  <c r="AO53"/>
  <c r="V53"/>
  <c r="S53"/>
  <c r="O53"/>
  <c r="E53"/>
  <c r="D53"/>
  <c r="C53"/>
  <c r="A53"/>
  <c r="BT52"/>
  <c r="BR52"/>
  <c r="BP52"/>
  <c r="BM52"/>
  <c r="BJ52"/>
  <c r="AO52"/>
  <c r="V52"/>
  <c r="S52"/>
  <c r="O52"/>
  <c r="E52"/>
  <c r="D52"/>
  <c r="C52"/>
  <c r="A52"/>
  <c r="BT51"/>
  <c r="BR51"/>
  <c r="BP51"/>
  <c r="BM51"/>
  <c r="BJ51"/>
  <c r="AO51"/>
  <c r="V51"/>
  <c r="S51"/>
  <c r="O51"/>
  <c r="E51"/>
  <c r="D51"/>
  <c r="C51"/>
  <c r="A51"/>
  <c r="BT50"/>
  <c r="BR50"/>
  <c r="BP50"/>
  <c r="BM50"/>
  <c r="BJ50"/>
  <c r="AO50"/>
  <c r="V50"/>
  <c r="S50"/>
  <c r="O50"/>
  <c r="E50"/>
  <c r="D50"/>
  <c r="C50"/>
  <c r="A50"/>
  <c r="BT49"/>
  <c r="BR49"/>
  <c r="BP49"/>
  <c r="BM49"/>
  <c r="BJ49"/>
  <c r="AO49"/>
  <c r="V49"/>
  <c r="S49"/>
  <c r="O49"/>
  <c r="E49"/>
  <c r="D49"/>
  <c r="C49"/>
  <c r="A49"/>
  <c r="BT48"/>
  <c r="BR48"/>
  <c r="BP48"/>
  <c r="BM48"/>
  <c r="BJ48"/>
  <c r="AO48"/>
  <c r="V48"/>
  <c r="S48"/>
  <c r="O48"/>
  <c r="E48"/>
  <c r="D48"/>
  <c r="C48"/>
  <c r="A48"/>
  <c r="BT47"/>
  <c r="BR47"/>
  <c r="BP47"/>
  <c r="BM47"/>
  <c r="BJ47"/>
  <c r="AO47"/>
  <c r="V47"/>
  <c r="S47"/>
  <c r="O47"/>
  <c r="E47"/>
  <c r="D47"/>
  <c r="C47"/>
  <c r="A47"/>
  <c r="BT46"/>
  <c r="BR46"/>
  <c r="BP46"/>
  <c r="BM46"/>
  <c r="BJ46"/>
  <c r="AO46"/>
  <c r="V46"/>
  <c r="S46"/>
  <c r="O46"/>
  <c r="E46"/>
  <c r="D46"/>
  <c r="C46"/>
  <c r="A46"/>
  <c r="BT45"/>
  <c r="BR45"/>
  <c r="BP45"/>
  <c r="BM45"/>
  <c r="BJ45"/>
  <c r="AO45"/>
  <c r="V45"/>
  <c r="S45"/>
  <c r="O45"/>
  <c r="E45"/>
  <c r="D45"/>
  <c r="C45"/>
  <c r="A45"/>
  <c r="BT44"/>
  <c r="BR44"/>
  <c r="BP44"/>
  <c r="BM44"/>
  <c r="BJ44"/>
  <c r="AO44"/>
  <c r="V44"/>
  <c r="S44"/>
  <c r="O44"/>
  <c r="E44"/>
  <c r="D44"/>
  <c r="C44"/>
  <c r="A44"/>
  <c r="BT43"/>
  <c r="BR43"/>
  <c r="BP43"/>
  <c r="BM43"/>
  <c r="BJ43"/>
  <c r="AO43"/>
  <c r="V43"/>
  <c r="S43"/>
  <c r="O43"/>
  <c r="E43"/>
  <c r="D43"/>
  <c r="C43"/>
  <c r="A43"/>
  <c r="BT42"/>
  <c r="BR42"/>
  <c r="BP42"/>
  <c r="BM42"/>
  <c r="BJ42"/>
  <c r="AO42"/>
  <c r="V42"/>
  <c r="S42"/>
  <c r="O42"/>
  <c r="E42"/>
  <c r="D42"/>
  <c r="C42"/>
  <c r="A42"/>
  <c r="BT41"/>
  <c r="BR41"/>
  <c r="BP41"/>
  <c r="BM41"/>
  <c r="BJ41"/>
  <c r="AO41"/>
  <c r="V41"/>
  <c r="S41"/>
  <c r="O41"/>
  <c r="E41"/>
  <c r="D41"/>
  <c r="C41"/>
  <c r="A41"/>
  <c r="BT40"/>
  <c r="BR40"/>
  <c r="BP40"/>
  <c r="BM40"/>
  <c r="BJ40"/>
  <c r="AO40"/>
  <c r="V40"/>
  <c r="S40"/>
  <c r="O40"/>
  <c r="E40"/>
  <c r="D40"/>
  <c r="C40"/>
  <c r="A40"/>
  <c r="BT39"/>
  <c r="BR39"/>
  <c r="BP39"/>
  <c r="BM39"/>
  <c r="BJ39"/>
  <c r="AO39"/>
  <c r="V39"/>
  <c r="S39"/>
  <c r="O39"/>
  <c r="E39"/>
  <c r="D39"/>
  <c r="C39"/>
  <c r="A39"/>
  <c r="BT38"/>
  <c r="BR38"/>
  <c r="BP38"/>
  <c r="BM38"/>
  <c r="BJ38"/>
  <c r="AO38"/>
  <c r="V38"/>
  <c r="S38"/>
  <c r="O38"/>
  <c r="E38"/>
  <c r="D38"/>
  <c r="C38"/>
  <c r="A38"/>
  <c r="BT310"/>
  <c r="BR310"/>
  <c r="BP310"/>
  <c r="BM310"/>
  <c r="BJ310"/>
  <c r="BI310"/>
  <c r="AO310"/>
  <c r="V310"/>
  <c r="S310"/>
  <c r="O310"/>
  <c r="E310"/>
  <c r="D310"/>
  <c r="C310"/>
  <c r="A310"/>
  <c r="BT36"/>
  <c r="BR36"/>
  <c r="BP36"/>
  <c r="BM36"/>
  <c r="BJ36"/>
  <c r="AO36"/>
  <c r="V36"/>
  <c r="S36"/>
  <c r="O36"/>
  <c r="E36"/>
  <c r="D36"/>
  <c r="C36"/>
  <c r="A36"/>
  <c r="BT35"/>
  <c r="BR35"/>
  <c r="BP35"/>
  <c r="BM35"/>
  <c r="BJ35"/>
  <c r="AO35"/>
  <c r="V35"/>
  <c r="S35"/>
  <c r="O35"/>
  <c r="E35"/>
  <c r="D35"/>
  <c r="C35"/>
  <c r="A35"/>
  <c r="BT34"/>
  <c r="BR34"/>
  <c r="BP34"/>
  <c r="BM34"/>
  <c r="BJ34"/>
  <c r="AO34"/>
  <c r="V34"/>
  <c r="S34"/>
  <c r="E34"/>
  <c r="D34"/>
  <c r="C34"/>
  <c r="A34"/>
  <c r="BT33"/>
  <c r="BR33"/>
  <c r="BP33"/>
  <c r="BM33"/>
  <c r="BJ33"/>
  <c r="AO33"/>
  <c r="V33"/>
  <c r="S33"/>
  <c r="O33"/>
  <c r="E33"/>
  <c r="D33"/>
  <c r="C33"/>
  <c r="A33"/>
  <c r="BT32"/>
  <c r="BR32"/>
  <c r="BP32"/>
  <c r="BM32"/>
  <c r="BJ32"/>
  <c r="AO32"/>
  <c r="V32"/>
  <c r="S32"/>
  <c r="E32"/>
  <c r="D32"/>
  <c r="C32"/>
  <c r="A32"/>
  <c r="BT31"/>
  <c r="BR31"/>
  <c r="BP31"/>
  <c r="BM31"/>
  <c r="BJ31"/>
  <c r="AO31"/>
  <c r="V31"/>
  <c r="S31"/>
  <c r="O31"/>
  <c r="E31"/>
  <c r="D31"/>
  <c r="C31"/>
  <c r="A31"/>
  <c r="BT30"/>
  <c r="BR30"/>
  <c r="BP30"/>
  <c r="BM30"/>
  <c r="BJ30"/>
  <c r="AO30"/>
  <c r="V30"/>
  <c r="S30"/>
  <c r="O30"/>
  <c r="E30"/>
  <c r="D30"/>
  <c r="C30"/>
  <c r="A30"/>
  <c r="BT29"/>
  <c r="BR29"/>
  <c r="BP29"/>
  <c r="BM29"/>
  <c r="BJ29"/>
  <c r="AO29"/>
  <c r="V29"/>
  <c r="S29"/>
  <c r="O29"/>
  <c r="E29"/>
  <c r="D29"/>
  <c r="C29"/>
  <c r="A29"/>
  <c r="BT28"/>
  <c r="BR28"/>
  <c r="BP28"/>
  <c r="BM28"/>
  <c r="BJ28"/>
  <c r="AO28"/>
  <c r="V28"/>
  <c r="S28"/>
  <c r="O28"/>
  <c r="E28"/>
  <c r="D28"/>
  <c r="C28"/>
  <c r="A28"/>
  <c r="BT27"/>
  <c r="BR27"/>
  <c r="BP27"/>
  <c r="BM27"/>
  <c r="BJ27"/>
  <c r="AO27"/>
  <c r="V27"/>
  <c r="S27"/>
  <c r="O27"/>
  <c r="E27"/>
  <c r="D27"/>
  <c r="C27"/>
  <c r="A27"/>
  <c r="BT26"/>
  <c r="BR26"/>
  <c r="BP26"/>
  <c r="BM26"/>
  <c r="BJ26"/>
  <c r="AO26"/>
  <c r="V26"/>
  <c r="S26"/>
  <c r="E26"/>
  <c r="D26"/>
  <c r="C26"/>
  <c r="A26"/>
  <c r="BT25"/>
  <c r="BR25"/>
  <c r="BP25"/>
  <c r="BM25"/>
  <c r="BJ25"/>
  <c r="AO25"/>
  <c r="V25"/>
  <c r="S25"/>
  <c r="E25"/>
  <c r="D25"/>
  <c r="C25"/>
  <c r="A25"/>
  <c r="BT24"/>
  <c r="BR24"/>
  <c r="BP24"/>
  <c r="BM24"/>
  <c r="BJ24"/>
  <c r="AO24"/>
  <c r="V24"/>
  <c r="S24"/>
  <c r="O24"/>
  <c r="E24"/>
  <c r="D24"/>
  <c r="C24"/>
  <c r="A24"/>
  <c r="BT23"/>
  <c r="BR23"/>
  <c r="BP23"/>
  <c r="BM23"/>
  <c r="BJ23"/>
  <c r="AO23"/>
  <c r="V23"/>
  <c r="S23"/>
  <c r="O23"/>
  <c r="E23"/>
  <c r="D23"/>
  <c r="C23"/>
  <c r="A23"/>
  <c r="BT22"/>
  <c r="BR22"/>
  <c r="BP22"/>
  <c r="BM22"/>
  <c r="BJ22"/>
  <c r="AO22"/>
  <c r="V22"/>
  <c r="S22"/>
  <c r="O22"/>
  <c r="E22"/>
  <c r="D22"/>
  <c r="C22"/>
  <c r="A22"/>
  <c r="BT21"/>
  <c r="BR21"/>
  <c r="BP21"/>
  <c r="BM21"/>
  <c r="BJ21"/>
  <c r="AO21"/>
  <c r="V21"/>
  <c r="S21"/>
  <c r="O21"/>
  <c r="E21"/>
  <c r="D21"/>
  <c r="C21"/>
  <c r="A21"/>
  <c r="BT20"/>
  <c r="BR20"/>
  <c r="BP20"/>
  <c r="BM20"/>
  <c r="BJ20"/>
  <c r="AO20"/>
  <c r="V20"/>
  <c r="S20"/>
  <c r="O20"/>
  <c r="E20"/>
  <c r="D20"/>
  <c r="C20"/>
  <c r="A20"/>
  <c r="BT19"/>
  <c r="BR19"/>
  <c r="BP19"/>
  <c r="BM19"/>
  <c r="BJ19"/>
  <c r="AO19"/>
  <c r="V19"/>
  <c r="S19"/>
  <c r="O19"/>
  <c r="E19"/>
  <c r="D19"/>
  <c r="C19"/>
  <c r="A19"/>
  <c r="BT18"/>
  <c r="BR18"/>
  <c r="BP18"/>
  <c r="BM18"/>
  <c r="BJ18"/>
  <c r="AO18"/>
  <c r="V18"/>
  <c r="S18"/>
  <c r="O18"/>
  <c r="E18"/>
  <c r="D18"/>
  <c r="C18"/>
  <c r="A18"/>
  <c r="BT17"/>
  <c r="BR17"/>
  <c r="BP17"/>
  <c r="BM17"/>
  <c r="BJ17"/>
  <c r="AO17"/>
  <c r="V17"/>
  <c r="S17"/>
  <c r="O17"/>
  <c r="E17"/>
  <c r="D17"/>
  <c r="C17"/>
  <c r="A17"/>
  <c r="BT16"/>
  <c r="BR16"/>
  <c r="BP16"/>
  <c r="BM16"/>
  <c r="BJ16"/>
  <c r="AO16"/>
  <c r="V16"/>
  <c r="S16"/>
  <c r="O16"/>
  <c r="E16"/>
  <c r="D16"/>
  <c r="C16"/>
  <c r="A16"/>
  <c r="BT15"/>
  <c r="BR15"/>
  <c r="BP15"/>
  <c r="BM15"/>
  <c r="BJ15"/>
  <c r="AO15"/>
  <c r="V15"/>
  <c r="S15"/>
  <c r="E15"/>
  <c r="D15"/>
  <c r="C15"/>
  <c r="A15"/>
  <c r="BT14"/>
  <c r="BR14"/>
  <c r="BP14"/>
  <c r="BM14"/>
  <c r="BJ14"/>
  <c r="AO14"/>
  <c r="V14"/>
  <c r="S14"/>
  <c r="O14"/>
  <c r="E14"/>
  <c r="D14"/>
  <c r="C14"/>
  <c r="A14"/>
  <c r="BT13"/>
  <c r="BR13"/>
  <c r="BP13"/>
  <c r="BM13"/>
  <c r="BJ13"/>
  <c r="AO13"/>
  <c r="V13"/>
  <c r="S13"/>
  <c r="O13"/>
  <c r="E13"/>
  <c r="D13"/>
  <c r="C13"/>
  <c r="A13"/>
  <c r="BT12"/>
  <c r="BR12"/>
  <c r="BP12"/>
  <c r="BM12"/>
  <c r="BJ12"/>
  <c r="AO12"/>
  <c r="V12"/>
  <c r="S12"/>
  <c r="O12"/>
  <c r="E12"/>
  <c r="D12"/>
  <c r="C12"/>
  <c r="A12"/>
  <c r="BT11"/>
  <c r="BR11"/>
  <c r="BP11"/>
  <c r="BM11"/>
  <c r="BJ11"/>
  <c r="AO11"/>
  <c r="V11"/>
  <c r="S11"/>
  <c r="O11"/>
  <c r="E11"/>
  <c r="D11"/>
  <c r="C11"/>
  <c r="A11"/>
  <c r="BT10"/>
  <c r="BR10"/>
  <c r="BP10"/>
  <c r="BM10"/>
  <c r="BJ10"/>
  <c r="AO10"/>
  <c r="V10"/>
  <c r="S10"/>
  <c r="O10"/>
  <c r="E10"/>
  <c r="D10"/>
  <c r="C10"/>
  <c r="A10"/>
  <c r="BT9"/>
  <c r="BR9"/>
  <c r="BP9"/>
  <c r="BM9"/>
  <c r="BJ9"/>
  <c r="AO9"/>
  <c r="V9"/>
  <c r="S9"/>
  <c r="O9"/>
  <c r="E9"/>
  <c r="D9"/>
  <c r="C9"/>
  <c r="A9"/>
  <c r="BT8"/>
  <c r="BR8"/>
  <c r="BP8"/>
  <c r="BM8"/>
  <c r="BJ8"/>
  <c r="AO8"/>
  <c r="V8"/>
  <c r="S8"/>
  <c r="O8"/>
  <c r="E8"/>
  <c r="D8"/>
  <c r="C8"/>
  <c r="A8"/>
  <c r="BT7"/>
  <c r="BR7"/>
  <c r="BP7"/>
  <c r="BM7"/>
  <c r="BJ7"/>
  <c r="AO7"/>
  <c r="V7"/>
  <c r="S7"/>
  <c r="O7"/>
  <c r="E7"/>
  <c r="D7"/>
  <c r="C7"/>
  <c r="A7"/>
  <c r="BT6"/>
  <c r="BR6"/>
  <c r="BP6"/>
  <c r="BM6"/>
  <c r="BJ6"/>
  <c r="BI6"/>
  <c r="AO6"/>
  <c r="V6"/>
  <c r="S6"/>
  <c r="O6"/>
  <c r="E6"/>
  <c r="D6"/>
  <c r="C6"/>
  <c r="A6"/>
  <c r="BT5"/>
  <c r="BR5"/>
  <c r="BP5"/>
  <c r="BM5"/>
  <c r="BJ5"/>
  <c r="AO5"/>
  <c r="V5"/>
  <c r="S5"/>
  <c r="O5"/>
  <c r="E5"/>
  <c r="D5"/>
  <c r="C5"/>
  <c r="A5"/>
  <c r="BT4"/>
  <c r="BR4"/>
  <c r="BP4"/>
  <c r="BM4"/>
  <c r="BJ4"/>
  <c r="AO4"/>
  <c r="V4"/>
  <c r="S4"/>
  <c r="E4"/>
  <c r="D4"/>
  <c r="C4"/>
  <c r="A4"/>
  <c r="N118" i="3"/>
  <c r="N117"/>
  <c r="N116"/>
  <c r="N115"/>
  <c r="N114"/>
  <c r="N113"/>
  <c r="N112"/>
  <c r="N111"/>
  <c r="D111"/>
  <c r="N110"/>
  <c r="D110"/>
  <c r="N109"/>
  <c r="D109"/>
  <c r="N108"/>
  <c r="D108"/>
  <c r="N107"/>
  <c r="I107"/>
  <c r="D107"/>
  <c r="N106"/>
  <c r="I106"/>
  <c r="D106"/>
  <c r="N105"/>
  <c r="I105"/>
  <c r="D105"/>
  <c r="N104"/>
  <c r="I104"/>
  <c r="D104"/>
  <c r="N103"/>
  <c r="I103"/>
  <c r="D103"/>
  <c r="N102"/>
  <c r="I102"/>
  <c r="D102"/>
  <c r="N101"/>
  <c r="N93"/>
  <c r="N92"/>
  <c r="N91"/>
  <c r="N90"/>
  <c r="N89"/>
  <c r="N88"/>
  <c r="N87"/>
  <c r="N86"/>
  <c r="N85"/>
  <c r="N84"/>
  <c r="D84"/>
  <c r="N83"/>
  <c r="D83"/>
  <c r="N82"/>
  <c r="I82"/>
  <c r="D82"/>
  <c r="N81"/>
  <c r="I81"/>
  <c r="N80"/>
  <c r="I80"/>
  <c r="D80"/>
  <c r="N79"/>
  <c r="I79"/>
  <c r="D79"/>
  <c r="N78"/>
  <c r="I78"/>
  <c r="D78"/>
  <c r="N77"/>
  <c r="I77"/>
  <c r="D77"/>
  <c r="N76"/>
  <c r="I76"/>
  <c r="D76"/>
  <c r="N75"/>
  <c r="I75"/>
  <c r="D75"/>
  <c r="J74"/>
  <c r="I74"/>
  <c r="I86" s="1"/>
  <c r="D74"/>
  <c r="D86" s="1"/>
  <c r="J75" l="1"/>
  <c r="N11"/>
  <c r="M11"/>
  <c r="N10"/>
  <c r="M10"/>
  <c r="N9"/>
  <c r="M9"/>
  <c r="N8"/>
  <c r="M8"/>
  <c r="N7"/>
  <c r="M7"/>
  <c r="N6"/>
  <c r="M6"/>
  <c r="N5"/>
  <c r="M5"/>
  <c r="N4"/>
  <c r="M4"/>
  <c r="N3"/>
  <c r="M3"/>
  <c r="L11"/>
  <c r="L10"/>
  <c r="L9"/>
  <c r="L8"/>
  <c r="L7"/>
  <c r="L6"/>
  <c r="L5"/>
  <c r="L3"/>
  <c r="L4"/>
  <c r="K13"/>
  <c r="J13"/>
  <c r="F44"/>
  <c r="E44"/>
  <c r="F36"/>
  <c r="E36"/>
  <c r="F49"/>
  <c r="E49"/>
  <c r="F38"/>
  <c r="E38"/>
  <c r="F34"/>
  <c r="E34"/>
  <c r="F41"/>
  <c r="E41"/>
  <c r="F40"/>
  <c r="E40"/>
  <c r="F39"/>
  <c r="E39"/>
  <c r="F48"/>
  <c r="E48"/>
  <c r="F45"/>
  <c r="E45"/>
  <c r="F47"/>
  <c r="E47"/>
  <c r="F35"/>
  <c r="E35"/>
  <c r="F43"/>
  <c r="E43"/>
  <c r="F37"/>
  <c r="E37"/>
  <c r="F42"/>
  <c r="E42"/>
  <c r="F33"/>
  <c r="E33"/>
  <c r="F46"/>
  <c r="E46"/>
  <c r="C51"/>
  <c r="B51"/>
  <c r="BS581" i="1" l="1"/>
  <c r="BQ581"/>
  <c r="BN581"/>
  <c r="BK581"/>
  <c r="AP581"/>
  <c r="X581"/>
  <c r="W581"/>
  <c r="BS288"/>
  <c r="BQ288"/>
  <c r="BN288"/>
  <c r="BK288"/>
  <c r="AP288"/>
  <c r="X288"/>
  <c r="W288"/>
  <c r="BS31"/>
  <c r="BQ31"/>
  <c r="BN31"/>
  <c r="BK31"/>
  <c r="AP31"/>
  <c r="X31"/>
  <c r="W31"/>
  <c r="BS348"/>
  <c r="BQ348"/>
  <c r="BN348"/>
  <c r="BK348"/>
  <c r="AP348"/>
  <c r="X348"/>
  <c r="W348"/>
  <c r="BS250"/>
  <c r="BQ250"/>
  <c r="BN250"/>
  <c r="BK250"/>
  <c r="AP250"/>
  <c r="X250"/>
  <c r="W250"/>
  <c r="BS341"/>
  <c r="BQ341"/>
  <c r="BN341"/>
  <c r="BK341"/>
  <c r="AP341"/>
  <c r="X341"/>
  <c r="W341"/>
  <c r="BS690"/>
  <c r="BQ690"/>
  <c r="BK690"/>
  <c r="BS689"/>
  <c r="BQ689"/>
  <c r="BN689"/>
  <c r="BK689"/>
  <c r="AP689"/>
  <c r="BS688"/>
  <c r="BQ688"/>
  <c r="BN688"/>
  <c r="BK688"/>
  <c r="AP688"/>
  <c r="BS687"/>
  <c r="BQ687"/>
  <c r="BN687"/>
  <c r="BS437"/>
  <c r="BQ437"/>
  <c r="BN437"/>
  <c r="BK437"/>
  <c r="AP437"/>
  <c r="X437"/>
  <c r="W437"/>
  <c r="BS577"/>
  <c r="BQ577"/>
  <c r="BN577"/>
  <c r="BK577"/>
  <c r="AP577"/>
  <c r="X577"/>
  <c r="W577"/>
  <c r="BS569"/>
  <c r="BQ569"/>
  <c r="BN569"/>
  <c r="BK569"/>
  <c r="AP569"/>
  <c r="X569"/>
  <c r="W569"/>
  <c r="BS421"/>
  <c r="BQ421"/>
  <c r="BN421"/>
  <c r="BK421"/>
  <c r="AP421"/>
  <c r="X421"/>
  <c r="W421"/>
  <c r="BS234"/>
  <c r="BQ234"/>
  <c r="BN234"/>
  <c r="BK234"/>
  <c r="AP234"/>
  <c r="X234"/>
  <c r="W234"/>
  <c r="BS241"/>
  <c r="BQ241"/>
  <c r="BN241"/>
  <c r="BK241"/>
  <c r="AP241"/>
  <c r="X241"/>
  <c r="W241"/>
  <c r="BS686"/>
  <c r="BQ686"/>
  <c r="BN686"/>
  <c r="BK686"/>
  <c r="AP686"/>
  <c r="BS685"/>
  <c r="BQ685"/>
  <c r="BN685"/>
  <c r="BK685"/>
  <c r="AP685"/>
  <c r="BS467"/>
  <c r="BQ467"/>
  <c r="BN467"/>
  <c r="BK467"/>
  <c r="AP467"/>
  <c r="X467"/>
  <c r="W467"/>
  <c r="BS330"/>
  <c r="BQ330"/>
  <c r="BN330"/>
  <c r="BK330"/>
  <c r="AP330"/>
  <c r="X330"/>
  <c r="W330"/>
  <c r="BS684"/>
  <c r="BQ684"/>
  <c r="BN684"/>
  <c r="BK684"/>
  <c r="AP684"/>
  <c r="BS683"/>
  <c r="BQ683"/>
  <c r="BN683"/>
  <c r="BK683"/>
  <c r="AP683"/>
  <c r="BS275"/>
  <c r="BQ275"/>
  <c r="BN275"/>
  <c r="BK275"/>
  <c r="AP275"/>
  <c r="X275"/>
  <c r="W275"/>
  <c r="BS217"/>
  <c r="BQ217"/>
  <c r="BN217"/>
  <c r="BK217"/>
  <c r="AP217"/>
  <c r="X217"/>
  <c r="W217"/>
  <c r="BS682"/>
  <c r="BQ682"/>
  <c r="BK682"/>
  <c r="BS681"/>
  <c r="BQ681"/>
  <c r="BK681"/>
  <c r="AP681"/>
  <c r="BS458"/>
  <c r="BQ458"/>
  <c r="BN458"/>
  <c r="BK458"/>
  <c r="AP458"/>
  <c r="X458"/>
  <c r="W458"/>
  <c r="BS680"/>
  <c r="BQ680"/>
  <c r="BS679"/>
  <c r="BQ679"/>
  <c r="BK679"/>
  <c r="AP679"/>
  <c r="BS491"/>
  <c r="BQ491"/>
  <c r="BN491"/>
  <c r="BK491"/>
  <c r="AP491"/>
  <c r="X491"/>
  <c r="W491"/>
  <c r="BS122"/>
  <c r="BQ122"/>
  <c r="BN122"/>
  <c r="BK122"/>
  <c r="AP122"/>
  <c r="X122"/>
  <c r="W122"/>
  <c r="BS678"/>
  <c r="BQ678"/>
  <c r="BN678"/>
  <c r="BK678"/>
  <c r="AP678"/>
  <c r="BS677"/>
  <c r="BQ677"/>
  <c r="BN677"/>
  <c r="BK677"/>
  <c r="BS225"/>
  <c r="BQ225"/>
  <c r="BN225"/>
  <c r="BK225"/>
  <c r="AP225"/>
  <c r="X225"/>
  <c r="W225"/>
  <c r="BS560"/>
  <c r="BQ560"/>
  <c r="BN560"/>
  <c r="BK560"/>
  <c r="AP560"/>
  <c r="X560"/>
  <c r="W560"/>
  <c r="BS403"/>
  <c r="BQ403"/>
  <c r="BN403"/>
  <c r="BK403"/>
  <c r="AP403"/>
  <c r="X403"/>
  <c r="W403"/>
  <c r="BS500"/>
  <c r="BQ500"/>
  <c r="BN500"/>
  <c r="BK500"/>
  <c r="AP500"/>
  <c r="X500"/>
  <c r="W500"/>
  <c r="BS476"/>
  <c r="BQ476"/>
  <c r="BN476"/>
  <c r="BK476"/>
  <c r="AP476"/>
  <c r="X476"/>
  <c r="W476"/>
  <c r="BS676"/>
  <c r="BQ676"/>
  <c r="BN676"/>
  <c r="BK676"/>
  <c r="AP676"/>
  <c r="BS675"/>
  <c r="BQ675"/>
  <c r="BK675"/>
  <c r="BS239"/>
  <c r="BQ239"/>
  <c r="BN239"/>
  <c r="BK239"/>
  <c r="AP239"/>
  <c r="X239"/>
  <c r="W239"/>
  <c r="BS409"/>
  <c r="BQ409"/>
  <c r="BN409"/>
  <c r="BK409"/>
  <c r="AP409"/>
  <c r="X409"/>
  <c r="W409"/>
  <c r="BS542"/>
  <c r="BQ542"/>
  <c r="BN542"/>
  <c r="BK542"/>
  <c r="AP542"/>
  <c r="X542"/>
  <c r="W542"/>
  <c r="BS603"/>
  <c r="BQ603"/>
  <c r="BN603"/>
  <c r="BK603"/>
  <c r="AP603"/>
  <c r="X603"/>
  <c r="W603"/>
  <c r="BS305"/>
  <c r="BQ305"/>
  <c r="BN305"/>
  <c r="BK305"/>
  <c r="AP305"/>
  <c r="X305"/>
  <c r="W305"/>
  <c r="BS199"/>
  <c r="BQ199"/>
  <c r="BN199"/>
  <c r="BK199"/>
  <c r="AP199"/>
  <c r="X199"/>
  <c r="W199"/>
  <c r="BS255"/>
  <c r="BQ255"/>
  <c r="BN255"/>
  <c r="BK255"/>
  <c r="AP255"/>
  <c r="X255"/>
  <c r="W255"/>
  <c r="BS528"/>
  <c r="BQ528"/>
  <c r="BN528"/>
  <c r="BK528"/>
  <c r="AP528"/>
  <c r="X528"/>
  <c r="W528"/>
  <c r="BS406"/>
  <c r="BQ406"/>
  <c r="BN406"/>
  <c r="BK406"/>
  <c r="AP406"/>
  <c r="X406"/>
  <c r="W406"/>
  <c r="BS322"/>
  <c r="BQ322"/>
  <c r="BN322"/>
  <c r="BK322"/>
  <c r="AP322"/>
  <c r="X322"/>
  <c r="W322"/>
  <c r="BS426"/>
  <c r="BQ426"/>
  <c r="BN426"/>
  <c r="BK426"/>
  <c r="AP426"/>
  <c r="X426"/>
  <c r="W426"/>
  <c r="BS529"/>
  <c r="BQ529"/>
  <c r="BN529"/>
  <c r="BK529"/>
  <c r="AP529"/>
  <c r="X529"/>
  <c r="W529"/>
  <c r="BS536"/>
  <c r="BQ536"/>
  <c r="BN536"/>
  <c r="BK536"/>
  <c r="AP536"/>
  <c r="X536"/>
  <c r="W536"/>
  <c r="BS499"/>
  <c r="BQ499"/>
  <c r="BN499"/>
  <c r="BK499"/>
  <c r="AP499"/>
  <c r="X499"/>
  <c r="W499"/>
  <c r="BS205"/>
  <c r="BQ205"/>
  <c r="BN205"/>
  <c r="BK205"/>
  <c r="AP205"/>
  <c r="X205"/>
  <c r="W205"/>
  <c r="BS674"/>
  <c r="BQ674"/>
  <c r="BN674"/>
  <c r="BK674"/>
  <c r="AP674"/>
  <c r="BS544"/>
  <c r="BQ544"/>
  <c r="BN544"/>
  <c r="BK544"/>
  <c r="AP544"/>
  <c r="X544"/>
  <c r="W544"/>
  <c r="BS503"/>
  <c r="BQ503"/>
  <c r="BN503"/>
  <c r="BK503"/>
  <c r="AP503"/>
  <c r="X503"/>
  <c r="W503"/>
  <c r="BS522"/>
  <c r="BQ522"/>
  <c r="BN522"/>
  <c r="BK522"/>
  <c r="AP522"/>
  <c r="X522"/>
  <c r="W522"/>
  <c r="BS673"/>
  <c r="BQ673"/>
  <c r="BN673"/>
  <c r="BK673"/>
  <c r="BS508"/>
  <c r="BQ508"/>
  <c r="BN508"/>
  <c r="BK508"/>
  <c r="AP508"/>
  <c r="X508"/>
  <c r="W508"/>
  <c r="BS612"/>
  <c r="BQ612"/>
  <c r="BN612"/>
  <c r="BK612"/>
  <c r="AP612"/>
  <c r="X612"/>
  <c r="W612"/>
  <c r="BS507"/>
  <c r="BQ507"/>
  <c r="BN507"/>
  <c r="BK507"/>
  <c r="AP507"/>
  <c r="X507"/>
  <c r="W507"/>
  <c r="BS672"/>
  <c r="BQ672"/>
  <c r="BN672"/>
  <c r="BK672"/>
  <c r="AP672"/>
  <c r="BS535"/>
  <c r="BQ535"/>
  <c r="BN535"/>
  <c r="BK535"/>
  <c r="AP535"/>
  <c r="X535"/>
  <c r="W535"/>
  <c r="BS671"/>
  <c r="BQ671"/>
  <c r="BK671"/>
  <c r="BS114"/>
  <c r="BQ114"/>
  <c r="BN114"/>
  <c r="BK114"/>
  <c r="AP114"/>
  <c r="X114"/>
  <c r="W114"/>
  <c r="BS368"/>
  <c r="BQ368"/>
  <c r="BN368"/>
  <c r="BK368"/>
  <c r="AP368"/>
  <c r="X368"/>
  <c r="W368"/>
  <c r="BS670"/>
  <c r="BQ670"/>
  <c r="BK670"/>
  <c r="BS465"/>
  <c r="BQ465"/>
  <c r="BN465"/>
  <c r="BK465"/>
  <c r="AP465"/>
  <c r="X465"/>
  <c r="W465"/>
  <c r="BS276"/>
  <c r="BQ276"/>
  <c r="BN276"/>
  <c r="BK276"/>
  <c r="AP276"/>
  <c r="X276"/>
  <c r="W276"/>
  <c r="BS220"/>
  <c r="BQ220"/>
  <c r="BN220"/>
  <c r="BK220"/>
  <c r="AP220"/>
  <c r="X220"/>
  <c r="W220"/>
  <c r="BS669"/>
  <c r="BQ669"/>
  <c r="BN669"/>
  <c r="BK669"/>
  <c r="BS182"/>
  <c r="BQ182"/>
  <c r="BN182"/>
  <c r="BK182"/>
  <c r="AP182"/>
  <c r="X182"/>
  <c r="W182"/>
  <c r="BS428"/>
  <c r="BQ428"/>
  <c r="BN428"/>
  <c r="BK428"/>
  <c r="AP428"/>
  <c r="X428"/>
  <c r="W428"/>
  <c r="BS347"/>
  <c r="BQ347"/>
  <c r="BN347"/>
  <c r="BK347"/>
  <c r="AP347"/>
  <c r="X347"/>
  <c r="W347"/>
  <c r="BS595"/>
  <c r="BQ595"/>
  <c r="BN595"/>
  <c r="BK595"/>
  <c r="AP595"/>
  <c r="X595"/>
  <c r="W595"/>
  <c r="BS521"/>
  <c r="BQ521"/>
  <c r="BN521"/>
  <c r="BK521"/>
  <c r="AP521"/>
  <c r="X521"/>
  <c r="W521"/>
  <c r="BS543"/>
  <c r="BQ543"/>
  <c r="BN543"/>
  <c r="BK543"/>
  <c r="AP543"/>
  <c r="X543"/>
  <c r="W543"/>
  <c r="BS472"/>
  <c r="BQ472"/>
  <c r="BN472"/>
  <c r="BK472"/>
  <c r="AP472"/>
  <c r="X472"/>
  <c r="W472"/>
  <c r="BS313"/>
  <c r="BQ313"/>
  <c r="BN313"/>
  <c r="BK313"/>
  <c r="AP313"/>
  <c r="X313"/>
  <c r="W313"/>
  <c r="BS314"/>
  <c r="BQ314"/>
  <c r="BN314"/>
  <c r="BK314"/>
  <c r="AP314"/>
  <c r="X314"/>
  <c r="W314"/>
  <c r="BS422"/>
  <c r="BQ422"/>
  <c r="BN422"/>
  <c r="BK422"/>
  <c r="AP422"/>
  <c r="X422"/>
  <c r="W422"/>
  <c r="BS554"/>
  <c r="BQ554"/>
  <c r="BN554"/>
  <c r="BK554"/>
  <c r="AP554"/>
  <c r="X554"/>
  <c r="W554"/>
  <c r="BS181"/>
  <c r="BQ181"/>
  <c r="BN181"/>
  <c r="BK181"/>
  <c r="AP181"/>
  <c r="X181"/>
  <c r="W181"/>
  <c r="BS183"/>
  <c r="BQ183"/>
  <c r="BN183"/>
  <c r="BK183"/>
  <c r="AP183"/>
  <c r="X183"/>
  <c r="W183"/>
  <c r="BS273"/>
  <c r="BQ273"/>
  <c r="BN273"/>
  <c r="BK273"/>
  <c r="AP273"/>
  <c r="X273"/>
  <c r="W273"/>
  <c r="BS464"/>
  <c r="BQ464"/>
  <c r="BN464"/>
  <c r="BK464"/>
  <c r="AP464"/>
  <c r="X464"/>
  <c r="W464"/>
  <c r="BS164"/>
  <c r="BQ164"/>
  <c r="BN164"/>
  <c r="BK164"/>
  <c r="AP164"/>
  <c r="X164"/>
  <c r="W164"/>
  <c r="BS168"/>
  <c r="BQ168"/>
  <c r="BN168"/>
  <c r="BK168"/>
  <c r="AP168"/>
  <c r="X168"/>
  <c r="W168"/>
  <c r="BS127"/>
  <c r="BQ127"/>
  <c r="BN127"/>
  <c r="BK127"/>
  <c r="AP127"/>
  <c r="X127"/>
  <c r="W127"/>
  <c r="BS353"/>
  <c r="BQ353"/>
  <c r="BN353"/>
  <c r="BK353"/>
  <c r="AP353"/>
  <c r="X353"/>
  <c r="W353"/>
  <c r="BS242"/>
  <c r="BQ242"/>
  <c r="BN242"/>
  <c r="BK242"/>
  <c r="AP242"/>
  <c r="X242"/>
  <c r="W242"/>
  <c r="BS614"/>
  <c r="BQ614"/>
  <c r="BN614"/>
  <c r="BK614"/>
  <c r="AP614"/>
  <c r="X614"/>
  <c r="W614"/>
  <c r="BS323"/>
  <c r="BQ323"/>
  <c r="BN323"/>
  <c r="BK323"/>
  <c r="AP323"/>
  <c r="X323"/>
  <c r="W323"/>
  <c r="BS364"/>
  <c r="BQ364"/>
  <c r="BN364"/>
  <c r="BK364"/>
  <c r="AP364"/>
  <c r="X364"/>
  <c r="W364"/>
  <c r="BS337"/>
  <c r="BQ337"/>
  <c r="BN337"/>
  <c r="BK337"/>
  <c r="AP337"/>
  <c r="X337"/>
  <c r="W337"/>
  <c r="BS668"/>
  <c r="BQ668"/>
  <c r="BN668"/>
  <c r="BK668"/>
  <c r="AP668"/>
  <c r="BS224"/>
  <c r="BQ224"/>
  <c r="BN224"/>
  <c r="BK224"/>
  <c r="AP224"/>
  <c r="X224"/>
  <c r="W224"/>
  <c r="BS466"/>
  <c r="BQ466"/>
  <c r="BN466"/>
  <c r="BK466"/>
  <c r="AP466"/>
  <c r="X466"/>
  <c r="W466"/>
  <c r="BS378"/>
  <c r="BQ378"/>
  <c r="BN378"/>
  <c r="BK378"/>
  <c r="AP378"/>
  <c r="X378"/>
  <c r="W378"/>
  <c r="BS342"/>
  <c r="BQ342"/>
  <c r="BN342"/>
  <c r="BK342"/>
  <c r="AP342"/>
  <c r="X342"/>
  <c r="W342"/>
  <c r="BS539"/>
  <c r="BQ539"/>
  <c r="BN539"/>
  <c r="BK539"/>
  <c r="AP539"/>
  <c r="X539"/>
  <c r="W539"/>
  <c r="BS340"/>
  <c r="BQ340"/>
  <c r="BN340"/>
  <c r="BK340"/>
  <c r="AP340"/>
  <c r="X340"/>
  <c r="W340"/>
  <c r="BS613"/>
  <c r="BQ613"/>
  <c r="BN613"/>
  <c r="BK613"/>
  <c r="AP613"/>
  <c r="X613"/>
  <c r="W613"/>
  <c r="BS375"/>
  <c r="BQ375"/>
  <c r="BN375"/>
  <c r="BK375"/>
  <c r="AP375"/>
  <c r="X375"/>
  <c r="W375"/>
  <c r="BS502"/>
  <c r="BQ502"/>
  <c r="BN502"/>
  <c r="BK502"/>
  <c r="AP502"/>
  <c r="X502"/>
  <c r="W502"/>
  <c r="BS580"/>
  <c r="BQ580"/>
  <c r="BN580"/>
  <c r="BK580"/>
  <c r="AP580"/>
  <c r="X580"/>
  <c r="W580"/>
  <c r="BS369"/>
  <c r="BQ369"/>
  <c r="BN369"/>
  <c r="BK369"/>
  <c r="AP369"/>
  <c r="X369"/>
  <c r="W369"/>
  <c r="BS463"/>
  <c r="BQ463"/>
  <c r="BN463"/>
  <c r="BK463"/>
  <c r="AP463"/>
  <c r="X463"/>
  <c r="W463"/>
  <c r="BY256"/>
  <c r="BS256"/>
  <c r="BQ256"/>
  <c r="BN256"/>
  <c r="BK256"/>
  <c r="AP256"/>
  <c r="X256"/>
  <c r="W256"/>
  <c r="BS119"/>
  <c r="BQ119"/>
  <c r="BN119"/>
  <c r="BK119"/>
  <c r="AP119"/>
  <c r="X119"/>
  <c r="W119"/>
  <c r="BS320"/>
  <c r="BQ320"/>
  <c r="BN320"/>
  <c r="BK320"/>
  <c r="AP320"/>
  <c r="X320"/>
  <c r="W320"/>
  <c r="BS431"/>
  <c r="BQ431"/>
  <c r="BN431"/>
  <c r="BK431"/>
  <c r="AP431"/>
  <c r="X431"/>
  <c r="W431"/>
  <c r="BS319"/>
  <c r="BQ319"/>
  <c r="BN319"/>
  <c r="BK319"/>
  <c r="AP319"/>
  <c r="X319"/>
  <c r="W319"/>
  <c r="BS438"/>
  <c r="BQ438"/>
  <c r="BN438"/>
  <c r="BK438"/>
  <c r="AP438"/>
  <c r="X438"/>
  <c r="W438"/>
  <c r="BS376"/>
  <c r="BQ376"/>
  <c r="BN376"/>
  <c r="BK376"/>
  <c r="AP376"/>
  <c r="X376"/>
  <c r="W376"/>
  <c r="BS457"/>
  <c r="BQ457"/>
  <c r="BN457"/>
  <c r="BK457"/>
  <c r="AP457"/>
  <c r="X457"/>
  <c r="W457"/>
  <c r="BS93"/>
  <c r="BQ93"/>
  <c r="BN93"/>
  <c r="BK93"/>
  <c r="AP93"/>
  <c r="X93"/>
  <c r="W93"/>
  <c r="BS576"/>
  <c r="BQ576"/>
  <c r="BN576"/>
  <c r="BK576"/>
  <c r="AP576"/>
  <c r="X576"/>
  <c r="W576"/>
  <c r="BS279"/>
  <c r="BQ279"/>
  <c r="BN279"/>
  <c r="BK279"/>
  <c r="AP279"/>
  <c r="X279"/>
  <c r="W279"/>
  <c r="BS194"/>
  <c r="BQ194"/>
  <c r="BN194"/>
  <c r="BK194"/>
  <c r="AP194"/>
  <c r="X194"/>
  <c r="W194"/>
  <c r="BS667"/>
  <c r="BQ667"/>
  <c r="BN667"/>
  <c r="BK667"/>
  <c r="BS140"/>
  <c r="BQ140"/>
  <c r="BN140"/>
  <c r="BK140"/>
  <c r="AP140"/>
  <c r="X140"/>
  <c r="W140"/>
  <c r="BS247"/>
  <c r="BQ247"/>
  <c r="BN247"/>
  <c r="BK247"/>
  <c r="AP247"/>
  <c r="X247"/>
  <c r="W247"/>
  <c r="BS454"/>
  <c r="BQ454"/>
  <c r="BN454"/>
  <c r="BK454"/>
  <c r="AP454"/>
  <c r="X454"/>
  <c r="W454"/>
  <c r="BS282"/>
  <c r="BQ282"/>
  <c r="BN282"/>
  <c r="BK282"/>
  <c r="AP282"/>
  <c r="X282"/>
  <c r="W282"/>
  <c r="BS304"/>
  <c r="BQ304"/>
  <c r="BN304"/>
  <c r="BK304"/>
  <c r="AP304"/>
  <c r="X304"/>
  <c r="W304"/>
  <c r="BS434"/>
  <c r="BQ434"/>
  <c r="BN434"/>
  <c r="BK434"/>
  <c r="AP434"/>
  <c r="X434"/>
  <c r="W434"/>
  <c r="BS202"/>
  <c r="BQ202"/>
  <c r="BN202"/>
  <c r="BK202"/>
  <c r="AP202"/>
  <c r="X202"/>
  <c r="W202"/>
  <c r="BS354"/>
  <c r="BQ354"/>
  <c r="BN354"/>
  <c r="BK354"/>
  <c r="AP354"/>
  <c r="X354"/>
  <c r="W354"/>
  <c r="BS180"/>
  <c r="BQ180"/>
  <c r="BN180"/>
  <c r="BK180"/>
  <c r="AP180"/>
  <c r="X180"/>
  <c r="W180"/>
  <c r="BS600"/>
  <c r="BQ600"/>
  <c r="BN600"/>
  <c r="BK600"/>
  <c r="AP600"/>
  <c r="X600"/>
  <c r="W600"/>
  <c r="BS142"/>
  <c r="BQ142"/>
  <c r="BN142"/>
  <c r="BK142"/>
  <c r="AP142"/>
  <c r="X142"/>
  <c r="W142"/>
  <c r="BS574"/>
  <c r="BQ574"/>
  <c r="BN574"/>
  <c r="BK574"/>
  <c r="AP574"/>
  <c r="X574"/>
  <c r="W574"/>
  <c r="BS404"/>
  <c r="BQ404"/>
  <c r="BN404"/>
  <c r="BK404"/>
  <c r="AP404"/>
  <c r="X404"/>
  <c r="W404"/>
  <c r="BS583"/>
  <c r="BQ583"/>
  <c r="BN583"/>
  <c r="BK583"/>
  <c r="AP583"/>
  <c r="X583"/>
  <c r="W583"/>
  <c r="BS565"/>
  <c r="BQ565"/>
  <c r="BN565"/>
  <c r="BK565"/>
  <c r="AP565"/>
  <c r="X565"/>
  <c r="W565"/>
  <c r="BS611"/>
  <c r="BQ611"/>
  <c r="BN611"/>
  <c r="BK611"/>
  <c r="AP611"/>
  <c r="X611"/>
  <c r="W611"/>
  <c r="BS91"/>
  <c r="BQ91"/>
  <c r="BN91"/>
  <c r="BK91"/>
  <c r="AP91"/>
  <c r="X91"/>
  <c r="W91"/>
  <c r="BS274"/>
  <c r="BQ274"/>
  <c r="BN274"/>
  <c r="BK274"/>
  <c r="AP274"/>
  <c r="X274"/>
  <c r="W274"/>
  <c r="BS300"/>
  <c r="BQ300"/>
  <c r="BN300"/>
  <c r="BK300"/>
  <c r="AP300"/>
  <c r="X300"/>
  <c r="W300"/>
  <c r="BS396"/>
  <c r="BQ396"/>
  <c r="BN396"/>
  <c r="BK396"/>
  <c r="AP396"/>
  <c r="X396"/>
  <c r="W396"/>
  <c r="BS524"/>
  <c r="BQ524"/>
  <c r="BN524"/>
  <c r="BK524"/>
  <c r="AP524"/>
  <c r="X524"/>
  <c r="W524"/>
  <c r="BS417"/>
  <c r="BQ417"/>
  <c r="BN417"/>
  <c r="BK417"/>
  <c r="AP417"/>
  <c r="X417"/>
  <c r="W417"/>
  <c r="BS388"/>
  <c r="BQ388"/>
  <c r="BN388"/>
  <c r="BK388"/>
  <c r="AP388"/>
  <c r="X388"/>
  <c r="W388"/>
  <c r="BS129"/>
  <c r="BQ129"/>
  <c r="BN129"/>
  <c r="BK129"/>
  <c r="AP129"/>
  <c r="X129"/>
  <c r="W129"/>
  <c r="BS526"/>
  <c r="BQ526"/>
  <c r="BN526"/>
  <c r="BK526"/>
  <c r="AP526"/>
  <c r="X526"/>
  <c r="W526"/>
  <c r="BS231"/>
  <c r="BQ231"/>
  <c r="BN231"/>
  <c r="BK231"/>
  <c r="AP231"/>
  <c r="X231"/>
  <c r="W231"/>
  <c r="BS550"/>
  <c r="BQ550"/>
  <c r="BN550"/>
  <c r="BK550"/>
  <c r="AP550"/>
  <c r="X550"/>
  <c r="W550"/>
  <c r="BS468"/>
  <c r="BQ468"/>
  <c r="BN468"/>
  <c r="BK468"/>
  <c r="AP468"/>
  <c r="X468"/>
  <c r="W468"/>
  <c r="BS441"/>
  <c r="BQ441"/>
  <c r="BN441"/>
  <c r="BK441"/>
  <c r="AP441"/>
  <c r="X441"/>
  <c r="W441"/>
  <c r="BS399"/>
  <c r="BQ399"/>
  <c r="BN399"/>
  <c r="BK399"/>
  <c r="AP399"/>
  <c r="X399"/>
  <c r="W399"/>
  <c r="BS358"/>
  <c r="BQ358"/>
  <c r="BN358"/>
  <c r="BK358"/>
  <c r="AP358"/>
  <c r="X358"/>
  <c r="W358"/>
  <c r="BS299"/>
  <c r="BQ299"/>
  <c r="BN299"/>
  <c r="BK299"/>
  <c r="AP299"/>
  <c r="X299"/>
  <c r="W299"/>
  <c r="BS389"/>
  <c r="BQ389"/>
  <c r="BN389"/>
  <c r="BK389"/>
  <c r="AP389"/>
  <c r="X389"/>
  <c r="W389"/>
  <c r="BS169"/>
  <c r="BQ169"/>
  <c r="BN169"/>
  <c r="BK169"/>
  <c r="AP169"/>
  <c r="X169"/>
  <c r="W169"/>
  <c r="BS455"/>
  <c r="BQ455"/>
  <c r="BN455"/>
  <c r="BK455"/>
  <c r="AP455"/>
  <c r="X455"/>
  <c r="W455"/>
  <c r="BS111"/>
  <c r="BQ111"/>
  <c r="BN111"/>
  <c r="BK111"/>
  <c r="AP111"/>
  <c r="X111"/>
  <c r="W111"/>
  <c r="BS148"/>
  <c r="BQ148"/>
  <c r="BN148"/>
  <c r="BK148"/>
  <c r="AP148"/>
  <c r="X148"/>
  <c r="W148"/>
  <c r="BS497"/>
  <c r="BQ497"/>
  <c r="BN497"/>
  <c r="BK497"/>
  <c r="AP497"/>
  <c r="X497"/>
  <c r="W497"/>
  <c r="BS474"/>
  <c r="BQ474"/>
  <c r="BN474"/>
  <c r="BK474"/>
  <c r="AP474"/>
  <c r="X474"/>
  <c r="W474"/>
  <c r="BS215"/>
  <c r="BQ215"/>
  <c r="BN215"/>
  <c r="BK215"/>
  <c r="AP215"/>
  <c r="X215"/>
  <c r="W215"/>
  <c r="BS291"/>
  <c r="BQ291"/>
  <c r="BN291"/>
  <c r="BK291"/>
  <c r="AP291"/>
  <c r="X291"/>
  <c r="W291"/>
  <c r="BS609"/>
  <c r="BQ609"/>
  <c r="BN609"/>
  <c r="BK609"/>
  <c r="AP609"/>
  <c r="X609"/>
  <c r="W609"/>
  <c r="BS109"/>
  <c r="BQ109"/>
  <c r="BN109"/>
  <c r="BK109"/>
  <c r="AP109"/>
  <c r="X109"/>
  <c r="W109"/>
  <c r="BS365"/>
  <c r="BQ365"/>
  <c r="BN365"/>
  <c r="BK365"/>
  <c r="AP365"/>
  <c r="X365"/>
  <c r="W365"/>
  <c r="BS351"/>
  <c r="BQ351"/>
  <c r="BN351"/>
  <c r="BK351"/>
  <c r="AP351"/>
  <c r="X351"/>
  <c r="W351"/>
  <c r="BS107"/>
  <c r="BQ107"/>
  <c r="BN107"/>
  <c r="BK107"/>
  <c r="AP107"/>
  <c r="X107"/>
  <c r="W107"/>
  <c r="BS559"/>
  <c r="BQ559"/>
  <c r="BN559"/>
  <c r="BK559"/>
  <c r="AP559"/>
  <c r="X559"/>
  <c r="W559"/>
  <c r="BS174"/>
  <c r="BQ174"/>
  <c r="BN174"/>
  <c r="BK174"/>
  <c r="AP174"/>
  <c r="X174"/>
  <c r="W174"/>
  <c r="BS530"/>
  <c r="BQ530"/>
  <c r="BN530"/>
  <c r="BK530"/>
  <c r="AP530"/>
  <c r="X530"/>
  <c r="W530"/>
  <c r="BS196"/>
  <c r="BQ196"/>
  <c r="BN196"/>
  <c r="BK196"/>
  <c r="AP196"/>
  <c r="X196"/>
  <c r="W196"/>
  <c r="BS432"/>
  <c r="BQ432"/>
  <c r="BN432"/>
  <c r="BK432"/>
  <c r="AP432"/>
  <c r="X432"/>
  <c r="W432"/>
  <c r="BS515"/>
  <c r="BQ515"/>
  <c r="BN515"/>
  <c r="BK515"/>
  <c r="AP515"/>
  <c r="X515"/>
  <c r="W515"/>
  <c r="BS110"/>
  <c r="BQ110"/>
  <c r="BN110"/>
  <c r="BK110"/>
  <c r="AP110"/>
  <c r="X110"/>
  <c r="W110"/>
  <c r="BS479"/>
  <c r="BQ479"/>
  <c r="BN479"/>
  <c r="BK479"/>
  <c r="AP479"/>
  <c r="X479"/>
  <c r="W479"/>
  <c r="BS264"/>
  <c r="BQ264"/>
  <c r="BN264"/>
  <c r="BK264"/>
  <c r="AP264"/>
  <c r="X264"/>
  <c r="W264"/>
  <c r="BS605"/>
  <c r="BQ605"/>
  <c r="BN605"/>
  <c r="BK605"/>
  <c r="AP605"/>
  <c r="X605"/>
  <c r="W605"/>
  <c r="BS290"/>
  <c r="BQ290"/>
  <c r="BN290"/>
  <c r="BK290"/>
  <c r="AP290"/>
  <c r="X290"/>
  <c r="W290"/>
  <c r="BS570"/>
  <c r="BQ570"/>
  <c r="BN570"/>
  <c r="BK570"/>
  <c r="AP570"/>
  <c r="X570"/>
  <c r="W570"/>
  <c r="BS381"/>
  <c r="BQ381"/>
  <c r="BN381"/>
  <c r="BK381"/>
  <c r="AP381"/>
  <c r="X381"/>
  <c r="W381"/>
  <c r="BS589"/>
  <c r="BQ589"/>
  <c r="BN589"/>
  <c r="BK589"/>
  <c r="AP589"/>
  <c r="X589"/>
  <c r="W589"/>
  <c r="BS121"/>
  <c r="BQ121"/>
  <c r="BN121"/>
  <c r="BK121"/>
  <c r="AP121"/>
  <c r="X121"/>
  <c r="W121"/>
  <c r="BS156"/>
  <c r="BQ156"/>
  <c r="BN156"/>
  <c r="BK156"/>
  <c r="AP156"/>
  <c r="X156"/>
  <c r="W156"/>
  <c r="BS471"/>
  <c r="BQ471"/>
  <c r="BN471"/>
  <c r="BK471"/>
  <c r="AP471"/>
  <c r="X471"/>
  <c r="W471"/>
  <c r="BS34"/>
  <c r="BQ34"/>
  <c r="BN34"/>
  <c r="BK34"/>
  <c r="AP34"/>
  <c r="X34"/>
  <c r="W34"/>
  <c r="BS367"/>
  <c r="BQ367"/>
  <c r="BN367"/>
  <c r="BK367"/>
  <c r="AP367"/>
  <c r="X367"/>
  <c r="W367"/>
  <c r="BS408"/>
  <c r="BQ408"/>
  <c r="BN408"/>
  <c r="BK408"/>
  <c r="AP408"/>
  <c r="X408"/>
  <c r="W408"/>
  <c r="BS385"/>
  <c r="BQ385"/>
  <c r="BN385"/>
  <c r="BK385"/>
  <c r="AP385"/>
  <c r="X385"/>
  <c r="W385"/>
  <c r="BS124"/>
  <c r="BQ124"/>
  <c r="BN124"/>
  <c r="BK124"/>
  <c r="AP124"/>
  <c r="X124"/>
  <c r="W124"/>
  <c r="BS523"/>
  <c r="BQ523"/>
  <c r="BN523"/>
  <c r="BK523"/>
  <c r="AP523"/>
  <c r="X523"/>
  <c r="W523"/>
  <c r="BS229"/>
  <c r="BQ229"/>
  <c r="BN229"/>
  <c r="BK229"/>
  <c r="AP229"/>
  <c r="X229"/>
  <c r="W229"/>
  <c r="BS666"/>
  <c r="BQ666"/>
  <c r="BN666"/>
  <c r="BK666"/>
  <c r="BS184"/>
  <c r="BQ184"/>
  <c r="BN184"/>
  <c r="BK184"/>
  <c r="AP184"/>
  <c r="X184"/>
  <c r="W184"/>
  <c r="BS344"/>
  <c r="BQ344"/>
  <c r="BN344"/>
  <c r="BK344"/>
  <c r="AP344"/>
  <c r="X344"/>
  <c r="W344"/>
  <c r="BS175"/>
  <c r="BQ175"/>
  <c r="BN175"/>
  <c r="BK175"/>
  <c r="AP175"/>
  <c r="X175"/>
  <c r="W175"/>
  <c r="BS208"/>
  <c r="BQ208"/>
  <c r="BN208"/>
  <c r="BK208"/>
  <c r="AP208"/>
  <c r="X208"/>
  <c r="W208"/>
  <c r="BS477"/>
  <c r="BQ477"/>
  <c r="BN477"/>
  <c r="BK477"/>
  <c r="AP477"/>
  <c r="X477"/>
  <c r="W477"/>
  <c r="BW145"/>
  <c r="BS145"/>
  <c r="BQ145"/>
  <c r="BN145"/>
  <c r="BK145"/>
  <c r="AP145"/>
  <c r="X145"/>
  <c r="W145"/>
  <c r="BS227"/>
  <c r="BQ227"/>
  <c r="BN227"/>
  <c r="BK227"/>
  <c r="AP227"/>
  <c r="X227"/>
  <c r="W227"/>
  <c r="BS513"/>
  <c r="BQ513"/>
  <c r="BN513"/>
  <c r="BK513"/>
  <c r="AP513"/>
  <c r="X513"/>
  <c r="W513"/>
  <c r="BS405"/>
  <c r="BQ405"/>
  <c r="BN405"/>
  <c r="BK405"/>
  <c r="AP405"/>
  <c r="X405"/>
  <c r="W405"/>
  <c r="BS518"/>
  <c r="BQ518"/>
  <c r="BN518"/>
  <c r="BK518"/>
  <c r="AP518"/>
  <c r="X518"/>
  <c r="W518"/>
  <c r="BS452"/>
  <c r="BQ452"/>
  <c r="BN452"/>
  <c r="BK452"/>
  <c r="AP452"/>
  <c r="X452"/>
  <c r="W452"/>
  <c r="BS564"/>
  <c r="BQ564"/>
  <c r="BN564"/>
  <c r="BK564"/>
  <c r="AP564"/>
  <c r="X564"/>
  <c r="W564"/>
  <c r="BS335"/>
  <c r="BQ335"/>
  <c r="BN335"/>
  <c r="BK335"/>
  <c r="AP335"/>
  <c r="X335"/>
  <c r="W335"/>
  <c r="BS265"/>
  <c r="BQ265"/>
  <c r="BN265"/>
  <c r="BK265"/>
  <c r="AP265"/>
  <c r="X265"/>
  <c r="W265"/>
  <c r="BS553"/>
  <c r="BQ553"/>
  <c r="BN553"/>
  <c r="BK553"/>
  <c r="AP553"/>
  <c r="X553"/>
  <c r="W553"/>
  <c r="BS462"/>
  <c r="BQ462"/>
  <c r="BN462"/>
  <c r="BK462"/>
  <c r="AP462"/>
  <c r="X462"/>
  <c r="W462"/>
  <c r="BS374"/>
  <c r="BQ374"/>
  <c r="BN374"/>
  <c r="BK374"/>
  <c r="AP374"/>
  <c r="X374"/>
  <c r="W374"/>
  <c r="BS246"/>
  <c r="BQ246"/>
  <c r="BN246"/>
  <c r="BK246"/>
  <c r="AP246"/>
  <c r="X246"/>
  <c r="W246"/>
  <c r="BS201"/>
  <c r="BQ201"/>
  <c r="BN201"/>
  <c r="BK201"/>
  <c r="AP201"/>
  <c r="X201"/>
  <c r="W201"/>
  <c r="BS296"/>
  <c r="BQ296"/>
  <c r="BN296"/>
  <c r="BK296"/>
  <c r="AP296"/>
  <c r="X296"/>
  <c r="W296"/>
  <c r="BS517"/>
  <c r="BQ517"/>
  <c r="BN517"/>
  <c r="BK517"/>
  <c r="AP517"/>
  <c r="X517"/>
  <c r="W517"/>
  <c r="BS302"/>
  <c r="BQ302"/>
  <c r="BN302"/>
  <c r="BK302"/>
  <c r="AP302"/>
  <c r="X302"/>
  <c r="W302"/>
  <c r="BS155"/>
  <c r="BQ155"/>
  <c r="BN155"/>
  <c r="BK155"/>
  <c r="AP155"/>
  <c r="X155"/>
  <c r="W155"/>
  <c r="BS397"/>
  <c r="BQ397"/>
  <c r="BN397"/>
  <c r="BK397"/>
  <c r="AP397"/>
  <c r="X397"/>
  <c r="W397"/>
  <c r="BS125"/>
  <c r="BQ125"/>
  <c r="BN125"/>
  <c r="BK125"/>
  <c r="AP125"/>
  <c r="X125"/>
  <c r="W125"/>
  <c r="BS308"/>
  <c r="BQ308"/>
  <c r="BN308"/>
  <c r="BK308"/>
  <c r="AP308"/>
  <c r="X308"/>
  <c r="W308"/>
  <c r="BS393"/>
  <c r="BQ393"/>
  <c r="BN393"/>
  <c r="BK393"/>
  <c r="AP393"/>
  <c r="X393"/>
  <c r="W393"/>
  <c r="BS545"/>
  <c r="BQ545"/>
  <c r="BN545"/>
  <c r="BK545"/>
  <c r="AP545"/>
  <c r="X545"/>
  <c r="W545"/>
  <c r="BS407"/>
  <c r="BQ407"/>
  <c r="BN407"/>
  <c r="BK407"/>
  <c r="AP407"/>
  <c r="X407"/>
  <c r="W407"/>
  <c r="BS176"/>
  <c r="BQ176"/>
  <c r="BN176"/>
  <c r="BK176"/>
  <c r="AP176"/>
  <c r="X176"/>
  <c r="W176"/>
  <c r="BS392"/>
  <c r="BQ392"/>
  <c r="BN392"/>
  <c r="BK392"/>
  <c r="AP392"/>
  <c r="X392"/>
  <c r="W392"/>
  <c r="BS665"/>
  <c r="BQ665"/>
  <c r="BN665"/>
  <c r="BK665"/>
  <c r="BS505"/>
  <c r="BQ505"/>
  <c r="BN505"/>
  <c r="BK505"/>
  <c r="AP505"/>
  <c r="X505"/>
  <c r="W505"/>
  <c r="BS495"/>
  <c r="BQ495"/>
  <c r="BN495"/>
  <c r="BK495"/>
  <c r="AP495"/>
  <c r="X495"/>
  <c r="W495"/>
  <c r="BS546"/>
  <c r="BQ546"/>
  <c r="BN546"/>
  <c r="BK546"/>
  <c r="AP546"/>
  <c r="X546"/>
  <c r="W546"/>
  <c r="BS370"/>
  <c r="BQ370"/>
  <c r="BN370"/>
  <c r="BK370"/>
  <c r="AP370"/>
  <c r="X370"/>
  <c r="W370"/>
  <c r="BS232"/>
  <c r="BQ232"/>
  <c r="BN232"/>
  <c r="BK232"/>
  <c r="AP232"/>
  <c r="X232"/>
  <c r="W232"/>
  <c r="BS379"/>
  <c r="BQ379"/>
  <c r="BN379"/>
  <c r="BK379"/>
  <c r="AP379"/>
  <c r="X379"/>
  <c r="W379"/>
  <c r="BS593"/>
  <c r="BQ593"/>
  <c r="BN593"/>
  <c r="BK593"/>
  <c r="AP593"/>
  <c r="X593"/>
  <c r="W593"/>
  <c r="BS349"/>
  <c r="BQ349"/>
  <c r="BN349"/>
  <c r="BK349"/>
  <c r="AP349"/>
  <c r="X349"/>
  <c r="W349"/>
  <c r="BS664"/>
  <c r="BQ664"/>
  <c r="BN664"/>
  <c r="BK664"/>
  <c r="AP664"/>
  <c r="BS278"/>
  <c r="BQ278"/>
  <c r="BN278"/>
  <c r="BK278"/>
  <c r="AP278"/>
  <c r="X278"/>
  <c r="W278"/>
  <c r="BS400"/>
  <c r="BQ400"/>
  <c r="BN400"/>
  <c r="BK400"/>
  <c r="AP400"/>
  <c r="X400"/>
  <c r="W400"/>
  <c r="BS380"/>
  <c r="BQ380"/>
  <c r="BN380"/>
  <c r="BK380"/>
  <c r="AP380"/>
  <c r="X380"/>
  <c r="W380"/>
  <c r="BS321"/>
  <c r="BQ321"/>
  <c r="BN321"/>
  <c r="BK321"/>
  <c r="AP321"/>
  <c r="X321"/>
  <c r="W321"/>
  <c r="BS207"/>
  <c r="BQ207"/>
  <c r="BN207"/>
  <c r="BK207"/>
  <c r="AP207"/>
  <c r="X207"/>
  <c r="W207"/>
  <c r="BS277"/>
  <c r="BQ277"/>
  <c r="BN277"/>
  <c r="BK277"/>
  <c r="AP277"/>
  <c r="X277"/>
  <c r="W277"/>
  <c r="BS461"/>
  <c r="BQ461"/>
  <c r="BN461"/>
  <c r="BK461"/>
  <c r="AP461"/>
  <c r="X461"/>
  <c r="W461"/>
  <c r="BS433"/>
  <c r="BQ433"/>
  <c r="BN433"/>
  <c r="BK433"/>
  <c r="AP433"/>
  <c r="X433"/>
  <c r="W433"/>
  <c r="BS28"/>
  <c r="BQ28"/>
  <c r="BN28"/>
  <c r="BK28"/>
  <c r="AP28"/>
  <c r="X28"/>
  <c r="W28"/>
  <c r="BS449"/>
  <c r="BQ449"/>
  <c r="BN449"/>
  <c r="BK449"/>
  <c r="AP449"/>
  <c r="X449"/>
  <c r="W449"/>
  <c r="BS96"/>
  <c r="BQ96"/>
  <c r="BN96"/>
  <c r="BK96"/>
  <c r="AP96"/>
  <c r="X96"/>
  <c r="W96"/>
  <c r="BS424"/>
  <c r="BQ424"/>
  <c r="BN424"/>
  <c r="BK424"/>
  <c r="AP424"/>
  <c r="X424"/>
  <c r="W424"/>
  <c r="BS663"/>
  <c r="BQ663"/>
  <c r="BN663"/>
  <c r="BK663"/>
  <c r="AP663"/>
  <c r="BS172"/>
  <c r="BQ172"/>
  <c r="BN172"/>
  <c r="BK172"/>
  <c r="AP172"/>
  <c r="X172"/>
  <c r="W172"/>
  <c r="BS533"/>
  <c r="BQ533"/>
  <c r="BN533"/>
  <c r="BK533"/>
  <c r="AP533"/>
  <c r="X533"/>
  <c r="W533"/>
  <c r="BS329"/>
  <c r="BQ329"/>
  <c r="BN329"/>
  <c r="BK329"/>
  <c r="AP329"/>
  <c r="X329"/>
  <c r="W329"/>
  <c r="BS447"/>
  <c r="BQ447"/>
  <c r="BN447"/>
  <c r="BK447"/>
  <c r="AP447"/>
  <c r="X447"/>
  <c r="W447"/>
  <c r="BS492"/>
  <c r="BQ492"/>
  <c r="BN492"/>
  <c r="BK492"/>
  <c r="AP492"/>
  <c r="X492"/>
  <c r="W492"/>
  <c r="BS373"/>
  <c r="BQ373"/>
  <c r="BN373"/>
  <c r="BK373"/>
  <c r="AP373"/>
  <c r="X373"/>
  <c r="W373"/>
  <c r="BS390"/>
  <c r="BQ390"/>
  <c r="BN390"/>
  <c r="BK390"/>
  <c r="AP390"/>
  <c r="X390"/>
  <c r="W390"/>
  <c r="BS506"/>
  <c r="BQ506"/>
  <c r="BN506"/>
  <c r="BK506"/>
  <c r="AP506"/>
  <c r="X506"/>
  <c r="W506"/>
  <c r="BS284"/>
  <c r="BQ284"/>
  <c r="BN284"/>
  <c r="BK284"/>
  <c r="AP284"/>
  <c r="X284"/>
  <c r="W284"/>
  <c r="BS212"/>
  <c r="BQ212"/>
  <c r="BN212"/>
  <c r="BK212"/>
  <c r="AP212"/>
  <c r="X212"/>
  <c r="W212"/>
  <c r="BS519"/>
  <c r="BQ519"/>
  <c r="BN519"/>
  <c r="BK519"/>
  <c r="AP519"/>
  <c r="X519"/>
  <c r="W519"/>
  <c r="BS123"/>
  <c r="BQ123"/>
  <c r="BN123"/>
  <c r="BK123"/>
  <c r="AP123"/>
  <c r="X123"/>
  <c r="W123"/>
  <c r="BS387"/>
  <c r="BQ387"/>
  <c r="BN387"/>
  <c r="BK387"/>
  <c r="AP387"/>
  <c r="X387"/>
  <c r="W387"/>
  <c r="BS263"/>
  <c r="BQ263"/>
  <c r="BN263"/>
  <c r="BK263"/>
  <c r="AP263"/>
  <c r="X263"/>
  <c r="W263"/>
  <c r="BS240"/>
  <c r="BQ240"/>
  <c r="BN240"/>
  <c r="BK240"/>
  <c r="AP240"/>
  <c r="X240"/>
  <c r="W240"/>
  <c r="BS481"/>
  <c r="BQ481"/>
  <c r="BN481"/>
  <c r="BK481"/>
  <c r="AP481"/>
  <c r="X481"/>
  <c r="W481"/>
  <c r="BS496"/>
  <c r="BQ496"/>
  <c r="BN496"/>
  <c r="BK496"/>
  <c r="AP496"/>
  <c r="X496"/>
  <c r="W496"/>
  <c r="BS419"/>
  <c r="BQ419"/>
  <c r="BN419"/>
  <c r="BK419"/>
  <c r="AP419"/>
  <c r="X419"/>
  <c r="W419"/>
  <c r="BS179"/>
  <c r="BQ179"/>
  <c r="BN179"/>
  <c r="BK179"/>
  <c r="AP179"/>
  <c r="X179"/>
  <c r="W179"/>
  <c r="BS418"/>
  <c r="BQ418"/>
  <c r="BN418"/>
  <c r="BK418"/>
  <c r="AP418"/>
  <c r="X418"/>
  <c r="W418"/>
  <c r="BS398"/>
  <c r="BQ398"/>
  <c r="BN398"/>
  <c r="BK398"/>
  <c r="AP398"/>
  <c r="X398"/>
  <c r="W398"/>
  <c r="BS482"/>
  <c r="BQ482"/>
  <c r="BN482"/>
  <c r="BK482"/>
  <c r="AP482"/>
  <c r="X482"/>
  <c r="W482"/>
  <c r="BS511"/>
  <c r="BQ511"/>
  <c r="BN511"/>
  <c r="BK511"/>
  <c r="AP511"/>
  <c r="X511"/>
  <c r="W511"/>
  <c r="BS516"/>
  <c r="BQ516"/>
  <c r="BN516"/>
  <c r="BK516"/>
  <c r="AP516"/>
  <c r="X516"/>
  <c r="W516"/>
  <c r="BS475"/>
  <c r="BQ475"/>
  <c r="BN475"/>
  <c r="BK475"/>
  <c r="AP475"/>
  <c r="X475"/>
  <c r="W475"/>
  <c r="BS67"/>
  <c r="BQ67"/>
  <c r="BN67"/>
  <c r="BK67"/>
  <c r="AP67"/>
  <c r="X67"/>
  <c r="W67"/>
  <c r="BS579"/>
  <c r="BQ579"/>
  <c r="BN579"/>
  <c r="BK579"/>
  <c r="AP579"/>
  <c r="X579"/>
  <c r="W579"/>
  <c r="BS289"/>
  <c r="BQ289"/>
  <c r="BN289"/>
  <c r="BK289"/>
  <c r="AP289"/>
  <c r="X289"/>
  <c r="W289"/>
  <c r="BS514"/>
  <c r="BQ514"/>
  <c r="BN514"/>
  <c r="BK514"/>
  <c r="AP514"/>
  <c r="X514"/>
  <c r="W514"/>
  <c r="BS315"/>
  <c r="BQ315"/>
  <c r="BN315"/>
  <c r="BK315"/>
  <c r="AP315"/>
  <c r="X315"/>
  <c r="W315"/>
  <c r="BS493"/>
  <c r="BQ493"/>
  <c r="BN493"/>
  <c r="BK493"/>
  <c r="AP493"/>
  <c r="X493"/>
  <c r="W493"/>
  <c r="BS153"/>
  <c r="BQ153"/>
  <c r="BN153"/>
  <c r="BK153"/>
  <c r="AP153"/>
  <c r="X153"/>
  <c r="W153"/>
  <c r="BS94"/>
  <c r="BQ94"/>
  <c r="BN94"/>
  <c r="BK94"/>
  <c r="AP94"/>
  <c r="X94"/>
  <c r="W94"/>
  <c r="BS572"/>
  <c r="BQ572"/>
  <c r="BN572"/>
  <c r="BK572"/>
  <c r="AP572"/>
  <c r="X572"/>
  <c r="W572"/>
  <c r="BS662"/>
  <c r="BQ662"/>
  <c r="BN662"/>
  <c r="BK662"/>
  <c r="AP662"/>
  <c r="BS480"/>
  <c r="BQ480"/>
  <c r="BN480"/>
  <c r="BK480"/>
  <c r="AP480"/>
  <c r="X480"/>
  <c r="W480"/>
  <c r="BS258"/>
  <c r="BQ258"/>
  <c r="BN258"/>
  <c r="BK258"/>
  <c r="AP258"/>
  <c r="X258"/>
  <c r="W258"/>
  <c r="BS563"/>
  <c r="BQ563"/>
  <c r="BN563"/>
  <c r="BK563"/>
  <c r="AP563"/>
  <c r="X563"/>
  <c r="W563"/>
  <c r="BS411"/>
  <c r="BQ411"/>
  <c r="BN411"/>
  <c r="BK411"/>
  <c r="AP411"/>
  <c r="X411"/>
  <c r="W411"/>
  <c r="BS372"/>
  <c r="BQ372"/>
  <c r="BN372"/>
  <c r="BK372"/>
  <c r="AP372"/>
  <c r="X372"/>
  <c r="W372"/>
  <c r="BS316"/>
  <c r="BQ316"/>
  <c r="BN316"/>
  <c r="BK316"/>
  <c r="AP316"/>
  <c r="X316"/>
  <c r="W316"/>
  <c r="BS442"/>
  <c r="BQ442"/>
  <c r="BN442"/>
  <c r="BK442"/>
  <c r="AP442"/>
  <c r="X442"/>
  <c r="W442"/>
  <c r="BS451"/>
  <c r="BQ451"/>
  <c r="BN451"/>
  <c r="BK451"/>
  <c r="AP451"/>
  <c r="X451"/>
  <c r="W451"/>
  <c r="BS453"/>
  <c r="BQ453"/>
  <c r="BN453"/>
  <c r="BK453"/>
  <c r="AP453"/>
  <c r="X453"/>
  <c r="W453"/>
  <c r="BS386"/>
  <c r="BQ386"/>
  <c r="BN386"/>
  <c r="BK386"/>
  <c r="AP386"/>
  <c r="X386"/>
  <c r="W386"/>
  <c r="BS213"/>
  <c r="BQ213"/>
  <c r="BN213"/>
  <c r="BK213"/>
  <c r="AP213"/>
  <c r="X213"/>
  <c r="W213"/>
  <c r="BS594"/>
  <c r="BQ594"/>
  <c r="BN594"/>
  <c r="BK594"/>
  <c r="AP594"/>
  <c r="X594"/>
  <c r="W594"/>
  <c r="BS382"/>
  <c r="BQ382"/>
  <c r="BN382"/>
  <c r="BK382"/>
  <c r="AP382"/>
  <c r="X382"/>
  <c r="W382"/>
  <c r="BS158"/>
  <c r="BQ158"/>
  <c r="BN158"/>
  <c r="BK158"/>
  <c r="AP158"/>
  <c r="X158"/>
  <c r="W158"/>
  <c r="BS318"/>
  <c r="BQ318"/>
  <c r="BN318"/>
  <c r="BK318"/>
  <c r="AP318"/>
  <c r="X318"/>
  <c r="W318"/>
  <c r="BS661"/>
  <c r="BQ661"/>
  <c r="BN661"/>
  <c r="BK661"/>
  <c r="AP661"/>
  <c r="BS444"/>
  <c r="BQ444"/>
  <c r="BN444"/>
  <c r="BK444"/>
  <c r="AP444"/>
  <c r="X444"/>
  <c r="W444"/>
  <c r="BS532"/>
  <c r="BQ532"/>
  <c r="BN532"/>
  <c r="BK532"/>
  <c r="AP532"/>
  <c r="X532"/>
  <c r="W532"/>
  <c r="BS660"/>
  <c r="BS360"/>
  <c r="BQ360"/>
  <c r="BN360"/>
  <c r="BK360"/>
  <c r="AP360"/>
  <c r="X360"/>
  <c r="W360"/>
  <c r="BS588"/>
  <c r="BQ588"/>
  <c r="BN588"/>
  <c r="BK588"/>
  <c r="AP588"/>
  <c r="X588"/>
  <c r="W588"/>
  <c r="BS598"/>
  <c r="BQ598"/>
  <c r="BN598"/>
  <c r="BK598"/>
  <c r="AP598"/>
  <c r="X598"/>
  <c r="W598"/>
  <c r="BS283"/>
  <c r="BQ283"/>
  <c r="BN283"/>
  <c r="BK283"/>
  <c r="AP283"/>
  <c r="X283"/>
  <c r="W283"/>
  <c r="BS98"/>
  <c r="BQ98"/>
  <c r="BN98"/>
  <c r="BK98"/>
  <c r="AP98"/>
  <c r="X98"/>
  <c r="W98"/>
  <c r="BS459"/>
  <c r="BQ459"/>
  <c r="BN459"/>
  <c r="BK459"/>
  <c r="AP459"/>
  <c r="X459"/>
  <c r="W459"/>
  <c r="BS573"/>
  <c r="BQ573"/>
  <c r="BN573"/>
  <c r="BK573"/>
  <c r="AP573"/>
  <c r="X573"/>
  <c r="W573"/>
  <c r="BS575"/>
  <c r="BQ575"/>
  <c r="BN575"/>
  <c r="BK575"/>
  <c r="AP575"/>
  <c r="X575"/>
  <c r="W575"/>
  <c r="BS460"/>
  <c r="BQ460"/>
  <c r="BN460"/>
  <c r="BK460"/>
  <c r="AP460"/>
  <c r="X460"/>
  <c r="W460"/>
  <c r="BS173"/>
  <c r="BQ173"/>
  <c r="BN173"/>
  <c r="BK173"/>
  <c r="AP173"/>
  <c r="X173"/>
  <c r="W173"/>
  <c r="BS146"/>
  <c r="BQ146"/>
  <c r="BN146"/>
  <c r="BK146"/>
  <c r="AP146"/>
  <c r="X146"/>
  <c r="W146"/>
  <c r="BS659"/>
  <c r="BQ659"/>
  <c r="BN659"/>
  <c r="BK659"/>
  <c r="AP659"/>
  <c r="BS599"/>
  <c r="BQ599"/>
  <c r="BN599"/>
  <c r="BK599"/>
  <c r="AP599"/>
  <c r="X599"/>
  <c r="W599"/>
  <c r="BS118"/>
  <c r="BQ118"/>
  <c r="BN118"/>
  <c r="BK118"/>
  <c r="AP118"/>
  <c r="X118"/>
  <c r="W118"/>
  <c r="BS345"/>
  <c r="BQ345"/>
  <c r="BN345"/>
  <c r="BK345"/>
  <c r="AP345"/>
  <c r="X345"/>
  <c r="W345"/>
  <c r="BS244"/>
  <c r="BQ244"/>
  <c r="BN244"/>
  <c r="BK244"/>
  <c r="AP244"/>
  <c r="X244"/>
  <c r="W244"/>
  <c r="BS219"/>
  <c r="BQ219"/>
  <c r="BN219"/>
  <c r="BK219"/>
  <c r="AP219"/>
  <c r="X219"/>
  <c r="W219"/>
  <c r="BS416"/>
  <c r="BQ416"/>
  <c r="BN416"/>
  <c r="BK416"/>
  <c r="AP416"/>
  <c r="X416"/>
  <c r="W416"/>
  <c r="BS658"/>
  <c r="BQ658"/>
  <c r="BN658"/>
  <c r="BK658"/>
  <c r="AP658"/>
  <c r="BS531"/>
  <c r="BQ531"/>
  <c r="BN531"/>
  <c r="BK531"/>
  <c r="AP531"/>
  <c r="X531"/>
  <c r="W531"/>
  <c r="BS439"/>
  <c r="BQ439"/>
  <c r="BN439"/>
  <c r="BK439"/>
  <c r="AP439"/>
  <c r="X439"/>
  <c r="W439"/>
  <c r="BS440"/>
  <c r="BQ440"/>
  <c r="BN440"/>
  <c r="BK440"/>
  <c r="AP440"/>
  <c r="X440"/>
  <c r="W440"/>
  <c r="BS167"/>
  <c r="BQ167"/>
  <c r="BN167"/>
  <c r="BK167"/>
  <c r="AP167"/>
  <c r="X167"/>
  <c r="W167"/>
  <c r="BS391"/>
  <c r="BQ391"/>
  <c r="BN391"/>
  <c r="BK391"/>
  <c r="AP391"/>
  <c r="X391"/>
  <c r="W391"/>
  <c r="BS336"/>
  <c r="BQ336"/>
  <c r="BN336"/>
  <c r="BK336"/>
  <c r="AP336"/>
  <c r="X336"/>
  <c r="W336"/>
  <c r="BS186"/>
  <c r="BQ186"/>
  <c r="BN186"/>
  <c r="BK186"/>
  <c r="AP186"/>
  <c r="X186"/>
  <c r="W186"/>
  <c r="BS328"/>
  <c r="BQ328"/>
  <c r="BN328"/>
  <c r="BK328"/>
  <c r="AP328"/>
  <c r="X328"/>
  <c r="W328"/>
  <c r="BS297"/>
  <c r="BQ297"/>
  <c r="BN297"/>
  <c r="BK297"/>
  <c r="AP297"/>
  <c r="X297"/>
  <c r="W297"/>
  <c r="BS293"/>
  <c r="BQ293"/>
  <c r="BN293"/>
  <c r="BK293"/>
  <c r="AP293"/>
  <c r="X293"/>
  <c r="W293"/>
  <c r="BW301"/>
  <c r="BS301"/>
  <c r="BQ301"/>
  <c r="BN301"/>
  <c r="BK301"/>
  <c r="AP301"/>
  <c r="X301"/>
  <c r="W301"/>
  <c r="BS165"/>
  <c r="BQ165"/>
  <c r="BN165"/>
  <c r="BK165"/>
  <c r="AP165"/>
  <c r="X165"/>
  <c r="W165"/>
  <c r="BS222"/>
  <c r="BQ222"/>
  <c r="BN222"/>
  <c r="BK222"/>
  <c r="AP222"/>
  <c r="X222"/>
  <c r="W222"/>
  <c r="BS268"/>
  <c r="BQ268"/>
  <c r="BN268"/>
  <c r="BK268"/>
  <c r="AP268"/>
  <c r="X268"/>
  <c r="W268"/>
  <c r="BS657"/>
  <c r="BQ657"/>
  <c r="BN657"/>
  <c r="BK657"/>
  <c r="AP657"/>
  <c r="BS402"/>
  <c r="BQ402"/>
  <c r="BN402"/>
  <c r="BK402"/>
  <c r="AP402"/>
  <c r="X402"/>
  <c r="W402"/>
  <c r="BS144"/>
  <c r="BQ144"/>
  <c r="BN144"/>
  <c r="BK144"/>
  <c r="AP144"/>
  <c r="X144"/>
  <c r="W144"/>
  <c r="BS596"/>
  <c r="BQ596"/>
  <c r="BN596"/>
  <c r="BK596"/>
  <c r="AP596"/>
  <c r="X596"/>
  <c r="W596"/>
  <c r="BS178"/>
  <c r="BQ178"/>
  <c r="BN178"/>
  <c r="BK178"/>
  <c r="AP178"/>
  <c r="X178"/>
  <c r="W178"/>
  <c r="BS339"/>
  <c r="BQ339"/>
  <c r="BN339"/>
  <c r="BK339"/>
  <c r="AP339"/>
  <c r="X339"/>
  <c r="W339"/>
  <c r="BS332"/>
  <c r="BQ332"/>
  <c r="BN332"/>
  <c r="BK332"/>
  <c r="AP332"/>
  <c r="X332"/>
  <c r="W332"/>
  <c r="BS446"/>
  <c r="BQ446"/>
  <c r="BN446"/>
  <c r="BK446"/>
  <c r="AP446"/>
  <c r="X446"/>
  <c r="W446"/>
  <c r="BS423"/>
  <c r="BQ423"/>
  <c r="BN423"/>
  <c r="BK423"/>
  <c r="AP423"/>
  <c r="X423"/>
  <c r="W423"/>
  <c r="BS162"/>
  <c r="BQ162"/>
  <c r="BN162"/>
  <c r="BK162"/>
  <c r="AP162"/>
  <c r="X162"/>
  <c r="W162"/>
  <c r="BS656"/>
  <c r="BQ656"/>
  <c r="BN656"/>
  <c r="BK656"/>
  <c r="AP656"/>
  <c r="BS487"/>
  <c r="BQ487"/>
  <c r="BN487"/>
  <c r="BK487"/>
  <c r="AP487"/>
  <c r="X487"/>
  <c r="W487"/>
  <c r="BS309"/>
  <c r="BQ309"/>
  <c r="BN309"/>
  <c r="BK309"/>
  <c r="AP309"/>
  <c r="X309"/>
  <c r="W309"/>
  <c r="BS90"/>
  <c r="BQ90"/>
  <c r="BN90"/>
  <c r="BK90"/>
  <c r="AP90"/>
  <c r="X90"/>
  <c r="W90"/>
  <c r="BS261"/>
  <c r="BQ261"/>
  <c r="BN261"/>
  <c r="BK261"/>
  <c r="AP261"/>
  <c r="X261"/>
  <c r="W261"/>
  <c r="BS325"/>
  <c r="BQ325"/>
  <c r="BN325"/>
  <c r="BK325"/>
  <c r="AP325"/>
  <c r="X325"/>
  <c r="W325"/>
  <c r="BS395"/>
  <c r="BQ395"/>
  <c r="BN395"/>
  <c r="BK395"/>
  <c r="AP395"/>
  <c r="X395"/>
  <c r="W395"/>
  <c r="BS383"/>
  <c r="BQ383"/>
  <c r="BN383"/>
  <c r="BK383"/>
  <c r="AP383"/>
  <c r="X383"/>
  <c r="W383"/>
  <c r="BS538"/>
  <c r="BQ538"/>
  <c r="BN538"/>
  <c r="BK538"/>
  <c r="AP538"/>
  <c r="X538"/>
  <c r="W538"/>
  <c r="BS237"/>
  <c r="BQ237"/>
  <c r="BN237"/>
  <c r="BK237"/>
  <c r="AP237"/>
  <c r="X237"/>
  <c r="W237"/>
  <c r="BS317"/>
  <c r="BQ317"/>
  <c r="BN317"/>
  <c r="BK317"/>
  <c r="AP317"/>
  <c r="X317"/>
  <c r="W317"/>
  <c r="BS485"/>
  <c r="BQ485"/>
  <c r="BN485"/>
  <c r="BK485"/>
  <c r="AP485"/>
  <c r="X485"/>
  <c r="W485"/>
  <c r="BS571"/>
  <c r="BQ571"/>
  <c r="BN571"/>
  <c r="BK571"/>
  <c r="AP571"/>
  <c r="X571"/>
  <c r="W571"/>
  <c r="BS549"/>
  <c r="BQ549"/>
  <c r="BN549"/>
  <c r="BK549"/>
  <c r="AP549"/>
  <c r="X549"/>
  <c r="W549"/>
  <c r="BS510"/>
  <c r="BQ510"/>
  <c r="BN510"/>
  <c r="BK510"/>
  <c r="AP510"/>
  <c r="X510"/>
  <c r="W510"/>
  <c r="BS143"/>
  <c r="BQ143"/>
  <c r="BN143"/>
  <c r="BK143"/>
  <c r="AP143"/>
  <c r="X143"/>
  <c r="W143"/>
  <c r="BS269"/>
  <c r="BQ269"/>
  <c r="BN269"/>
  <c r="BK269"/>
  <c r="AP269"/>
  <c r="X269"/>
  <c r="W269"/>
  <c r="BS120"/>
  <c r="BQ120"/>
  <c r="BN120"/>
  <c r="BK120"/>
  <c r="AP120"/>
  <c r="X120"/>
  <c r="W120"/>
  <c r="BS420"/>
  <c r="BN420"/>
  <c r="BK420"/>
  <c r="AP420"/>
  <c r="X420"/>
  <c r="W420"/>
  <c r="BS607"/>
  <c r="BQ607"/>
  <c r="BN607"/>
  <c r="BK607"/>
  <c r="AP607"/>
  <c r="X607"/>
  <c r="W607"/>
  <c r="BS557"/>
  <c r="BQ557"/>
  <c r="BN557"/>
  <c r="BK557"/>
  <c r="AP557"/>
  <c r="X557"/>
  <c r="W557"/>
  <c r="BS501"/>
  <c r="BQ501"/>
  <c r="BN501"/>
  <c r="BK501"/>
  <c r="AP501"/>
  <c r="X501"/>
  <c r="W501"/>
  <c r="BS591"/>
  <c r="BQ591"/>
  <c r="BN591"/>
  <c r="BK591"/>
  <c r="AP591"/>
  <c r="X591"/>
  <c r="W591"/>
  <c r="BS608"/>
  <c r="BQ608"/>
  <c r="BN608"/>
  <c r="BK608"/>
  <c r="AP608"/>
  <c r="X608"/>
  <c r="W608"/>
  <c r="BS73"/>
  <c r="BQ73"/>
  <c r="BN73"/>
  <c r="BK73"/>
  <c r="AP73"/>
  <c r="X73"/>
  <c r="W73"/>
  <c r="BS436"/>
  <c r="BQ436"/>
  <c r="BN436"/>
  <c r="BK436"/>
  <c r="AP436"/>
  <c r="X436"/>
  <c r="W436"/>
  <c r="BS551"/>
  <c r="BQ551"/>
  <c r="BN551"/>
  <c r="BK551"/>
  <c r="AP551"/>
  <c r="X551"/>
  <c r="W551"/>
  <c r="BS32"/>
  <c r="BQ32"/>
  <c r="BN32"/>
  <c r="BK32"/>
  <c r="AP32"/>
  <c r="X32"/>
  <c r="W32"/>
  <c r="BS310"/>
  <c r="BQ310"/>
  <c r="BN310"/>
  <c r="BK310"/>
  <c r="AP310"/>
  <c r="X310"/>
  <c r="W310"/>
  <c r="BS141"/>
  <c r="BQ141"/>
  <c r="BN141"/>
  <c r="BK141"/>
  <c r="AP141"/>
  <c r="X141"/>
  <c r="W141"/>
  <c r="BS414"/>
  <c r="BQ414"/>
  <c r="BN414"/>
  <c r="BK414"/>
  <c r="AP414"/>
  <c r="X414"/>
  <c r="W414"/>
  <c r="BS113"/>
  <c r="BQ113"/>
  <c r="BN113"/>
  <c r="BK113"/>
  <c r="AP113"/>
  <c r="X113"/>
  <c r="W113"/>
  <c r="BS488"/>
  <c r="BQ488"/>
  <c r="BN488"/>
  <c r="BK488"/>
  <c r="AP488"/>
  <c r="X488"/>
  <c r="W488"/>
  <c r="BS470"/>
  <c r="BQ470"/>
  <c r="BN470"/>
  <c r="BK470"/>
  <c r="AP470"/>
  <c r="X470"/>
  <c r="W470"/>
  <c r="BS271"/>
  <c r="BQ271"/>
  <c r="BN271"/>
  <c r="BK271"/>
  <c r="AP271"/>
  <c r="X271"/>
  <c r="W271"/>
  <c r="BS131"/>
  <c r="BQ131"/>
  <c r="BN131"/>
  <c r="BK131"/>
  <c r="AP131"/>
  <c r="X131"/>
  <c r="W131"/>
  <c r="BS413"/>
  <c r="BQ413"/>
  <c r="BN413"/>
  <c r="BK413"/>
  <c r="AP413"/>
  <c r="X413"/>
  <c r="W413"/>
  <c r="BS590"/>
  <c r="BQ590"/>
  <c r="BN590"/>
  <c r="BK590"/>
  <c r="AP590"/>
  <c r="X590"/>
  <c r="W590"/>
  <c r="BY211"/>
  <c r="BS211"/>
  <c r="BQ211"/>
  <c r="BN211"/>
  <c r="BK211"/>
  <c r="AP211"/>
  <c r="X211"/>
  <c r="W211"/>
  <c r="BS617"/>
  <c r="BQ617"/>
  <c r="BN617"/>
  <c r="BK617"/>
  <c r="AP617"/>
  <c r="X617"/>
  <c r="W617"/>
  <c r="BW435"/>
  <c r="BS435"/>
  <c r="BQ435"/>
  <c r="BN435"/>
  <c r="BK435"/>
  <c r="AP435"/>
  <c r="X435"/>
  <c r="W435"/>
  <c r="BS567"/>
  <c r="BQ567"/>
  <c r="BN567"/>
  <c r="BK567"/>
  <c r="AP567"/>
  <c r="X567"/>
  <c r="W567"/>
  <c r="BS427"/>
  <c r="BQ427"/>
  <c r="BN427"/>
  <c r="BK427"/>
  <c r="AP427"/>
  <c r="X427"/>
  <c r="W427"/>
  <c r="BS334"/>
  <c r="BQ334"/>
  <c r="BN334"/>
  <c r="BK334"/>
  <c r="AP334"/>
  <c r="X334"/>
  <c r="W334"/>
  <c r="BS534"/>
  <c r="BQ534"/>
  <c r="BN534"/>
  <c r="BK534"/>
  <c r="AP534"/>
  <c r="X534"/>
  <c r="W534"/>
  <c r="BS547"/>
  <c r="BQ547"/>
  <c r="BN547"/>
  <c r="BK547"/>
  <c r="AP547"/>
  <c r="X547"/>
  <c r="W547"/>
  <c r="BS298"/>
  <c r="BQ298"/>
  <c r="BN298"/>
  <c r="BK298"/>
  <c r="AP298"/>
  <c r="X298"/>
  <c r="W298"/>
  <c r="BS655"/>
  <c r="BQ655"/>
  <c r="BK655"/>
  <c r="BS448"/>
  <c r="BQ448"/>
  <c r="BN448"/>
  <c r="BK448"/>
  <c r="AP448"/>
  <c r="X448"/>
  <c r="W448"/>
  <c r="BS473"/>
  <c r="BQ473"/>
  <c r="BN473"/>
  <c r="BK473"/>
  <c r="AP473"/>
  <c r="X473"/>
  <c r="W473"/>
  <c r="BS226"/>
  <c r="BQ226"/>
  <c r="BN226"/>
  <c r="BK226"/>
  <c r="AP226"/>
  <c r="X226"/>
  <c r="W226"/>
  <c r="BS548"/>
  <c r="BQ548"/>
  <c r="BN548"/>
  <c r="BK548"/>
  <c r="AP548"/>
  <c r="X548"/>
  <c r="W548"/>
  <c r="BS562"/>
  <c r="BQ562"/>
  <c r="BN562"/>
  <c r="BK562"/>
  <c r="AP562"/>
  <c r="X562"/>
  <c r="W562"/>
  <c r="BS210"/>
  <c r="BQ210"/>
  <c r="BN210"/>
  <c r="BK210"/>
  <c r="AP210"/>
  <c r="X210"/>
  <c r="W210"/>
  <c r="BS512"/>
  <c r="BQ512"/>
  <c r="BN512"/>
  <c r="BK512"/>
  <c r="AP512"/>
  <c r="X512"/>
  <c r="W512"/>
  <c r="BS587"/>
  <c r="BQ587"/>
  <c r="BN587"/>
  <c r="BK587"/>
  <c r="AP587"/>
  <c r="X587"/>
  <c r="W587"/>
  <c r="BS537"/>
  <c r="BQ537"/>
  <c r="BN537"/>
  <c r="BK537"/>
  <c r="AP537"/>
  <c r="X537"/>
  <c r="W537"/>
  <c r="BS654"/>
  <c r="BQ654"/>
  <c r="BK654"/>
  <c r="BS653"/>
  <c r="BQ653"/>
  <c r="BN653"/>
  <c r="BK653"/>
  <c r="AP653"/>
  <c r="BS652"/>
  <c r="BQ652"/>
  <c r="BN652"/>
  <c r="BK652"/>
  <c r="AP652"/>
  <c r="BS651"/>
  <c r="BQ651"/>
  <c r="BK651"/>
  <c r="BS355"/>
  <c r="BQ355"/>
  <c r="BN355"/>
  <c r="BK355"/>
  <c r="AP355"/>
  <c r="X355"/>
  <c r="W355"/>
  <c r="BS650"/>
  <c r="BQ650"/>
  <c r="BN650"/>
  <c r="BK650"/>
  <c r="BS597"/>
  <c r="BQ597"/>
  <c r="BN597"/>
  <c r="BK597"/>
  <c r="AP597"/>
  <c r="X597"/>
  <c r="W597"/>
  <c r="BS484"/>
  <c r="BQ484"/>
  <c r="BN484"/>
  <c r="BK484"/>
  <c r="AP484"/>
  <c r="X484"/>
  <c r="W484"/>
  <c r="BS218"/>
  <c r="BQ218"/>
  <c r="BN218"/>
  <c r="BK218"/>
  <c r="AP218"/>
  <c r="X218"/>
  <c r="W218"/>
  <c r="BS189"/>
  <c r="BQ189"/>
  <c r="BN189"/>
  <c r="BK189"/>
  <c r="AP189"/>
  <c r="X189"/>
  <c r="W189"/>
  <c r="BS191"/>
  <c r="BQ191"/>
  <c r="BN191"/>
  <c r="BK191"/>
  <c r="AP191"/>
  <c r="X191"/>
  <c r="W191"/>
  <c r="BS568"/>
  <c r="BQ568"/>
  <c r="BN568"/>
  <c r="BK568"/>
  <c r="AP568"/>
  <c r="X568"/>
  <c r="W568"/>
  <c r="BS610"/>
  <c r="BQ610"/>
  <c r="BN610"/>
  <c r="BK610"/>
  <c r="AP610"/>
  <c r="X610"/>
  <c r="W610"/>
  <c r="BS649"/>
  <c r="BQ649"/>
  <c r="BN649"/>
  <c r="BK649"/>
  <c r="BS429"/>
  <c r="BQ429"/>
  <c r="BN429"/>
  <c r="BK429"/>
  <c r="AP429"/>
  <c r="X429"/>
  <c r="W429"/>
  <c r="BS648"/>
  <c r="BQ648"/>
  <c r="BN648"/>
  <c r="BK648"/>
  <c r="AP648"/>
  <c r="BS245"/>
  <c r="BQ245"/>
  <c r="BN245"/>
  <c r="BK245"/>
  <c r="AP245"/>
  <c r="X245"/>
  <c r="W245"/>
  <c r="BS584"/>
  <c r="BQ584"/>
  <c r="BN584"/>
  <c r="BK584"/>
  <c r="AP584"/>
  <c r="X584"/>
  <c r="W584"/>
  <c r="BS647"/>
  <c r="BS527"/>
  <c r="BQ527"/>
  <c r="BN527"/>
  <c r="BK527"/>
  <c r="AP527"/>
  <c r="X527"/>
  <c r="W527"/>
  <c r="BS430"/>
  <c r="BQ430"/>
  <c r="BN430"/>
  <c r="BK430"/>
  <c r="AP430"/>
  <c r="X430"/>
  <c r="W430"/>
  <c r="BS147"/>
  <c r="BQ147"/>
  <c r="BN147"/>
  <c r="BK147"/>
  <c r="AP147"/>
  <c r="X147"/>
  <c r="W147"/>
  <c r="BW139"/>
  <c r="BS139"/>
  <c r="BQ139"/>
  <c r="BN139"/>
  <c r="BK139"/>
  <c r="AP139"/>
  <c r="X139"/>
  <c r="W139"/>
  <c r="BS615"/>
  <c r="BQ615"/>
  <c r="BN615"/>
  <c r="BK615"/>
  <c r="AP615"/>
  <c r="X615"/>
  <c r="W615"/>
  <c r="BS112"/>
  <c r="BQ112"/>
  <c r="BN112"/>
  <c r="BK112"/>
  <c r="AP112"/>
  <c r="X112"/>
  <c r="W112"/>
  <c r="BS346"/>
  <c r="BQ346"/>
  <c r="BN346"/>
  <c r="BK346"/>
  <c r="AP346"/>
  <c r="X346"/>
  <c r="W346"/>
  <c r="BS338"/>
  <c r="BQ338"/>
  <c r="BN338"/>
  <c r="BK338"/>
  <c r="AP338"/>
  <c r="X338"/>
  <c r="W338"/>
  <c r="BS410"/>
  <c r="BQ410"/>
  <c r="BN410"/>
  <c r="BK410"/>
  <c r="AP410"/>
  <c r="X410"/>
  <c r="W410"/>
  <c r="BS646"/>
  <c r="BQ646"/>
  <c r="BK646"/>
  <c r="AP646"/>
  <c r="BS209"/>
  <c r="BQ209"/>
  <c r="BN209"/>
  <c r="BK209"/>
  <c r="AP209"/>
  <c r="X209"/>
  <c r="W209"/>
  <c r="BS445"/>
  <c r="BQ445"/>
  <c r="BN445"/>
  <c r="BK445"/>
  <c r="AP445"/>
  <c r="X445"/>
  <c r="W445"/>
  <c r="BS592"/>
  <c r="BQ592"/>
  <c r="BN592"/>
  <c r="BK592"/>
  <c r="AP592"/>
  <c r="X592"/>
  <c r="W592"/>
  <c r="BS108"/>
  <c r="BQ108"/>
  <c r="BN108"/>
  <c r="BK108"/>
  <c r="AP108"/>
  <c r="X108"/>
  <c r="W108"/>
  <c r="BS262"/>
  <c r="BQ262"/>
  <c r="BN262"/>
  <c r="BK262"/>
  <c r="AP262"/>
  <c r="X262"/>
  <c r="W262"/>
  <c r="BS645"/>
  <c r="BQ645"/>
  <c r="BS249"/>
  <c r="BQ249"/>
  <c r="BN249"/>
  <c r="BK249"/>
  <c r="AP249"/>
  <c r="X249"/>
  <c r="W249"/>
  <c r="BS286"/>
  <c r="BQ286"/>
  <c r="BN286"/>
  <c r="BK286"/>
  <c r="AP286"/>
  <c r="X286"/>
  <c r="W286"/>
  <c r="BS585"/>
  <c r="BQ585"/>
  <c r="BN585"/>
  <c r="BK585"/>
  <c r="AP585"/>
  <c r="X585"/>
  <c r="W585"/>
  <c r="BS644"/>
  <c r="BQ644"/>
  <c r="BN644"/>
  <c r="BK644"/>
  <c r="AP644"/>
  <c r="BS394"/>
  <c r="BQ394"/>
  <c r="BN394"/>
  <c r="BK394"/>
  <c r="AP394"/>
  <c r="X394"/>
  <c r="W394"/>
  <c r="BS357"/>
  <c r="BQ357"/>
  <c r="BN357"/>
  <c r="BK357"/>
  <c r="AP357"/>
  <c r="X357"/>
  <c r="W357"/>
  <c r="BS443"/>
  <c r="BQ443"/>
  <c r="BN443"/>
  <c r="BK443"/>
  <c r="AP443"/>
  <c r="X443"/>
  <c r="W443"/>
  <c r="BS606"/>
  <c r="BQ606"/>
  <c r="BN606"/>
  <c r="BK606"/>
  <c r="AP606"/>
  <c r="X606"/>
  <c r="W606"/>
  <c r="BS643"/>
  <c r="BQ643"/>
  <c r="BK643"/>
  <c r="AP643"/>
  <c r="BS642"/>
  <c r="BQ642"/>
  <c r="BN642"/>
  <c r="BK642"/>
  <c r="BS103"/>
  <c r="BQ103"/>
  <c r="BN103"/>
  <c r="BK103"/>
  <c r="AP103"/>
  <c r="X103"/>
  <c r="W103"/>
  <c r="BS601"/>
  <c r="BQ601"/>
  <c r="BN601"/>
  <c r="BK601"/>
  <c r="AP601"/>
  <c r="X601"/>
  <c r="W601"/>
  <c r="BS552"/>
  <c r="BQ552"/>
  <c r="BN552"/>
  <c r="BK552"/>
  <c r="AP552"/>
  <c r="X552"/>
  <c r="W552"/>
  <c r="BS494"/>
  <c r="BQ494"/>
  <c r="BN494"/>
  <c r="BK494"/>
  <c r="AP494"/>
  <c r="X494"/>
  <c r="W494"/>
  <c r="BS616"/>
  <c r="BQ616"/>
  <c r="BN616"/>
  <c r="BK616"/>
  <c r="AP616"/>
  <c r="X616"/>
  <c r="W616"/>
  <c r="BS586"/>
  <c r="BQ586"/>
  <c r="BN586"/>
  <c r="BK586"/>
  <c r="AP586"/>
  <c r="X586"/>
  <c r="W586"/>
  <c r="BS384"/>
  <c r="BQ384"/>
  <c r="BN384"/>
  <c r="BK384"/>
  <c r="AP384"/>
  <c r="X384"/>
  <c r="W384"/>
  <c r="BS504"/>
  <c r="BQ504"/>
  <c r="BN504"/>
  <c r="BK504"/>
  <c r="AP504"/>
  <c r="X504"/>
  <c r="W504"/>
  <c r="BS641"/>
  <c r="BQ641"/>
  <c r="BN641"/>
  <c r="BK641"/>
  <c r="BS401"/>
  <c r="BQ401"/>
  <c r="BN401"/>
  <c r="BK401"/>
  <c r="AP401"/>
  <c r="X401"/>
  <c r="W401"/>
  <c r="BS520"/>
  <c r="BQ520"/>
  <c r="BN520"/>
  <c r="BK520"/>
  <c r="AP520"/>
  <c r="X520"/>
  <c r="W520"/>
  <c r="BS483"/>
  <c r="BQ483"/>
  <c r="BN483"/>
  <c r="BK483"/>
  <c r="AP483"/>
  <c r="X483"/>
  <c r="W483"/>
  <c r="BS333"/>
  <c r="BQ333"/>
  <c r="BN333"/>
  <c r="BK333"/>
  <c r="AP333"/>
  <c r="X333"/>
  <c r="W333"/>
  <c r="BS640"/>
  <c r="BQ640"/>
  <c r="BN640"/>
  <c r="BK640"/>
  <c r="BS639"/>
  <c r="BQ639"/>
  <c r="BS638"/>
  <c r="BQ638"/>
  <c r="BK638"/>
  <c r="AP638"/>
  <c r="BW307"/>
  <c r="BS307"/>
  <c r="BQ307"/>
  <c r="BN307"/>
  <c r="BK307"/>
  <c r="AP307"/>
  <c r="X307"/>
  <c r="W307"/>
  <c r="BS425"/>
  <c r="BQ425"/>
  <c r="BN425"/>
  <c r="BK425"/>
  <c r="AP425"/>
  <c r="X425"/>
  <c r="W425"/>
  <c r="BS637"/>
  <c r="BQ637"/>
  <c r="BN637"/>
  <c r="BK637"/>
  <c r="BS636"/>
  <c r="BQ636"/>
  <c r="BN636"/>
  <c r="BK636"/>
  <c r="AP636"/>
  <c r="BS352"/>
  <c r="BQ352"/>
  <c r="BN352"/>
  <c r="BK352"/>
  <c r="AP352"/>
  <c r="X352"/>
  <c r="W352"/>
  <c r="BS230"/>
  <c r="BQ230"/>
  <c r="BN230"/>
  <c r="BK230"/>
  <c r="AP230"/>
  <c r="X230"/>
  <c r="W230"/>
  <c r="BS163"/>
  <c r="BQ163"/>
  <c r="BN163"/>
  <c r="BK163"/>
  <c r="AP163"/>
  <c r="X163"/>
  <c r="W163"/>
  <c r="BS248"/>
  <c r="BQ248"/>
  <c r="BN248"/>
  <c r="BK248"/>
  <c r="AP248"/>
  <c r="X248"/>
  <c r="W248"/>
  <c r="BS356"/>
  <c r="BQ356"/>
  <c r="BN356"/>
  <c r="BK356"/>
  <c r="AP356"/>
  <c r="X356"/>
  <c r="W356"/>
  <c r="BS306"/>
  <c r="BQ306"/>
  <c r="BN306"/>
  <c r="BK306"/>
  <c r="AP306"/>
  <c r="X306"/>
  <c r="W306"/>
  <c r="BS604"/>
  <c r="BQ604"/>
  <c r="BN604"/>
  <c r="BK604"/>
  <c r="AP604"/>
  <c r="X604"/>
  <c r="W604"/>
  <c r="BS456"/>
  <c r="BQ456"/>
  <c r="BN456"/>
  <c r="BK456"/>
  <c r="AP456"/>
  <c r="X456"/>
  <c r="W456"/>
  <c r="BS635"/>
  <c r="BQ635"/>
  <c r="BK635"/>
  <c r="BS486"/>
  <c r="BQ486"/>
  <c r="BN486"/>
  <c r="BK486"/>
  <c r="AP486"/>
  <c r="X486"/>
  <c r="W486"/>
  <c r="BS634"/>
  <c r="BQ634"/>
  <c r="BK634"/>
  <c r="BS633"/>
  <c r="BQ633"/>
  <c r="BN633"/>
  <c r="BK633"/>
  <c r="BS377"/>
  <c r="BQ377"/>
  <c r="BN377"/>
  <c r="BK377"/>
  <c r="AP377"/>
  <c r="X377"/>
  <c r="W377"/>
  <c r="BS632"/>
  <c r="BQ632"/>
  <c r="BS362"/>
  <c r="BQ362"/>
  <c r="BN362"/>
  <c r="BK362"/>
  <c r="AP362"/>
  <c r="X362"/>
  <c r="W362"/>
  <c r="BS540"/>
  <c r="BQ540"/>
  <c r="BN540"/>
  <c r="BK540"/>
  <c r="AP540"/>
  <c r="X540"/>
  <c r="W540"/>
  <c r="BS578"/>
  <c r="BQ578"/>
  <c r="BN578"/>
  <c r="BK578"/>
  <c r="AP578"/>
  <c r="X578"/>
  <c r="W578"/>
  <c r="BS509"/>
  <c r="BQ509"/>
  <c r="BN509"/>
  <c r="BK509"/>
  <c r="AP509"/>
  <c r="X509"/>
  <c r="W509"/>
  <c r="BS631"/>
  <c r="BQ631"/>
  <c r="BN631"/>
  <c r="BK631"/>
  <c r="AP631"/>
  <c r="BS235"/>
  <c r="BQ235"/>
  <c r="BN235"/>
  <c r="BK235"/>
  <c r="AP235"/>
  <c r="X235"/>
  <c r="W235"/>
  <c r="BS630"/>
  <c r="BQ630"/>
  <c r="BN630"/>
  <c r="BK630"/>
  <c r="BS83"/>
  <c r="BQ83"/>
  <c r="BN83"/>
  <c r="BK83"/>
  <c r="AP83"/>
  <c r="X83"/>
  <c r="W83"/>
  <c r="BS541"/>
  <c r="BQ541"/>
  <c r="BN541"/>
  <c r="BK541"/>
  <c r="AP541"/>
  <c r="X541"/>
  <c r="W541"/>
  <c r="BS555"/>
  <c r="BQ555"/>
  <c r="BN555"/>
  <c r="BK555"/>
  <c r="AP555"/>
  <c r="X555"/>
  <c r="W555"/>
  <c r="BS200"/>
  <c r="BQ200"/>
  <c r="BN200"/>
  <c r="BK200"/>
  <c r="AP200"/>
  <c r="X200"/>
  <c r="W200"/>
  <c r="BS251"/>
  <c r="BQ251"/>
  <c r="BN251"/>
  <c r="BK251"/>
  <c r="AP251"/>
  <c r="X251"/>
  <c r="W251"/>
  <c r="BS489"/>
  <c r="BQ489"/>
  <c r="BN489"/>
  <c r="BK489"/>
  <c r="AP489"/>
  <c r="X489"/>
  <c r="W489"/>
  <c r="BS266"/>
  <c r="BQ266"/>
  <c r="BN266"/>
  <c r="BK266"/>
  <c r="AP266"/>
  <c r="X266"/>
  <c r="W266"/>
  <c r="BS361"/>
  <c r="BQ361"/>
  <c r="BN361"/>
  <c r="BK361"/>
  <c r="AP361"/>
  <c r="X361"/>
  <c r="W361"/>
  <c r="BS629"/>
  <c r="BQ629"/>
  <c r="BS294"/>
  <c r="BQ294"/>
  <c r="BN294"/>
  <c r="BK294"/>
  <c r="AP294"/>
  <c r="X294"/>
  <c r="W294"/>
  <c r="BS412"/>
  <c r="BQ412"/>
  <c r="BN412"/>
  <c r="BK412"/>
  <c r="AP412"/>
  <c r="X412"/>
  <c r="W412"/>
  <c r="BS331"/>
  <c r="BQ331"/>
  <c r="BN331"/>
  <c r="BK331"/>
  <c r="AP331"/>
  <c r="X331"/>
  <c r="W331"/>
  <c r="BS303"/>
  <c r="BQ303"/>
  <c r="BN303"/>
  <c r="BK303"/>
  <c r="AP303"/>
  <c r="X303"/>
  <c r="W303"/>
  <c r="BS628"/>
  <c r="BQ628"/>
  <c r="BN628"/>
  <c r="BK628"/>
  <c r="AP628"/>
  <c r="BS627"/>
  <c r="BQ627"/>
  <c r="BN627"/>
  <c r="BK627"/>
  <c r="BS558"/>
  <c r="BQ558"/>
  <c r="BN558"/>
  <c r="BK558"/>
  <c r="AP558"/>
  <c r="X558"/>
  <c r="W558"/>
  <c r="BS582"/>
  <c r="BQ582"/>
  <c r="BN582"/>
  <c r="BK582"/>
  <c r="AP582"/>
  <c r="X582"/>
  <c r="W582"/>
  <c r="BS556"/>
  <c r="BQ556"/>
  <c r="BN556"/>
  <c r="BK556"/>
  <c r="AP556"/>
  <c r="X556"/>
  <c r="W556"/>
  <c r="BS415"/>
  <c r="BQ415"/>
  <c r="BN415"/>
  <c r="BK415"/>
  <c r="AP415"/>
  <c r="X415"/>
  <c r="W415"/>
  <c r="BS525"/>
  <c r="BQ525"/>
  <c r="BN525"/>
  <c r="BK525"/>
  <c r="AP525"/>
  <c r="X525"/>
  <c r="W525"/>
  <c r="BS626"/>
  <c r="BQ626"/>
  <c r="BN626"/>
  <c r="BK626"/>
  <c r="BS498"/>
  <c r="BQ498"/>
  <c r="BN498"/>
  <c r="BK498"/>
  <c r="AP498"/>
  <c r="X498"/>
  <c r="W498"/>
  <c r="BS117"/>
  <c r="BQ117"/>
  <c r="BN117"/>
  <c r="BK117"/>
  <c r="AP117"/>
  <c r="X117"/>
  <c r="W117"/>
  <c r="BS625"/>
  <c r="BQ625"/>
  <c r="BN625"/>
  <c r="BK625"/>
  <c r="BS624"/>
  <c r="BQ624"/>
  <c r="BN624"/>
  <c r="BK624"/>
  <c r="AP624"/>
  <c r="BS623"/>
  <c r="BQ623"/>
  <c r="BN623"/>
  <c r="BK623"/>
  <c r="AP623"/>
  <c r="BS622"/>
  <c r="BQ622"/>
  <c r="BK622"/>
  <c r="BS621"/>
  <c r="BQ621"/>
  <c r="BS450"/>
  <c r="BQ450"/>
  <c r="BN450"/>
  <c r="BK450"/>
  <c r="AP450"/>
  <c r="X450"/>
  <c r="W450"/>
  <c r="BS602"/>
  <c r="BQ602"/>
  <c r="BN602"/>
  <c r="BK602"/>
  <c r="AP602"/>
  <c r="X602"/>
  <c r="W602"/>
  <c r="BS161"/>
  <c r="BQ161"/>
  <c r="BN161"/>
  <c r="BK161"/>
  <c r="AP161"/>
  <c r="X161"/>
  <c r="W161"/>
  <c r="BS490"/>
  <c r="BQ490"/>
  <c r="BN490"/>
  <c r="BK490"/>
  <c r="AP490"/>
  <c r="X490"/>
  <c r="W490"/>
  <c r="BS214"/>
  <c r="BQ214"/>
  <c r="BN214"/>
  <c r="BK214"/>
  <c r="AP214"/>
  <c r="X214"/>
  <c r="W214"/>
  <c r="BS620"/>
  <c r="BQ620"/>
  <c r="BN620"/>
  <c r="BK620"/>
  <c r="BS160"/>
  <c r="BQ160"/>
  <c r="BN160"/>
  <c r="BK160"/>
  <c r="AP160"/>
  <c r="X160"/>
  <c r="W160"/>
  <c r="BS478"/>
  <c r="BQ478"/>
  <c r="BN478"/>
  <c r="BK478"/>
  <c r="AP478"/>
  <c r="X478"/>
  <c r="W478"/>
  <c r="BS312"/>
  <c r="BQ312"/>
  <c r="BN312"/>
  <c r="BK312"/>
  <c r="AP312"/>
  <c r="X312"/>
  <c r="W312"/>
  <c r="BS363"/>
  <c r="BQ363"/>
  <c r="BN363"/>
  <c r="BK363"/>
  <c r="AP363"/>
  <c r="X363"/>
  <c r="W363"/>
  <c r="BS287"/>
  <c r="BQ287"/>
  <c r="BN287"/>
  <c r="BK287"/>
  <c r="AP287"/>
  <c r="X287"/>
  <c r="W287"/>
  <c r="BS272"/>
  <c r="BQ272"/>
  <c r="BN272"/>
  <c r="BK272"/>
  <c r="AP272"/>
  <c r="X272"/>
  <c r="W272"/>
  <c r="BS252"/>
  <c r="BQ252"/>
  <c r="BN252"/>
  <c r="BK252"/>
  <c r="AP252"/>
  <c r="X252"/>
  <c r="W252"/>
  <c r="BS254"/>
  <c r="BQ254"/>
  <c r="BN254"/>
  <c r="BK254"/>
  <c r="AP254"/>
  <c r="X254"/>
  <c r="W254"/>
  <c r="BS327"/>
  <c r="BQ327"/>
  <c r="BN327"/>
  <c r="BK327"/>
  <c r="AP327"/>
  <c r="X327"/>
  <c r="W327"/>
  <c r="BS243"/>
  <c r="BQ243"/>
  <c r="BN243"/>
  <c r="BK243"/>
  <c r="AP243"/>
  <c r="X243"/>
  <c r="W243"/>
  <c r="BS204"/>
  <c r="BQ204"/>
  <c r="BN204"/>
  <c r="BK204"/>
  <c r="AP204"/>
  <c r="X204"/>
  <c r="W204"/>
  <c r="BS206"/>
  <c r="BQ206"/>
  <c r="BN206"/>
  <c r="BK206"/>
  <c r="AP206"/>
  <c r="X206"/>
  <c r="W206"/>
  <c r="BW138"/>
  <c r="BS138"/>
  <c r="BQ138"/>
  <c r="BN138"/>
  <c r="BK138"/>
  <c r="AP138"/>
  <c r="X138"/>
  <c r="W138"/>
  <c r="BS198"/>
  <c r="BQ198"/>
  <c r="BN198"/>
  <c r="BK198"/>
  <c r="AP198"/>
  <c r="X198"/>
  <c r="W198"/>
  <c r="BS270"/>
  <c r="BQ270"/>
  <c r="BN270"/>
  <c r="BK270"/>
  <c r="AP270"/>
  <c r="X270"/>
  <c r="W270"/>
  <c r="BS171"/>
  <c r="BQ171"/>
  <c r="BN171"/>
  <c r="BK171"/>
  <c r="AP171"/>
  <c r="X171"/>
  <c r="W171"/>
  <c r="BS187"/>
  <c r="BQ187"/>
  <c r="BN187"/>
  <c r="BK187"/>
  <c r="AP187"/>
  <c r="X187"/>
  <c r="W187"/>
  <c r="BS223"/>
  <c r="BQ223"/>
  <c r="BN223"/>
  <c r="BK223"/>
  <c r="AP223"/>
  <c r="X223"/>
  <c r="W223"/>
  <c r="BS221"/>
  <c r="BQ221"/>
  <c r="BN221"/>
  <c r="BK221"/>
  <c r="AP221"/>
  <c r="X221"/>
  <c r="W221"/>
  <c r="BS619"/>
  <c r="BQ619"/>
  <c r="BN619"/>
  <c r="BK619"/>
  <c r="AP619"/>
  <c r="BS197"/>
  <c r="BQ197"/>
  <c r="BN197"/>
  <c r="BK197"/>
  <c r="AP197"/>
  <c r="X197"/>
  <c r="W197"/>
  <c r="BS566"/>
  <c r="BQ566"/>
  <c r="BN566"/>
  <c r="BK566"/>
  <c r="AP566"/>
  <c r="X566"/>
  <c r="W566"/>
  <c r="BS238"/>
  <c r="BQ238"/>
  <c r="BN238"/>
  <c r="BK238"/>
  <c r="AP238"/>
  <c r="X238"/>
  <c r="W238"/>
  <c r="BS203"/>
  <c r="BQ203"/>
  <c r="BN203"/>
  <c r="BK203"/>
  <c r="AP203"/>
  <c r="X203"/>
  <c r="W203"/>
  <c r="BS236"/>
  <c r="BQ236"/>
  <c r="BN236"/>
  <c r="BK236"/>
  <c r="AP236"/>
  <c r="X236"/>
  <c r="W236"/>
  <c r="BS188"/>
  <c r="BQ188"/>
  <c r="BN188"/>
  <c r="BK188"/>
  <c r="AP188"/>
  <c r="X188"/>
  <c r="W188"/>
  <c r="BS101"/>
  <c r="BQ101"/>
  <c r="BN101"/>
  <c r="BK101"/>
  <c r="AP101"/>
  <c r="X101"/>
  <c r="W101"/>
  <c r="BS100"/>
  <c r="BQ100"/>
  <c r="BN100"/>
  <c r="BK100"/>
  <c r="AP100"/>
  <c r="X100"/>
  <c r="W100"/>
  <c r="BS192"/>
  <c r="BQ192"/>
  <c r="BN192"/>
  <c r="BK192"/>
  <c r="AP192"/>
  <c r="X192"/>
  <c r="W192"/>
  <c r="BS233"/>
  <c r="BQ233"/>
  <c r="BN233"/>
  <c r="BK233"/>
  <c r="AP233"/>
  <c r="X233"/>
  <c r="W233"/>
  <c r="BS106"/>
  <c r="BQ106"/>
  <c r="BN106"/>
  <c r="BK106"/>
  <c r="AP106"/>
  <c r="X106"/>
  <c r="W106"/>
  <c r="BW137"/>
  <c r="BS137"/>
  <c r="BQ137"/>
  <c r="BN137"/>
  <c r="BK137"/>
  <c r="AP137"/>
  <c r="X137"/>
  <c r="W137"/>
  <c r="BS170"/>
  <c r="BQ170"/>
  <c r="BN170"/>
  <c r="BK170"/>
  <c r="AP170"/>
  <c r="X170"/>
  <c r="W170"/>
  <c r="BS193"/>
  <c r="BQ193"/>
  <c r="BN193"/>
  <c r="BK193"/>
  <c r="AP193"/>
  <c r="X193"/>
  <c r="W193"/>
  <c r="BS253"/>
  <c r="BQ253"/>
  <c r="BN253"/>
  <c r="BK253"/>
  <c r="AP253"/>
  <c r="X253"/>
  <c r="W253"/>
  <c r="BS195"/>
  <c r="BQ195"/>
  <c r="BN195"/>
  <c r="BK195"/>
  <c r="AP195"/>
  <c r="X195"/>
  <c r="W195"/>
  <c r="BS618"/>
  <c r="BQ618"/>
  <c r="BN618"/>
  <c r="BK618"/>
  <c r="AP618"/>
  <c r="BS350"/>
  <c r="BQ350"/>
  <c r="BN350"/>
  <c r="BK350"/>
  <c r="AP350"/>
  <c r="X350"/>
  <c r="W350"/>
  <c r="BS280"/>
  <c r="BQ280"/>
  <c r="BN280"/>
  <c r="BK280"/>
  <c r="AP280"/>
  <c r="X280"/>
  <c r="W280"/>
  <c r="BS53"/>
  <c r="BQ53"/>
  <c r="BN53"/>
  <c r="BK53"/>
  <c r="AP53"/>
  <c r="X53"/>
  <c r="W53"/>
  <c r="BS228"/>
  <c r="BQ228"/>
  <c r="BN228"/>
  <c r="BK228"/>
  <c r="AP228"/>
  <c r="X228"/>
  <c r="W228"/>
  <c r="BS260"/>
  <c r="BQ260"/>
  <c r="BN260"/>
  <c r="BK260"/>
  <c r="AP260"/>
  <c r="X260"/>
  <c r="W260"/>
  <c r="BW135"/>
  <c r="BS135"/>
  <c r="BQ135"/>
  <c r="BN135"/>
  <c r="BK135"/>
  <c r="AP135"/>
  <c r="X135"/>
  <c r="W135"/>
  <c r="BS51"/>
  <c r="BQ51"/>
  <c r="BN51"/>
  <c r="BK51"/>
  <c r="AP51"/>
  <c r="X51"/>
  <c r="W51"/>
  <c r="BS26"/>
  <c r="BQ26"/>
  <c r="BN26"/>
  <c r="BK26"/>
  <c r="AP26"/>
  <c r="X26"/>
  <c r="W26"/>
  <c r="BS190"/>
  <c r="BQ190"/>
  <c r="BN190"/>
  <c r="BK190"/>
  <c r="AP190"/>
  <c r="X190"/>
  <c r="W190"/>
  <c r="BW133"/>
  <c r="BS133"/>
  <c r="BQ133"/>
  <c r="BN133"/>
  <c r="BK133"/>
  <c r="AP133"/>
  <c r="X133"/>
  <c r="W133"/>
  <c r="BS152"/>
  <c r="BQ152"/>
  <c r="BN152"/>
  <c r="BK152"/>
  <c r="AP152"/>
  <c r="X152"/>
  <c r="W152"/>
  <c r="BS151"/>
  <c r="BQ151"/>
  <c r="BN151"/>
  <c r="BK151"/>
  <c r="AP151"/>
  <c r="X151"/>
  <c r="W151"/>
  <c r="BS150"/>
  <c r="BQ150"/>
  <c r="BN150"/>
  <c r="BK150"/>
  <c r="AP150"/>
  <c r="X150"/>
  <c r="W150"/>
  <c r="BW134"/>
  <c r="BS134"/>
  <c r="BQ134"/>
  <c r="BN134"/>
  <c r="BK134"/>
  <c r="AP134"/>
  <c r="X134"/>
  <c r="W134"/>
  <c r="BW136"/>
  <c r="BS136"/>
  <c r="BQ136"/>
  <c r="BN136"/>
  <c r="BK136"/>
  <c r="AP136"/>
  <c r="X136"/>
  <c r="W136"/>
  <c r="BS116"/>
  <c r="BQ116"/>
  <c r="BN116"/>
  <c r="BK116"/>
  <c r="AP116"/>
  <c r="X116"/>
  <c r="W116"/>
  <c r="BS27"/>
  <c r="BQ27"/>
  <c r="BN27"/>
  <c r="BK27"/>
  <c r="AP27"/>
  <c r="X27"/>
  <c r="W27"/>
  <c r="BS33"/>
  <c r="BQ33"/>
  <c r="BN33"/>
  <c r="BK33"/>
  <c r="AP33"/>
  <c r="X33"/>
  <c r="W33"/>
  <c r="BS561"/>
  <c r="BQ561"/>
  <c r="BN561"/>
  <c r="BK561"/>
  <c r="AP561"/>
  <c r="X561"/>
  <c r="W561"/>
  <c r="BS18"/>
  <c r="BQ18"/>
  <c r="BN18"/>
  <c r="BK18"/>
  <c r="AP18"/>
  <c r="X18"/>
  <c r="W18"/>
  <c r="BS22"/>
  <c r="BQ22"/>
  <c r="BN22"/>
  <c r="BK22"/>
  <c r="AP22"/>
  <c r="X22"/>
  <c r="W22"/>
  <c r="BS16"/>
  <c r="BQ16"/>
  <c r="BN16"/>
  <c r="BK16"/>
  <c r="AP16"/>
  <c r="X16"/>
  <c r="W16"/>
  <c r="BS13"/>
  <c r="BQ13"/>
  <c r="BN13"/>
  <c r="BK13"/>
  <c r="AP13"/>
  <c r="X13"/>
  <c r="W13"/>
  <c r="BS21"/>
  <c r="BQ21"/>
  <c r="BN21"/>
  <c r="BK21"/>
  <c r="AP21"/>
  <c r="X21"/>
  <c r="W21"/>
  <c r="BS17"/>
  <c r="BQ17"/>
  <c r="BN17"/>
  <c r="BK17"/>
  <c r="AP17"/>
  <c r="X17"/>
  <c r="W17"/>
  <c r="BS7"/>
  <c r="BQ7"/>
  <c r="BN7"/>
  <c r="BK7"/>
  <c r="AP7"/>
  <c r="X7"/>
  <c r="W7"/>
  <c r="BS36"/>
  <c r="BQ36"/>
  <c r="BN36"/>
  <c r="BK36"/>
  <c r="AP36"/>
  <c r="X36"/>
  <c r="W36"/>
  <c r="BS29"/>
  <c r="BQ29"/>
  <c r="BN29"/>
  <c r="BK29"/>
  <c r="AP29"/>
  <c r="X29"/>
  <c r="W29"/>
  <c r="BS35"/>
  <c r="BQ35"/>
  <c r="BN35"/>
  <c r="BK35"/>
  <c r="AP35"/>
  <c r="X35"/>
  <c r="W35"/>
  <c r="BS371"/>
  <c r="BQ371"/>
  <c r="BN371"/>
  <c r="BK371"/>
  <c r="AP371"/>
  <c r="X371"/>
  <c r="W371"/>
  <c r="BS11"/>
  <c r="BQ11"/>
  <c r="BN11"/>
  <c r="BK11"/>
  <c r="AP11"/>
  <c r="X11"/>
  <c r="W11"/>
  <c r="BS9"/>
  <c r="BQ9"/>
  <c r="BN9"/>
  <c r="BK9"/>
  <c r="AP9"/>
  <c r="X9"/>
  <c r="W9"/>
  <c r="BS12"/>
  <c r="BQ12"/>
  <c r="BN12"/>
  <c r="BK12"/>
  <c r="AP12"/>
  <c r="X12"/>
  <c r="W12"/>
  <c r="BS359"/>
  <c r="BQ359"/>
  <c r="BN359"/>
  <c r="BK359"/>
  <c r="AP359"/>
  <c r="X359"/>
  <c r="W359"/>
  <c r="BS10"/>
  <c r="BQ10"/>
  <c r="BN10"/>
  <c r="BK10"/>
  <c r="AP10"/>
  <c r="X10"/>
  <c r="W10"/>
  <c r="BS5"/>
  <c r="BQ5"/>
  <c r="BN5"/>
  <c r="BK5"/>
  <c r="AP5"/>
  <c r="X5"/>
  <c r="W5"/>
  <c r="BS77"/>
  <c r="BQ77"/>
  <c r="BN77"/>
  <c r="BK77"/>
  <c r="AP77"/>
  <c r="X77"/>
  <c r="W77"/>
  <c r="BS30"/>
  <c r="BQ30"/>
  <c r="BN30"/>
  <c r="BK30"/>
  <c r="AP30"/>
  <c r="X30"/>
  <c r="W30"/>
  <c r="BS4"/>
  <c r="BQ4"/>
  <c r="BN4"/>
  <c r="BK4"/>
  <c r="AP4"/>
  <c r="X4"/>
  <c r="W4"/>
  <c r="BS25"/>
  <c r="BQ25"/>
  <c r="BN25"/>
  <c r="BK25"/>
  <c r="AP25"/>
  <c r="X25"/>
  <c r="W25"/>
  <c r="BS15"/>
  <c r="BQ15"/>
  <c r="BN15"/>
  <c r="BK15"/>
  <c r="AP15"/>
  <c r="X15"/>
  <c r="W15"/>
  <c r="BS23"/>
  <c r="BQ23"/>
  <c r="BN23"/>
  <c r="BK23"/>
  <c r="AP23"/>
  <c r="X23"/>
  <c r="W23"/>
  <c r="BS6"/>
  <c r="BQ6"/>
  <c r="BN6"/>
  <c r="BK6"/>
  <c r="AP6"/>
  <c r="X6"/>
  <c r="W6"/>
  <c r="BS20"/>
  <c r="BQ20"/>
  <c r="BN20"/>
  <c r="BK20"/>
  <c r="AP20"/>
  <c r="X20"/>
  <c r="W20"/>
  <c r="BS19"/>
  <c r="BQ19"/>
  <c r="BN19"/>
  <c r="BK19"/>
  <c r="AP19"/>
  <c r="X19"/>
  <c r="W19"/>
  <c r="BS24"/>
  <c r="BQ24"/>
  <c r="BN24"/>
  <c r="BK24"/>
  <c r="AP24"/>
  <c r="X24"/>
  <c r="W24"/>
  <c r="BS8"/>
  <c r="BQ8"/>
  <c r="BN8"/>
  <c r="BK8"/>
  <c r="AP8"/>
  <c r="X8"/>
  <c r="W8"/>
  <c r="BS14"/>
  <c r="BQ14"/>
  <c r="BN14"/>
  <c r="BK14"/>
  <c r="AP14"/>
  <c r="X14"/>
  <c r="W14"/>
  <c r="BS366"/>
  <c r="BQ366"/>
  <c r="BN366"/>
  <c r="BK366"/>
  <c r="AP366"/>
  <c r="X366"/>
  <c r="W366"/>
  <c r="BS76"/>
  <c r="BQ76"/>
  <c r="BN76"/>
  <c r="BK76"/>
  <c r="AP76"/>
  <c r="X76"/>
  <c r="W76"/>
  <c r="BS85"/>
  <c r="BQ85"/>
  <c r="BN85"/>
  <c r="BK85"/>
  <c r="AP85"/>
  <c r="X85"/>
  <c r="W85"/>
  <c r="BS84"/>
  <c r="BQ84"/>
  <c r="BN84"/>
  <c r="BK84"/>
  <c r="AP84"/>
  <c r="X84"/>
  <c r="W84"/>
  <c r="BS343"/>
  <c r="BQ343"/>
  <c r="BN343"/>
  <c r="BK343"/>
  <c r="AP343"/>
  <c r="X343"/>
  <c r="W343"/>
  <c r="BS74"/>
  <c r="BQ74"/>
  <c r="BN74"/>
  <c r="BK74"/>
  <c r="AP74"/>
  <c r="X74"/>
  <c r="W74"/>
  <c r="BS469"/>
  <c r="BQ469"/>
  <c r="BN469"/>
  <c r="BK469"/>
  <c r="AP469"/>
  <c r="X469"/>
  <c r="W469"/>
  <c r="BS72"/>
  <c r="BQ72"/>
  <c r="BN72"/>
  <c r="BK72"/>
  <c r="AP72"/>
  <c r="X72"/>
  <c r="W72"/>
  <c r="BW257"/>
  <c r="BY257"/>
  <c r="BS257"/>
  <c r="BQ257"/>
  <c r="BN257"/>
  <c r="BK257"/>
  <c r="AP257"/>
  <c r="X257"/>
  <c r="W257"/>
  <c r="BS63"/>
  <c r="BQ63"/>
  <c r="BN63"/>
  <c r="BK63"/>
  <c r="AP63"/>
  <c r="X63"/>
  <c r="W63"/>
  <c r="BS64"/>
  <c r="BQ64"/>
  <c r="BN64"/>
  <c r="BK64"/>
  <c r="AP64"/>
  <c r="X64"/>
  <c r="W64"/>
  <c r="BS62"/>
  <c r="BQ62"/>
  <c r="BN62"/>
  <c r="BK62"/>
  <c r="AP62"/>
  <c r="X62"/>
  <c r="W62"/>
  <c r="BS75"/>
  <c r="BQ75"/>
  <c r="BN75"/>
  <c r="BK75"/>
  <c r="AP75"/>
  <c r="X75"/>
  <c r="W75"/>
  <c r="BS66"/>
  <c r="BQ66"/>
  <c r="BN66"/>
  <c r="BK66"/>
  <c r="AP66"/>
  <c r="X66"/>
  <c r="W66"/>
  <c r="BS65"/>
  <c r="BQ65"/>
  <c r="BN65"/>
  <c r="BK65"/>
  <c r="AP65"/>
  <c r="X65"/>
  <c r="W65"/>
  <c r="BS69"/>
  <c r="BQ69"/>
  <c r="BN69"/>
  <c r="BK69"/>
  <c r="AP69"/>
  <c r="X69"/>
  <c r="W69"/>
  <c r="BS68"/>
  <c r="BQ68"/>
  <c r="BN68"/>
  <c r="BK68"/>
  <c r="AP68"/>
  <c r="X68"/>
  <c r="W68"/>
  <c r="BS40"/>
  <c r="BQ40"/>
  <c r="BN40"/>
  <c r="BK40"/>
  <c r="AP40"/>
  <c r="X40"/>
  <c r="W40"/>
  <c r="BS43"/>
  <c r="BQ43"/>
  <c r="BN43"/>
  <c r="BK43"/>
  <c r="AP43"/>
  <c r="X43"/>
  <c r="W43"/>
  <c r="BS59"/>
  <c r="BQ59"/>
  <c r="BN59"/>
  <c r="BK59"/>
  <c r="AP59"/>
  <c r="X59"/>
  <c r="W59"/>
  <c r="BS48"/>
  <c r="BQ48"/>
  <c r="BN48"/>
  <c r="BK48"/>
  <c r="AP48"/>
  <c r="X48"/>
  <c r="W48"/>
  <c r="BW216"/>
  <c r="BY216"/>
  <c r="BS216"/>
  <c r="BQ216"/>
  <c r="BN216"/>
  <c r="BK216"/>
  <c r="AP216"/>
  <c r="X216"/>
  <c r="W216"/>
  <c r="BS88"/>
  <c r="BQ88"/>
  <c r="BN88"/>
  <c r="BK88"/>
  <c r="AP88"/>
  <c r="X88"/>
  <c r="W88"/>
  <c r="BS81"/>
  <c r="BQ81"/>
  <c r="BN81"/>
  <c r="BK81"/>
  <c r="AP81"/>
  <c r="X81"/>
  <c r="W81"/>
  <c r="BS80"/>
  <c r="BQ80"/>
  <c r="BN80"/>
  <c r="BK80"/>
  <c r="AP80"/>
  <c r="X80"/>
  <c r="W80"/>
  <c r="BS79"/>
  <c r="BQ79"/>
  <c r="BN79"/>
  <c r="BK79"/>
  <c r="AP79"/>
  <c r="X79"/>
  <c r="W79"/>
  <c r="BS82"/>
  <c r="BQ82"/>
  <c r="BN82"/>
  <c r="BK82"/>
  <c r="AP82"/>
  <c r="X82"/>
  <c r="W82"/>
  <c r="BS87"/>
  <c r="BQ87"/>
  <c r="BN87"/>
  <c r="BK87"/>
  <c r="AP87"/>
  <c r="X87"/>
  <c r="W87"/>
  <c r="BS86"/>
  <c r="BQ86"/>
  <c r="BN86"/>
  <c r="BK86"/>
  <c r="AP86"/>
  <c r="X86"/>
  <c r="W86"/>
  <c r="BS71"/>
  <c r="BQ71"/>
  <c r="BN71"/>
  <c r="BK71"/>
  <c r="AP71"/>
  <c r="X71"/>
  <c r="W71"/>
  <c r="BS70"/>
  <c r="BQ70"/>
  <c r="BN70"/>
  <c r="BK70"/>
  <c r="AP70"/>
  <c r="X70"/>
  <c r="W70"/>
  <c r="BS47"/>
  <c r="BQ47"/>
  <c r="BN47"/>
  <c r="BK47"/>
  <c r="AP47"/>
  <c r="X47"/>
  <c r="W47"/>
  <c r="BS56"/>
  <c r="BQ56"/>
  <c r="BN56"/>
  <c r="BK56"/>
  <c r="AP56"/>
  <c r="X56"/>
  <c r="W56"/>
  <c r="BS41"/>
  <c r="BQ41"/>
  <c r="BN41"/>
  <c r="BK41"/>
  <c r="AP41"/>
  <c r="X41"/>
  <c r="W41"/>
  <c r="BS61"/>
  <c r="BQ61"/>
  <c r="BN61"/>
  <c r="BK61"/>
  <c r="AP61"/>
  <c r="X61"/>
  <c r="W61"/>
  <c r="BS50"/>
  <c r="BQ50"/>
  <c r="BN50"/>
  <c r="BK50"/>
  <c r="AP50"/>
  <c r="X50"/>
  <c r="W50"/>
  <c r="BS44"/>
  <c r="BQ44"/>
  <c r="BN44"/>
  <c r="BK44"/>
  <c r="AP44"/>
  <c r="X44"/>
  <c r="W44"/>
  <c r="BS57"/>
  <c r="BQ57"/>
  <c r="BN57"/>
  <c r="BK57"/>
  <c r="AP57"/>
  <c r="X57"/>
  <c r="W57"/>
  <c r="BS54"/>
  <c r="BQ54"/>
  <c r="BN54"/>
  <c r="BK54"/>
  <c r="AP54"/>
  <c r="X54"/>
  <c r="W54"/>
  <c r="BS52"/>
  <c r="BQ52"/>
  <c r="BN52"/>
  <c r="BK52"/>
  <c r="AP52"/>
  <c r="X52"/>
  <c r="W52"/>
  <c r="BS38"/>
  <c r="BQ38"/>
  <c r="BN38"/>
  <c r="BK38"/>
  <c r="AP38"/>
  <c r="X38"/>
  <c r="W38"/>
  <c r="BS49"/>
  <c r="BQ49"/>
  <c r="BN49"/>
  <c r="BK49"/>
  <c r="AP49"/>
  <c r="X49"/>
  <c r="W49"/>
  <c r="BS46"/>
  <c r="BQ46"/>
  <c r="BN46"/>
  <c r="BK46"/>
  <c r="AP46"/>
  <c r="X46"/>
  <c r="W46"/>
  <c r="BS45"/>
  <c r="BQ45"/>
  <c r="BN45"/>
  <c r="BK45"/>
  <c r="AP45"/>
  <c r="X45"/>
  <c r="W45"/>
  <c r="BS42"/>
  <c r="BQ42"/>
  <c r="BN42"/>
  <c r="BK42"/>
  <c r="AP42"/>
  <c r="X42"/>
  <c r="W42"/>
  <c r="BS60"/>
  <c r="BQ60"/>
  <c r="BN60"/>
  <c r="BK60"/>
  <c r="AP60"/>
  <c r="X60"/>
  <c r="W60"/>
  <c r="BS55"/>
  <c r="BQ55"/>
  <c r="BN55"/>
  <c r="BK55"/>
  <c r="AP55"/>
  <c r="X55"/>
  <c r="W55"/>
  <c r="BS58"/>
  <c r="BQ58"/>
  <c r="BN58"/>
  <c r="BK58"/>
  <c r="AP58"/>
  <c r="X58"/>
  <c r="W58"/>
  <c r="BW259"/>
  <c r="BY259"/>
  <c r="BS259"/>
  <c r="BQ259"/>
  <c r="BN259"/>
  <c r="BK259"/>
  <c r="AP259"/>
  <c r="X259"/>
  <c r="W259"/>
  <c r="BS39"/>
  <c r="BQ39"/>
  <c r="BN39"/>
  <c r="BK39"/>
  <c r="AP39"/>
  <c r="X39"/>
  <c r="W39"/>
</calcChain>
</file>

<file path=xl/sharedStrings.xml><?xml version="1.0" encoding="utf-8"?>
<sst xmlns="http://schemas.openxmlformats.org/spreadsheetml/2006/main" count="16955" uniqueCount="5872">
  <si>
    <t>Assembled contig</t>
  </si>
  <si>
    <t>Assembler output</t>
  </si>
  <si>
    <t>Fasta file</t>
  </si>
  <si>
    <t>Length</t>
  </si>
  <si>
    <t>Average qual value</t>
  </si>
  <si>
    <t>Percent N</t>
  </si>
  <si>
    <t>Percent AT</t>
  </si>
  <si>
    <t>PA at</t>
  </si>
  <si>
    <t>Name of larger sequence</t>
  </si>
  <si>
    <t>PolyA at</t>
  </si>
  <si>
    <t>.</t>
  </si>
  <si>
    <t>N</t>
  </si>
  <si>
    <t>TRUL_P18-1166944_007_E01</t>
  </si>
  <si>
    <t>TRUL_P17-1166813_014_B02</t>
  </si>
  <si>
    <t>TRUM_P7-1165871_060_C08</t>
  </si>
  <si>
    <t>TRUL_P10-1166209_068_G10</t>
  </si>
  <si>
    <t>TRUL_P12-1166371_024_E04</t>
  </si>
  <si>
    <t>TRUL_P16-1166707_032_A04</t>
  </si>
  <si>
    <t>TRUM_P9-1166088_071_E09</t>
  </si>
  <si>
    <t>TRUM_P5-1167288_079_A09</t>
  </si>
  <si>
    <t>TRUL_P16-1166708_047_A05</t>
  </si>
  <si>
    <t>TRUM_P7-1165850_095_A11</t>
  </si>
  <si>
    <t>TRUL_P14-1166550_025_D03</t>
  </si>
  <si>
    <t>TRUL_P14-1166529_046_B06</t>
  </si>
  <si>
    <t>TRUL_P11-1166250_027_C03</t>
  </si>
  <si>
    <t>TRUL_P18-1166956_005_F01</t>
  </si>
  <si>
    <t>TRUL_P10-1166138_095_A11</t>
  </si>
  <si>
    <t>TRUL_P17-1166826_027_C03</t>
  </si>
  <si>
    <t>TRUL_P13-1166416_015_A01</t>
  </si>
  <si>
    <t>plate2-1152731_022_F04</t>
  </si>
  <si>
    <t>TRUL_P18-1166942_089_D11</t>
  </si>
  <si>
    <t>TRUM_P4-1165635_084_G12</t>
  </si>
  <si>
    <t>TRUL_P11-1166307_084_G12</t>
  </si>
  <si>
    <t>TRUL_P12-1166324_047_A05</t>
  </si>
  <si>
    <t>TRUL_P13-1166501_002_H02</t>
  </si>
  <si>
    <t>TRUL_P15-1166646_025_D03</t>
  </si>
  <si>
    <t>TRUL_P18-1166937_042_D06</t>
  </si>
  <si>
    <t>TRUM_P7-1165847_064_A08</t>
  </si>
  <si>
    <t>TRUL_P15-1166623_030_B04</t>
  </si>
  <si>
    <t>plate2-1152754_017_H03</t>
  </si>
  <si>
    <t>TRUL_P20-1167163_020_G04</t>
  </si>
  <si>
    <t>plate1-1152742_019_G03</t>
  </si>
  <si>
    <t>TRUM_P6-1165816_003_G01</t>
  </si>
  <si>
    <t>TRUM_P8-1165992_071_E09</t>
  </si>
  <si>
    <t>TRUL_P11-1166254_059_C07</t>
  </si>
  <si>
    <t>TRUL_P17-1166823_094_B12</t>
  </si>
  <si>
    <t>TRUL_P11-1166292_069_F09</t>
  </si>
  <si>
    <t>TRUL_P15-1166628_077_B09</t>
  </si>
  <si>
    <t>TRUL_P14-1166577_038_F06</t>
  </si>
  <si>
    <t>TRUL_P18-1166928_075_C09</t>
  </si>
  <si>
    <t>TRUL_P15-1166695_018_H04</t>
  </si>
  <si>
    <t>TRUL_P12-1166321_016_A02</t>
  </si>
  <si>
    <t>TRUL_P15-1166632_011_C01</t>
  </si>
  <si>
    <t>TRUL_P11-1166229_048_A06</t>
  </si>
  <si>
    <t>TRUL_P20-1167147_088_E12</t>
  </si>
  <si>
    <t>TRUM_P3-1165488_075_C09</t>
  </si>
  <si>
    <t>TRUM_P5-1167328_007_E01</t>
  </si>
  <si>
    <t xml:space="preserve"> </t>
  </si>
  <si>
    <t>TRUM_P5-1167295_030_B04</t>
  </si>
  <si>
    <t>TRUL_P15-1166685_036_G06</t>
  </si>
  <si>
    <t>TRUL_P14-1166525_014_B02</t>
  </si>
  <si>
    <t>TRUM_P6-1165796_039_E05</t>
  </si>
  <si>
    <t>TRUL_P15-1166658_023_E03</t>
  </si>
  <si>
    <t>TRUL_P17-1166878_051_G07</t>
  </si>
  <si>
    <t>TRUL_P18-1166918_093_B11</t>
  </si>
  <si>
    <t>TRUL_P14-1166572_005_F01</t>
  </si>
  <si>
    <t>TRUL_P19-1167020_043_C05</t>
  </si>
  <si>
    <t>TRUM_P4-1165581_044_C06</t>
  </si>
  <si>
    <t>TRUL_P17-1166858_087_E11</t>
  </si>
  <si>
    <t>plate2-1152740_003_G01</t>
  </si>
  <si>
    <t>TRUL_P16-1166709_048_A06</t>
  </si>
  <si>
    <t>TRUL_P10-1166191_022_F04</t>
  </si>
  <si>
    <t>TRUL_P10-1166197_070_F10</t>
  </si>
  <si>
    <t>TRUL_P17-1166815_030_B04</t>
  </si>
  <si>
    <t>TRUL_P10-1166193_038_F06</t>
  </si>
  <si>
    <t>TRUL_P14-1166581_070_F10</t>
  </si>
  <si>
    <t>TRUL_P16-1166752_007_E01</t>
  </si>
  <si>
    <t>TRUL_P15-1166641_076_C10</t>
  </si>
  <si>
    <t>TRUL_P14-1166536_011_C01</t>
  </si>
  <si>
    <t>TRUL_P19-1167035_058_D08</t>
  </si>
  <si>
    <t>TRUM_P6-1165783_026_D04</t>
  </si>
  <si>
    <t>TRUL_P13-1166482_053_F07</t>
  </si>
  <si>
    <t>TRUL_P16-1166747_058_D08</t>
  </si>
  <si>
    <t>TRUL_P20-1167149_006_F02</t>
  </si>
  <si>
    <t>TRUL_P11-1166293_070_F10</t>
  </si>
  <si>
    <t>TRUL_P11-1166255_060_C08</t>
  </si>
  <si>
    <t>TRUL_P10-1166195_054_F08</t>
  </si>
  <si>
    <t>plate1-1152757_034_H06</t>
  </si>
  <si>
    <t>TRUM_P8-1165947_096_A12</t>
  </si>
  <si>
    <t>TRUL_P15-1166639_060_C08</t>
  </si>
  <si>
    <t>TRUL_P19-1167066_019_G03</t>
  </si>
  <si>
    <t>TRUM_P4-1165644_065_H09</t>
  </si>
  <si>
    <t>TRUM_P6-1165808_037_F05</t>
  </si>
  <si>
    <t>TRUL_P20-1167143_056_E08</t>
  </si>
  <si>
    <t>TRUM_P5-1167349_070_F10</t>
  </si>
  <si>
    <t>TRUL_P13-1166446_059_C07</t>
  </si>
  <si>
    <t>TRUL_P19-1167003_096_A12</t>
  </si>
  <si>
    <t>TRUL_P10-1166179_024_E04</t>
  </si>
  <si>
    <t>TRUL_P17-1166833_076_C10</t>
  </si>
  <si>
    <t>TRUL_P11-1166264_041_D05</t>
  </si>
  <si>
    <t>TRUL_P16-1166780_035_G05</t>
  </si>
  <si>
    <t>TRUL_P11-1166287_022_F04</t>
  </si>
  <si>
    <t>TRUL_P16-1166714_095_A11</t>
  </si>
  <si>
    <t>TRUM_P8-1165945_080_A10</t>
  </si>
  <si>
    <t>TRUM_P8-1166012_035_G05</t>
  </si>
  <si>
    <t>TRUL_P13-1166495_052_G08</t>
  </si>
  <si>
    <t>TRUL_P17-1166892_065_H09</t>
  </si>
  <si>
    <t>TRUM_P7-1165861_078_B10</t>
  </si>
  <si>
    <t>TRUM_P9-1166070_025_D03</t>
  </si>
  <si>
    <t>TRUL_P14-1166541_044_C06</t>
  </si>
  <si>
    <t>TRUL_P11-1166299_020_G04</t>
  </si>
  <si>
    <t>plate1-1152751_084_G12</t>
  </si>
  <si>
    <t>TRUL_P17-1166819_062_B08</t>
  </si>
  <si>
    <t>TRUL_P13-1166421_048_A06</t>
  </si>
  <si>
    <t>TRUL_P15-1166698_049_H07</t>
  </si>
  <si>
    <t>TRUL_P19-1167018_027_C03</t>
  </si>
  <si>
    <t>TRUL_P11-1166249_012_C02</t>
  </si>
  <si>
    <t>TRUL_P15-1166625_046_B06</t>
  </si>
  <si>
    <t>TRUL_P18-1166943_090_D12</t>
  </si>
  <si>
    <t>TRUL_P12-1166367_090_D12</t>
  </si>
  <si>
    <t>TRUM_P8-1165951_030_B04</t>
  </si>
  <si>
    <t>TRUL_P11-1166284_005_F01</t>
  </si>
  <si>
    <t>TRUL_P16-1166769_038_F06</t>
  </si>
  <si>
    <t>TRUM_P9-1166078_089_D11</t>
  </si>
  <si>
    <t>TRUL_P13-1166487_086_F12</t>
  </si>
  <si>
    <t>TRUL_P18-1166976_067_G09</t>
  </si>
  <si>
    <t>TRUL_P18-1166968_003_G01</t>
  </si>
  <si>
    <t>TRUM_P6-1165827_084_G12</t>
  </si>
  <si>
    <t>plate1-1152689_078_B10</t>
  </si>
  <si>
    <t>TRUM_P3-1165516_005_F01</t>
  </si>
  <si>
    <t>TRUM_P5-1167356_035_G05</t>
  </si>
  <si>
    <t>TRUM_P6-1165746_031_A03</t>
  </si>
  <si>
    <t>TRUL_P17-1166851_024_E04</t>
  </si>
  <si>
    <t>TRUL_P11-1166271_090_D12</t>
  </si>
  <si>
    <t>TRUM_P3-1165465_080_A10</t>
  </si>
  <si>
    <t>TRUL_P14-1166556_073_D09</t>
  </si>
  <si>
    <t>TRUL_P13-1166433_046_B06</t>
  </si>
  <si>
    <t>TRUM_P5-1167333_040_E06</t>
  </si>
  <si>
    <t>TRUM_P9-1166108_035_G05</t>
  </si>
  <si>
    <t>TRUL_P11-1166235_096_A12</t>
  </si>
  <si>
    <t>TRUM_P3-1165505_008_E02</t>
  </si>
  <si>
    <t>TRUL_P20-1167105_046_B06</t>
  </si>
  <si>
    <t>TRUL_P20-1167141_040_E06</t>
  </si>
  <si>
    <t>plate1-1152671_032_A04</t>
  </si>
  <si>
    <t>plate1-1152678_095_A11</t>
  </si>
  <si>
    <t>plate1-1152681_014_B02</t>
  </si>
  <si>
    <t>plate1-1152684_045_B05</t>
  </si>
  <si>
    <t>plate1-1152685_046_B06</t>
  </si>
  <si>
    <t>plate1-1152690_093_B11</t>
  </si>
  <si>
    <t>plate1-1152692_011_C01</t>
  </si>
  <si>
    <t>plate1-1152697_044_C06</t>
  </si>
  <si>
    <t>plate1-1152708_041_D05</t>
  </si>
  <si>
    <t>plate1-1152713_074_D10</t>
  </si>
  <si>
    <t>plate1-1152719_024_E04</t>
  </si>
  <si>
    <t>plate1-1152720_039_E05</t>
  </si>
  <si>
    <t>plate1-1152724_071_E09</t>
  </si>
  <si>
    <t>plate1-1152725_072_E10</t>
  </si>
  <si>
    <t>plate1-1152733_038_F06</t>
  </si>
  <si>
    <t>plate1-1152734_053_F07</t>
  </si>
  <si>
    <t>plate1-1152735_054_F08</t>
  </si>
  <si>
    <t>plate1-1152743_020_G04</t>
  </si>
  <si>
    <t>plate1-1152745_036_G06</t>
  </si>
  <si>
    <t>plate1-1152747_052_G08</t>
  </si>
  <si>
    <t>plate1-1152749_068_G10</t>
  </si>
  <si>
    <t>plate1-1152752_001_H01</t>
  </si>
  <si>
    <t>plate1-1152755_018_H04</t>
  </si>
  <si>
    <t>plate1-1152756_033_H05</t>
  </si>
  <si>
    <t>plate1-1152758_049_H07</t>
  </si>
  <si>
    <t>plate1-1152763_082_H12</t>
  </si>
  <si>
    <t>TRUM_P9-1166085_040_E06</t>
  </si>
  <si>
    <t>TRUM_P9-1166097_038_F06</t>
  </si>
  <si>
    <t>TRUL_P13-1166488_003_G01</t>
  </si>
  <si>
    <t>TRUL_P13-1166497_068_G10</t>
  </si>
  <si>
    <t>TRUM_P6-1165748_047_A05</t>
  </si>
  <si>
    <t>TRUM_P6-1165749_048_A06</t>
  </si>
  <si>
    <t>TRUM_P6-1165750_063_A07</t>
  </si>
  <si>
    <t>TRUM_P6-1165755_096_A12</t>
  </si>
  <si>
    <t>TRUM_P6-1165759_030_B04</t>
  </si>
  <si>
    <t>TRUM_P6-1165761_046_B06</t>
  </si>
  <si>
    <t>TRUM_P6-1165763_062_B08</t>
  </si>
  <si>
    <t>TRUM_P6-1165767_094_B12</t>
  </si>
  <si>
    <t>TRUM_P6-1165772_043_C05</t>
  </si>
  <si>
    <t>TRUM_P6-1165774_059_C07</t>
  </si>
  <si>
    <t>TRUM_P6-1165776_075_C09</t>
  </si>
  <si>
    <t>TRUM_P6-1165778_091_C11</t>
  </si>
  <si>
    <t>TRUM_P6-1165779_092_C12</t>
  </si>
  <si>
    <t>TRUM_P6-1165780_009_D01</t>
  </si>
  <si>
    <t>TRUM_P6-1165781_010_D02</t>
  </si>
  <si>
    <t>TRUM_P6-1165782_025_D03</t>
  </si>
  <si>
    <t>TRUM_P6-1165787_058_D08</t>
  </si>
  <si>
    <t>TRUM_P6-1165791_090_D12</t>
  </si>
  <si>
    <t>TRUM_P6-1165799_056_E08</t>
  </si>
  <si>
    <t>TRUM_P6-1165802_087_E11</t>
  </si>
  <si>
    <t>TRUM_P6-1165804_005_F01</t>
  </si>
  <si>
    <t>TRUM_P6-1165805_006_F02</t>
  </si>
  <si>
    <t>TRUM_P6-1165807_022_F04</t>
  </si>
  <si>
    <t>TRUM_P6-1165810_053_F07</t>
  </si>
  <si>
    <t>TRUM_P6-1165812_069_F09</t>
  </si>
  <si>
    <t>TRUM_P6-1165815_086_F12</t>
  </si>
  <si>
    <t>TRUM_P6-1165829_002_H02</t>
  </si>
  <si>
    <t>TRUM_P6-1165833_034_H06</t>
  </si>
  <si>
    <t>TRUM_P6-1165835_050_H08</t>
  </si>
  <si>
    <t>TRUM_P7-1165848_079_A09</t>
  </si>
  <si>
    <t>TRUM_P7-1165859_062_B08</t>
  </si>
  <si>
    <t>TRUM_P7-1165864_011_C01</t>
  </si>
  <si>
    <t>TRUM_P7-1165873_076_C10</t>
  </si>
  <si>
    <t>TRUM_P7-1165877_010_D02</t>
  </si>
  <si>
    <t>TRUM_P7-1165879_026_D04</t>
  </si>
  <si>
    <t>TRUM_P7-1165882_057_D07</t>
  </si>
  <si>
    <t>TRUM_P7-1165883_058_D08</t>
  </si>
  <si>
    <t>TRUM_P7-1165884_073_D09</t>
  </si>
  <si>
    <t>TRUM_P7-1165889_008_E02</t>
  </si>
  <si>
    <t>TRUM_P7-1165896_071_E09</t>
  </si>
  <si>
    <t>TRUM_P7-1165903_022_F04</t>
  </si>
  <si>
    <t>TRUM_P7-1165904_037_F05</t>
  </si>
  <si>
    <t>TRUM_P7-1165905_038_F06</t>
  </si>
  <si>
    <t>TRUM_P7-1165906_053_F07</t>
  </si>
  <si>
    <t>TRUM_P7-1165910_085_F11</t>
  </si>
  <si>
    <t>TRUM_P7-1165918_051_G07</t>
  </si>
  <si>
    <t>TRUM_P7-1165922_083_G11</t>
  </si>
  <si>
    <t>TRUM_P7-1165925_002_H02</t>
  </si>
  <si>
    <t>TRUM_P7-1165926_017_H03</t>
  </si>
  <si>
    <t>TRUM_P7-1165931_050_H08</t>
  </si>
  <si>
    <t>TRUM_P8-1165936_015_A01</t>
  </si>
  <si>
    <t>TRUM_P8-1165937_016_A02</t>
  </si>
  <si>
    <t>TRUM_P8-1165938_031_A03</t>
  </si>
  <si>
    <t>TRUM_P8-1165939_032_A04</t>
  </si>
  <si>
    <t>TRUM_P8-1165954_061_B07</t>
  </si>
  <si>
    <t>TRUM_P8-1165960_011_C01</t>
  </si>
  <si>
    <t>TRUM_P8-1165964_043_C05</t>
  </si>
  <si>
    <t>TRUM_P8-1165972_009_D01</t>
  </si>
  <si>
    <t>TRUM_P8-1165974_025_D03</t>
  </si>
  <si>
    <t>TRUM_P8-1165975_026_D04</t>
  </si>
  <si>
    <t>TRUM_P8-1165982_089_D11</t>
  </si>
  <si>
    <t>TRUM_P8-1165986_023_E03</t>
  </si>
  <si>
    <t>TRUM_P8-1165988_039_E05</t>
  </si>
  <si>
    <t>TRUM_P8-1165993_072_E10</t>
  </si>
  <si>
    <t>TRUM_P8-1166004_069_F09</t>
  </si>
  <si>
    <t>TRUM_P8-1166006_085_F11</t>
  </si>
  <si>
    <t>TRUM_P8-1166009_004_G02</t>
  </si>
  <si>
    <t>TRUM_P8-1166010_019_G03</t>
  </si>
  <si>
    <t>TRUM_P8-1166011_020_G04</t>
  </si>
  <si>
    <t>TRUM_P8-1166013_036_G06</t>
  </si>
  <si>
    <t>TRUM_P8-1166015_052_G08</t>
  </si>
  <si>
    <t>TRUM_P8-1166018_083_G11</t>
  </si>
  <si>
    <t>TRUM_P8-1166020_001_H01</t>
  </si>
  <si>
    <t>TRUM_P8-1166024_033_H05</t>
  </si>
  <si>
    <t>TRUM_P9-1166034_031_A03</t>
  </si>
  <si>
    <t>TRUM_P9-1166035_032_A04</t>
  </si>
  <si>
    <t>TRUM_P9-1166037_048_A06</t>
  </si>
  <si>
    <t>TRUM_P9-1166040_079_A09</t>
  </si>
  <si>
    <t>TRUM_P9-1166045_014_B02</t>
  </si>
  <si>
    <t>TRUM_P9-1166052_077_B09</t>
  </si>
  <si>
    <t>TRUM_P9-1166053_078_B10</t>
  </si>
  <si>
    <t>TRUM_P9-1166054_093_B11</t>
  </si>
  <si>
    <t>TRUM_P9-1166055_094_B12</t>
  </si>
  <si>
    <t>TRUM_P9-1166056_011_C01</t>
  </si>
  <si>
    <t>TRUM_P9-1166058_027_C03</t>
  </si>
  <si>
    <t>TRUM_P9-1166059_028_C04</t>
  </si>
  <si>
    <t>TRUM_P9-1166061_044_C06</t>
  </si>
  <si>
    <t>TRUM_P9-1166063_060_C08</t>
  </si>
  <si>
    <t>TRUM_P9-1166069_010_D02</t>
  </si>
  <si>
    <t>TRUM_P9-1166071_026_D04</t>
  </si>
  <si>
    <t>TRUM_P9-1166075_058_D08</t>
  </si>
  <si>
    <t>TRUM_P9-1166076_073_D09</t>
  </si>
  <si>
    <t>TRUM_P9-1166082_023_E03</t>
  </si>
  <si>
    <t>TRUM_P9-1166084_039_E05</t>
  </si>
  <si>
    <t>TRUM_P9-1166086_055_E07</t>
  </si>
  <si>
    <t>TRUM_P9-1166093_006_F02</t>
  </si>
  <si>
    <t>TRUM_P9-1166095_022_F04</t>
  </si>
  <si>
    <t>TRUM_P9-1166096_037_F05</t>
  </si>
  <si>
    <t>TRUM_P9-1166101_070_F10</t>
  </si>
  <si>
    <t>TRUM_P9-1166105_004_G02</t>
  </si>
  <si>
    <t>TRUM_P9-1166111_052_G08</t>
  </si>
  <si>
    <t>TRUM_P9-1166114_083_G11</t>
  </si>
  <si>
    <t>TRUM_P9-1166122_049_H07</t>
  </si>
  <si>
    <t>TRUM_P9-1166123_050_H08</t>
  </si>
  <si>
    <t>TRUL_P10-1166137_080_A10</t>
  </si>
  <si>
    <t>TRUL_P10-1166139_096_A12</t>
  </si>
  <si>
    <t>TRUL_P10-1166141_014_B02</t>
  </si>
  <si>
    <t>TRUL_P10-1166143_030_B04</t>
  </si>
  <si>
    <t>TRUL_P10-1166145_046_B06</t>
  </si>
  <si>
    <t>TRUL_P10-1166151_094_B12</t>
  </si>
  <si>
    <t>TRUL_P10-1166153_012_C02</t>
  </si>
  <si>
    <t>TRUL_P10-1166154_027_C03</t>
  </si>
  <si>
    <t>TRUL_P10-1166159_060_C08</t>
  </si>
  <si>
    <t>TRUL_P10-1166160_075_C09</t>
  </si>
  <si>
    <t>TRUL_P10-1166161_076_C10</t>
  </si>
  <si>
    <t>TRUL_P10-1166163_092_C12</t>
  </si>
  <si>
    <t>TRUL_P10-1166165_010_D02</t>
  </si>
  <si>
    <t>TRUL_P10-1166166_025_D03</t>
  </si>
  <si>
    <t>TRUL_P10-1166167_026_D04</t>
  </si>
  <si>
    <t>TRUL_P10-1166169_042_D06</t>
  </si>
  <si>
    <t>TRUL_P10-1166170_057_D07</t>
  </si>
  <si>
    <t>TRUL_P10-1166175_090_D12</t>
  </si>
  <si>
    <t>TRUL_P10-1166176_007_E01</t>
  </si>
  <si>
    <t>TRUL_P10-1166177_008_E02</t>
  </si>
  <si>
    <t>TRUL_P10-1166178_023_E03</t>
  </si>
  <si>
    <t>TRUL_P10-1166182_055_E07</t>
  </si>
  <si>
    <t>TRUL_P10-1166185_072_E10</t>
  </si>
  <si>
    <t>TRUL_P10-1166188_005_F01</t>
  </si>
  <si>
    <t>TRUL_P10-1166192_037_F05</t>
  </si>
  <si>
    <t>TRUL_P10-1166202_019_G03</t>
  </si>
  <si>
    <t>TRUL_P10-1166205_036_G06</t>
  </si>
  <si>
    <t>TRUL_P10-1166213_002_H02</t>
  </si>
  <si>
    <t>TRUL_P10-1166217_034_H06</t>
  </si>
  <si>
    <t>TRUL_P10-1166218_049_H07</t>
  </si>
  <si>
    <t>TRUL_P11-1166226_031_A03</t>
  </si>
  <si>
    <t>TRUL_P11-1166230_063_A07</t>
  </si>
  <si>
    <t>TRUL_P11-1166231_064_A08</t>
  </si>
  <si>
    <t>TRUL_P11-1166232_079_A09</t>
  </si>
  <si>
    <t>TRUL_P11-1166233_080_A10</t>
  </si>
  <si>
    <t>TRUL_P11-1166234_095_A11</t>
  </si>
  <si>
    <t>TRUL_P11-1166241_046_B06</t>
  </si>
  <si>
    <t>TRUL_P11-1166242_061_B07</t>
  </si>
  <si>
    <t>TRUL_P11-1166248_011_C01</t>
  </si>
  <si>
    <t>TRUL_P11-1166256_075_C09</t>
  </si>
  <si>
    <t>TRUL_P11-1166257_076_C10</t>
  </si>
  <si>
    <t>TRUL_P11-1166263_026_D04</t>
  </si>
  <si>
    <t>TRUL_P11-1166278_055_E07</t>
  </si>
  <si>
    <t>TRUL_P11-1166285_006_F02</t>
  </si>
  <si>
    <t>TRUL_P11-1166291_054_F08</t>
  </si>
  <si>
    <t>TRUL_P11-1166294_085_F11</t>
  </si>
  <si>
    <t>TRUL_P11-1166295_086_F12</t>
  </si>
  <si>
    <t>TRUL_P11-1166298_019_G03</t>
  </si>
  <si>
    <t>TRUL_P11-1166302_051_G07</t>
  </si>
  <si>
    <t>TRUL_P11-1166305_068_G10</t>
  </si>
  <si>
    <t>TRUL_P11-1166311_018_H04</t>
  </si>
  <si>
    <t>TRUL_P12-1166323_032_A04</t>
  </si>
  <si>
    <t>TRUL_P12-1166327_064_A08</t>
  </si>
  <si>
    <t>TRUL_P12-1166329_080_A10</t>
  </si>
  <si>
    <t>TRUL_P12-1166330_095_A11</t>
  </si>
  <si>
    <t>TRUL_P12-1166333_014_B02</t>
  </si>
  <si>
    <t>TRUL_P12-1166337_046_B06</t>
  </si>
  <si>
    <t>TRUL_P12-1166338_061_B07</t>
  </si>
  <si>
    <t>TRUL_P12-1166341_078_B10</t>
  </si>
  <si>
    <t>TRUL_P12-1166350_059_C07</t>
  </si>
  <si>
    <t>TRUL_P12-1166351_060_C08</t>
  </si>
  <si>
    <t>TRUL_P12-1166353_076_C10</t>
  </si>
  <si>
    <t>TRUL_P12-1166357_010_D02</t>
  </si>
  <si>
    <t>TRUL_P12-1166360_041_D05</t>
  </si>
  <si>
    <t>TRUL_P12-1166363_058_D08</t>
  </si>
  <si>
    <t>TRUL_P12-1166373_040_E06</t>
  </si>
  <si>
    <t>TRUL_P12-1166375_056_E08</t>
  </si>
  <si>
    <t>TRUL_P12-1166376_071_E09</t>
  </si>
  <si>
    <t>TRUL_P12-1166377_072_E10</t>
  </si>
  <si>
    <t>TRUL_P12-1166379_088_E12</t>
  </si>
  <si>
    <t>TRUL_P12-1166383_022_F04</t>
  </si>
  <si>
    <t>TRUL_P12-1166388_069_F09</t>
  </si>
  <si>
    <t>TRUL_P12-1166391_086_F12</t>
  </si>
  <si>
    <t>TRUL_P12-1166396_035_G05</t>
  </si>
  <si>
    <t>TRUL_P12-1166401_068_G10</t>
  </si>
  <si>
    <t>TRUL_P12-1166407_018_H04</t>
  </si>
  <si>
    <t>TRUL_P12-1166408_033_H05</t>
  </si>
  <si>
    <t>TRUL_P13-1166420_047_A05</t>
  </si>
  <si>
    <t>TRUL_P13-1166422_063_A07</t>
  </si>
  <si>
    <t>TRUL_P13-1166423_064_A08</t>
  </si>
  <si>
    <t>TRUL_P13-1166427_096_A12</t>
  </si>
  <si>
    <t>TRUL_P13-1166436_077_B09</t>
  </si>
  <si>
    <t>TRUL_P13-1166438_093_B11</t>
  </si>
  <si>
    <t>TRUL_P13-1166442_027_C03</t>
  </si>
  <si>
    <t>TRUL_P13-1166443_028_C04</t>
  </si>
  <si>
    <t>TRUL_P13-1166448_075_C09</t>
  </si>
  <si>
    <t>TRUL_P13-1166452_009_D01</t>
  </si>
  <si>
    <t>TRUL_P13-1166455_026_D04</t>
  </si>
  <si>
    <t>TRUL_P13-1166456_041_D05</t>
  </si>
  <si>
    <t>TRUL_P13-1166457_042_D06</t>
  </si>
  <si>
    <t>TRUL_P13-1166460_073_D09</t>
  </si>
  <si>
    <t>TRUL_P13-1166462_089_D11</t>
  </si>
  <si>
    <t>TRUL_P13-1166464_007_E01</t>
  </si>
  <si>
    <t>TRUL_P13-1166469_040_E06</t>
  </si>
  <si>
    <t>TRUL_P13-1166470_055_E07</t>
  </si>
  <si>
    <t>TRUL_P13-1166471_056_E08</t>
  </si>
  <si>
    <t>TRUL_P13-1166473_072_E10</t>
  </si>
  <si>
    <t>TRUL_P13-1166475_088_E12</t>
  </si>
  <si>
    <t>TRUL_P13-1166476_005_F01</t>
  </si>
  <si>
    <t>TRUL_P13-1166484_069_F09</t>
  </si>
  <si>
    <t>TRUL_P13-1166485_070_F10</t>
  </si>
  <si>
    <t>TRUL_P13-1166492_035_G05</t>
  </si>
  <si>
    <t>TRUL_P13-1166504_033_H05</t>
  </si>
  <si>
    <t>TRUL_P14-1166512_015_A01</t>
  </si>
  <si>
    <t>TRUL_P14-1166513_016_A02</t>
  </si>
  <si>
    <t>TRUL_P14-1166514_031_A03</t>
  </si>
  <si>
    <t>TRUL_P14-1166516_047_A05</t>
  </si>
  <si>
    <t>TRUL_P14-1166517_048_A06</t>
  </si>
  <si>
    <t>TRUL_P14-1166519_064_A08</t>
  </si>
  <si>
    <t>TRUL_P14-1166521_080_A10</t>
  </si>
  <si>
    <t>TRUL_P14-1166524_013_B01</t>
  </si>
  <si>
    <t>TRUL_P14-1166528_045_B05</t>
  </si>
  <si>
    <t>TRUL_P14-1166530_061_B07</t>
  </si>
  <si>
    <t>TRUL_P14-1166531_062_B08</t>
  </si>
  <si>
    <t>TRUL_P14-1166537_012_C02</t>
  </si>
  <si>
    <t>TRUL_P14-1166538_027_C03</t>
  </si>
  <si>
    <t>TRUL_P14-1166543_060_C08</t>
  </si>
  <si>
    <t>TRUL_P14-1166544_075_C09</t>
  </si>
  <si>
    <t>TRUL_P14-1166545_076_C10</t>
  </si>
  <si>
    <t>TRUL_P14-1166546_091_C11</t>
  </si>
  <si>
    <t>TRUL_P14-1166548_009_D01</t>
  </si>
  <si>
    <t>TRUL_P14-1166549_010_D02</t>
  </si>
  <si>
    <t>TRUL_P14-1166552_041_D05</t>
  </si>
  <si>
    <t>TRUL_P14-1166555_058_D08</t>
  </si>
  <si>
    <t>TRUL_P14-1166559_090_D12</t>
  </si>
  <si>
    <t>TRUL_P14-1166562_023_E03</t>
  </si>
  <si>
    <t>TRUL_P14-1166565_040_E06</t>
  </si>
  <si>
    <t>TRUL_P14-1166568_071_E09</t>
  </si>
  <si>
    <t>TRUL_P14-1166569_072_E10</t>
  </si>
  <si>
    <t>TRUL_P14-1166571_088_E12</t>
  </si>
  <si>
    <t>TRUL_P14-1166573_006_F02</t>
  </si>
  <si>
    <t>TRUL_P14-1166576_037_F05</t>
  </si>
  <si>
    <t>TRUL_P14-1166585_004_G02</t>
  </si>
  <si>
    <t>TRUL_P14-1166586_019_G03</t>
  </si>
  <si>
    <t>TRUL_P14-1166594_083_G11</t>
  </si>
  <si>
    <t>TRUL_P14-1166597_002_H02</t>
  </si>
  <si>
    <t>TRUL_P14-1166599_018_H04</t>
  </si>
  <si>
    <t>TRUL_P14-1166600_033_H05</t>
  </si>
  <si>
    <t>TRUL_P14-1166603_050_H08</t>
  </si>
  <si>
    <t>TRUL_P15-1166608_015_A01</t>
  </si>
  <si>
    <t>TRUL_P15-1166609_016_A02</t>
  </si>
  <si>
    <t>TRUL_P15-1166614_063_A07</t>
  </si>
  <si>
    <t>TRUL_P15-1166615_064_A08</t>
  </si>
  <si>
    <t>TRUL_P15-1166616_079_A09</t>
  </si>
  <si>
    <t>TRUL_P15-1166617_080_A10</t>
  </si>
  <si>
    <t>TRUL_P15-1166618_095_A11</t>
  </si>
  <si>
    <t>TRUL_P15-1166620_013_B01</t>
  </si>
  <si>
    <t>TRUL_P15-1166624_045_B05</t>
  </si>
  <si>
    <t>TRUL_P15-1166626_061_B07</t>
  </si>
  <si>
    <t>TRUL_P15-1166627_062_B08</t>
  </si>
  <si>
    <t>TRUL_P15-1166638_059_C07</t>
  </si>
  <si>
    <t>TRUL_P15-1166642_091_C11</t>
  </si>
  <si>
    <t>TRUL_P15-1166644_009_D01</t>
  </si>
  <si>
    <t>TRUL_P15-1166647_026_D04</t>
  </si>
  <si>
    <t>TRUL_P15-1166648_041_D05</t>
  </si>
  <si>
    <t>TRUL_P15-1166653_074_D10</t>
  </si>
  <si>
    <t>TRUL_P15-1166664_071_E09</t>
  </si>
  <si>
    <t>TRUL_P15-1166665_072_E10</t>
  </si>
  <si>
    <t>TRUL_P15-1166667_088_E12</t>
  </si>
  <si>
    <t>TRUL_P15-1166668_005_F01</t>
  </si>
  <si>
    <t>TRUL_P15-1166672_037_F05</t>
  </si>
  <si>
    <t>TRUL_P15-1166673_038_F06</t>
  </si>
  <si>
    <t>TRUL_P15-1166676_069_F09</t>
  </si>
  <si>
    <t>TRUL_P15-1166677_070_F10</t>
  </si>
  <si>
    <t>TRUL_P15-1166679_086_F12</t>
  </si>
  <si>
    <t>TRUL_P15-1166681_004_G02</t>
  </si>
  <si>
    <t>TRUL_P15-1166683_020_G04</t>
  </si>
  <si>
    <t>TRUL_P15-1166686_051_G07</t>
  </si>
  <si>
    <t>TRUL_P15-1166688_067_G09</t>
  </si>
  <si>
    <t>TRUL_P15-1166692_001_H01</t>
  </si>
  <si>
    <t>TRUL_P15-1166693_002_H02</t>
  </si>
  <si>
    <t>TRUL_P15-1166699_050_H08</t>
  </si>
  <si>
    <t>TRUL_P15-1166700_065_H09</t>
  </si>
  <si>
    <t>TRUL_P15-1166701_066_H10</t>
  </si>
  <si>
    <t>TRUL_P16-1166706_031_A03</t>
  </si>
  <si>
    <t>TRUL_P16-1166715_096_A12</t>
  </si>
  <si>
    <t>TRUL_P16-1166719_030_B04</t>
  </si>
  <si>
    <t>TRUL_P16-1166721_046_B06</t>
  </si>
  <si>
    <t>TRUL_P16-1166725_078_B10</t>
  </si>
  <si>
    <t>TRUL_P16-1166726_093_B11</t>
  </si>
  <si>
    <t>TRUL_P16-1166727_094_B12</t>
  </si>
  <si>
    <t>TRUL_P16-1166728_011_C01</t>
  </si>
  <si>
    <t>TRUL_P16-1166733_044_C06</t>
  </si>
  <si>
    <t>TRUL_P16-1166738_091_C11</t>
  </si>
  <si>
    <t>TRUL_P16-1166742_025_D03</t>
  </si>
  <si>
    <t>TRUL_P16-1166743_026_D04</t>
  </si>
  <si>
    <t>TRUL_P16-1166749_074_D10</t>
  </si>
  <si>
    <t>TRUL_P16-1166755_024_E04</t>
  </si>
  <si>
    <t>TRUL_P16-1166757_040_E06</t>
  </si>
  <si>
    <t>TRUL_P16-1166765_006_F02</t>
  </si>
  <si>
    <t>TRUL_P16-1166770_053_F07</t>
  </si>
  <si>
    <t>TRUL_P16-1166771_054_F08</t>
  </si>
  <si>
    <t>TRUL_P16-1166776_003_G01</t>
  </si>
  <si>
    <t>TRUL_P16-1166778_019_G03</t>
  </si>
  <si>
    <t>TRUL_P16-1166781_036_G06</t>
  </si>
  <si>
    <t>TRUL_P16-1166784_067_G09</t>
  </si>
  <si>
    <t>TRUL_P16-1166787_084_G12</t>
  </si>
  <si>
    <t>TRUL_P16-1166789_002_H02</t>
  </si>
  <si>
    <t>TRUL_P16-1166791_018_H04</t>
  </si>
  <si>
    <t>TRUL_P16-1166793_034_H06</t>
  </si>
  <si>
    <t>TRUL_P16-1166796_065_H09</t>
  </si>
  <si>
    <t>TRUL_P17-1166802_031_A03</t>
  </si>
  <si>
    <t>TRUL_P17-1166805_048_A06</t>
  </si>
  <si>
    <t>TRUL_P17-1166809_080_A10</t>
  </si>
  <si>
    <t>TRUL_P17-1166814_029_B03</t>
  </si>
  <si>
    <t>TRUL_P17-1166822_093_B11</t>
  </si>
  <si>
    <t>TRUL_P17-1166824_011_C01</t>
  </si>
  <si>
    <t>TRUL_P17-1166831_060_C08</t>
  </si>
  <si>
    <t>TRUL_P17-1166834_091_C11</t>
  </si>
  <si>
    <t>TRUL_P17-1166836_009_D01</t>
  </si>
  <si>
    <t>TRUL_P17-1166837_010_D02</t>
  </si>
  <si>
    <t>TRUL_P17-1166838_025_D03</t>
  </si>
  <si>
    <t>TRUL_P17-1166839_026_D04</t>
  </si>
  <si>
    <t>TRUL_P17-1166844_073_D09</t>
  </si>
  <si>
    <t>TRUL_P17-1166846_089_D11</t>
  </si>
  <si>
    <t>TRUL_P17-1166852_039_E05</t>
  </si>
  <si>
    <t>TRUL_P17-1166855_056_E08</t>
  </si>
  <si>
    <t>TRUL_P17-1166863_022_F04</t>
  </si>
  <si>
    <t>TRUL_P17-1166871_086_F12</t>
  </si>
  <si>
    <t>TRUL_P17-1166872_003_G01</t>
  </si>
  <si>
    <t>TRUL_P17-1166875_020_G04</t>
  </si>
  <si>
    <t>TRUL_P17-1166877_036_G06</t>
  </si>
  <si>
    <t>TRUL_P17-1166881_068_G10</t>
  </si>
  <si>
    <t>TRUL_P17-1166883_084_G12</t>
  </si>
  <si>
    <t>TRUL_P17-1166886_017_H03</t>
  </si>
  <si>
    <t>TRUL_P17-1166889_034_H06</t>
  </si>
  <si>
    <t>TRUL_P18-1166896_015_A01</t>
  </si>
  <si>
    <t>TRUL_P18-1166898_031_A03</t>
  </si>
  <si>
    <t>TRUL_P18-1166899_032_A04</t>
  </si>
  <si>
    <t>TRUL_P18-1166901_048_A06</t>
  </si>
  <si>
    <t>TRUL_P18-1166905_080_A10</t>
  </si>
  <si>
    <t>TRUL_P18-1166913_046_B06</t>
  </si>
  <si>
    <t>TRUL_P18-1166914_061_B07</t>
  </si>
  <si>
    <t>TRUL_P18-1166917_078_B10</t>
  </si>
  <si>
    <t>TRUL_P18-1166919_094_B12</t>
  </si>
  <si>
    <t>TRUL_P18-1166921_012_C02</t>
  </si>
  <si>
    <t>TRUL_P18-1166925_044_C06</t>
  </si>
  <si>
    <t>TRUL_P18-1166926_059_C07</t>
  </si>
  <si>
    <t>TRUL_P18-1166927_060_C08</t>
  </si>
  <si>
    <t>TRUL_P18-1166929_076_C10</t>
  </si>
  <si>
    <t>TRUL_P18-1166932_009_D01</t>
  </si>
  <si>
    <t>TRUL_P18-1166935_026_D04</t>
  </si>
  <si>
    <t>TRUL_P18-1166941_074_D10</t>
  </si>
  <si>
    <t>TRUL_P18-1166947_024_E04</t>
  </si>
  <si>
    <t>TRUL_P18-1166948_039_E05</t>
  </si>
  <si>
    <t>TRUL_P18-1166949_040_E06</t>
  </si>
  <si>
    <t>TRUL_P18-1166952_071_E09</t>
  </si>
  <si>
    <t>TRUL_P18-1166954_087_E11</t>
  </si>
  <si>
    <t>TRUL_P18-1166957_006_F02</t>
  </si>
  <si>
    <t>TRUL_P18-1166960_037_F05</t>
  </si>
  <si>
    <t>TRUL_P18-1166961_038_F06</t>
  </si>
  <si>
    <t>TRUL_P18-1166966_085_F11</t>
  </si>
  <si>
    <t>TRUL_P18-1166967_086_F12</t>
  </si>
  <si>
    <t>TRUL_P18-1166971_020_G04</t>
  </si>
  <si>
    <t>TRUL_P18-1166973_036_G06</t>
  </si>
  <si>
    <t>TRUL_P18-1166974_051_G07</t>
  </si>
  <si>
    <t>TRUL_P18-1166975_052_G08</t>
  </si>
  <si>
    <t>TRUL_P18-1166978_083_G11</t>
  </si>
  <si>
    <t>TRUL_P18-1166983_018_H04</t>
  </si>
  <si>
    <t>TRUL_P18-1166986_049_H07</t>
  </si>
  <si>
    <t>TRUL_P18-1166987_050_H08</t>
  </si>
  <si>
    <t>TRUL_P18-1166989_066_H10</t>
  </si>
  <si>
    <t>TRUL_P19-1166992_015_A01</t>
  </si>
  <si>
    <t>TRUL_P19-1166999_064_A08</t>
  </si>
  <si>
    <t>TRUL_P19-1167009_046_B06</t>
  </si>
  <si>
    <t>TRUL_P19-1167011_062_B08</t>
  </si>
  <si>
    <t>TRUL_P19-1167015_094_B12</t>
  </si>
  <si>
    <t>TRUL_P19-1167021_044_C06</t>
  </si>
  <si>
    <t>TRUL_P19-1167025_076_C10</t>
  </si>
  <si>
    <t>TRUL_P19-1167026_091_C11</t>
  </si>
  <si>
    <t>TRUL_P19-1167033_042_D06</t>
  </si>
  <si>
    <t>TRUL_P19-1167034_057_D07</t>
  </si>
  <si>
    <t>TRUL_P19-1167037_074_D10</t>
  </si>
  <si>
    <t>TRUL_P19-1167038_089_D11</t>
  </si>
  <si>
    <t>TRUL_P19-1167041_008_E02</t>
  </si>
  <si>
    <t>TRUL_P19-1167048_071_E09</t>
  </si>
  <si>
    <t>TRUL_P19-1167049_072_E10</t>
  </si>
  <si>
    <t>TRUL_P19-1167050_087_E11</t>
  </si>
  <si>
    <t>TRUL_P19-1167051_088_E12</t>
  </si>
  <si>
    <t>TRUL_P19-1167055_022_F04</t>
  </si>
  <si>
    <t>TRUL_P19-1167063_086_F12</t>
  </si>
  <si>
    <t>TRUL_P19-1167067_020_G04</t>
  </si>
  <si>
    <t>TRUL_P19-1167070_051_G07</t>
  </si>
  <si>
    <t>TRUL_P19-1167072_067_G09</t>
  </si>
  <si>
    <t>TRUL_P19-1167075_084_G12</t>
  </si>
  <si>
    <t>TRUL_P19-1167080_033_H05</t>
  </si>
  <si>
    <t>TRUL_P19-1167084_065_H09</t>
  </si>
  <si>
    <t>TRUL_P20-1167098_095_A11</t>
  </si>
  <si>
    <t>TRUL_P20-1167099_096_A12</t>
  </si>
  <si>
    <t>TRUL_P20-1167100_013_B01</t>
  </si>
  <si>
    <t>TRUL_P20-1167116_043_C05</t>
  </si>
  <si>
    <t>TRUL_P20-1167119_060_C08</t>
  </si>
  <si>
    <t>TRUL_P20-1167120_075_C09</t>
  </si>
  <si>
    <t>TRUL_P20-1167124_009_D01</t>
  </si>
  <si>
    <t>TRUL_P20-1167125_010_D02</t>
  </si>
  <si>
    <t>TRUL_P20-1167126_025_D03</t>
  </si>
  <si>
    <t>TRUL_P20-1167128_041_D05</t>
  </si>
  <si>
    <t>TRUL_P20-1167131_058_D08</t>
  </si>
  <si>
    <t>TRUL_P20-1167134_089_D11</t>
  </si>
  <si>
    <t>TRUL_P20-1167140_039_E05</t>
  </si>
  <si>
    <t>TRUL_P20-1167142_055_E07</t>
  </si>
  <si>
    <t>TRUL_P20-1167146_087_E11</t>
  </si>
  <si>
    <t>TRUL_P20-1167152_037_F05</t>
  </si>
  <si>
    <t>TRUL_P20-1167155_054_F08</t>
  </si>
  <si>
    <t>TRUL_P20-1167158_085_F11</t>
  </si>
  <si>
    <t>TRUL_P20-1167159_086_F12</t>
  </si>
  <si>
    <t>TRUL_P20-1167160_003_G01</t>
  </si>
  <si>
    <t>TRUL_P20-1167166_051_G07</t>
  </si>
  <si>
    <t>TRUL_P20-1167167_052_G08</t>
  </si>
  <si>
    <t>TRUL_P20-1167171_084_G12</t>
  </si>
  <si>
    <t>TRUL_P20-1167174_017_H03</t>
  </si>
  <si>
    <t>TRUL_P20-1167177_034_H06</t>
  </si>
  <si>
    <t>TRUL_P20-1167178_049_H07</t>
  </si>
  <si>
    <t>TRUM_P3-1165457_016_A02</t>
  </si>
  <si>
    <t>TRUM_P3-1165460_047_A05</t>
  </si>
  <si>
    <t>TRUM_P3-1165466_095_A11</t>
  </si>
  <si>
    <t>TRUM_P3-1165467_096_A12</t>
  </si>
  <si>
    <t>TRUM_P3-1165468_013_B01</t>
  </si>
  <si>
    <t>TRUM_P3-1165469_014_B02</t>
  </si>
  <si>
    <t>TRUM_P3-1165470_029_B03</t>
  </si>
  <si>
    <t>TRUM_P3-1165473_046_B06</t>
  </si>
  <si>
    <t>TRUM_P3-1165476_077_B09</t>
  </si>
  <si>
    <t>TRUM_P3-1165477_078_B10</t>
  </si>
  <si>
    <t>TRUM_P3-1165481_012_C02</t>
  </si>
  <si>
    <t>TRUM_P3-1165482_027_C03</t>
  </si>
  <si>
    <t>TRUM_P3-1165483_028_C04</t>
  </si>
  <si>
    <t>TRUM_P3-1165486_059_C07</t>
  </si>
  <si>
    <t>TRUM_P3-1165487_060_C08</t>
  </si>
  <si>
    <t>TRUM_P3-1165489_076_C10</t>
  </si>
  <si>
    <t>TRUM_P3-1165498_057_D07</t>
  </si>
  <si>
    <t>TRUM_P3-1165499_058_D08</t>
  </si>
  <si>
    <t>TRUM_P3-1165501_074_D10</t>
  </si>
  <si>
    <t>TRUM_P3-1165502_089_D11</t>
  </si>
  <si>
    <t>TRUM_P3-1165503_090_D12</t>
  </si>
  <si>
    <t>TRUM_P3-1165507_024_E04</t>
  </si>
  <si>
    <t>TRUM_P3-1165508_039_E05</t>
  </si>
  <si>
    <t>TRUM_P3-1165518_021_F03</t>
  </si>
  <si>
    <t>TRUM_P3-1165521_038_F06</t>
  </si>
  <si>
    <t>TRUM_P3-1165526_085_F11</t>
  </si>
  <si>
    <t>TRUM_P3-1165528_003_G01</t>
  </si>
  <si>
    <t>TRUM_P3-1165530_019_G03</t>
  </si>
  <si>
    <t>TRUM_P3-1165531_020_G04</t>
  </si>
  <si>
    <t>TRUM_P3-1165535_052_G08</t>
  </si>
  <si>
    <t>TRUM_P3-1165536_067_G09</t>
  </si>
  <si>
    <t>TRUM_P3-1165538_083_G11</t>
  </si>
  <si>
    <t>TRUM_P3-1165542_017_H03</t>
  </si>
  <si>
    <t>TRUM_P3-1165546_049_H07</t>
  </si>
  <si>
    <t>TRUM_P3-1165548_065_H09</t>
  </si>
  <si>
    <t>TRUM_P4-1165552_015_A01</t>
  </si>
  <si>
    <t>TRUM_P4-1165553_016_A02</t>
  </si>
  <si>
    <t>TRUM_P4-1165559_064_A08</t>
  </si>
  <si>
    <t>TRUM_P4-1165560_079_A09</t>
  </si>
  <si>
    <t>TRUM_P4-1165561_080_A10</t>
  </si>
  <si>
    <t>TRUM_P4-1165564_013_B01</t>
  </si>
  <si>
    <t>TRUM_P4-1165571_062_B08</t>
  </si>
  <si>
    <t>TRUM_P4-1165572_077_B09</t>
  </si>
  <si>
    <t>TRUM_P4-1165577_012_C02</t>
  </si>
  <si>
    <t>TRUM_P4-1165591_026_D04</t>
  </si>
  <si>
    <t>TRUM_P4-1165594_057_D07</t>
  </si>
  <si>
    <t>TRUM_P4-1165599_090_D12</t>
  </si>
  <si>
    <t>TRUM_P4-1165601_008_E02</t>
  </si>
  <si>
    <t>TRUM_P4-1165607_056_E08</t>
  </si>
  <si>
    <t>TRUM_P4-1165610_087_E11</t>
  </si>
  <si>
    <t>TRUM_P4-1165618_053_F07</t>
  </si>
  <si>
    <t>TRUM_P4-1165619_054_F08</t>
  </si>
  <si>
    <t>TRUM_P4-1165624_003_G01</t>
  </si>
  <si>
    <t>TRUM_P4-1165626_019_G03</t>
  </si>
  <si>
    <t>TRUM_P4-1165630_051_G07</t>
  </si>
  <si>
    <t>TRUM_P4-1165632_067_G09</t>
  </si>
  <si>
    <t>TRUM_P4-1165634_083_G11</t>
  </si>
  <si>
    <t>TRUM_P4-1165636_001_H01</t>
  </si>
  <si>
    <t>TRUM_P5-1167280_015_A01</t>
  </si>
  <si>
    <t>TRUM_P5-1167292_013_B01</t>
  </si>
  <si>
    <t>TRUM_P5-1167293_014_B02</t>
  </si>
  <si>
    <t>TRUM_P5-1167308_043_C05</t>
  </si>
  <si>
    <t>TRUM_P5-1167309_044_C06</t>
  </si>
  <si>
    <t>TRUM_P5-1167310_059_C07</t>
  </si>
  <si>
    <t>TRUM_P5-1167313_076_C10</t>
  </si>
  <si>
    <t>TRUM_P5-1167317_010_D02</t>
  </si>
  <si>
    <t>TRUM_P5-1167321_042_D06</t>
  </si>
  <si>
    <t>TRUM_P5-1167325_074_D10</t>
  </si>
  <si>
    <t>TRUM_P5-1167326_089_D11</t>
  </si>
  <si>
    <t>TRUM_P5-1167331_024_E04</t>
  </si>
  <si>
    <t>TRUM_P5-1167332_039_E05</t>
  </si>
  <si>
    <t>TRUM_P5-1167335_056_E08</t>
  </si>
  <si>
    <t>TRUM_P5-1167340_005_F01</t>
  </si>
  <si>
    <t>TRUM_P5-1167342_021_F03</t>
  </si>
  <si>
    <t>TRUM_P5-1167348_069_F09</t>
  </si>
  <si>
    <t>TRUM_P5-1167351_086_F12</t>
  </si>
  <si>
    <t>TRUM_P5-1167353_004_G02</t>
  </si>
  <si>
    <t>TRUM_P5-1167360_067_G09</t>
  </si>
  <si>
    <t>TRUM_P5-1167362_083_G11</t>
  </si>
  <si>
    <t>TRUM_P5-1167366_017_H03</t>
  </si>
  <si>
    <t>Best match to NR protein database</t>
  </si>
  <si>
    <t>E value</t>
  </si>
  <si>
    <t>Match</t>
  </si>
  <si>
    <t>Score</t>
  </si>
  <si>
    <t>Extent of match</t>
  </si>
  <si>
    <t>Length of best match</t>
  </si>
  <si>
    <t>% identity</t>
  </si>
  <si>
    <t>% Coverage</t>
  </si>
  <si>
    <t>Mismatches</t>
  </si>
  <si>
    <t>Gaps</t>
  </si>
  <si>
    <t>First residue of match</t>
  </si>
  <si>
    <t>First residue of sequence</t>
  </si>
  <si>
    <t>Number of segments</t>
  </si>
  <si>
    <t>Frame</t>
  </si>
  <si>
    <t>Frame shift?</t>
  </si>
  <si>
    <t>Stop codon %</t>
  </si>
  <si>
    <t>Species of best match</t>
  </si>
  <si>
    <t>Alphanumeric Index</t>
  </si>
  <si>
    <t xml:space="preserve">Text index </t>
  </si>
  <si>
    <t>Best match to SWISSP protein database</t>
  </si>
  <si>
    <t>Orientation</t>
  </si>
  <si>
    <t>Best match to GO database</t>
  </si>
  <si>
    <t>Best match to CDD database</t>
  </si>
  <si>
    <t xml:space="preserve">All CDD domains </t>
  </si>
  <si>
    <t>Best match to KOG database</t>
  </si>
  <si>
    <t>General class</t>
  </si>
  <si>
    <t>Best match to PFAM database</t>
  </si>
  <si>
    <t xml:space="preserve">E value </t>
  </si>
  <si>
    <t>Best match to SMART database</t>
  </si>
  <si>
    <t>Best match to PRK database</t>
  </si>
  <si>
    <t>Triatoma dimidiata</t>
  </si>
  <si>
    <t>270046178 BAI50819 1 270046244 BAI50852 270046164 BAI50812 270046166 BAI50813 270046170 BAI50815 270046168 BAI50814 270046158 BAI50809 270046160 BAI50810 111379901 ABH09430 5 111379881 ABH09420 2</t>
  </si>
  <si>
    <t xml:space="preserve">UNNAMED PRODUCT SALIVARY LIPOCALIN </t>
  </si>
  <si>
    <t>sp|Q9U6R6|PRCLN_TRIPT</t>
  </si>
  <si>
    <t>FOR</t>
  </si>
  <si>
    <t>Triatoma protracta</t>
  </si>
  <si>
    <t>Q9U6R6 1 2 Q27049 Q00630 Q7BCK4 Q7NQ01 3 P68220 IL12B_SHEEP 12 IL12B P29460 IL12B_HUMAN P68221 IL12B_CAPHI Q4IBR4 HIR1_GIBZE HIR1 9075 31084 Q865W9 IL12B_LAMGL</t>
  </si>
  <si>
    <t xml:space="preserve">PRCLN_TRIPT PROCALIN OS TRIATOMA PROTRACTA PE SV TRIA_TRIPA TRIABIN PALLIDIPENNIS ICYB_MANSE INSECTICYANIN B MANDUCA SEXTA GN INSB ICSA_SHIFL OUTER MEMBRANE ICSA AUTOTRANSPORTER SHIGELLA FLEXNERI DDLB_CHRVO D ALANINE LIGASE CHROMOBACTERIUM VIOLACEUM DDLB INTERLEUKIN SUBUNIT BETA OVIS ARIES HOMO SAPIENS CAPRA HIRCUS GIBBERELLA ZEAE STRAIN PH FGSC NRRL LAMA GLAMA </t>
  </si>
  <si>
    <t>Triabin 1e-017| ND5 0.002| Tho2 0.009| Lipocalin | RHO_alpha_C_1 | STKc_ROCK1 | STKc_ROCK2 | COG3463 | Syndecan | rnc |</t>
  </si>
  <si>
    <t>Lipid transport and metabolism</t>
  </si>
  <si>
    <t>270046164 BAI50812 1 270046166 BAI50813 270046244 BAI50852 270046170 BAI50815 270046168 BAI50814 270046178 BAI50819 270046158 BAI50809 270046162 BAI50811 270046160 BAI50810 111379911 ABH09435</t>
  </si>
  <si>
    <t xml:space="preserve">UNNAMED PRODUCT LIPOCALIN </t>
  </si>
  <si>
    <t>Q9U6R6 1 2 Q27049 Q7BCK4 Q7NQ01 3 P37153 P51910 Q32KY0 P22380 GP160 GB1 Q9U2R0 BIN3D_CAEEL Y17G7B 18 Q3LX99 TXLR3_EISFO</t>
  </si>
  <si>
    <t xml:space="preserve">PRCLN_TRIPT PROCALIN OS TRIATOMA PROTRACTA PE SV TRIA_TRIPA TRIABIN PALLIDIPENNIS ICSA_SHIFL OUTER MEMBRANE ICSA AUTOTRANSPORTER SHIGELLA FLEXNERI GN DDLB_CHRVO D ALANINE LIGASE B CHROMOBACTERIUM VIOLACEUM DDLB APOD_RABIT APOLIPOPROTEIN ORYCTOLAGUS CUNICULUS APOD APOD_MOUSE MUS MUSCULUS APOD_BOVIN BOS TAURUS ENV_SIVGB ENVELOPE GLYCOPROTEIN SIMIAN IMMUNODEFICIENCY VIRUS ISOLATE ENV PROBABLE METHYLTRANSFERASE CAENORHABDITIS ELEGANS LYSENIN RELATED EISENIA FOETIDA </t>
  </si>
  <si>
    <t>Triabin 3e-017| Tho2 0.062| Lipocalin | ND5 | rnc | ND2 | B56 | COG3463 | DUF1817 | PLN02297 |</t>
  </si>
  <si>
    <t>Cell cycle control, cell division, chromosome partitioning</t>
  </si>
  <si>
    <t>270046244 BAI50852 1 270046164 BAI50812 270046166 BAI50813 270046170 BAI50815 270046178 BAI50819 270046168 BAI50814 270046158 BAI50809 270046162 BAI50811 270046160 BAI50810 111379911 ABH09435</t>
  </si>
  <si>
    <t>Q9U6R6 1 2 Q7BCK4 P68220 IL12B_SHEEP 12 IL12B P29460 IL12B_HUMAN P68221 IL12B_CAPHI Q7NQ01 3 Q865W9 IL12B_LAMGL Q28234 IL12B_CEREL Q28938 IL12B_PIG Q2PE76 IL12B_BUBCA</t>
  </si>
  <si>
    <t xml:space="preserve">PRCLN_TRIPT PROCALIN OS TRIATOMA PROTRACTA PE SV ICSA_SHIFL OUTER MEMBRANE ICSA AUTOTRANSPORTER SHIGELLA FLEXNERI GN INTERLEUKIN SUBUNIT BETA OVIS ARIES HOMO SAPIENS CAPRA HIRCUS DDLB_CHRVO D ALANINE LIGASE B CHROMOBACTERIUM VIOLACEUM DDLB LAMA GLAMA CERVUS ELAPHUS SUS SCROFA BUBALUS CARABANENSIS </t>
  </si>
  <si>
    <t>Triabin 1e-016| Tho2 0.003| ND5 0.003| Lipocalin 0.005| RHO_alpha_C_1 0.043| PRK09928 0.047| oat | 3a0501s007 | COG3463 | PRK14990 |</t>
  </si>
  <si>
    <t>Inorganic ion transport and metabolism, Signal transduction mechanisms</t>
  </si>
  <si>
    <t>Q9U6R6 1 2 Q27049 Q32KY0 P05090 P37153 Q8SPI0 Q7BCK4 P51910 Q7NQ01 3 Q4IBR4 HIR1_GIBZE HIR1 9075 31084</t>
  </si>
  <si>
    <t xml:space="preserve">PRCLN_TRIPT PROCALIN OS TRIATOMA PROTRACTA PE SV TRIA_TRIPA TRIABIN PALLIDIPENNIS APOD_BOVIN APOLIPOPROTEIN D BOS TAURUS GN APOD APOD_HUMAN HOMO SAPIENS APOD_RABIT ORYCTOLAGUS CUNICULUS APOD_MACFA MACACA FASCICULARIS ICSA_SHIFL OUTER MEMBRANE ICSA AUTOTRANSPORTER SHIGELLA FLEXNERI APOD_MOUSE MUS MUSCULUS DDLB_CHRVO ALANINE LIGASE B CHROMOBACTERIUM VIOLACEUM DDLB GIBBERELLA ZEAE STRAIN PH FGSC NRRL </t>
  </si>
  <si>
    <t>Triabin 2e-017| ND5 0.012| Tho2 0.013| Lipocalin | RHO_alpha_C_1 | Syndecan | rnc | COG3463 | TDT_like_3 | NOT5 |</t>
  </si>
  <si>
    <t>270046244 BAI50852 1 270046178 BAI50819 270046164 BAI50812 270046166 BAI50813 270046170 BAI50815 270046168 BAI50814 270046158 BAI50809 270046162 BAI50811 270046160 BAI50810 307094922 ADN29767</t>
  </si>
  <si>
    <t>Q9U6R6 1 2 Q27049 Q3LX99 TXLR3_EISFO 3 P41263 RET4_CHICK 4 RBP4 O18424 TXLR1_EISFO P0CQ46 SEY1_CRYNJ SEY1 JEC21 P0CQ47 SEY1_CRYNB 3501A B3QPW8 DNAJ_CHLP8 8327 P61641 RET4_PANTR P02753 RET4_HUMAN</t>
  </si>
  <si>
    <t xml:space="preserve">PRCLN_TRIPT PROCALIN OS TRIATOMA PROTRACTA PE SV TRIA_TRIPA TRIABIN PALLIDIPENNIS LYSENIN RELATED EISENIA FOETIDA RETINOL BINDING GALLUS GN CRYPTOCOCCUS NEOFORMANS VAR SEROTYPE D STRAIN B CHAPERONE DNAJ CHLOROBACULUM PARVUM NCIB PAN TROGLODYTES HOMO SAPIENS </t>
  </si>
  <si>
    <t>Triabin 6e-017| ND5 0.004| Tho2 0.006| Lipocalin 0.007| Syndecan | 7TM_GPCR_Srj | COG3463 | ND4 | PRK09928 | ND2 |</t>
  </si>
  <si>
    <t>Signal transduction mechanisms</t>
  </si>
  <si>
    <t>270046164 BAI50812 1 270046244 BAI50852 270046166 BAI50813 270046170 BAI50815 270046168 BAI50814 270046178 BAI50819 270046158 BAI50809 270046162 BAI50811 34421652 AAQ68063 TILIPO37 307094944 ADN29778</t>
  </si>
  <si>
    <t xml:space="preserve">UNNAMED PRODUCT LIPOCALIN LIKE SALIVARY </t>
  </si>
  <si>
    <t>Q9U6R6 1 2 Q27049 Q38SD2 LRRK1_HUMAN LRRK1 3 Q8NXM0 MW2 Q6GB72 MSSA476 Q6GIN3 MRSA252 P67425 N315 P67424 MU50 700699 Q5HHR0 Q73GH6</t>
  </si>
  <si>
    <t xml:space="preserve">PRCLN_TRIPT PROCALIN OS TRIATOMA PROTRACTA PE SV TRIA_TRIPA TRIABIN PALLIDIPENNIS LEUCINE RICH REPEAT SERINE THREONINE KINASE HOMO SAPIENS GN UVRB_STAAW UVRABC SYSTEM B STAPHYLOCOCCUS AUREUS STRAIN UVRB UVRB_STAAS UVRB_STAAR UVRB_STAAN UVRB_STAAM ATCC UVRB_STAAC COL SYT_WOLPM THREONYL TRNA SYNTHETASE WOLBACHIA PIPIENTIS WMEL THRS </t>
  </si>
  <si>
    <t>Triabin 2e-016| ND5 0.015| Tho2 0.037| RHO_alpha_C_1 | 7tm_1 | COG3463 | Lipocalin | ND2 | 2A060602 | ND6 |</t>
  </si>
  <si>
    <t>270046164 BAI50812 1 270046166 BAI50813 270046244 BAI50852 270046170 BAI50815 270046168 BAI50814 270046178 BAI50819 270046158 BAI50809 307094944 ADN29778 270046162 BAI50811 34421652 AAQ68063 TILIPO37</t>
  </si>
  <si>
    <t xml:space="preserve">UNNAMED PRODUCT SALIVARY LIPOCALIN LIKE </t>
  </si>
  <si>
    <t>Triabin 9e-017| ND5 0.007| Tho2 0.041| Lipocalin | ND6 | 2A060602 | COG3463 | Syndecan | TIGR03766 | rnc |</t>
  </si>
  <si>
    <t>Function unknown</t>
  </si>
  <si>
    <t>270046164 BAI50812 1 270046244 BAI50852 270046166 BAI50813 270046170 BAI50815 270046168 BAI50814 270046178 BAI50819 270046158 BAI50809 270046162 BAI50811 307094944 ADN29778 34421652 AAQ68063 TILIPO37</t>
  </si>
  <si>
    <t>Q9U6R6 1 2 Q27049 Q38SD2 LRRK1_HUMAN LRRK1 3 Q8NXM0 MW2 Q6GB72 MSSA476 Q6GIN3 MRSA252 P67425 N315 P67424 MU50 700699 Q5HHR0 O13652 SFI1_SCHPO SFI1 38366 972</t>
  </si>
  <si>
    <t xml:space="preserve">PRCLN_TRIPT PROCALIN OS TRIATOMA PROTRACTA PE SV TRIA_TRIPA TRIABIN PALLIDIPENNIS LEUCINE RICH REPEAT SERINE THREONINE KINASE HOMO SAPIENS GN UVRB_STAAW UVRABC SYSTEM B STAPHYLOCOCCUS AUREUS STRAIN UVRB UVRB_STAAS UVRB_STAAR UVRB_STAAN UVRB_STAAM ATCC UVRB_STAAC COL SCHIZOSACCHAROMYCES POMBE </t>
  </si>
  <si>
    <t>Triabin 2e-016| ND5 0.032| Tho2 0.077| CBM20_novamyl | ND2 | Bestrophin | COG3463 | Lipocalin | RHO_alpha_C_1 | YbiR_permease |</t>
  </si>
  <si>
    <t>270046244 BAI50852 1 270046178 BAI50819 270046164 BAI50812 270046166 BAI50813 270046170 BAI50815 270046168 BAI50814 270046158 BAI50809 307094928 ADN29770 307094922 ADN29767 270046160 BAI50810</t>
  </si>
  <si>
    <t>Q9U6R6 1 2 Q27049 P61641 RET4_PANTR 4 RBP4 3 P02753 RET4_HUMAN P41263 RET4_CHICK Q3LX99 TXLR3_EISFO Q28369 RET4_HORSE P08938 C3MZ47 Y1804_SULIA UPF0218 M1627_1804 16 27 C4KIC5 Y1735_SULIK M164_1735 #3</t>
  </si>
  <si>
    <t xml:space="preserve">PRCLN_TRIPT PROCALIN OS TRIATOMA PROTRACTA PE SV TRIA_TRIPA TRIABIN PALLIDIPENNIS RETINOL BINDING PAN TROGLODYTES GN HOMO SAPIENS GALLUS LYSENIN RELATED EISENIA FOETIDA EQUUS CABALLUS PURP_CHICK PURPURIN SULFOLOBUS ISLANDICUS STRAIN M KAMCHATKA </t>
  </si>
  <si>
    <t>Triabin 2e-016| Lipocalin 0.003| Anticodon_Ia_Ile_BEm | 7TM_GPCR_Srj | trmE | PRK05270 | COG3818 | Bunya_RdRp | PLN02297 | RgfB-like |</t>
  </si>
  <si>
    <t>270046178 BAI50819 1 270046244 BAI50852 270046164 BAI50812 270046166 BAI50813 270046170 BAI50815 270046168 BAI50814 270046158 BAI50809 307094846 ADN29729 4 307094928 ADN29770 307094922 ADN29767</t>
  </si>
  <si>
    <t>Q9U6R6 1 2 Q27049 Q00630 P41263 RET4_CHICK 4 RBP4 Q3LX99 TXLR3_EISFO 3 P61641 RET4_PANTR P02753 RET4_HUMAN Q28369 RET4_HORSE O35523 PSB9_MUSPL 9 PSMB9 A5UBS8</t>
  </si>
  <si>
    <t xml:space="preserve">PRCLN_TRIPT PROCALIN OS TRIATOMA PROTRACTA PE SV TRIA_TRIPA TRIABIN PALLIDIPENNIS ICYB_MANSE INSECTICYANIN B MANDUCA SEXTA GN INSB RETINOL BINDING GALLUS LYSENIN RELATED EISENIA FOETIDA PAN TROGLODYTES HOMO SAPIENS EQUUS CABALLUS PROTEASOME SUBUNIT BETA TYPE MUS PLATYTHRIX SYM_HAEIE METHIONYL TRNA SYNTHETASE HAEMOPHILUS INFLUENZAE STRAIN PITTEE METG </t>
  </si>
  <si>
    <t>Triabin 5e-017| Lipocalin 0.005| NDP-sugDHase | trmE | 7TM_GPCR_Srj | Bunya_RdRp | trmE | PRK00247 | COG3818 | PRK13979 |</t>
  </si>
  <si>
    <t>General function prediction only</t>
  </si>
  <si>
    <t>270046244 BAI50852 1 270046178 BAI50819 270046164 BAI50812 270046166 BAI50813 270046170 BAI50815 270046168 BAI50814 270046158 BAI50809 270046162 BAI50811 307094922 ADN29767 307094846 ADN29729 4</t>
  </si>
  <si>
    <t>Q9U6R6 1 2 Q27049 P41263 RET4_CHICK 4 RBP4 Q3LX99 TXLR3_EISFO 3 P61641 RET4_PANTR P02753 RET4_HUMAN O35523 PSB9_MUSPL 9 PSMB9 Q00630 A5UBS8 Q28369 RET4_HORSE</t>
  </si>
  <si>
    <t xml:space="preserve">PRCLN_TRIPT PROCALIN OS TRIATOMA PROTRACTA PE SV TRIA_TRIPA TRIABIN PALLIDIPENNIS RETINOL BINDING GALLUS GN LYSENIN RELATED EISENIA FOETIDA PAN TROGLODYTES HOMO SAPIENS PROTEASOME SUBUNIT BETA TYPE MUS PLATYTHRIX ICYB_MANSE INSECTICYANIN B MANDUCA SEXTA INSB SYM_HAEIE METHIONYL TRNA SYNTHETASE HAEMOPHILUS INFLUENZAE STRAIN PITTEE METG EQUUS CABALLUS </t>
  </si>
  <si>
    <t>Triabin 4e-017| Lipocalin 0.026| NDP-sugDHase | trmE | 7TM_GPCR_Srj | Bunya_RdRp | trmE | PRK00247 | COG3818 | PRK13979 |</t>
  </si>
  <si>
    <t>Triabin 4e-017| Lipocalin 0.026| NDP-sugDHase | trmE | 7TM_GPCR_Srj | Bunya_RdRp | PRK13549 | trmE | PRK00247 | PRK06924 |</t>
  </si>
  <si>
    <t>270046244 BAI50852 1 270046178 BAI50819 270046164 BAI50812 270046166 BAI50813 270046170 BAI50815 270046168 BAI50814 270046158 BAI50809 307094928 ADN29770 307094924 ADN29768 307094916 ADN29764</t>
  </si>
  <si>
    <t>Q9U6R6 1 2 Q27049 Q3LX99 TXLR3_EISFO 3 Q8SPI0 P61641 RET4_PANTR 4 RBP4 P02753 RET4_HUMAN C3MZ47 Y1804_SULIA UPF0218 M1627_1804 16 27 C4KIC5 Y1735_SULIK M164_1735 #3 C3MWY7 Y1688_SULIM M1425_1688 14 25 #1 Q01589 SED1_YEAST SED1 204508 S288C</t>
  </si>
  <si>
    <t xml:space="preserve">PRCLN_TRIPT PROCALIN OS TRIATOMA PROTRACTA PE SV TRIA_TRIPA TRIABIN PALLIDIPENNIS LYSENIN RELATED EISENIA FOETIDA APOD_MACFA APOLIPOPROTEIN D MACACA FASCICULARIS GN APOD RETINOL BINDING PAN TROGLODYTES HOMO SAPIENS SULFOLOBUS ISLANDICUS STRAIN M KAMCHATKA CELL WALL SACCHAROMYCES CEREVISIAE ATCC </t>
  </si>
  <si>
    <t>Triabin 2e-016| Lipocalin 0.001| 7TM_GPCR_Srj | PRK05934 | trmE | Anticodon_Ia_Ile_BEm | PRK05270 | COG3818 | Bunya_RdRp | RgfB-like |</t>
  </si>
  <si>
    <t>Cell wall/membrane/envelope biogenesis</t>
  </si>
  <si>
    <t>270046244 BAI50852 1 270046178 BAI50819 270046164 BAI50812 270046166 BAI50813 270046170 BAI50815 270046168 BAI50814 270046158 BAI50809 307094846 ADN29729 4 270046162 BAI50811 307094928 ADN29770</t>
  </si>
  <si>
    <t>Q9U6R6 1 2 Q27049 Q3LX99 TXLR3_EISFO 3 Q8WZ42 Q01589 SED1_YEAST SED1 204508 S288C C3MZ47 Y1804_SULIA UPF0218 M1627_1804 16 27 C4KIC5 Y1735_SULIK M164_1735 4 #3 C3MWY7 Y1688_SULIM M1425_1688 14 25 #1 O18424 TXLR1_EISFO B3QPW8 DNAJ_CHLP8 8327</t>
  </si>
  <si>
    <t xml:space="preserve">PRCLN_TRIPT PROCALIN OS TRIATOMA PROTRACTA PE SV TRIA_TRIPA TRIABIN PALLIDIPENNIS LYSENIN RELATED EISENIA FOETIDA TITIN_HUMAN TITIN HOMO SAPIENS GN TTN CELL WALL SACCHAROMYCES CEREVISIAE STRAIN ATCC SULFOLOBUS ISLANDICUS M KAMCHATKA CHAPERONE DNAJ CHLOROBACULUM PARVUM NCIB </t>
  </si>
  <si>
    <t>Triabin 4e-015| Lipocalin 0.071| ND2 | NDP-sugDHase | 7TM_GPCR_Srj | sit | PHA03007 | PRK05270 | COG3818 | RgfB-like |</t>
  </si>
  <si>
    <t>270046244 BAI50852 1 270046178 BAI50819 270046164 BAI50812 270046166 BAI50813 270046170 BAI50815 270046168 BAI50814 270046158 BAI50809 307094928 ADN29770 307094922 ADN29767 270046162 BAI50811</t>
  </si>
  <si>
    <t>Q9U6R6 1 2 Q27049 Q3LX99 TXLR3_EISFO 3 P61641 RET4_PANTR 4 RBP4 P02753 RET4_HUMAN P41263 RET4_CHICK Q28369 RET4_HORSE C3MZ47 Y1804_SULIA UPF0218 M1627_1804 16 27 C4KIC5 Y1735_SULIK M164_1735 #3 C3MWY7 Y1688_SULIM M1425_1688 14 25 #1</t>
  </si>
  <si>
    <t xml:space="preserve">PRCLN_TRIPT PROCALIN OS TRIATOMA PROTRACTA PE SV TRIA_TRIPA TRIABIN PALLIDIPENNIS LYSENIN RELATED EISENIA FOETIDA RETINOL BINDING PAN TROGLODYTES GN HOMO SAPIENS GALLUS EQUUS CABALLUS SULFOLOBUS ISLANDICUS STRAIN M KAMCHATKA </t>
  </si>
  <si>
    <t>Triabin 2e-016| Lipocalin 0.002| 7TM_GPCR_Srj | trmE | Anticodon_Ia_Ile_BEm | PRK05270 | COG3818 | Bunya_RdRp | RgfB-like | rpmE |</t>
  </si>
  <si>
    <t>270046164 BAI50812 1 270046244 BAI50852 270046166 BAI50813 270046170 BAI50815 270046168 BAI50814 270046178 BAI50819 270046158 BAI50809 270046162 BAI50811 34421652 AAQ68063 TILIPO37 111379911 ABH09435</t>
  </si>
  <si>
    <t xml:space="preserve">UNNAMED PRODUCT LIPOCALIN LIKE </t>
  </si>
  <si>
    <t>Q9U6R6 1 2 Q27049 Q8NXM0 MW2 3 Q6GB72 MSSA476 Q6GIN3 MRSA252 P67425 N315 P67424 MU50 700699 Q5HHR0 Q7BCK4 P12531 TOP2_TRYBB TOP2</t>
  </si>
  <si>
    <t xml:space="preserve">PRCLN_TRIPT PROCALIN OS TRIATOMA PROTRACTA PE SV TRIA_TRIPA TRIABIN PALLIDIPENNIS UVRB_STAAW UVRABC SYSTEM B STAPHYLOCOCCUS AUREUS STRAIN GN UVRB UVRB_STAAS UVRB_STAAR UVRB_STAAN UVRB_STAAM ATCC UVRB_STAAC COL ICSA_SHIFL OUTER MEMBRANE ICSA AUTOTRANSPORTER SHIGELLA FLEXNERI DNA TOPOISOMERASE TRYPANOSOMA BRUCEI </t>
  </si>
  <si>
    <t>Triabin 1e-016| Tho2 0.031| ND5 0.078| Lipocalin | RHO_alpha_C_1 | rnc | COG3463 | PTZ00088 | PRK10750 | TBCC |</t>
  </si>
  <si>
    <t>Q9U6R6 1 2 Q27049 Q00630 Q3LX99 TXLR3_EISFO 3 P41263 RET4_CHICK 4 RBP4 O35523 PSB9_MUSPL 9 PSMB9 A5UBS8 P61641 RET4_PANTR P02753 RET4_HUMAN P28077 PSB9_RAT</t>
  </si>
  <si>
    <t xml:space="preserve">PRCLN_TRIPT PROCALIN OS TRIATOMA PROTRACTA PE SV TRIA_TRIPA TRIABIN PALLIDIPENNIS ICYB_MANSE INSECTICYANIN B MANDUCA SEXTA GN INSB LYSENIN RELATED EISENIA FOETIDA RETINOL BINDING GALLUS PROTEASOME SUBUNIT BETA TYPE MUS PLATYTHRIX SYM_HAEIE METHIONYL TRNA SYNTHETASE HAEMOPHILUS INFLUENZAE STRAIN PITTEE METG PAN TROGLODYTES HOMO SAPIENS RATTUS NORVEGICUS </t>
  </si>
  <si>
    <t>Triabin 4e-017| Lipocalin 0.003| NDP-sugDHase | trmE | 7TM_GPCR_Srj | Bunya_RdRp | trmE | PRK05270 | PRK00247 | COG3818 |</t>
  </si>
  <si>
    <t>270046244 BAI50852 1 270046178 BAI50819 270046164 BAI50812 270046170 BAI50815 270046166 BAI50813 270046158 BAI50809 270046168 BAI50814 307094928 ADN29770 307094922 ADN29767 307094846 ADN29729 4</t>
  </si>
  <si>
    <t>Q9U6R6 1 2 Q27049 Q3LX99 TXLR3_EISFO 3 P29074 PTN4_HUMAN 4 PTPN4 Q01589 SED1_YEAST SED1 204508 S288C P41263 RET4_CHICK RBP4 P08938 Q9WU22 PTN4_MOUSE C3MZ47 Y1804_SULIA UPF0218 M1627_1804 16 27 C4KIC5 Y1735_SULIK M164_1735 #3</t>
  </si>
  <si>
    <t xml:space="preserve">PRCLN_TRIPT PROCALIN OS TRIATOMA PROTRACTA PE SV TRIA_TRIPA TRIABIN PALLIDIPENNIS LYSENIN RELATED EISENIA FOETIDA TYROSINE PHOSPHATASE NON RECEPTOR TYPE HOMO SAPIENS GN CELL WALL SACCHAROMYCES CEREVISIAE STRAIN ATCC RETINOL BINDING GALLUS PURP_CHICK PURPURIN MUS MUSCULUS SULFOLOBUS ISLANDICUS M KAMCHATKA </t>
  </si>
  <si>
    <t>Triabin 7e-016| Lipocalin 0.021| 7TM_GPCR_Srj | trmE | PRK12324 | COG3818 | HsdR | Bunya_RdRp | PRK05270 | RgfB-like |</t>
  </si>
  <si>
    <t>270046244 BAI50852 1 270046158 BAI50809 270046170 BAI50815 270046178 BAI50819 270046166 BAI50813 270046164 BAI50812 270046162 BAI50811 270046168 BAI50814 307094922 ADN29767 307094928 ADN29770</t>
  </si>
  <si>
    <t>Q9U6R6 1 2 P29074 PTN4_HUMAN 4 PTPN4 Q9WU22 PTN4_MOUSE A0RDG3 3 A8GNY3 Y4175_RICAH UPF0082 A1C_04175 Q4ULC3 Y799_RICFE RF_0799 1525 URRWXCAL2 Q23551 UNC22_CAEEL 22 P61641 RET4_PANTR RBP4 P02753 RET4_HUMAN O34774</t>
  </si>
  <si>
    <t xml:space="preserve">PRCLN_TRIPT PROCALIN OS TRIATOMA PROTRACTA PE SV TYROSINE PHOSPHATASE NON RECEPTOR TYPE HOMO SAPIENS GN MUS MUSCULUS SYI_BACAH ISOLEUCYL TRNA SYNTHETASE BACILLUS THURINGIENSIS STRAIN AL HAKAM ILES RICKETTSIA AKARI HARTFORD FELIS ATCC VR TWITCHIN CAENORHABDITIS ELEGANS UNC RETINOL BINDING PAN TROGLODYTES YOBJ_BACSU UNCHARACTERIZED YOBJ SUBTILIS </t>
  </si>
  <si>
    <t>Triabin 3e-004| Lipocalin 0.019| 7TM_GPCR_Srj | PRK05270 | DUF3517 | COG3389 | COG4393 | ND6 | PRK09191 | Frag1 |</t>
  </si>
  <si>
    <t>Replication, recombination and repair</t>
  </si>
  <si>
    <t>270046244 BAI50852 1 270046170 BAI50815 270046164 BAI50812 270046178 BAI50819 270046166 BAI50813 270046162 BAI50811 270046168 BAI50814 307094922 ADN29767 270046160 BAI50810 270046158 BAI50809</t>
  </si>
  <si>
    <t>Q9U6R6 1 2 Q86WB7 UN93A_HUMAN 93 UNC93A B3ED49 RLMN_CHLL2 245 103803 3 P32315 FXA1B_XENLA A1 FOXA1 D3FA80 FTSH2_CONWI 14684 11494 100937 ID131577 FTSH2 Q8TDU5 VNRL4_HUMAN 4 VN1R17P 5 Q68FS1 NUBP2_RAT NUBP2 Q9R061 NUBP2_MOUSE B5FBU7 6 MJ11 Q5E294 NAGB_VIBF1 700601 ES114</t>
  </si>
  <si>
    <t xml:space="preserve">PRCLN_TRIPT PROCALIN OS TRIATOMA PROTRACTA PE SV UNC HOMOLOG A HOMO SAPIENS GN RIBOSOMAL RNA LARGE SUBUNIT METHYLTRANSFERASE N CHLOROBIUM LIMICOLA STRAIN DSM NBRC RLMN FORKHEAD BOX B XENOPUS LAEVIS ATP DEPENDENT ZINC METALLOPROTEASE FTSH CONEXIBACTER WOESEI JCM VOMERONASAL RECEPTOR LIKE CYTOSOLIC FE S CLUSTER ASSEMBLY FACTOR RATTUS NORVEGICUS MUS MUSCULUS NAGB_VIBFM GLUCOSAMINE PHOSPHATE DEAMINASE VIBRIO FISCHERI NAGB ATCC </t>
  </si>
  <si>
    <t>Triabin 0.043| ND2 | PRK12291 | PRK09116 | PLN02297 | PHA03098 | PRK13824 | CARP | ND5 | pepN |</t>
  </si>
  <si>
    <t>Transcription</t>
  </si>
  <si>
    <t>270046184 BAI50822 1 270046216 BAI50838 270046248 BAI50854 149898844 ABR27897 5 307095190 ADN29901 ANTIGEN5 33518699 AAQ20832 307095044 ADN29828 157131534 XP_001655867 108871484 EAT35709 198451711 XP_001358490 2 GA21107 198131610 EAL27629 195145864 XP_002013910 GL23137 194102853 EDW24896</t>
  </si>
  <si>
    <t xml:space="preserve">UNNAMED PRODUCT ANTIGEN LIKE PRECURSOR ALLERGEN </t>
  </si>
  <si>
    <t>sp|P10736|VA52_DOLMA</t>
  </si>
  <si>
    <t>Dolichovespula maculata</t>
  </si>
  <si>
    <t>P10736 VA52_DOLMA 5 01 1 B2MVK7 VA5_RHYBR 2 Q05110 VA5_VESVU P35760 VA5_VESMC P35783 VA5_VESFL P35785 VA5_VESPE P35787 VA5_VESVI P86870 VA5_VESMG P81657 VA5_VESMA P10737 VA53_DOLMA 02 3</t>
  </si>
  <si>
    <t xml:space="preserve">VENOM ALLERGEN OS DOLICHOVESPULA MACULATA PE SV RHYNCHIUM BRUNNEUM VESPULA VULGARIS MACULIFRONS FLAVOPILOSA PENSYLVANICA VIDUA VESPA MAGNIFICA MANDARINIA FRAGMENT </t>
  </si>
  <si>
    <t>Drosophila melanogaster - extracellular region</t>
  </si>
  <si>
    <t>SCP 6e-027| SCP_euk 4e-026| SCP_PRY1_like 4e-020| SCP_GAPR-1_like 2e-018| SCP_CRISP 1e-017| SCP_GLIPR-1_like 6e-017| SCP_HrTT-1 3e-016| SCP 3e-016| SCP_PR-1_like 9e-016| CAP 3e-015|</t>
  </si>
  <si>
    <t>270046184 BAI50822 1 270046248 BAI50854 270046216 BAI50838 149898844 ABR27897 5 307095190 ADN29901 ANTIGEN5 33518699 AAQ20832 307095044 ADN29828 157131534 XP_001655867 108871484 EAT35709 194741178 XP_001953066 GF17401 190626125 EDV41649 195037433 XP_001990165 GH19187 193894361 EDV93227</t>
  </si>
  <si>
    <t>sp|P81657|VA5_VESMA</t>
  </si>
  <si>
    <t>Vespa mandarinia</t>
  </si>
  <si>
    <t>P81657 VA5_VESMA 5 1 P35781 VA51_VESCR 01 P86870 VA5_VESMG P10737 VA53_DOLMA 02 3 P35782 VA52_VESCR B2MVK7 VA5_RHYBR 2 P35760 VA5_VESMC P10736 VA52_DOLMA Q05108 VA5_DOLAR P35783 VA5_VESFL</t>
  </si>
  <si>
    <t xml:space="preserve">VENOM ALLERGEN OS VESPA MANDARINIA PE SV CRABRO MAGNIFICA FRAGMENT DOLICHOVESPULA MACULATA RHYNCHIUM BRUNNEUM VESPULA MACULIFRONS ARENARIA FLAVOPILOSA </t>
  </si>
  <si>
    <t>SCP 3e-022| SCP_euk 5e-022| SCP_GAPR-1_like 7e-017| SCP_PRY1_like 2e-016| SCP 2e-014| SCP_PR-1_like 2e-014| SCP_CRISP 8e-014| CAP 2e-012| SCP_GLIPR-1_like 5e-012| SCP_HrTT-1 2e-011|</t>
  </si>
  <si>
    <t>270046184 BAI50822 1 270046248 BAI50854 270046216 BAI50838 33518699 AAQ20832 5 149898844 ABR27897 307095190 ADN29901 ANTIGEN5 157131534 XP_001655867 108871484 EAT35709 170028687 XP_001842226 167877911 EDS41294 198451711 XP_001358490 2 GA21107 198131610 EAL27629 195145864 XP_002013910 GL23137 194102853 EDW24896</t>
  </si>
  <si>
    <t>sp|Q9ET66|PI16_MOUSE</t>
  </si>
  <si>
    <t>Mus musculus</t>
  </si>
  <si>
    <t>Q9ET66 PI16_MOUSE 16 PI16 2 1 Q58D34 PI16_BOVIN Q6UXB8 PI16_HUMAN B2MVK7 VA5_RHYBR 5 P47033 PRY3_YEAST PRY3 204508 S288C P35781 VA51_VESCR 01 P83377 VA5_POLGA P81656 VA5_POLDO P35782 VA52_VESCR 02 P86870 VA5_VESMG</t>
  </si>
  <si>
    <t xml:space="preserve">PEPTIDASE INHIBITOR OS MUS MUSCULUS GN PE SV BOS TAURUS HOMO SAPIENS VENOM ALLERGEN RHYNCHIUM BRUNNEUM CELL WALL SACCHAROMYCES CEREVISIAE STRAIN ATCC VESPA CRABRO POLISTES GALLICUS DOMINULA MAGNIFICA </t>
  </si>
  <si>
    <t>SCP_PRY1_like 4e-013| SCP 2e-011| SCP_GAPR-1_like 8e-011| SCP_euk 2e-010| SCP_PR-1_like 5e-009| SCP 1e-008| SCP_GLIPR-1_like 3e-008| CAP 1e-007| SCP_HrTT-1 2e-007| SCP_CRISP 3e-007|</t>
  </si>
  <si>
    <t>270046184 BAI50822 1 270046248 BAI50854 270046216 BAI50838 149898844 ABR27897 5 307095190 ADN29901 ANTIGEN5 33518699 AAQ20832 307095044 ADN29828 157131534 XP_001655867 108871484 EAT35709 198451711 XP_001358490 2 GA21107 198131610 EAL27629 195145864 XP_002013910 GL23137 194102853 EDW24896</t>
  </si>
  <si>
    <t>sp|B2MVK7|VA5_RHYBR</t>
  </si>
  <si>
    <t>Rhynchium brunneum</t>
  </si>
  <si>
    <t>B2MVK7 VA5_RHYBR 5 2 1 P81657 VA5_VESMA P10737 VA53_DOLMA 02 3 P10736 VA52_DOLMA 01 P35781 VA51_VESCR P86870 VA5_VESMG P35782 VA52_VESCR Q05108 VA5_DOLAR P35760 VA5_VESMC P35783 VA5_VESFL</t>
  </si>
  <si>
    <t xml:space="preserve">VENOM ALLERGEN OS RHYNCHIUM BRUNNEUM PE SV VESPA MANDARINIA FRAGMENT DOLICHOVESPULA MACULATA CRABRO MAGNIFICA ARENARIA VESPULA MACULIFRONS FLAVOPILOSA </t>
  </si>
  <si>
    <t>SCP 1e-027| SCP_euk 1e-026| SCP_PRY1_like 7e-020| SCP_GAPR-1_like 2e-018| SCP_CRISP 6e-018| SCP 1e-017| SCP_GLIPR-1_like 3e-017| SCP_PR-1_like 1e-016| CAP 1e-015| SCP_HrTT-1 1e-015|</t>
  </si>
  <si>
    <t>270046184 BAI50822 1 270046248 BAI50854 270046216 BAI50838 307095190 ADN29901 ANTIGEN5 149898844 ABR27897 5 33518699 AAQ20832 307095044 ADN29828 157131534 XP_001655867 108871484 EAT35709 170028687 XP_001842226 167877911 EDS41294 340727156 XP_003401915</t>
  </si>
  <si>
    <t xml:space="preserve">UNNAMED PRODUCT LIKE PRECURSOR ANTIGEN ALLERGEN VENOM </t>
  </si>
  <si>
    <t>Q9ET66 PI16_MOUSE 16 PI16 2 1 P47033 PRY3_YEAST PRY3 204508 S288C P86870 VA5_VESMG 5 P35782 VA52_VESCR 02 P35781 VA51_VESCR 01 P35785 VA5_VESPE P81657 VA5_VESMA Q05109 VA5_POLAN P35759 VA5_POLEX P35760 VA5_VESMC</t>
  </si>
  <si>
    <t xml:space="preserve">PEPTIDASE INHIBITOR OS MUS MUSCULUS GN PE SV CELL WALL SACCHAROMYCES CEREVISIAE STRAIN ATCC VENOM ALLERGEN VESPA MAGNIFICA CRABRO VESPULA PENSYLVANICA MANDARINIA FRAGMENT POLISTES ANNULARIS EXCLAMANS MACULIFRONS </t>
  </si>
  <si>
    <t>SCP_PRY1_like 2e-015| SCP 6e-015| SCP_euk 4e-014| SCP_GAPR-1_like 1e-013| SCP 4e-012| SCP_PR-1_like 9e-012| SCP_GLIPR-1_like 4e-011| SCP_CRISP 2e-009| CAP 4e-009| SCP_HrTT-1 5e-009|</t>
  </si>
  <si>
    <t>270046184 BAI50822 1 270046248 BAI50854 270046216 BAI50838 149898844 ABR27897 5 33518699 AAQ20832 307095190 ADN29901 ANTIGEN5 157131534 XP_001655867 108871484 EAT35709 198451711 XP_001358490 2 GA21107 198131610 EAL27629 195145864 XP_002013910 GL23137 194102853 EDW24896 194741178 XP_001953066 GF17401 190626125 EDV41649</t>
  </si>
  <si>
    <t>Q9ET66 PI16_MOUSE 16 PI16 2 1 P47033 PRY3_YEAST PRY3 204508 S288C Q2XXR0 CRVP5_VARAC VAR5 Q8BZQ2 CRLD2_MOUSE CRISPLD2 Q2XXQ7 CRVP8_VARAC VAR8 B2MVK7 VA5_RHYBR 5 Q58D34 PI16_BOVIN Q60477 CRIS2_CAVPO CRISP2 P83377 VA5_POLGA P81656 VA5_POLDO</t>
  </si>
  <si>
    <t xml:space="preserve">PEPTIDASE INHIBITOR OS MUS MUSCULUS GN PE SV CELL WALL SACCHAROMYCES CEREVISIAE STRAIN ATCC CYSTEINE RICH SECRETORY FRAGMENT VARANUS ACANTHURUS LCCL DOMAIN CONTAINING VENOM ALLERGEN RHYNCHIUM BRUNNEUM BOS TAURUS CAVIA PORCELLUS POLISTES GALLICUS DOMINULA </t>
  </si>
  <si>
    <t>SCP_PRY1_like 2e-014| SCP 1e-013| SCP_GAPR-1_like 9e-013| SCP_euk 1e-012| SCP_PR-1_like 1e-010| SCP 4e-010| SCP_GLIPR-1_like 1e-009| SCP_CRISP 3e-009| CAP 4e-009| SCP_HrTT-1 1e-008|</t>
  </si>
  <si>
    <t>270046248 BAI50854 1 270046216 BAI50838 270046184 BAI50822 33518699 AAQ20832 5 307095190 ADN29901 ANTIGEN5 157131534 XP_001655867 108871484 EAT35709 149898844 ABR27897 170028687 XP_001842226 167877911 EDS41294 270002040 EEZ98487 TCASGA2_TC000982 91077126 XP_971010</t>
  </si>
  <si>
    <t xml:space="preserve">UNNAMED PRODUCT ANTIGEN LIKE PRECURSOR ALLERGEN HYPOTHETICAL SIMILAR TO </t>
  </si>
  <si>
    <t>Q9ET66 PI16_MOUSE 16 PI16 2 1 Q58D34 PI16_BOVIN Q6UXB8 PI16_HUMAN B2MVK7 VA5_RHYBR 5 P35779 VA3_SOLRI 3 A9QQ26 VA5_LYCSI P83377 VA5_POLGA P81656 VA5_POLDO P35778 VA3_SOLIN Q8BZQ2 CRLD2_MOUSE CRISPLD2</t>
  </si>
  <si>
    <t xml:space="preserve">PEPTIDASE INHIBITOR OS MUS MUSCULUS GN PE SV BOS TAURUS HOMO SAPIENS VENOM ALLERGEN RHYNCHIUM BRUNNEUM SOLENOPSIS RICHTERI LYCOSA SINGORIENSIS POLISTES GALLICUS DOMINULA INVICTA CYSTEINE RICH SECRETORY LCCL DOMAIN CONTAINING </t>
  </si>
  <si>
    <t>SCP_PRY1_like 0.004| SCP 0.017| SCP_euk 0.037| SCP_PR-1_like 0.046| PRK09609 0.100| ND4 | YjgP_YjgQ | TRP | PRK04949 | EI24 |</t>
  </si>
  <si>
    <t>Thermobia domestica</t>
  </si>
  <si>
    <t>133916482 CAM36311 1 116792173 ABK26259 116779928 ABK21482 260207825 CAY61860 240247623 CAX51406 148616181 ABQ96857 345543 JC1348 18K 210623955 ZP_03294132 CLOHIR_02084 210153266 EEA84272 156390602 XP_001635359 156222452 EDO43296</t>
  </si>
  <si>
    <t xml:space="preserve">HYPOTHETICAL UNKNOWN GOLDFISH MITOCHONDRION </t>
  </si>
  <si>
    <t>sp|A1RTI7|PSB2_PYRIL</t>
  </si>
  <si>
    <t>Pyrobaculum islandicum (strain DSM 4184 / JCM 9189)</t>
  </si>
  <si>
    <t>A1RTI7 PSB2_PYRIL 2 4184 9189 PSMB2 3 1 A3MS44 PSB1_PYRCJ 11548 VA1 PSMB1</t>
  </si>
  <si>
    <t xml:space="preserve">PROTEASOME SUBUNIT BETA OS PYROBACULUM ISLANDICUM STRAIN DSM JCM GN PE SV CALIDIFONTIS </t>
  </si>
  <si>
    <t>Cw-hydrolase | DUF3021 | DUF2418 | CreD | K_trans | Borrelia_orfA | ND2 | DUF1673 | Nckap1 | HobA |</t>
  </si>
  <si>
    <t>Amino acid transport and metabolism</t>
  </si>
  <si>
    <t>270046166 BAI50813 1 270046168 BAI50814 270046164 BAI50812 270046160 BAI50810 270046244 BAI50852 270046170 BAI50815 270046158 BAI50809 270046178 BAI50819 270046162 BAI50811 270046156 BAI50808</t>
  </si>
  <si>
    <t xml:space="preserve">UNNAMED PRODUCT </t>
  </si>
  <si>
    <t>Q9U6R6 1 2 Q27049 Q26241 NP2_RHOPR P37153 P51910 Q94733 NP3_RHOPR 3 P51909 Q6PQK2 NP7_RHOPR 7 Q32KY0 Q00630</t>
  </si>
  <si>
    <t xml:space="preserve">PRCLN_TRIPT PROCALIN OS TRIATOMA PROTRACTA PE SV TRIA_TRIPA TRIABIN PALLIDIPENNIS NITROPHORIN RHODNIUS PROLIXUS APOD_RABIT APOLIPOPROTEIN D ORYCTOLAGUS CUNICULUS GN APOD APOD_MOUSE MUS MUSCULUS APOD_CAVPO CAVIA PORCELLUS APOD_BOVIN BOS TAURUS ICYB_MANSE INSECTICYANIN B MANDUCA SEXTA INSB </t>
  </si>
  <si>
    <t>Triabin 4e-013| Nitrophorin 0.041| SEC14 | Lipocalin | DUF1475 | DUF3491 | B56 | PRK09970 | SKB2 | ATE_C |</t>
  </si>
  <si>
    <t>270046166 BAI50813 1 270046168 BAI50814 270046244 BAI50852 270046170 BAI50815 270046178 BAI50819 270046158 BAI50809 270046164 BAI50812 270046162 BAI50811 270046160 BAI50810 270046156 BAI50808</t>
  </si>
  <si>
    <t>Q9U6R6 1 2 Q27049 Q26241 NP2_RHOPR Q94733 NP3_RHOPR 3 P51909 Q8AYI2 Q9ERB4 CSPG2_RAT Q32KY0 D5CE37 13047 30054 13535 279 56 Q6PQK2 NP7_RHOPR 7</t>
  </si>
  <si>
    <t xml:space="preserve">PRCLN_TRIPT PROCALIN OS TRIATOMA PROTRACTA PE SV TRIA_TRIPA TRIABIN PALLIDIPENNIS NITROPHORIN RHODNIUS PROLIXUS APOD_CAVPO APOLIPOPROTEIN D CAVIA PORCELLUS GN APOD PRGR_RANDY PROGESTERONE RECEPTOR RANA DYBOWSKII PGR VERSICAN CORE FRAGMENTS RATTUS NORVEGICUS VCAN APOD_BOVIN BOS TAURUS RUTF_ENTCC NAD P H FLAVIN REDUCTASE RUTF ENTEROBACTER CLOACAE SUBSP STRAIN ATCC DSM NBRC NCDC </t>
  </si>
  <si>
    <t>Triabin 2e-011| Lipocalin 0.030| Nitrophorin 0.041| GABAperm | PHA00729 | Herpes_BMRF2 | cdc6 | rbn | ND2 | 7TM_GPCR_Srx |</t>
  </si>
  <si>
    <t>Inorganic ion transport and metabolism</t>
  </si>
  <si>
    <t>270046166 BAI50813 1 270046168 BAI50814 270046164 BAI50812 270046162 BAI50811 270046158 BAI50809 270046244 BAI50852 270046170 BAI50815 270046178 BAI50819 270046160 BAI50810 270046156 BAI50808</t>
  </si>
  <si>
    <t>Q9U6R6 1 2 Q27049 Q26241 NP2_RHOPR Q6PQK2 NP7_RHOPR 7 Q94733 NP3_RHOPR 3 P37153 P51909 Q8AYI2 Q32KY0 P51910</t>
  </si>
  <si>
    <t xml:space="preserve">PRCLN_TRIPT PROCALIN OS TRIATOMA PROTRACTA PE SV TRIA_TRIPA TRIABIN PALLIDIPENNIS NITROPHORIN RHODNIUS PROLIXUS APOD_RABIT APOLIPOPROTEIN D ORYCTOLAGUS CUNICULUS GN APOD APOD_CAVPO CAVIA PORCELLUS PRGR_RANDY PROGESTERONE RECEPTOR RANA DYBOWSKII PGR APOD_BOVIN BOS TAURUS APOD_MOUSE MUS MUSCULUS </t>
  </si>
  <si>
    <t>Triabin 2e-013| PHA00729 | Lipocalin | B56 | Nitrophorin | DUF3491 | PRK09970 | LIM3_Lrg1p_like | ND1 | DUF1672 |</t>
  </si>
  <si>
    <t>270046166 BAI50813 1 270046168 BAI50814 270046244 BAI50852 270046170 BAI50815 270046158 BAI50809 270046162 BAI50811 270046164 BAI50812 270046178 BAI50819 270046160 BAI50810 270046156 BAI50808</t>
  </si>
  <si>
    <t>Q9U6R6 1 2 Q27049 Q26241 NP2_RHOPR P51909 Q9ERB4 CSPG2_RAT Q32KY0 Q8AYI2 Q94733 NP3_RHOPR 3 Q6PQK2 NP7_RHOPR 7 P37153</t>
  </si>
  <si>
    <t xml:space="preserve">PRCLN_TRIPT PROCALIN OS TRIATOMA PROTRACTA PE SV TRIA_TRIPA TRIABIN PALLIDIPENNIS NITROPHORIN RHODNIUS PROLIXUS APOD_CAVPO APOLIPOPROTEIN D CAVIA PORCELLUS GN APOD VERSICAN CORE FRAGMENTS RATTUS NORVEGICUS VCAN APOD_BOVIN BOS TAURUS PRGR_RANDY PROGESTERONE RECEPTOR RANA DYBOWSKII PGR APOD_RABIT ORYCTOLAGUS CUNICULUS </t>
  </si>
  <si>
    <t>Triabin 1e-011| Lipocalin 0.024| Nitrophorin 0.056| PHA00729 | GABAperm | Erg28 | 7TM_GPCR_Srx | cdc6 | rbn | ND5 |</t>
  </si>
  <si>
    <t>General function prediction only, Signal transduction mechanisms</t>
  </si>
  <si>
    <t>270046166 BAI50813 1 270046168 BAI50814 270046158 BAI50809 270046160 BAI50810 270046162 BAI50811 270046156 BAI50808 270046164 BAI50812 270046244 BAI50852 270046170 BAI50815 270046178 BAI50819</t>
  </si>
  <si>
    <t>Q9U6R6 1 2 P51909 P0CA81 VF177_ASFM2 I177L 20 1983 152 A5DDN8 M28P1_PICGU PGUG_01389 6260 566 6381 1539 10279 324 3 Q32KY0 P37153 P51910 Q8SPI0 P05090 Q27049</t>
  </si>
  <si>
    <t xml:space="preserve">PRCLN_TRIPT PROCALIN OS TRIATOMA PROTRACTA PE SV APOD_CAVPO APOLIPOPROTEIN D CAVIA PORCELLUS GN APOD MEMBRANE AFRICAN SWINE FEVER VIRUS ISOLATE TICK MALAWI LIL MAL PROBABLE ZINC METALLOPROTEASE MEYEROZYMA GUILLIERMONDII STRAIN ATCC CBS DSM JCM NBRC NRRL Y APOD_BOVIN BOS TAURUS APOD_RABIT ORYCTOLAGUS CUNICULUS APOD_MOUSE MUS MUSCULUS APOD_MACFA MACACA FASCICULARIS APOD_HUMAN HOMO SAPIENS TRIA_TRIPA TRIABIN PALLIDIPENNIS </t>
  </si>
  <si>
    <t>Triabin 1e-004| B56 | STE2 | PHA00729 | DUF3491 | 2A060601 | Lipocalin | PHA03231 | Imp-YgjV | PRK09198 |</t>
  </si>
  <si>
    <t>270046166 BAI50813 1 270046168 BAI50814 270046164 BAI50812 270046244 BAI50852 270046158 BAI50809 270046178 BAI50819 270046170 BAI50815 116267187 ABJ96348 270046162 BAI50811 307094846 ADN29729 4</t>
  </si>
  <si>
    <t>Q9U6R6 1 2 Q4U0X6 POL_HTL3P 3 PYL43 4 P0CR22 RSE1_CRYNJ RSE1 JEC21 P0CR23 RSE1_CRYNB 3501A Q8AYI2 O17928 NHR52_CAEEL 52 Q9WTS6 TEN3_MOUSE ODZ3 Q9P273 TEN3_HUMAN Q9RCG8 Q7JKC3 UBP7_CAEEL 7</t>
  </si>
  <si>
    <t xml:space="preserve">PRCLN_TRIPT PROCALIN OS TRIATOMA PROTRACTA PE SV GAG PRO POL POLYPROTEIN HUMAN T CELL LEUKEMIA VIRUS STRAIN GN PRE MRNA SPLICING FACTOR CRYPTOCOCCUS NEOFORMANS VAR SEROTYPE D B PRGR_RANDY PROGESTERONE RECEPTOR RANA DYBOWSKII PGR NUCLEAR HORMONE FAMILY MEMBER NHR CAENORHABDITIS ELEGANS TENEURIN MUS MUSCULUS HOMO SAPIENS PAXA_PASAE EXOTOXIN PAXA PASTEURELLA AEROGENES UBIQUITIN CARBOXYL TERMINAL HYDROLASE USP </t>
  </si>
  <si>
    <t>Triabin 0.023| Lipocalin | DUF3491 | cdc6 | ATE_C | caa3_CtaG | STE2 | AstA | SEC14 | PHA03231 |</t>
  </si>
  <si>
    <t>Cytoskeleton</t>
  </si>
  <si>
    <t>270046164 BAI50812 1 270046178 BAI50819 270046244 BAI50852 270046166 BAI50813 270046170 BAI50815 270046168 BAI50814 270046158 BAI50809 307094928 ADN29770 307094922 ADN29767 111379901 ABH09430 5</t>
  </si>
  <si>
    <t>Q9U6R6 1 2 Q27049 Q00630 Q9WU22 PTN4_MOUSE 4 PTPN4 P68220 IL12B_SHEEP 12 IL12B P29460 IL12B_HUMAN P68221 IL12B_CAPHI P29074 PTN4_HUMAN B3QPW8 DNAJ_CHLP8 8327 3 Q7NQ01</t>
  </si>
  <si>
    <t xml:space="preserve">PRCLN_TRIPT PROCALIN OS TRIATOMA PROTRACTA PE SV TRIA_TRIPA TRIABIN PALLIDIPENNIS ICYB_MANSE INSECTICYANIN B MANDUCA SEXTA GN INSB TYROSINE PHOSPHATASE NON RECEPTOR TYPE MUS MUSCULUS INTERLEUKIN SUBUNIT BETA OVIS ARIES HOMO SAPIENS CAPRA HIRCUS CHAPERONE DNAJ CHLOROBACULUM PARVUM STRAIN NCIB DDLB_CHRVO D ALANINE LIGASE CHROMOBACTERIUM VIOLACEUM DDLB </t>
  </si>
  <si>
    <t>Triabin 8e-019| ND5 0.001| Tho2 0.003| Lipocalin 0.053| RHO_alpha_C_1 | COG3463 | Syndecan | STKc_ROCK1 | rnc | DUF3021 |</t>
  </si>
  <si>
    <t>270046244 BAI50852 1 270046164 BAI50812 270046166 BAI50813 270046170 BAI50815 270046178 BAI50819 270046168 BAI50814 270046158 BAI50809 270046162 BAI50811 111379911 ABH09435 270046160 BAI50810</t>
  </si>
  <si>
    <t>Q9U6R6 1 2 Q27049 Q7NQ01 3 Q7BCK4 P19809 EAE_ECO27 O127 H6 E2348 69 Q00630 P00305 Q4IBR4 HIR1_GIBZE HIR1 9075 31084 Q1I6F4 TOLB_PSEE4 L48 P37153</t>
  </si>
  <si>
    <t xml:space="preserve">PRCLN_TRIPT PROCALIN OS TRIATOMA PROTRACTA PE SV TRIA_TRIPA TRIABIN PALLIDIPENNIS DDLB_CHRVO D ALANINE LIGASE B CHROMOBACTERIUM VIOLACEUM GN DDLB ICSA_SHIFL OUTER MEMBRANE ICSA AUTOTRANSPORTER SHIGELLA FLEXNERI INTIMIN ESCHERICHIA COLI STRAIN EPEC EAE ICYB_MANSE INSECTICYANIN MANDUCA SEXTA INSB ICYA_MANSE A INSA GIBBERELLA ZEAE PH FGSC NRRL TOLB PSEUDOMONAS ENTOMOPHILA APOD_RABIT APOLIPOPROTEIN ORYCTOLAGUS CUNICULUS APOD </t>
  </si>
  <si>
    <t>Triabin 1e-017| Lipocalin 0.022| ND5 0.031| Tho2 0.070| RHO_alpha_C_1 | PRK03699 | 2A0110 | COG3463 | PRK09928 | ND4 |</t>
  </si>
  <si>
    <t>270046244 BAI50852 1 270046166 BAI50813 270046164 BAI50812 270046170 BAI50815 270046178 BAI50819 270046168 BAI50814 270046158 BAI50809 270046162 BAI50811 270046160 BAI50810 34421652 AAQ68063 TILIPO37</t>
  </si>
  <si>
    <t>Q9U6R6 1 2 Q9U2R0 BIN3D_CAEEL Y17G7B 18 Q21924 MOS2_CAEEL Q5RF10 3 P04040 Q2I6W4 Q6T267 4609 AF293 101355 A1100 ICL1 Q5WE04 K16 P04762 O97394</t>
  </si>
  <si>
    <t xml:space="preserve">PRCLN_TRIPT PROCALIN OS TRIATOMA PROTRACTA PE SV PROBABLE METHYLTRANSFERASE CAENORHABDITIS ELEGANS GN MOS HOMOLOG CATA_PONAB CATALASE PONGO ABELII CAT CATA_HUMAN HOMO SAPIENS CATA_CALJA CALLITHRIX JACCHUS ACEA_ASPFU ISOCITRATE LYASE NEOSARTORYA FUMIGATA STRAIN ATCC MYA CBS FGSC LDH_BACSK L LACTATE DEHYDROGENASE BACILLUS CLAUSII KSM LDH CATA_RAT RATTUS NORVEGICUS SDK_DROME SIDEKICK DROSOPHILA MELANOGASTER SDK </t>
  </si>
  <si>
    <t>Triabin 3e-005| rnc | Lipocalin | PLN02297 | RIBOc | ND2 | PRK13299 | Ssu72 | PRK13759 | PRK10750 |</t>
  </si>
  <si>
    <t>270046244 BAI50852 1 270046178 BAI50819 270046164 BAI50812 270046166 BAI50813 270046170 BAI50815 270046168 BAI50814 270046158 BAI50809 270046160 BAI50810 270046162 BAI50811 307094846 ADN29729 4</t>
  </si>
  <si>
    <t>Q9U6R6 1 2 Q27049 Q00630 Q3LX99 TXLR3_EISFO 3 P41263 RET4_CHICK 4 RBP4 Q01589 SED1_YEAST SED1 204508 S288C C3MZ47 Y1804_SULIA UPF0218 M1627_1804 16 27 C4KIC5 Y1735_SULIK M164_1735 #3 C3MWY7 Y1688_SULIM M1425_1688 14 25 #1 P61641 RET4_PANTR</t>
  </si>
  <si>
    <t xml:space="preserve">PRCLN_TRIPT PROCALIN OS TRIATOMA PROTRACTA PE SV TRIA_TRIPA TRIABIN PALLIDIPENNIS ICYB_MANSE INSECTICYANIN B MANDUCA SEXTA GN INSB LYSENIN RELATED EISENIA FOETIDA RETINOL BINDING GALLUS CELL WALL SACCHAROMYCES CEREVISIAE STRAIN ATCC SULFOLOBUS ISLANDICUS M KAMCHATKA PAN TROGLODYTES </t>
  </si>
  <si>
    <t>Triabin 6e-017| Lipocalin 0.005| NDP-sugDHase | trmE | 7TM_GPCR_Srj | PRK06924 | trmE | 7TM_GPCR_Str | PRK00247 | PRK13979 |</t>
  </si>
  <si>
    <t>270046178 BAI50819 1 270046244 BAI50852 270046164 BAI50812 270046166 BAI50813 270046170 BAI50815 270046168 BAI50814 270046158 BAI50809 307094922 ADN29767 307094846 ADN29729 4 307094928 ADN29770</t>
  </si>
  <si>
    <t>Q9U6R6 1 2 Q27049 P41263 RET4_CHICK 4 RBP4 Q3LX99 TXLR3_EISFO 3 P61641 RET4_PANTR P02753 RET4_HUMAN Q28369 RET4_HORSE Q00630 A5UBS8 C3MZ47 Y1804_SULIA UPF0218 M1627_1804 16 27</t>
  </si>
  <si>
    <t xml:space="preserve">PRCLN_TRIPT PROCALIN OS TRIATOMA PROTRACTA PE SV TRIA_TRIPA TRIABIN PALLIDIPENNIS RETINOL BINDING GALLUS GN LYSENIN RELATED EISENIA FOETIDA PAN TROGLODYTES HOMO SAPIENS EQUUS CABALLUS ICYB_MANSE INSECTICYANIN B MANDUCA SEXTA INSB SYM_HAEIE METHIONYL TRNA SYNTHETASE HAEMOPHILUS INFLUENZAE STRAIN PITTEE METG SULFOLOBUS ISLANDICUS M </t>
  </si>
  <si>
    <t>Triabin 8e-017| Lipocalin 0.003| NDP-sugDHase | trmE | 7TM_GPCR_Srj | Anticodon_Ia_Ile_BEm | Bunya_RdRp | trmE | PRK05270 | PRK00247 |</t>
  </si>
  <si>
    <t>Y</t>
  </si>
  <si>
    <t>270046178 BAI50819 1 270046244 BAI50852 270046164 BAI50812 270046166 BAI50813 270046170 BAI50815 270046168 BAI50814 270046158 BAI50809 270046160 BAI50810 307094928 ADN29770 307094846 ADN29729 4</t>
  </si>
  <si>
    <t>Q9U6R6 1 2 Q27049 Q00630 Q3LX99 TXLR3_EISFO 3 A5UBS8 C3MZ47 Y1804_SULIA UPF0218 M1627_1804 16 27 C4KIC5 Y1735_SULIK M164_1735 4 #3 C3MWY7 Y1688_SULIM M1425_1688 14 25 #1 Q6FPF1 VPS10_CANGA 10 2001 138 3761 0622 65 VPS10 Q6PFX9 TNKS1_MOUSE</t>
  </si>
  <si>
    <t xml:space="preserve">PRCLN_TRIPT PROCALIN OS TRIATOMA PROTRACTA PE SV TRIA_TRIPA TRIABIN PALLIDIPENNIS ICYB_MANSE INSECTICYANIN B MANDUCA SEXTA GN INSB LYSENIN RELATED EISENIA FOETIDA SYM_HAEIE METHIONYL TRNA SYNTHETASE HAEMOPHILUS INFLUENZAE STRAIN PITTEE METG SULFOLOBUS ISLANDICUS M KAMCHATKA VACUOLAR SORTING TARGETING CANDIDA GLABRATA ATCC CBS JCM NBRC NRRL Y TANKYRASE MUS MUSCULUS TNKS </t>
  </si>
  <si>
    <t>Triabin 2e-013| NDP-sugDHase | Lipocalin | trmE | 7TM_GPCR_Srj | Bunya_RdRp | trmE | Serpentine_r_xa | PRK00247 | COG3818 |</t>
  </si>
  <si>
    <t>270046164 BAI50812 1 270046244 BAI50852 270046166 BAI50813 270046178 BAI50819 270046170 BAI50815 270046168 BAI50814 270046158 BAI50809 270046162 BAI50811 270046160 BAI50810 34421652 AAQ68063 TILIPO37</t>
  </si>
  <si>
    <t>Q9U6R6 1 2 Q4G0P3 3 Q32KY0 Q29095 H2 Q4VBT2 NOC4L_DANRE 4 NOC4L P05090 Q1CUH3 HPAG1 Q29RR5 TFP11_BOVIN 11 TFIP11 Q80W93 Q9UTQ4 YL3B_SCHPO C1071 38366 972 SPAC1071</t>
  </si>
  <si>
    <t xml:space="preserve">PRCLN_TRIPT PROCALIN OS TRIATOMA PROTRACTA PE SV HYDIN_HUMAN HYDROCEPHALUS INDUCING HOMOLOG HOMO SAPIENS GN HYDIN APOD_BOVIN APOLIPOPROTEIN D BOS TAURUS APOD PTGDS_PIG PROSTAGLANDIN ISOMERASE SUS SCROFA PTGDS NUCLEOLAR COMPLEX DANIO RERIO APOD_HUMAN LPXK_HELPH TETRAACYLDISACCHARIDE KINASE HELICOBACTER PYLORI STRAIN LPXK TUFTELIN INTERACTING HYDIN_MOUSE MUS MUSCULUS UNCHARACTERIZED SCHIZOSACCHAROMYCES POMBE ATCC </t>
  </si>
  <si>
    <t>Triabin 0.005| Lipocalin | NOT5 | ND4L | Branch_AA_trans | TDT_like_3 | nhaB | Mob1_phocein | PRK05482 | CARP |</t>
  </si>
  <si>
    <t>270046244 BAI50852 1 270046178 BAI50819 270046166 BAI50813 270046170 BAI50815 270046164 BAI50812 270046158 BAI50809 270046168 BAI50814 270046162 BAI50811 111379927 ABH09443 307094922 ADN29767</t>
  </si>
  <si>
    <t xml:space="preserve">UNNAMED PRODUCT LIPOCALIN SALIVARY </t>
  </si>
  <si>
    <t>Q9U6R6 1 2 P61641 RET4_PANTR 4 RBP4 3 P02753 RET4_HUMAN P41263 RET4_CHICK Q2J6G0 Y3781_FRASC UPF0182 FRANCCI3_3781 CCI3 P51909 Q32KY0 Q27049 P37153 P51910</t>
  </si>
  <si>
    <t xml:space="preserve">PRCLN_TRIPT PROCALIN OS TRIATOMA PROTRACTA PE SV RETINOL BINDING PAN TROGLODYTES GN HOMO SAPIENS GALLUS FRANKIA STRAIN APOD_CAVPO APOLIPOPROTEIN D CAVIA PORCELLUS APOD APOD_BOVIN BOS TAURUS TRIA_TRIPA TRIABIN PALLIDIPENNIS APOD_RABIT ORYCTOLAGUS CUNICULUS APOD_MOUSE MUS MUSCULUS </t>
  </si>
  <si>
    <t>Triabin 2e-004| Lipocalin 0.075| DUF3491 | 7TM_GPCR_Srj | DUF1475 | PRK05270 | ND2 | 7tm_1 | Sema | PHA03098 |</t>
  </si>
  <si>
    <t>Thalassiosira pseudonana CCMP1335</t>
  </si>
  <si>
    <t>224000289 XP_002289817 1 220975025 EED93354 194753928 XP_001959257 GF12135 190620555 EDV36079 194858010 XP_001969082 GG25227 190660949 EDV58141 121712608 XP_001273915 119402068 EAW12489 330806489 XP_003291201 DICPUDRAFT_155787 325078623 EGC32264 221121650 XP_002154556 C35E7 9 90577433 ZP_01233244 90440519 EAS65699 270003204 EEZ99651 TCASGA2_TC002408 195475278 XP_002089911 GE21732 194176012 EDW89623 195442300 XP_002068896 GK18020 194164981 EDW79882</t>
  </si>
  <si>
    <t xml:space="preserve">CORA FAMILY METAL ION TRANSPORTER HYPOTHETICAL SIMILAR TO ANAEROBIC DEHYDROGENASE </t>
  </si>
  <si>
    <t>sp|Q9STY3|PME33_ARATH</t>
  </si>
  <si>
    <t>Arabidopsis thaliana</t>
  </si>
  <si>
    <t>Q9STY3 PME33_ARATH 33 PME33 2 1 P05111 Q92620 PRP16_HUMAN PRP16 DHX38 P78332 RBM6_HUMAN 6 RBM6 5 P07994 P04087 P55101 Q944R7 ANM16_ARATH PRMT16 Q6NU51 SH34B_XENLA SH3 4 SH3BP4 Q5WGB8 K16 3</t>
  </si>
  <si>
    <t xml:space="preserve">PROBABLE PECTINESTERASE INHIBITOR OS ARABIDOPSIS THALIANA GN PE SV INHA_HUMAN INHIBIN ALPHA CHAIN HOMO SAPIENS INHA PRE MRNA SPLICING FACTOR ATP DEPENDENT RNA HELICASE BINDING INHA_BOVIN BOS TAURUS INHA_PIG SUS SCROFA INHA_HORSE EQUUS CABALLUS ARGININE N METHYLTRANSFERASE DOMAIN B XENOPUS LAEVIS RACA_BACSK CHROMOSOME ANCHORING RACA BACILLUS CLAUSII STRAIN KSM </t>
  </si>
  <si>
    <t>PRK11595 | U-box | PI3Kc_I | glnG | ND4 | ATP8 | PRK07133 | NeuB | PBP2_NikA_DppA_OppA_like_13 | P5_C |</t>
  </si>
  <si>
    <t>270046158 BAI50809 1 270046244 BAI50852 270046166 BAI50813 270046170 BAI50815 270046178 BAI50819 270046164 BAI50812 34421652 AAQ68063 TILIPO37 270046162 BAI50811 307094922 ADN29767 270046168 BAI50814</t>
  </si>
  <si>
    <t>Q9U6R6 1 2 P29074 PTN4_HUMAN 4 PTPN4 Q9WU22 PTN4_MOUSE Q67JU0 3 Q7URW4 Q5UPD4 YL060_MIMIV L60 MIMI_L60 P61641 RET4_PANTR RBP4 P02753 RET4_HUMAN P41263 RET4_CHICK A4IYT2 WY96 3418</t>
  </si>
  <si>
    <t xml:space="preserve">PRCLN_TRIPT PROCALIN OS TRIATOMA PROTRACTA PE SV TYROSINE PHOSPHATASE NON RECEPTOR TYPE HOMO SAPIENS GN MUS MUSCULUS EFG_SYMTH ELONGATION FACTOR G SYMBIOBACTERIUM THERMOPHILUM FUSA RPOC_RHOBA DNA DIRECTED RNA POLYMERASE SUBUNIT BETA RHODOPIRELLULA BALTICA RPOC F BOX FNIP REPEAT CONTAINING ACANTHAMOEBA POLYPHAGA MIMIVIRUS RETINOL BINDING PAN TROGLODYTES GALLUS GPDA_FRATW GLYCEROL PHOSPHATE DEHYDROGENASE FRANCISELLA TULARENSIS SUBSP STRAIN GPSA </t>
  </si>
  <si>
    <t>Triabin 0.023| 7TM_GPCR_Srj | PHA03231 | PRK12324 | DUF1285 | DUF2599 | Arch_flagellin | PRK05849 | PRK09191 | 7tm_1 |</t>
  </si>
  <si>
    <t>Polysphondylium pallidum PN500</t>
  </si>
  <si>
    <t>281203791 EFA77987 1 WH2 56756781 AAW26562 SJCHGC09076 61557300 NP_001013229 2 206712 AAA42064 221484171 EEE22467 254033592 ACT55264 2A 224117388 XP_002317562 222860627 EEE98174 307111078 EFN59313 CHLNCDRAFT_137684 193671635 XP_001943564 LOC100160854 118119495 XP_001235937 291232838 XP_002736361</t>
  </si>
  <si>
    <t xml:space="preserve">DOMAIN CONTAINING PROLINE RICH SALIVARY ANKYRIN REPEAT FORMIN HYPOTHETICAL SIMILAR TO COLLAGEN SEQUENCE X HYBRIDIZING WIRE LIKE </t>
  </si>
  <si>
    <t>sp|Q1ZXK2|FORG_DICDI</t>
  </si>
  <si>
    <t>Dictyostelium discoideum</t>
  </si>
  <si>
    <t>Q1ZXK2 1 Q84ZL0 FH5_ORYSJ 5 FH5 2 Q5PQQ2 WBP11_RAT 11 WBP11 Q923D5 WBP11_MOUSE Q9Y2W2 WBP11_HUMAN P05142 PRH1_MOUSE PRH1 Q6P0D5 WBP11_DANRE P05143 PRP2_MOUSE PRP2 Q95JC9 Q6K8Z4 FH7_ORYSJ 7 FH7</t>
  </si>
  <si>
    <t xml:space="preserve">FORG_DICDI FORMIN G OS DICTYOSTELIUM DISCOIDEUM GN FORG PE SV LIKE ORYZA SATIVA SUBSP JAPONICA WW DOMAIN BINDING RATTUS NORVEGICUS MUS MUSCULUS HOMO SAPIENS PROLINE RICH HAEIII SUBFAMILY DANIO RERIO PRP_PIG BASIC SUS SCROFA </t>
  </si>
  <si>
    <t>actin binding protein,formin homology domain-containing protein - Dictyostelium discoideum - actin cytoskeleton - profilin binding - structural molecule activity - cell adhesion - actin cytoskeleton organization</t>
  </si>
  <si>
    <t>PHA03419 8e-005| FAP 0.006| Drf_FH1 0.008| PTZ00146 0.023| SMN 0.036| PHA03247 0.038| Rb_C 0.039| Atrophin-1 0.056| DUF2668 0.063| ARS2 0.070|</t>
  </si>
  <si>
    <t>Signal transduction mechanisms, Cytoskeleton</t>
  </si>
  <si>
    <t>270046184 BAI50822 1 270046216 BAI50838 270046248 BAI50854 149898844 ABR27897 5 307095190 ADN29901 ANTIGEN5 33518699 AAQ20832 307095044 ADN29828 157131534 XP_001655867 108871484 EAT35709 195037433 XP_001990165 GH19187 193894361 EDV93227 195571221 XP_002103602 GD20518 194199529 EDX13105</t>
  </si>
  <si>
    <t>B2MVK7 VA5_RHYBR 5 2 1 P81657 VA5_VESMA P35781 VA51_VESCR 01 P86870 VA5_VESMG P10737 VA53_DOLMA 02 3 P35782 VA52_VESCR P35760 VA5_VESMC P35779 VA3_SOLRI P35783 VA5_VESFL P10736 VA52_DOLMA</t>
  </si>
  <si>
    <t xml:space="preserve">VENOM ALLERGEN OS RHYNCHIUM BRUNNEUM PE SV VESPA MANDARINIA CRABRO MAGNIFICA FRAGMENT DOLICHOVESPULA MACULATA VESPULA MACULIFRONS SOLENOPSIS RICHTERI FLAVOPILOSA </t>
  </si>
  <si>
    <t>SCP 4e-028| SCP_euk 1e-027| SCP_PRY1_like 8e-019| SCP_CRISP 2e-018| SCP_HrTT-1 2e-018| SCP 6e-018| SCP_GAPR-1_like 6e-018| SCP_GLIPR-1_like 5e-017| SCP_PR-1_like 3e-016| CAP 1e-015|</t>
  </si>
  <si>
    <t>270046184 BAI50822 1 270046248 BAI50854 270046216 BAI50838 149898844 ABR27897 5 33518699 AAQ20832 307095190 ADN29901 ANTIGEN5 157131534 XP_001655867 108871484 EAT35709 340727156 XP_003401915 307095044 ADN29828 198451711 XP_001358490 2 GA21107 198131610 EAL27629</t>
  </si>
  <si>
    <t xml:space="preserve">UNNAMED PRODUCT ANTIGEN LIKE PRECURSOR ALLERGEN VENOM </t>
  </si>
  <si>
    <t>Q9ET66 PI16_MOUSE 16 PI16 2 1 B2MVK7 VA5_RHYBR 5 Q58D34 PI16_BOVIN P47033 PRY3_YEAST PRY3 204508 S288C Q6UXB8 PI16_HUMAN Q9H0B8 CRLD2_HUMAN CRISPLD2 Q8BZQ2 CRLD2_MOUSE P10737 VA53_DOLMA 02 3 P35779 VA3_SOLRI P35778 VA3_SOLIN</t>
  </si>
  <si>
    <t xml:space="preserve">PEPTIDASE INHIBITOR OS MUS MUSCULUS GN PE SV VENOM ALLERGEN RHYNCHIUM BRUNNEUM BOS TAURUS CELL WALL SACCHAROMYCES CEREVISIAE STRAIN ATCC HOMO SAPIENS CYSTEINE RICH SECRETORY LCCL DOMAIN CONTAINING FRAGMENT DOLICHOVESPULA MACULATA SOLENOPSIS RICHTERI INVICTA </t>
  </si>
  <si>
    <t>SCP 1e-010| SCP_PRY1_like 1e-010| SCP_euk 3e-009| SCP_GAPR-1_like 2e-008| SCP_PR-1_like 3e-008| CAP 1e-006| SCP_HrTT-1 1e-006| SCP 1e-006| SCP_GLIPR-1_like 1e-005| SCP_CRISP 3e-005|</t>
  </si>
  <si>
    <t>270046168 BAI50814 1 270046166 BAI50813 270046164 BAI50812 270046244 BAI50852 270046170 BAI50815 270046178 BAI50819 116267183 ABJ96346 111379883 ABH09421 111379893 ABH09426 4 307094894 ADN29753 2</t>
  </si>
  <si>
    <t xml:space="preserve">UNNAMED PRODUCT SALIVARY LIPOCALIN TRIABIN </t>
  </si>
  <si>
    <t>Q9U6R6 1 2 Q8AYI2 Q6CKU5 MDM10_KLULA 10 8585 2359 70799 1267 1140 WM37 MDM10 3 P91679 PEPT1_DROME P41263 RET4_CHICK 4 RBP4 P08938 Q29AE5 P06172 RET4_XENLA A8GMP8 P24775 RET4B_ONCMY RBP4B</t>
  </si>
  <si>
    <t xml:space="preserve">PRCLN_TRIPT PROCALIN OS TRIATOMA PROTRACTA PE SV PRGR_RANDY PROGESTERONE RECEPTOR RANA DYBOWSKII GN PGR MITOCHONDRIAL DISTRIBUTION MORPHOLOGY KLUYVEROMYCES LACTIS STRAIN ATCC CBS DSM NBRC NRRL Y TRANSPORTER FAMILY DROSOPHILA MELANOGASTER YIN RETINOL BINDING GALLUS PURP_CHICK PURPURIN COPG_DROPS COATOMER SUBUNIT GAMMA PSEUDOOBSCURA GAMMACOP XENOPUS LAEVIS DDL_RICAH D ALANINE LIGASE RICKETTSIA AKARI HARTFORD DDL B ONCORHYNCHUS MYKISS </t>
  </si>
  <si>
    <t>Triabin 0.045| Ptpl 0.062| PHA00729 0.071| Peptidases_S8_CspA-like | DUF3491 | PRK02833 | ND1 | STE2 | PRK10018 | PRK08271 |</t>
  </si>
  <si>
    <t>Triatoma brasiliensis</t>
  </si>
  <si>
    <t>111379913 ABH09436 1 270046180 BAI50820 307094922 ADN29767 111379883 ABH09421 111379893 ABH09426 4 149689058 ABR27844 149689052 ABR27841 307094846 ADN29729 307095182 ADN29897 307094928 ADN29770</t>
  </si>
  <si>
    <t xml:space="preserve">SALIVARY LIPOCALIN UNNAMED PRODUCT </t>
  </si>
  <si>
    <t>sp|Q39693|INV3_DAUCA</t>
  </si>
  <si>
    <t>Daucus carota</t>
  </si>
  <si>
    <t>Q39693 INV3_DAUCA 3 INV3 1 A5UF66 O84877 2 P24880 NU4M_ASCSU 4 ND4</t>
  </si>
  <si>
    <t xml:space="preserve">BETA FRUCTOFURANOSIDASE INSOLUBLE ISOENZYME OS DAUCUS CAROTA GN PE SV PROA_HAEIG GAMMA GLUTAMYL PHOSPHATE REDUCTASE HAEMOPHILUS INFLUENZAE STRAIN PITTGG PROA PMPE_CHLTR PROBABLE OUTER MEMBRANE PMPE CHLAMYDIA TRACHOMATIS NADH UBIQUINONE OXIDOREDUCTASE CHAIN ASCARIS SUUM </t>
  </si>
  <si>
    <t>PHA02962 | COX2 | Chordopox_A20R | ATP8 | RasGAP_Neurofibromin | Baculo_helicase | Clc-like | DUF1898 | LIM1_Isl | Med14 |</t>
  </si>
  <si>
    <t>Carbohydrate transport and metabolism</t>
  </si>
  <si>
    <t>270046188 BAI50824 1 307094826 ADN29719 270046176 BAI50818 307094828 ADN29720 270046172 BAI50816 270046174 BAI50817 307094904 ADN29758 TM227 149689164 ABR27935 149689166 ABR27936 270046228 BAI50844</t>
  </si>
  <si>
    <t xml:space="preserve">UNNAMED PRODUCT SALIVARY LIPOCALIN TRIATIN LIKE </t>
  </si>
  <si>
    <t>sp|O42930|VPS10_SCHPO</t>
  </si>
  <si>
    <t>Schizosaccharomyces pombe (strain ATCC 38366 / 972)</t>
  </si>
  <si>
    <t>O42930 VPS10_SCHPO 10 38366 972 VPS10 1 Q26239 NP1_RHOPR Q9UI33 11 SCN11A 2 P80007 CRA2_HOMGA A2 P0ACH8 K12 P0ACH9 MELR_ECOL6 O6 3 Q0CFD4 UBA4_ASPTN UBA4 2624 A1156 B0TC44 RL1_HELMI 50S L1 51547 ICE1 Q7UZR6 CCMP1986 MED4 Q8SR30 M1 PAB1</t>
  </si>
  <si>
    <t xml:space="preserve">VACUOLAR SORTING TARGETING OS SCHIZOSACCHAROMYCES POMBE STRAIN ATCC GN PE SV NITROPHORIN RHODNIUS PROLIXUS SCNBA_HUMAN SODIUM CHANNEL TYPE SUBUNIT ALPHA HOMO SAPIENS CRUSTACYANIN HOMARUS GAMMARUS MELR_ECOLI MELIBIOSE OPERON REGULATORY ESCHERICHIA COLI MELR ADENYLYLTRANSFERASE SULFURTRANSFERASE ASPERGILLUS TERREUS NIH FGSC RIBOSOMAL HELIOBACTERIUM MODESTICALDUM RPLA PANCY_PROMP BIFUNCTIONAL PANTOATE LIGASE CYTIDYLATE KINASE PROCHLOROCOCCUS MARINUS SUBSP PASTORIS PANC CMK PABP_ENCCU POLYADENYLATE BINDING CYTOPLASMIC NUCLEAR ENCEPHALITOZOON CUNICULI </t>
  </si>
  <si>
    <t>Triabin 1e-010| AvrB_AvrC 0.081| ATPase-IIIB_Mg | I-BAR_IMD_BAIAP2L2 | Trep_dent_lipo | Nodulin_late | Octopine_DH | Pox_E2-like | ND4 | DUF3880 |</t>
  </si>
  <si>
    <t>Posttranslational modification, protein turnover, chaperones</t>
  </si>
  <si>
    <t>270046188 BAI50824 1 307094826 ADN29719 307094904 ADN29758 TM227 307094828 ADN29720 270046174 BAI50817 270046172 BAI50816 270046176 BAI50818 270046228 BAI50844 149898926 ABR27978 307094864 ADN29738</t>
  </si>
  <si>
    <t xml:space="preserve">UNNAMED PRODUCT SALIVARY LIPOCALIN TRUNCATED PALLIDIPIN LIKE PRECURSOR TRIATIN </t>
  </si>
  <si>
    <t>sp|Q6PQK2|NP7_RHOPR</t>
  </si>
  <si>
    <t>Rhodnius prolixus</t>
  </si>
  <si>
    <t>Q6PQK2 NP7_RHOPR 7 1 Q94733 NP3_RHOPR 3 2 P49291 Q27049 P51909 Q9U6R6 Q26241 NP2_RHOPR Q94734 NP4_RHOPR 4 Q58796 Y1401_METJA MJ1401 43067 2661 10045 100440 Q07113 6 IGF2R</t>
  </si>
  <si>
    <t xml:space="preserve">NITROPHORIN OS RHODNIUS PROLIXUS PE SV LAZA_SCHAM LAZARILLO SCHISTOCERCA AMERICANA TRIA_TRIPA TRIABIN TRIATOMA PALLIDIPENNIS APOD_CAVPO APOLIPOPROTEIN D CAVIA PORCELLUS GN APOD PRCLN_TRIPT PROCALIN PROTRACTA PROBABLE ATP DEPENDENT HELICASE METHANOCALDOCOCCUS JANNASCHII STRAIN ATCC DSM JAL JCM NBRC MPRI_MOUSE CATION INDEPENDENT MANNOSE PHOSPHATE RECEPTOR MUS MUSCULUS </t>
  </si>
  <si>
    <t>Triabin 3e-010| Fmp27 | Nitrophorin | DUF3430 | PRK03762 | ND5 | Pox_E2-like | COG4285 | Lipocalin | PRK07107 |</t>
  </si>
  <si>
    <t>Lipid transport and metabolism, General function prediction only</t>
  </si>
  <si>
    <t>270046188 BAI50824 1 307094826 ADN29719 307094904 ADN29758 TM227 307094828 ADN29720 270046176 BAI50818 270046174 BAI50817 270046172 BAI50816 149689164 ABR27935 149689166 ABR27936 149689208 ABR27975</t>
  </si>
  <si>
    <t xml:space="preserve">UNNAMED PRODUCT SALIVARY LIPOCALIN TRIATIN LIKE TRUNCATED PALLIDIPIN PRECURSOR </t>
  </si>
  <si>
    <t>sp|P51910|APOD_MOUSE</t>
  </si>
  <si>
    <t>P51910 2 1 P49291 P51909 Q58796 Y1401_METJA MJ1401 43067 2661 10045 100440 3 P23593 Q32KY0 Q9DAE8 CA074_MOUSE UPF0739 C1ORF74 Q38906 TOC34_ARATH 34 TOC34 Q9KLC1 4 Q5U2R2 CA074_RAT</t>
  </si>
  <si>
    <t xml:space="preserve">APOD_MOUSE APOLIPOPROTEIN D OS MUS MUSCULUS GN APOD PE SV LAZA_SCHAM LAZARILLO SCHISTOCERCA AMERICANA APOD_CAVPO CAVIA PORCELLUS PROBABLE ATP DEPENDENT HELICASE METHANOCALDOCOCCUS JANNASCHII STRAIN ATCC DSM JAL JCM NBRC APOD_RAT RATTUS NORVEGICUS APOD_BOVIN BOS TAURUS HOMOLOG TRANSLOCASE CHLOROPLAST CHLOROPLASTIC ARABIDOPSIS THALIANA ECTA_VIBCH L DIAMINOBUTYRIC ACID ACETYLTRANSFERASE VIBRIO CHOLERAE ECTA </t>
  </si>
  <si>
    <t>Triabin 1e-012| Lipocalin 0.011| Fmp27 0.086| ATP6 | ND4L | GT_2_WfgS_like | ND2 | cysW | GH16_laminarinase_like | PHA03031 |</t>
  </si>
  <si>
    <t>270046188 BAI50824 1 307094826 ADN29719 307094904 ADN29758 TM227 307094828 ADN29720 270046174 BAI50817 270046176 BAI50818 270046172 BAI50816 149689164 ABR27935 149689166 ABR27936 270046228 BAI50844</t>
  </si>
  <si>
    <t>sp|Q27049|TRIA_TRIPA</t>
  </si>
  <si>
    <t>Triatoma pallidipennis</t>
  </si>
  <si>
    <t>Q27049 1 Q6PQK2 NP7_RHOPR 7 Q94733 NP3_RHOPR 3 2 Q26241 NP2_RHOPR Q9U6R6 P49291 P51909 Q8TF39 ZN483_HUMAN 483 ZNF483 P51910 Q9HFR4 ATG2_PICPA ATG2</t>
  </si>
  <si>
    <t xml:space="preserve">TRIA_TRIPA TRIABIN OS TRIATOMA PALLIDIPENNIS PE SV NITROPHORIN RHODNIUS PROLIXUS PRCLN_TRIPT PROCALIN PROTRACTA LAZA_SCHAM LAZARILLO SCHISTOCERCA AMERICANA APOD_CAVPO APOLIPOPROTEIN D CAVIA PORCELLUS GN APOD ZINC FINGER HOMO SAPIENS APOD_MOUSE MUS MUSCULUS AUTOPHAGY RELATED PICHIA PASTORIS </t>
  </si>
  <si>
    <t>Triabin 2e-015| Lipocalin 4e-004| Nitrophorin 0.003| DUF3430 | TAS2R | Fmp27 | ND4L | AdoHcyase_NAD | ND5 | AvrB_AvrC |</t>
  </si>
  <si>
    <t>270046188 BAI50824 1 307094826 ADN29719 270046174 BAI50817 270046176 BAI50818 270046172 BAI50816 307094904 ADN29758 TM227 307094828 ADN29720 149689164 ABR27935 149689166 ABR27936 270046228 BAI50844</t>
  </si>
  <si>
    <t>sp|Q09779|YATE_SCHPO</t>
  </si>
  <si>
    <t>Q09779 C1D4 14 38366 972 SPAC1D4 1 3 P80007 CRA2_HOMGA A2 B9MQG5 6725 1320 Q5U2R2 CA074_RAT UPF0739 C1ORF74 2 Q58796 Y1401_METJA MJ1401 43067 2661 10045 100440 P95960 35092 1617 11322 P2 P49291 P51909 P22336 RFA1_YEAST 204508 S288C RFA1 Q9H4D0 CSTN2_HUMAN CLSTN2</t>
  </si>
  <si>
    <t xml:space="preserve">YATE_SCHPO UNCHARACTERIZED OS SCHIZOSACCHAROMYCES POMBE STRAIN ATCC GN PE SV CRUSTACYANIN SUBUNIT HOMARUS GAMMARUS RPOB_ANATD DNA DIRECTED RNA POLYMERASE BETA ANAEROCELLUM THERMOPHILUM DSM Z RPOB HOMOLOG RATTUS NORVEGICUS PROBABLE ATP DEPENDENT HELICASE METHANOCALDOCOCCUS JANNASCHII JAL JCM NBRC SYFB_SULSO PHENYLALANYL TRNA SYNTHETASE CHAIN SULFOLOBUS SOLFATARICUS PHET LAZA_SCHAM LAZARILLO SCHISTOCERCA AMERICANA APOD_CAVPO APOLIPOPROTEIN D CAVIA PORCELLUS APOD REPLICATION FACTOR A SACCHAROMYCES CEREVISIAE CALSYNTENIN HOMO SAPIENS </t>
  </si>
  <si>
    <t>Triabin 1e-008| rpa1 | I-BAR_IMD_BAIAP2L2 | Lipocalin | GH16_laminarinase_like | PHA03031 | ND5 | AvrB_AvrC | Trep_dent_lipo | DUF2750 |</t>
  </si>
  <si>
    <t>270046188 BAI50824 1 307094826 ADN29719 307094904 ADN29758 TM227 307094828 ADN29720 270046176 BAI50818 270046174 BAI50817 270046172 BAI50816 270046228 BAI50844 149689164 ABR27935 307094864 ADN29738</t>
  </si>
  <si>
    <t>Q27049 1 Q9U6R6 2 Q6PQK2 NP7_RHOPR 7 Q94733 NP3_RHOPR 3 Q26241 NP2_RHOPR Q8SPI0 Q54KH0 Y7435_DICDI DDB_G0287347 4 P51910 Q09779 C1D4 14 38366 972 SPAC1D4 Q8TF39 ZN483_HUMAN 483 ZNF483</t>
  </si>
  <si>
    <t xml:space="preserve">TRIA_TRIPA TRIABIN OS TRIATOMA PALLIDIPENNIS PE SV PRCLN_TRIPT PROCALIN PROTRACTA NITROPHORIN RHODNIUS PROLIXUS APOD_MACFA APOLIPOPROTEIN D MACACA FASCICULARIS GN APOD UNCHARACTERIZED DICTYOSTELIUM DISCOIDEUM APOD_MOUSE MUS MUSCULUS YATE_SCHPO SCHIZOSACCHAROMYCES POMBE STRAIN ATCC ZINC FINGER HOMO SAPIENS </t>
  </si>
  <si>
    <t>Nitrophorin-7 - Rhodnius prolixus - extracellular region - nitric oxide homeostasis - response to histamine - positive regulation of vasodilation - negative regulation of coagulation - histamine binding - nitric oxide binding - platelet aggregation</t>
  </si>
  <si>
    <t>Triabin 3e-023| Lipocalin 0.001| Nitrophorin 0.003| Fmp27 | PRK03762 | rpa1 | ND5 | DUF3430 | F-actin_cap_A | I-BAR_IMD_BAIAP2L2 |</t>
  </si>
  <si>
    <t>270046188 BAI50824 1 307094826 ADN29719 307094828 ADN29720 307094904 ADN29758 TM227 270046174 BAI50817 270046172 BAI50816 270046176 BAI50818 307094864 ADN29738 270046228 BAI50844 149689164 ABR27935</t>
  </si>
  <si>
    <t>sp|Q94733|NP3_RHOPR</t>
  </si>
  <si>
    <t>Q94733 NP3_RHOPR 3 2 1 O42930 VPS10_SCHPO 10 38366 972 VPS10 Q6PQK2 NP7_RHOPR 7 Q26241 NP2_RHOPR A6NMZ7 CO6A6_HUMAN 6 COL6A6 P80007 CRA2_HOMGA A2 P49291 O55719 096L_IIV6 FAS1 096L IIV6 4 Q9U6R6 Q6FJI9 FMP46_CANGA FMP46 2001 138 3761 0622 65</t>
  </si>
  <si>
    <t xml:space="preserve">NITROPHORIN OS RHODNIUS PROLIXUS PE SV VACUOLAR SORTING TARGETING SCHIZOSACCHAROMYCES POMBE STRAIN ATCC GN COLLAGEN ALPHA VI CHAIN HOMO SAPIENS CRUSTACYANIN SUBUNIT HOMARUS GAMMARUS LAZA_SCHAM LAZARILLO SCHISTOCERCA AMERICANA DOMAIN CONTAINING INVERTEBRATE IRIDESCENT VIRUS PRCLN_TRIPT PROCALIN TRIATOMA PROTRACTA REDOX MITOCHONDRIAL CANDIDA GLABRATA CBS JCM NBRC NRRL Y </t>
  </si>
  <si>
    <t>Triabin 2e-009| citrate_synt_like_1_2 | Pox_E2-like | PHA03031 | TAS2R | DUF3430 | Fmp27 | PRK12664 | GH16_laminarinase_like | AvrB_AvrC |</t>
  </si>
  <si>
    <t>270046188 BAI50824 1 307094826 ADN29719 270046174 BAI50817 270046176 BAI50818 307094904 ADN29758 TM227 307094828 ADN29720 270046172 BAI50816 149689164 ABR27935 149689166 ABR27936 270046228 BAI50844</t>
  </si>
  <si>
    <t>sp|P80007|CRA2_HOMGA</t>
  </si>
  <si>
    <t>Homarus gammarus</t>
  </si>
  <si>
    <t>P80007 CRA2_HOMGA A2 1 P49291 Q5U2R2 CA074_RAT UPF0739 C1ORF74 2 B9MQG5 6725 1320 3 Q87P32 P51909 Q7VJB1 Y332_HELHP UPF0133 HH_0332 Q9H4D0 CSTN2_HUMAN CLSTN2 Q5UPE4 COLL1_MIMIV MIMI_L71 4 Q8SPI0</t>
  </si>
  <si>
    <t xml:space="preserve">CRUSTACYANIN SUBUNIT OS HOMARUS GAMMARUS PE SV LAZA_SCHAM LAZARILLO SCHISTOCERCA AMERICANA HOMOLOG RATTUS NORVEGICUS RPOB_ANATD DNA DIRECTED RNA POLYMERASE BETA ANAEROCELLUM THERMOPHILUM STRAIN DSM Z GN RPOB VOPS_VIBPA ADENOSINE MONOPHOSPHATE TRANSFERASE VOPS VIBRIO PARAHAEMOLYTICUS APOD_CAVPO APOLIPOPROTEIN D CAVIA PORCELLUS APOD HELICOBACTER HEPATICUS YBAB CALSYNTENIN HOMO SAPIENS COLLAGEN LIKE ACANTHAMOEBA POLYPHAGA MIMIVIRUS APOD_MACFA MACACA FASCICULARIS </t>
  </si>
  <si>
    <t>Triabin 3e-011| rpa1 0.046| PRK03762 | I-BAR_IMD_BAIAP2L2 | PRK00180 | Fmp27 | PTZ00362 | PHA03031 | ND5 | AvrB_AvrC |</t>
  </si>
  <si>
    <t>P80007 CRA2_HOMGA A2 1 Q5U2R2 CA074_RAT UPF0739 C1ORF74 2 B9MQG5 6725 1320 3 A2CAH8 HIS4_PROM3 5 4 9303 Q9ZCH6 Y766_RICPR RP766 Q92GC8 Y1195_RICCN RC1195 613 7 Q493R5 Q55BQ3 SCY2_DICDI SCY2 Q9H4D0 CSTN2_HUMAN CLSTN2 Q9DAE8 CA074_MOUSE</t>
  </si>
  <si>
    <t xml:space="preserve">CRUSTACYANIN SUBUNIT OS HOMARUS GAMMARUS PE SV HOMOLOG RATTUS NORVEGICUS RPOB_ANATD DNA DIRECTED RNA POLYMERASE BETA ANAEROCELLUM THERMOPHILUM STRAIN DSM Z GN RPOB PHOSPHORIBOSYL IMIDAZOLE CARBOXAMIDE ISOMERASE PROCHLOROCOCCUS MARINUS MIT HISA UNCHARACTERIZED HTH TYPE TRANSCRIPTIONAL REGULATOR RICKETTSIA PROWAZEKII MADRID E CONORII ATCC VR MALISH SURA_BLOPB CHAPERONE SURA BLOCHMANNIA PENNSYLVANICUS BPEN PROBABLE INACTIVE SERINE THREONINE KINASE DICTYOSTELIUM DISCOIDEUM CALSYNTENIN HOMO SAPIENS MUS MUSCULUS </t>
  </si>
  <si>
    <t>Triabin 7e-008| rpa1 0.046| I-BAR_IMD_BAIAP2L2 | PRK00180 | PTZ00362 | ND5 | AvrB_AvrC | ruvB | Nodulin_late | ND5 |</t>
  </si>
  <si>
    <t>P80007 CRA2_HOMGA A2 1 O43151 TET3_HUMAN TET3 2 3 A3AB67 FH16_ORYSJ 16 FH16 Q99372 Q27J49 Q5RCX3 TAF1D_PONAB TAF1D B3CN33 RL16_WOLPP 50S L16 Q11PK5 IF2_CYTH3 33406 9469 P17096 HMGA1_HUMAN HMGA1 Q6URC2 HMGA1_CANFA</t>
  </si>
  <si>
    <t xml:space="preserve">CRUSTACYANIN SUBUNIT OS HOMARUS GAMMARUS PE SV METHYLCYTOSINE DIOXYGENASE HOMO SAPIENS GN FORMIN LIKE ORYZA SATIVA SUBSP JAPONICA ELN_RAT ELASTIN RATTUS NORVEGICUS ELN BNP_LACMU BRADYKININ POTENTIATING C TYPE NATRIURETIC PEPTIDES LACHESIS MUTA TATA BOX BINDING ASSOCIATED FACTOR RNA POLYMERASE I D PONGO ABELII RIBOSOMAL WOLBACHIA PIPIENTIS CULEX PIPIENS STRAIN WPIP RPLP TRANSLATION INITIATION IF CYTOPHAGA HUTCHINSONII ATCC NCIMB INFB HIGH MOBILITY GROUP HMG Y CANIS FAMILIARIS </t>
  </si>
  <si>
    <t>Triabin 1e-010| rpa1 | rpoC2 | TIGR00423 | PRK03762 | XAPA | I-BAR_IMD_BAIAP2L2 | Trep_dent_lipo | PRK00180 | 7tm_6 |</t>
  </si>
  <si>
    <t>RNA processing and modification</t>
  </si>
  <si>
    <t>270046188 BAI50824 1 307094828 ADN29720 307094826 ADN29719 307094904 ADN29758 TM227 270046174 BAI50817 270046176 BAI50818 270046172 BAI50816 149689164 ABR27935 149689166 ABR27936 270046228 BAI50844</t>
  </si>
  <si>
    <t>sp|Q8SR30|PABP_ENCCU</t>
  </si>
  <si>
    <t>Encephalitozoon cuniculi (strain GB-M1)</t>
  </si>
  <si>
    <t>Q8SR30 M1 PAB1 1 Q9HFR4 ATG2_PICPA 2 ATG2 3 P80007 CRA2_HOMGA A2 Q9UI33 11 SCN11A O42930 VPS10_SCHPO 10 38366 972 VPS10 P0ACH8 K12 P0ACH9 MELR_ECOL6 O6 Q55BQ3 SCY2_DICDI SCY2 Q1LTP2 Q5U2R2 CA074_RAT UPF0739 C1ORF74</t>
  </si>
  <si>
    <t xml:space="preserve">PABP_ENCCU POLYADENYLATE BINDING CYTOPLASMIC NUCLEAR OS ENCEPHALITOZOON CUNICULI STRAIN GN PE SV AUTOPHAGY RELATED PICHIA PASTORIS CRUSTACYANIN SUBUNIT HOMARUS GAMMARUS SCNBA_HUMAN SODIUM CHANNEL TYPE ALPHA HOMO SAPIENS VACUOLAR SORTING TARGETING SCHIZOSACCHAROMYCES POMBE ATCC MELR_ECOLI MELIBIOSE OPERON REGULATORY ESCHERICHIA COLI MELR PROBABLE INACTIVE SERINE THREONINE KINASE DICTYOSTELIUM DISCOIDEUM CYSI_BAUCH SULFITE REDUCTASE HEMOPROTEIN BETA COMPONENT BAUMANNIA CICADELLINICOLA SUBSP HOMALODISCA COAGULATA CYSI HOMOLOG RATTUS NORVEGICUS </t>
  </si>
  <si>
    <t>Triabin 6e-012| ND4 | AvrB_AvrC | PRK01001 | Trep_dent_lipo | ATPase-IIIB_Mg | I-BAR_IMD_BAIAP2L2 | PRK13698 | Nodulin_late | PRK14396 |</t>
  </si>
  <si>
    <t>270046188 BAI50824 1 270046172 BAI50816 270046176 BAI50818 307094826 ADN29719 270046174 BAI50817 270046228 BAI50844 307094904 ADN29758 TM227 307094960 ADN29786 307094828 ADN29720 149689164 ABR27935</t>
  </si>
  <si>
    <t>sp|B7J0N3|PTH_BORBZ</t>
  </si>
  <si>
    <t>Borrelia burgdorferi (strain ZS7)</t>
  </si>
  <si>
    <t>B7J0N3 ZS7 3 1 P47714 Q65ZY7 Q559A9 PKS13_DICDI 13 PKS13 Q9M3J5 YCF1_SPIOL YCF1 2 A6UTW9 OTC_META3 1280 P43920 51907 11121 KW20 A5UIY9 A5UCN0 Q4QL71 CAPP_HAEI8 86 028NP</t>
  </si>
  <si>
    <t xml:space="preserve">PTH_BORBZ PEPTIDYL TRNA HYDROLASE OS BORRELIA BURGDORFERI STRAIN GN PTH PE SV PTH_BORBU PTH_BORGA GARINII PROBABLE POLYKETIDE SYNTHASE DICTYOSTELIUM DISCOIDEUM MEMBRANE SPINACIA OLERACEA A ORNITHINE CARBAMOYLTRANSFERASE METHANOCOCCUS AEOLICUS NANKAI ATCC BAA ARGF CAPP_HAEIN PHOSPHOENOLPYRUVATE CARBOXYLASE HAEMOPHILUS INFLUENZAE DSM RD PPC CAPP_HAEIG PITTGG CAPP_HAEIE PITTEE </t>
  </si>
  <si>
    <t>Triabin 0.094| rpa1 | RGS_RGS17 | PHA03031 | ND5 | AvrB_AvrC | PRK00180 | PTZ00362 | Nodulin_late | ND5 |</t>
  </si>
  <si>
    <t>270046202 BAI50831 1 270046200 BAI50830 307094858 ADN29735 307094930 ADN29771 TM434 307094842 ADN29727 149689194 ABR27965 149898913 ABR27964 149689066 ABR27848 307094844 ADN29728 155029178 BAF75465 2</t>
  </si>
  <si>
    <t xml:space="preserve">UNNAMED PRODUCT SALIVARY LIPOCALIN TRIAFESTIN </t>
  </si>
  <si>
    <t>Q9U6R6 1 2 Q27049 O97921 H2 Q5ECE3 P49291 P51910 P41222 P23593 Q32KY0 Q8WNM0</t>
  </si>
  <si>
    <t xml:space="preserve">PRCLN_TRIPT PROCALIN OS TRIATOMA PROTRACTA PE SV TRIA_TRIPA TRIABIN PALLIDIPENNIS PTGDS_HORSE PROSTAGLANDIN D ISOMERASE EQUUS CABALLUS GN PTGDS LOPAP_LONON LOPAP LONOMIA OBLIQUA LAZA_SCHAM LAZARILLO SCHISTOCERCA AMERICANA APOD_MOUSE APOLIPOPROTEIN MUS MUSCULUS APOD PTGDS_HUMAN HOMO SAPIENS APOD_RAT RATTUS NORVEGICUS APOD_BOVIN BOS TAURUS PTGDS_PONPY PONGO PYGMAEUS </t>
  </si>
  <si>
    <t>Triabin 2e-019| Lipocalin 0.072| trkD | RE_LlaMI | PRK12664 | DltB | DUF3737 | Kup | Bunya_G2 | MRP-S27 |</t>
  </si>
  <si>
    <t>270046202 BAI50831 1 270046200 BAI50830 307094842 ADN29727 307094858 ADN29735 149898913 ABR27964 149689066 ABR27848 307094930 ADN29771 TM434 149689070 ABR27852 307094844 ADN29728 155029178 BAF75465 2</t>
  </si>
  <si>
    <t>Q9U6R6 1 2 P49291 P08938 O97921 H2 P37153 Q54X22 HBX8_DICDI 8 HBX8 3 Q5UQZ0 YR895_MIMIV R895 MIMI_R895 4 P54696 Q5ECE3 O59674 YB8B_SCHPO C29A3 11C 38366 972 SPBC29A3</t>
  </si>
  <si>
    <t xml:space="preserve">PRCLN_TRIPT PROCALIN OS TRIATOMA PROTRACTA PE SV LAZA_SCHAM LAZARILLO SCHISTOCERCA AMERICANA PURP_CHICK PURPURIN GALLUS PTGDS_HORSE PROSTAGLANDIN D ISOMERASE EQUUS CABALLUS GN PTGDS APOD_RABIT APOLIPOPROTEIN ORYCTOLAGUS CUNICULUS APOD HOMEOBOX DICTYOSTELIUM DISCOIDEUM UNCHARACTERIZED ACANTHAMOEBA POLYPHAGA MIMIVIRUS MYOH_DICDI MYOSIN H HEAVY CHAIN MYOH LOPAP_LONON LOPAP LONOMIA OBLIQUA MITOCHONDRIAL CARRIER SCHIZOSACCHAROMYCES POMBE STRAIN ATCC </t>
  </si>
  <si>
    <t>Triabin 2e-008| ND4 | Aa_trans | Lipocalin | opgC | TIGR03766 | Bunya_G2 | Peptidase_C12_UCH_L1_L3 | 7TM_GPCR_Srsx | trkD |</t>
  </si>
  <si>
    <t>270046200 BAI50830 1 270046202 BAI50831 284006359 CBA71594 145480467 XP_001426256 124393330 CAK58858 337745583 YP_004639745 336296772 AEI39875 145547589 XP_001459476 124427301 CAK92079 308500137 XP_003112254 2 308268735 EFP12688 169335223 ZP_02862416 ANASTE_01631 169257961 EDS71927 110637684 YP_677891 CHU_1279 110280365 ABG58551 326916196 XP_003204396 CASP8</t>
  </si>
  <si>
    <t xml:space="preserve">UNNAMED PRODUCT SECRETED EFFECTOR HYPOTHETICAL MARR FAMILY TRANSCRIPTIONAL REGULATOR CRE SPD ASSOCIATED LIKE </t>
  </si>
  <si>
    <t>sp|Q72UP9|LON_LEPIC</t>
  </si>
  <si>
    <t>Leptospira interrogans serogroup Icterohaemorrhagiae serovar copenhageni</t>
  </si>
  <si>
    <t>Q72UP9 2 1 Q49XU5 XERD_STAS1 15305 20229 3 Q5UQZ0 YR895_MIMIV R895 MIMI_R895 4 O59674 YB8B_SCHPO C29A3 11C 38366 972 SPBC29A3 P17883 SKI3_YEAST 204508 S288C SKI3 P36272 PORTL_BPP21 P21 Q8CP76 12228 Q5HPA2 35984 RP62A Q9PN94 5 Q3KCB9 ARNT2_PSEPF PF0 ARNT2</t>
  </si>
  <si>
    <t xml:space="preserve">LON_LEPIC LON PROTEASE OS LEPTOSPIRA INTERROGANS SEROGROUP ICTEROHAEMORRHAGIAE SEROVAR COPENHAGENI GN PE SV TYROSINE RECOMBINASE XERD STAPHYLOCOCCUS SAPROPHYTICUS SUBSP STRAIN ATCC DSM UNCHARACTERIZED ACANTHAMOEBA POLYPHAGA MIMIVIRUS MITOCHONDRIAL CARRIER SCHIZOSACCHAROMYCES POMBE SUPERKILLER SACCHAROMYCES CEREVISIAE PORTAL ENTEROBACTERIA PHAGE EBH_STAES EXTRACELLULAR MATRIX BINDING EBH EPIDERMIDIS EBH_STAEQ METE_CAMJE METHYLTETRAHYDROPTEROYLTRIGLUTAMATE HOMOCYSTEINE METHYLTRANSFERASE CAMPYLOBACTER JEJUNI METE UNDECAPRENYL PHOSPHATE ALPHA AMINO DEOXY L ARABINOSE ARABINOSYL TRANSFERASE PSEUDOMONAS FLUORESCENS </t>
  </si>
  <si>
    <t>trkD 0.048| Bunya_G2 | Kup | formate_focA | TIGR03766 | ND4 | PRK09210 | PRK12555 | PLN02610 | STKc_PKA |</t>
  </si>
  <si>
    <t>270046200 BAI50830 1 270046202 BAI50831 149898913 ABR27964 149689194 ABR27965 307094878 ADN29745 307094956 ADN29784 TM817 149689066 ABR27848 155029178 BAF75465 2 270046220 BAI50840 149689068 ABR27850</t>
  </si>
  <si>
    <t xml:space="preserve">UNNAMED PRODUCT SALIVARY LIPOCALIN TRIABIN LIKE PRECURSOR TRIAFESTIN </t>
  </si>
  <si>
    <t>sp|P49291|LAZA_SCHAM</t>
  </si>
  <si>
    <t>Schistocerca americana</t>
  </si>
  <si>
    <t>P49291 1 Q9U6R6 2 Q5ECE3 A4QLQ5 YCF1_LOBMA YCF1 3 O94477 MYO52_SCHPO 52 38366 972 MYO52 Q5UPQ2 YL766_MIMIV L766 MIMI_L766 4 P41263 RET4_CHICK RBP4 P54696 B8FLF0 01 P52577 P3 AT1G75280</t>
  </si>
  <si>
    <t xml:space="preserve">LAZA_SCHAM LAZARILLO OS SCHISTOCERCA AMERICANA PE SV PRCLN_TRIPT PROCALIN TRIATOMA PROTRACTA LOPAP_LONON LOPAP LONOMIA OBLIQUA MEMBRANE LOBULARIA MARITIMA GN A MYOSIN SCHIZOSACCHAROMYCES POMBE STRAIN ATCC ANKYRIN REPEAT ACANTHAMOEBA POLYPHAGA MIMIVIRUS RETINOL BINDING GALLUS MYOH_DICDI H HEAVY CHAIN DICTYOSTELIUM DISCOIDEUM MYOH ENGB_DESAA PROBABLE GTP ENGB DESULFATIBACILLUM ALKENIVORANS AK IFRH_ARATH ISOFLAVONE REDUCTASE HOMOLOG ARABIDOPSIS THALIANA </t>
  </si>
  <si>
    <t>Triabin 2e-008| trkD 0.075| 7TM_GPCR_Sri 0.091| PBP1_iGluR_delta_like | ND4 | DUF3522 | Kup | PRK12662 | ND4 | Sre |</t>
  </si>
  <si>
    <t>270046202 BAI50831 1 270046200 BAI50830 149689066 ABR27848 307094842 ADN29727 307094858 ADN29735 155029178 BAF75465 2 307094930 ADN29771 TM434 149689070 ABR27852 149689068 ABR27850 155029176 BAF75464</t>
  </si>
  <si>
    <t>Q9U6R6 1 2 Q27049 P49291 Q26239 NP1_RHOPR Q32KY0 Q5ECE3 P05090 P51909 Q8SPI0 P41263 RET4_CHICK 4 RBP4</t>
  </si>
  <si>
    <t xml:space="preserve">PRCLN_TRIPT PROCALIN OS TRIATOMA PROTRACTA PE SV TRIA_TRIPA TRIABIN PALLIDIPENNIS LAZA_SCHAM LAZARILLO SCHISTOCERCA AMERICANA NITROPHORIN RHODNIUS PROLIXUS APOD_BOVIN APOLIPOPROTEIN D BOS TAURUS GN APOD LOPAP_LONON LOPAP LONOMIA OBLIQUA APOD_HUMAN HOMO SAPIENS APOD_CAVPO CAVIA PORCELLUS APOD_MACFA MACACA FASCICULARIS RETINOL BINDING GALLUS </t>
  </si>
  <si>
    <t>Triabin 3e-019| Nitrophorin 7e-004| Lipocalin 0.012| 7TM_GPCR_Sri | DUF198 | ND4 | PRK12662 | Sina | DUF3522 | PRK05850 |</t>
  </si>
  <si>
    <t>270046200 BAI50830 1 270046202 BAI50831 307094842 ADN29727 307094858 ADN29735 307094930 ADN29771 TM434 149898913 ABR27964 149689194 ABR27965 307094878 ADN29745 155029178 BAF75465 2 149689070 ABR27852</t>
  </si>
  <si>
    <t>Q27049 1 Q9U6R6 2 P49291 P17501 GP67 P54696 4 3 Q5ECE3 P80029 CRC1_HOMGA C1 P58989 CRA1_HOMGA A1 Q12UF8 PUR7_METBU 6242 P37153</t>
  </si>
  <si>
    <t xml:space="preserve">TRIA_TRIPA TRIABIN OS TRIATOMA PALLIDIPENNIS PE SV PRCLN_TRIPT PROCALIN PROTRACTA LAZA_SCHAM LAZARILLO SCHISTOCERCA AMERICANA FUS_NPVAC MAJOR ENVELOPE GLYCOPROTEIN AUTOGRAPHA CALIFORNICA NUCLEAR POLYHEDROSIS VIRUS GN MYOH_DICDI MYOSIN H HEAVY CHAIN DICTYOSTELIUM DISCOIDEUM MYOH LOPAP_LONON LOPAP LONOMIA OBLIQUA CRUSTACYANIN SUBUNIT HOMARUS GAMMARUS PHOSPHORIBOSYLAMINOIMIDAZOLE SUCCINOCARBOXAMIDE SYNTHASE METHANOCOCCOIDES BURTONII STRAIN DSM PURC APOD_RABIT APOLIPOPROTEIN D ORYCTOLAGUS CUNICULUS APOD </t>
  </si>
  <si>
    <t>Triabin 5e-015| Lipocalin | ND2 | PLN03215 | PRK08332 | PRK12664 | DUF3483 | LAGLIDADG_2 | ND4 | Orbi_VP2 |</t>
  </si>
  <si>
    <t>270046200 BAI50830 1 270046202 BAI50831 149898926 ABR27978 149898911 ABR27962 149689208 ABR27975 299744909 XP_001831347 2 298406343 EAU90510 156841056 XP_001643904 KPOL_1067P18 156114533 EDO16046 330915145 XP_003296919 PTT_07154 311330700 EFQ94986 320580656 EFW94878 284006359 CBA71594</t>
  </si>
  <si>
    <t xml:space="preserve">UNNAMED PRODUCT TRUNCATED PALLIDIPIN LIKE LIPOCALIN PRECURSOR ATYPICAL PIKK FRAP KINASE HYPOTHETICAL FLAVIN LINKED SULFHYDRYL OXIDASE SECRETED EFFECTOR </t>
  </si>
  <si>
    <t>sp|Q8EUV4|KTHY_MYCPE</t>
  </si>
  <si>
    <t>Mycoplasma penetrans</t>
  </si>
  <si>
    <t>Q8EUV4 3 1 Q49XU5 XERD_STAS1 15305 20229 Q08732 HRK1_YEAST HRK1 204508 S288C Q8R890 TTE2127 Q187P6 ACCD_CLOD6 630 Q17370 NHR47_CAEEL 47 2 P56702 DBIL5_RAT 5 DBIL5 Q9R9I9 Q91MX5 PAP1_LSDV Q54U63 4</t>
  </si>
  <si>
    <t xml:space="preserve">KTHY_MYCPE THYMIDYLATE KINASE OS MYCOPLASMA PENETRANS GN TMK PE SV TYROSINE RECOMBINASE XERD STAPHYLOCOCCUS SAPROPHYTICUS SUBSP STRAIN ATCC DSM SERINE THREONINE SACCHAROMYCES CEREVISIAE XERCL_THETN XERC LIKE THERMOANAEROBACTER TENGCONGENSIS ACETYL COENZYME A CARBOXYLASE CARBOXYL TRANSFERASE SUBUNIT BETA CLOSTRIDIUM DIFFICILE ACCD NUCLEAR HORMONE RECEPTOR FAMILY MEMBER NHR CAENORHABDITIS ELEGANS DIAZEPAM BINDING INHIBITOR RATTUS NORVEGICUS MYCC_BACSU MYCOSUBTILIN SYNTHASE C BACILLUS SUBTILIS MYCC POLY POLYMERASE CATALYTIC LUMPY SKIN DISEASE VIRUS PAPL LVSC_DICDI BEACH DOMAIN CONTAINING LVSC DICTYOSTELIUM DISCOIDEUM </t>
  </si>
  <si>
    <t>trkD 0.034| PRK13480 0.038| Kup | TIGR03766 | Bunya_G2 | DltB | MRP-S27 | Peptidase_C12_UCH_L1_L3 | acyloxyacyl_hydrolase_like | 7TM_GPCR_Srz |</t>
  </si>
  <si>
    <t>270046202 BAI50831 1 270046200 BAI50830 307094878 ADN29745 149898913 ABR27964 149689066 ABR27848 307095180 ADN29896 155029178 BAF75465 2 149689070 ABR27852 307094892 ADN29752 149689186 ABR27959 4A</t>
  </si>
  <si>
    <t xml:space="preserve">UNNAMED PRODUCT TRIABIN LIKE LIPOCALIN PRECURSOR SALIVARY TRIAFESTIN </t>
  </si>
  <si>
    <t>P49291 1 Q9U6R6 2 Q875X4 MYO2B_SACCA 2B MYO2B 3 B8FLF0 01 P75481 Y297_MYCPN MG211 MPN_297 Q54IM2 Y8040_DICDI DDB_G0288661 4 O97921 H2 P54696 P57765 PCNA1_SULSO 35092 1617 11322 P2 Q5ECE3</t>
  </si>
  <si>
    <t xml:space="preserve">LAZA_SCHAM LAZARILLO OS SCHISTOCERCA AMERICANA PE SV PRCLN_TRIPT PROCALIN TRIATOMA PROTRACTA MYOSIN SACCHAROMYCES CASTELLII GN ENGB_DESAA PROBABLE GTP BINDING ENGB DESULFATIBACILLUM ALKENIVORANS STRAIN AK UNCHARACTERIZED HOMOLOG MYCOPLASMA PNEUMONIAE TRANSMEMBRANE DICTYOSTELIUM DISCOIDEUM PTGDS_HORSE PROSTAGLANDIN D ISOMERASE EQUUS CABALLUS PTGDS MYOH_DICDI H HEAVY CHAIN MYOH DNA POLYMERASE SLIDING CLAMP A SULFOLOBUS SOLFATARICUS ATCC DSM JCM PCNA LOPAP_LONON LOPAP LONOMIA OBLIQUA </t>
  </si>
  <si>
    <t>Triabin 9e-007| DUF198 0.016| 7TM_GPCR_Sri | PRK05305 | ND4 | PRK12662 | DUF3522 | Sina | PRK13674 | Peptidase_C12_UCH_L1_L3 |</t>
  </si>
  <si>
    <t>270046202 BAI50831 1 270046200 BAI50830 307094842 ADN29727 307094858 ADN29735 307094930 ADN29771 TM434 149898913 ABR27964 307094878 ADN29745 149689066 ABR27848 149689070 ABR27852 149689194 ABR27965</t>
  </si>
  <si>
    <t xml:space="preserve">UNNAMED PRODUCT SALIVARY LIPOCALIN TRIABIN LIKE PRECURSOR </t>
  </si>
  <si>
    <t>Q9U6R6 1 2 Q27049 P49291 Q26239 NP1_RHOPR B8FLF0 01 3 Q09MB8 YCF1_CITSI YCF1 P75481 Y297_MYCPN MG211 MPN_297 P28187 RAA5C_ARATH RABA5C Q9D267 LCN9_MOUSE 9 LCN9 Q7ZVR1 WDR75_DANRE 75 WDR75</t>
  </si>
  <si>
    <t xml:space="preserve">PRCLN_TRIPT PROCALIN OS TRIATOMA PROTRACTA PE SV TRIA_TRIPA TRIABIN PALLIDIPENNIS LAZA_SCHAM LAZARILLO SCHISTOCERCA AMERICANA NITROPHORIN RHODNIUS PROLIXUS ENGB_DESAA PROBABLE GTP BINDING ENGB DESULFATIBACILLUM ALKENIVORANS STRAIN AK GN MEMBRANE CITRUS SINENSIS A UNCHARACTERIZED HOMOLOG MYCOPLASMA PNEUMONIAE RAS RELATED ARABIDOPSIS THALIANA EPIDIDYMAL SPECIFIC LIPOCALIN MUS MUSCULUS WD REPEAT CONTAINING DANIO RERIO </t>
  </si>
  <si>
    <t>Triabin 4e-014| Lipocalin 0.096| 7TM_GPCR_Sri | BetT | PRK12662 | DUF198 | ND4 | Bunya_RdRp | Sina | Peptidase_C12_UCH_L1_L3 |</t>
  </si>
  <si>
    <t>270046200 BAI50830 1 270046202 BAI50831 307094878 ADN29745 307094956 ADN29784 TM817 149689070 ABR27852 149689066 ABR27848 155029178 BAF75465 2 270046220 BAI50840 307094844 ADN29728 149689068 ABR27850</t>
  </si>
  <si>
    <t>P49291 1 Q9U6R6 2 B8FLF0 01 3 P57529 EX5B_BUCAI P75481 Y297_MYCPN MG211 MPN_297 O97921 H2 Q160A3 ENGB_PSEA6 T6C 1087 P54696 4 Q5ECE3 P80029 CRC1_HOMGA C1</t>
  </si>
  <si>
    <t xml:space="preserve">LAZA_SCHAM LAZARILLO OS SCHISTOCERCA AMERICANA PE SV PRCLN_TRIPT PROCALIN TRIATOMA PROTRACTA ENGB_DESAA PROBABLE GTP BINDING ENGB DESULFATIBACILLUM ALKENIVORANS STRAIN AK GN EXODEOXYRIBONUCLEASE V BETA CHAIN BUCHNERA APHIDICOLA SUBSP ACYRTHOSIPHON PISUM RECB UNCHARACTERIZED HOMOLOG MYCOPLASMA PNEUMONIAE PTGDS_HORSE PROSTAGLANDIN D ISOMERASE EQUUS CABALLUS PTGDS PSEUDOALTEROMONAS ATLANTICA BAA MYOH_DICDI MYOSIN H HEAVY DICTYOSTELIUM DISCOIDEUM MYOH LOPAP_LONON LOPAP LONOMIA OBLIQUA CRUSTACYANIN SUBUNIT HOMARUS GAMMARUS </t>
  </si>
  <si>
    <t>Triabin 1e-006| Acyl_transf_3 | ND4 | PRK12662 | ND5 | ND4 | 7TM_GPCR_Sri | GldG | BetT | COG4905 |</t>
  </si>
  <si>
    <t>Triatoma infestans</t>
  </si>
  <si>
    <t>34421652 AAQ68063 1 TILIPO37 111379913 ABH09436 116267183 ABJ96346 111379927 ABH09443 270046180 BAI50820 149689052 ABR27841 111379911 ABH09435 307094846 ADN29729 4 111379901 ABH09430 5 111379881 ABH09420 2</t>
  </si>
  <si>
    <t xml:space="preserve">LIPOCALIN LIKE SALIVARY UNNAMED PRODUCT </t>
  </si>
  <si>
    <t>Q9U6R6 1 2 Q27049 Q8NCU4 K1407_HUMAN KIAA1407 Q95KD7 K1407_MACFA 14927 Q7VTD2 RL4_BORPE 50S L4 3 Q7W2F5 RL4_BORPA Q7WRC4 RL4_BORBR Q2L2F7 RL4_BORA1 197N P80029 CRC1_HOMGA C1 P58989 CRA1_HOMGA A1</t>
  </si>
  <si>
    <t xml:space="preserve">PRCLN_TRIPT PROCALIN OS TRIATOMA PROTRACTA PE SV TRIA_TRIPA TRIABIN PALLIDIPENNIS COILED COIL DOMAIN CONTAINING HOMO SAPIENS GN HOMOLOG MACACA FASCICULARIS QFLA RIBOSOMAL BORDETELLA PERTUSSIS RPLD PARAPERTUSSIS BRONCHISEPTICA AVIUM STRAIN CRUSTACYANIN SUBUNIT HOMARUS GAMMARUS </t>
  </si>
  <si>
    <t>Triabin 6e-020| Sre 0.003| DUF846 0.044| 2A0309 0.090| 7TM_GPCR_Srbc | TR_FER | TRP | PRK09568 | ND1 | PRK05815 |</t>
  </si>
  <si>
    <t>34421652 AAQ68063 1 TILIPO37 111379913 ABH09436 116267183 ABJ96346 111379927 ABH09443 270046180 BAI50820 111379911 ABH09435 149689052 ABR27841 111379901 ABH09430 5 111379881 ABH09420 2 307094846 ADN29729 4</t>
  </si>
  <si>
    <t>Q9U6R6 1 2 Q27049 Q8NCU4 K1407_HUMAN KIAA1407 Q95KD7 K1407_MACFA 14927 Q7VTD2 RL4_BORPE 50S L4 3 Q7W2F5 RL4_BORPA Q7WRC4 RL4_BORBR O97921 H2 Q2L2F7 RL4_BORA1 197N A9IIZ9 RL4_BORPD 461 12804 43448</t>
  </si>
  <si>
    <t xml:space="preserve">PRCLN_TRIPT PROCALIN OS TRIATOMA PROTRACTA PE SV TRIA_TRIPA TRIABIN PALLIDIPENNIS COILED COIL DOMAIN CONTAINING HOMO SAPIENS GN HOMOLOG MACACA FASCICULARIS QFLA RIBOSOMAL BORDETELLA PERTUSSIS RPLD PARAPERTUSSIS BRONCHISEPTICA PTGDS_HORSE PROSTAGLANDIN D ISOMERASE EQUUS CABALLUS PTGDS AVIUM STRAIN PETRII ATCC BAA DSM CCUG </t>
  </si>
  <si>
    <t>Triabin 1e-017| Sre 0.002| DUF846 0.040| 2A0309 0.081| 7TM_GPCR_Srbc 0.099| TRP | PRK09568 | ND1 | PRK05815 | COG4645 |</t>
  </si>
  <si>
    <t>149689058 ABR27844 1 149689052 ABR27841 116267183 ABJ96346 149689060 ABR27845 111379921 ABH09440 111379913 ABH09436 149689054 ABR27842 34421652 AAQ68063 TILIPO37 111379911 ABH09435 111379881 ABH09420 2</t>
  </si>
  <si>
    <t xml:space="preserve">SALIVARY LIPOCALIN LIKE </t>
  </si>
  <si>
    <t>Q9U6R6 1 2 Q27049 P80029 CRC1_HOMGA C1 P58989 CRA1_HOMGA A1 O97921 H2 O74932 TPS1_YARLI 122 150 TPS1 A8HDJ4 NXS1_PSEPO P41263 RET4_CHICK 4 RBP4 P0C788 OX2V_HHV8P 8 GK18 K14 P25497 NXS1_PSEAU</t>
  </si>
  <si>
    <t xml:space="preserve">PRCLN_TRIPT PROCALIN OS TRIATOMA PROTRACTA PE SV TRIA_TRIPA TRIABIN PALLIDIPENNIS CRUSTACYANIN SUBUNIT HOMARUS GAMMARUS PTGDS_HORSE PROSTAGLANDIN D ISOMERASE EQUUS CABALLUS GN PTGDS ALPHA TREHALOSE PHOSPHATE SYNTHASE YARROWIA LIPOLYTICA STRAIN CLIB E SHORT NEUROTOXIN PSEUDECHIS PORPHYRIACUS RETINOL BINDING GALLUS OX MEMBRANE GLYCOPROTEIN HOMOLOG HUMAN HERPESVIRUS TYPE P ISOLATE AUSTRALIS </t>
  </si>
  <si>
    <t>Triabin 1e-017| Lipocalin | Trp_Tyr_perm | Big_3 | CRT10 | AgrB | ABC_sbcCD | SP | ND4 | Anoctamin |</t>
  </si>
  <si>
    <t>Intracellular trafficking, secretion, and vesicular transport</t>
  </si>
  <si>
    <t>116267183 ABJ96346 1 149689052 ABR27841 149689058 ABR27844 111379921 ABH09440 149689060 ABR27845 111379913 ABH09436 34421652 AAQ68063 TILIPO37 149689054 ABR27842 270046180 BAI50820 111379911 ABH09435</t>
  </si>
  <si>
    <t xml:space="preserve">SALIVARY LIPOCALIN LIKE UNNAMED PRODUCT </t>
  </si>
  <si>
    <t>Q9U6R6 1 2 Q27049 P80007 CRA2_HOMGA A2 P80029 CRC1_HOMGA C1 P58989 CRA1_HOMGA A1 O97921 H2 A8HDJ4 NXS1_PSEPO P41263 RET4_CHICK 4 RBP4 P25497 NXS1_PSEAU O74932 TPS1_YARLI 122 150 TPS1</t>
  </si>
  <si>
    <t xml:space="preserve">PRCLN_TRIPT PROCALIN OS TRIATOMA PROTRACTA PE SV TRIA_TRIPA TRIABIN PALLIDIPENNIS CRUSTACYANIN SUBUNIT HOMARUS GAMMARUS PTGDS_HORSE PROSTAGLANDIN D ISOMERASE EQUUS CABALLUS GN PTGDS SHORT NEUROTOXIN PSEUDECHIS PORPHYRIACUS RETINOL BINDING GALLUS AUSTRALIS ALPHA TREHALOSE PHOSPHATE SYNTHASE YARROWIA LIPOLYTICA STRAIN CLIB E </t>
  </si>
  <si>
    <t>Triabin 2e-022| Nitrophorin 0.001| 7TM_GPCR_Srt | TR_FER | Trp_Tyr_perm | MutL | DUF3430 | Lipocalin | Serinc | CRT10 |</t>
  </si>
  <si>
    <t>111379921 ABH09440 1 111379913 ABH09436 116267183 ABJ96346 149689052 ABR27841 149689058 ABR27844 111379911 ABH09435 111379915 ABH09437 34421652 AAQ68063 TILIPO37 149689060 ABR27845 270046180 BAI50820</t>
  </si>
  <si>
    <t xml:space="preserve">LIPOCALIN SALIVARY LIKE UNNAMED PRODUCT </t>
  </si>
  <si>
    <t>Q9U6R6 1 2 Q27049 P80007 CRA2_HOMGA A2 Q26241 NP2_RHOPR Q94734 NP4_RHOPR 4 Q94733 NP3_RHOPR 3 Q26239 NP1_RHOPR P80029 CRC1_HOMGA C1 P58989 CRA1_HOMGA A1 Q6FN48 2001 138 3761 0622 65 CAP1</t>
  </si>
  <si>
    <t xml:space="preserve">PRCLN_TRIPT PROCALIN OS TRIATOMA PROTRACTA PE SV TRIA_TRIPA TRIABIN PALLIDIPENNIS CRUSTACYANIN SUBUNIT HOMARUS GAMMARUS NITROPHORIN RHODNIUS PROLIXUS CAPZA_CANGA F ACTIN CAPPING ALPHA CANDIDA GLABRATA STRAIN ATCC CBS JCM NBRC NRRL Y GN </t>
  </si>
  <si>
    <t>Triabin 9e-026| Nitrophorin 1e-006| Lipocalin | 7TM_GPCR_Srt | TR_FER | Trp_Tyr_perm | DUF3430 | MutL | Corona_M | Serinc |</t>
  </si>
  <si>
    <t>34421652 AAQ68063 1 TILIPO37 111379913 ABH09436 149689060 ABR27845 149689058 ABR27844 111379911 ABH09435 111379927 ABH09443 307094894 ADN29753 2 111379901 ABH09430 5 111379881 ABH09420 149689052 ABR27841</t>
  </si>
  <si>
    <t xml:space="preserve">LIPOCALIN LIKE SALIVARY TRIABIN </t>
  </si>
  <si>
    <t>Q9U6R6 1 2 Q27049 Q5ECE3 P80029 CRC1_HOMGA C1 P58989 CRA1_HOMGA A1 Q5DRF0 PCDA2_PANTR PCDHA2 3 P61641 RET4_PANTR 4 RBP4 P02753 RET4_HUMAN Q9Y5H9 PCDA2_HUMAN Q3V4X6 YCF1_ACOCL YCF1</t>
  </si>
  <si>
    <t xml:space="preserve">PRCLN_TRIPT PROCALIN OS TRIATOMA PROTRACTA PE SV TRIA_TRIPA TRIABIN PALLIDIPENNIS LOPAP_LONON LOPAP LONOMIA OBLIQUA CRUSTACYANIN SUBUNIT HOMARUS GAMMARUS PROTOCADHERIN ALPHA PAN TROGLODYTES GN RETINOL BINDING HOMO SAPIENS MEMBRANE ACORUS CALAMUS </t>
  </si>
  <si>
    <t>Triabin 1e-019| PHA02962 0.065| Abi 0.079| UPF0259 | 7TM_GPCR_Srbc | Lipocalin | PRK14223 | A | TR_FER | Trp_Tyr_perm |</t>
  </si>
  <si>
    <t>34421652 AAQ68063 1 TILIPO37 111379913 ABH09436 111379881 ABH09420 2 307094846 ADN29729 4 111379901 ABH09430 5 307094894 ADN29753 111379927 ABH09443 270046180 BAI50820 116267187 ABJ96348 307094944 ADN29778</t>
  </si>
  <si>
    <t xml:space="preserve">LIPOCALIN LIKE SALIVARY TRIABIN UNNAMED PRODUCT </t>
  </si>
  <si>
    <t>Q9U6R6 1 2 Q27049 P08938 P80029 CRC1_HOMGA C1 P58989 CRA1_HOMGA A1 P41263 RET4_CHICK 4 RBP4 P61641 RET4_PANTR 3 P02753 RET4_HUMAN Q5ECE3 P42666</t>
  </si>
  <si>
    <t xml:space="preserve">PRCLN_TRIPT PROCALIN OS TRIATOMA PROTRACTA PE SV TRIA_TRIPA TRIABIN PALLIDIPENNIS PURP_CHICK PURPURIN GALLUS CRUSTACYANIN SUBUNIT HOMARUS GAMMARUS RETINOL BINDING GN PAN TROGLODYTES HOMO SAPIENS LOPAP_LONON LOPAP LONOMIA OBLIQUA CYSP_PLAVS CYSTEINE PROTEINASE PLASMODIUM VIVAX STRAIN SALVADOR I </t>
  </si>
  <si>
    <t>Triabin 6e-011| PRK09723 | PTKc_Jak_rpt2 | Rod_C | PRK02797 | Dymeclin | PHA02962 | ND5 | ND2 | PRK13569 |</t>
  </si>
  <si>
    <t>Plasmodium falciparum 3D7</t>
  </si>
  <si>
    <t>296005153 XP_002808911 1 225631794 CAX64192 311745201 ZP_07718986 126577724 EAZ81944</t>
  </si>
  <si>
    <t xml:space="preserve">SERINE THREONINE KINASE FIKK FAMILY CATION EFFLUX SYSTEM </t>
  </si>
  <si>
    <t>sp|P57299|COAE_BUCAI</t>
  </si>
  <si>
    <t>Buchnera aphidicola subsp. Acyrthosiphon pisum</t>
  </si>
  <si>
    <t>P57299 3 1 Q9SIU9 Y2262_ARATH UPF0725 AT2G20620 2 P39571 B3 A2BUP7 PUR9_PROM5 9515 Q58544 Y1144_METJA MJ1144 43067 2661 10045 100440 4 Q3YRX1</t>
  </si>
  <si>
    <t xml:space="preserve">COAE_BUCAI DEPHOSPHO COA KINASE OS BUCHNERA APHIDICOLA SUBSP ACYRTHOSIPHON PISUM GN COAE PE SV ARABIDOPSIS THALIANA GERBC_BACSU SPORE GERMINATION BACILLUS SUBTILIS GERBC BIFUNCTIONAL PURINE BIOSYNTHESIS PURH PROCHLOROCOCCUS MARINUS STRAIN MIT UNCHARACTERIZED METHANOCALDOCOCCUS JANNASCHII ATCC DSM JAL JCM NBRC SYR_EHRCJ ARGINYL TRNA SYNTHETASE EHRLICHIA CANIS JAKE ARGS </t>
  </si>
  <si>
    <t>STE2 | ND1 | ND1 |</t>
  </si>
  <si>
    <t>Nuclear structure, Intracellular trafficking, secretion, and vesicular transport</t>
  </si>
  <si>
    <t>149689058 ABR27844 1 149689060 ABR27845 34421652 AAQ68063 TILIPO37 111379921 ABH09440 111379915 ABH09437 270046180 BAI50820 111379881 ABH09420 2 111379901 ABH09430 5 116267183 ABJ96346 111379883 ABH09421</t>
  </si>
  <si>
    <t>Q9U6R6 1 2 Q27049 P80029 CRC1_HOMGA C1 P58989 CRA1_HOMGA A1 A8HDJ4 NXS1_PSEPO P80007 CRA2_HOMGA A2 P25497 NXS1_PSEAU Q8SPI0 A6T7Z4 RNB_KLEP7 700721 78578 3 B5XS03 RNB_KLEP3 342</t>
  </si>
  <si>
    <t xml:space="preserve">PRCLN_TRIPT PROCALIN OS TRIATOMA PROTRACTA PE SV TRIA_TRIPA TRIABIN PALLIDIPENNIS CRUSTACYANIN SUBUNIT HOMARUS GAMMARUS SHORT NEUROTOXIN PSEUDECHIS PORPHYRIACUS AUSTRALIS APOD_MACFA APOLIPOPROTEIN D MACACA FASCICULARIS GN APOD EXORIBONUCLEASE KLEBSIELLA PNEUMONIAE SUBSP STRAIN ATCC MGH RNB </t>
  </si>
  <si>
    <t>Triabin 8e-011| Lipocalin | CRT10 | BUD22 | STE2 | PRK10632 | DUF825 | PBP1_iGluR_non_NMDA_like | ilvB | TIGR00092 |</t>
  </si>
  <si>
    <t>34421652 AAQ68063 1 TILIPO37 111379913 ABH09436 307094846 ADN29729 4 270046226 BAI50843 111379901 ABH09430 5 111379881 ABH09420 2 307094894 ADN29753 111379927 ABH09443 307094920 ADN29766 307094856 ADN29734</t>
  </si>
  <si>
    <t xml:space="preserve">LIPOCALIN LIKE SALIVARY UNNAMED PRODUCT TRIABIN </t>
  </si>
  <si>
    <t>Q9U6R6 1 2 Q27049 P80029 CRC1_HOMGA C1 P58989 CRA1_HOMGA A1 Q7VTD2 RL4_BORPE 50S L4 3 Q7W2F5 RL4_BORPA Q7WRC4 RL4_BORBR P80007 CRA2_HOMGA A2 P54962 BLG4_BLAGE 4 P51910</t>
  </si>
  <si>
    <t xml:space="preserve">PRCLN_TRIPT PROCALIN OS TRIATOMA PROTRACTA PE SV TRIA_TRIPA TRIABIN PALLIDIPENNIS CRUSTACYANIN SUBUNIT HOMARUS GAMMARUS RIBOSOMAL BORDETELLA PERTUSSIS GN RPLD PARAPERTUSSIS BRONCHISEPTICA ALLERGEN BLA G FRAGMENT BLATTELLA GERMANICA APOD_MOUSE APOLIPOPROTEIN D MUS MUSCULUS APOD </t>
  </si>
  <si>
    <t>Triabin 2e-009| Dymeclin | PHA02962 | IGv | TIGR00092 | Lipocalin | Peptidase_M35 | RasGAP_RAP6 | flhB | LcnDR2 |</t>
  </si>
  <si>
    <t>Triatoma matogrossensis</t>
  </si>
  <si>
    <t>307095134 ADN29873 1 P450 328720616 XP_001945100 2 6A14 195332512 XP_002032941 GM21045 194124911 EDW46954 91081161 XP_975572 270006370 EFA02818 6BQ4 91081165 XP_975576 CYP6BK17 270006369 EFA02817 6BQ2 195551585 XP_002076261 GD15377 194201910 EDX15486 91081157 XP_975569 270006372 EFA02820 6BQ6 194863453 XP_001970448 GG23366 190662315 EDV59507 57158231 BAD84176 85857542 ABC86306 IP16196P 239992731 ACS36781 IP16096P</t>
  </si>
  <si>
    <t xml:space="preserve">CYTOCHROME LIKE PROBABLE SIMILAR TO </t>
  </si>
  <si>
    <t>sp|Q9V4U7|C6A14_DROME</t>
  </si>
  <si>
    <t>Drosophila melanogaster</t>
  </si>
  <si>
    <t>Q9V4U7 C6A14_DROME P450 6A14 CYP6A14 3 2 Q9V4U9 C6A13_DROME 6A13 CYP6A13 1 Q964T2 CP9E2_BLAGE 9E2 CYP9E2 P82711 C6A19_DROME 6A19 CYP6A19 Q27902 CP6B4_PAPGL 6B4 CYP6B4 Q9V770 C6A17_DROME 6A17 CYP6A17 P24463 CP3AC_CANFA 3A12 CYP3A12 Q29496 CP3AO_SHEEP 3A24 CYP3A24 Q9V771 C6A23_DROME 6A23 CYP6A23 P79102 CP3AS_BOVIN 3A28 CYP3A28</t>
  </si>
  <si>
    <t xml:space="preserve">PROBABLE CYTOCHROME OS DROSOPHILA MELANOGASTER GN PE SV BLATTELLA GERMANICA PAPILIO GLAUCUS CANIS FAMILIARIS OVIS ARIES BOS TAURUS </t>
  </si>
  <si>
    <t>Cyp6a13 - Drosophila melanogaster - microsome - electron carrier activity - membrane - oxidation-reduction process - heme binding - oxidoreductase activity, acting on paired donors, with incorporation or reduction of molecular oxygen</t>
  </si>
  <si>
    <t>p450 4e-036| CypX 7e-018| PLN02302 8e-015| PLN02936 3e-014| PLN02290 1e-013| PLN02738 3e-013| PTZ00404 6e-013| PLN02394 7e-012| PLN03141 9e-012| PLN02196 6e-011|</t>
  </si>
  <si>
    <t>Secondary metabolites biosynthesis, transport and catabolism</t>
  </si>
  <si>
    <t>11182464 NP_068644 1 11139102 AAG31609 AF301594_2 2 327243013 AEA41125 327243003 AEA41120 327242997 AEA41117 327242999 AEA41118 327243007 AEA41122 327242995 AEA41116 327242993 AEA41115 327243001 AEA41119 327243005 AEA41121 327243009 AEA41123 327243011 AEA41124 327243015 AEA41126 149689096 ABR27887 307095194 ADN29903 240266427 YP_002970763 215789120 ACJ69575 242543731 YP_002995743 192335113 ACF04094</t>
  </si>
  <si>
    <t xml:space="preserve">CYTOCHROME C OXIDASE SUBUNIT II </t>
  </si>
  <si>
    <t>sp|P29876|COX2_ONCFA</t>
  </si>
  <si>
    <t>Oncopeltus fasciatus</t>
  </si>
  <si>
    <t>P29876 COX2_ONCFA 2 3 1 P98021 COX2_SIMVI P50253 COX2_DROSI P00408 COX2_DROME P00409 COX2_DROYA P29860 COX2_DROLO P67799 COX2_DROPS P67798 COX2_DROPE P67797 COX2_DROMI P33505 COX2_ANOQU</t>
  </si>
  <si>
    <t xml:space="preserve">CYTOCHROME C OXIDASE SUBUNIT OS ONCOPELTUS FASCIATUS GN COII PE SV SIMULIUM VITTATUM DROSOPHILA SIMULANS MT MELANOGASTER YAKUBA LOWEI PSEUDOOBSCURA PERSIMILIS MIRANDA ANOPHELES QUADRIMACULATUS COXII </t>
  </si>
  <si>
    <t>mitochondrial Cytochrome c oxidase subunit II - Drosophila melanogaster - cytochrome-c oxidase activity - mitochondrial respiratory chain complex IV - mitochondrion - mitochondrial inner membrane - mitochondrial electron transport, cytochrome c to oxygen - respiratory electron transport chain - electron carrier activity - heme binding - copper ion binding - integral to membrane</t>
  </si>
  <si>
    <t>COX2 7e-083| COX2 2e-067| COX2 2e-066| COX2 7e-066| COX2 2e-065| COX2 2e-065| COX2 7e-065| COX2 3e-063| COX2 3e-062| COX2 5e-062|</t>
  </si>
  <si>
    <t>Energy production and conversion</t>
  </si>
  <si>
    <t>11182464 NP_068644 1 11139102 AAG31609 AF301594_2 2 327243003 AEA41120 327242997 AEA41117 327242999 AEA41118 327243007 AEA41122 327242995 AEA41116 327242993 AEA41115 327243001 AEA41119 327243005 AEA41121 327243009 AEA41123 327243011 AEA41124 327243015 AEA41126 327243013 AEA41125 149689096 ABR27887 307095194 ADN29903 240266427 YP_002970763 215789120 ACJ69575 242543731 YP_002995743 192335113 ACF04094</t>
  </si>
  <si>
    <t>P29876 COX2_ONCFA 2 3 1 P98021 COX2_SIMVI P50253 COX2_DROSI P00408 COX2_DROME P84290 COX2_CHOPI P84289 COX2_CHOOC P84288 COX2_CHOFU P33505 COX2_ANOQU P29860 COX2_DROLO P00409 COX2_DROYA</t>
  </si>
  <si>
    <t xml:space="preserve">CYTOCHROME C OXIDASE SUBUNIT OS ONCOPELTUS FASCIATUS GN COII PE SV SIMULIUM VITTATUM DROSOPHILA SIMULANS MT MELANOGASTER CHORISTONEURA PINUS OCCIDENTALIS FUMIFERANA ANOPHELES QUADRIMACULATUS COXII LOWEI YAKUBA </t>
  </si>
  <si>
    <t>COX2 8e-094| COX2 1e-074| COX2 7e-073| COX2 2e-072| COX2 4e-072| COX2 3e-071| COX2 7e-071| COX2 2e-070| COX2 1e-068| COX2 3e-068|</t>
  </si>
  <si>
    <t>Solenopsis invicta</t>
  </si>
  <si>
    <t>322802268 EFZ22664 1 SINV_04663 328779312 XP_393337 4 15 340719801 XP_003398334 307213093 EFN88615 328713782 XP_001943808 2 332031599 EGI71071 307184287 EFN70745 156537313 XP_001606156 ENSANGP00000013280 326664098 XP_694331 5 229366988 ACQ58474</t>
  </si>
  <si>
    <t xml:space="preserve">HYPOTHETICAL HYDROXYPROSTAGLANDIN DEHYDROGENASE LIKE SIMILAR TO </t>
  </si>
  <si>
    <t>sp|Q8MJY8|PGDH_MACFA</t>
  </si>
  <si>
    <t>Macaca fascicularis</t>
  </si>
  <si>
    <t>Q8MJY8 15 2 1 Q8VCC1 P15428 O08699 Q3T0C2 P70684 Q8KWT4 BACC2_BACSU 3 Q9WYG0 Y325_THEMA TM_0325 Q9MYP6 DHB14_BOVIN 17 14 HSD17B14 P39640</t>
  </si>
  <si>
    <t xml:space="preserve">PGDH_MACFA HYDROXYPROSTAGLANDIN DEHYDROGENASE OS MACACA FASCICULARIS GN HPGD PE SV PGDH_MOUSE MUS MUSCULUS PGDH_HUMAN HOMO SAPIENS PGDH_RAT RATTUS NORVEGICUS PGDH_BOVIN BOS TAURUS PGDH_CAVPO CAVIA PORCELLUS BACILYSIN BIOSYNTHESIS OXIDOREDUCTASE BACC BACILLUS SUBTILIS UNCHARACTERIZED THERMOTOGA MARITIMA BETA HYDROXYSTEROID BACC_BACSU </t>
  </si>
  <si>
    <t>Uncharacterized protein - Gallus gallus - binding - oxidoreductase activity</t>
  </si>
  <si>
    <t>ADH_SDR_c_like 3e-051| SDR_c 1e-041| fabG 4e-035| FabG 5e-034| fabG 2e-033| fabG 5e-032| 3beta-17beta-HSD_like_SDR_c 6e-032| DltE 2e-031| secoisolariciresinol-DH_like_SDR_c 2e-031| COG4221 6e-031|</t>
  </si>
  <si>
    <t>Apis mellifera</t>
  </si>
  <si>
    <t>328779312 XP_393337 4 15 340719801 XP_003398334 1 322802268 EFZ22664 SINV_04663 307213093 EFN88615 332031599 EGI71071 307184287 EFN70745 328713782 XP_001943808 2 326664098 XP_694331 5 229366988 ACQ58474 225707626 ACO09659</t>
  </si>
  <si>
    <t xml:space="preserve">HYDROXYPROSTAGLANDIN DEHYDROGENASE LIKE HYPOTHETICAL </t>
  </si>
  <si>
    <t>sp|Q8VCC1|PGDH_MOUSE</t>
  </si>
  <si>
    <t>Q8VCC1 15 2 1 Q3T0C2 Q8MJY8 O08699 P15428 P70684 Q8KWT4 BACC2_BACSU 3 P39640 Q9MYP6 DHB14_BOVIN 17 14 HSD17B14 Q56318 Y019_THEMA TM_0019</t>
  </si>
  <si>
    <t xml:space="preserve">PGDH_MOUSE HYDROXYPROSTAGLANDIN DEHYDROGENASE OS MUS MUSCULUS GN HPGD PE SV PGDH_BOVIN BOS TAURUS PGDH_MACFA MACACA FASCICULARIS PGDH_RAT RATTUS NORVEGICUS PGDH_HUMAN HOMO SAPIENS PGDH_CAVPO CAVIA PORCELLUS BACILYSIN BIOSYNTHESIS OXIDOREDUCTASE BACC BACILLUS SUBTILIS BACC_BACSU BETA HYDROXYSTEROID UNCHARACTERIZED THERMOTOGA MARITIMA </t>
  </si>
  <si>
    <t>ADH_SDR_c_like 1e-055| SDR_c 4e-045| fabG 3e-038| FabG 7e-036| fabG 4e-035| COG4221 1e-032| fabG 1e-032| 3beta-17beta-HSD_like_SDR_c 2e-032| secoisolariciresinol-DH_like_SDR_c 2e-032| DltE 1e-031|</t>
  </si>
  <si>
    <t>Acyrthosiphon pisum</t>
  </si>
  <si>
    <t>328713782 XP_001943808 2 15 340719335 XP_003398110 1 Y4VI 307184286 EFN70744 332024816 EGI65004 332031599 EGI71071 322802268 EFZ22664 SINV_04663 307188060 EFN72892 91092112 XP_972194 270004669 EFA01117 TCASGA2_TC010329 328779312 XP_393337 4 322788652 EFZ14253 SINV_05355</t>
  </si>
  <si>
    <t xml:space="preserve">HYDROXYPROSTAGLANDIN DEHYDROGENASE LIKE UNCHARACTERIZED SHORT CHAIN TYPE REDUCTASE HYPOTHETICAL SIMILAR TO ALCOHOL </t>
  </si>
  <si>
    <t>sp|O08699|PGDH_RAT</t>
  </si>
  <si>
    <t>Rattus norvegicus</t>
  </si>
  <si>
    <t>O08699 15 2 Q8VCC1 1 Q8MJY8 P15428 P70684 Q3T0C2 P51552 3 Q05114 Q9U8S9 Q9NG40</t>
  </si>
  <si>
    <t xml:space="preserve">PGDH_RAT HYDROXYPROSTAGLANDIN DEHYDROGENASE OS RATTUS NORVEGICUS GN HPGD PE SV PGDH_MOUSE MUS MUSCULUS PGDH_MACFA MACACA FASCICULARIS PGDH_HUMAN HOMO SAPIENS PGDH_CAVPO CAVIA PORCELLUS PGDH_BOVIN BOS TAURUS ADH_ZAPTU ALCOHOL ZAPRIONUS TUBERCULATUS ADH ADH_DROWI DROSOPHILA WILLISTONI ADH_DROPU PAULISTORUM ADH_DROIN INSULARIS </t>
  </si>
  <si>
    <t>ADH_SDR_c_like 5e-033| SDR_c 2e-026| COG4221 3e-019| FabG 1e-018| fabG 2e-018| fabG 9e-018| 17beta-HSD-like_SDR_c 1e-017| DltE 1e-017| 3beta-17beta-HSD_like_SDR_c 2e-017| Ga5DH-like_SDR_c 2e-017|</t>
  </si>
  <si>
    <t>Panstrongylus megistus</t>
  </si>
  <si>
    <t>3831495 AAC69977 1 3831513 AAC69982 3831510 AAC69981 3831491 AAC69976 11182476 NP_068643 11139114 AAG31621 AF301594_14 3831498 AAC69978 3831501 AAC69979 3831525 AAC69985 3831528 AAC69986 3831518 AAC69983 3831522 AAC69984</t>
  </si>
  <si>
    <t xml:space="preserve">CYTOCHROME OXIDASE SUBUNIT I C </t>
  </si>
  <si>
    <t>sp|P00400|COX1_DROYA</t>
  </si>
  <si>
    <t>Drosophila yakuba</t>
  </si>
  <si>
    <t>P00400 COX1_DROYA 1 3 P00399 COX1_DROME Q36724 COX1_BLAGE 2 Q34388 COX1_DROSI P50668 COX1_CHOBI P67794 COX1_CHOPI P67793 COX1_CHOOC P50669 COX1_CHOFU Q34391 COX1_DROSE B0FWC7 COX1_AEDAE</t>
  </si>
  <si>
    <t xml:space="preserve">CYTOCHROME C OXIDASE SUBUNIT OS DROSOPHILA YAKUBA GN MT COI PE SV MELANOGASTER FRAGMENT BLATTELLA GERMANICA FRAGMENTS SIMULANS CHORISTONEURA BIENNIS PINUS OCCIDENTALIS FUMIFERANA SECHELLIA AEDES AEGYPTI </t>
  </si>
  <si>
    <t>mitochondrial Cytochrome c oxidase subunit I - Drosophila melanogaster - mitochondrial respiratory chain complex IV - cytochrome-c oxidase activity - mitochondrion - mitochondrial inner membrane - mitochondrial electron transport, cytochrome c to oxygen - sleep - aerobic respiration - integral to membrane - electron carrier activity - heme binding</t>
  </si>
  <si>
    <t>COX1 e-119| COX1 e-102| COX1 e-101| Cyt_c_Oxidase_I e-100| COX1 2e-099| COX1 8e-095| COX1 2e-092| COX1 9e-091| COX1 2e-090| COX1 4e-088|</t>
  </si>
  <si>
    <t>Pediculus humanus corporis</t>
  </si>
  <si>
    <t>242019605 XP_002430250 1 40S S2 212515357 EEB17512 91081061 XP_975415 270005317 EFA01765 TCASGA2_TC007364 156550181 XP_001604681 110671482 ABG81992 62083451 AAX62450 240849555 NP_001155755 239788328 BAH70852 ACYPI008325 112982669 NP_001037564 54609283 AAV34857 27260896 AAN86048 332016283 EGI57196 322799274 EFZ20665 SINV_10999</t>
  </si>
  <si>
    <t xml:space="preserve">RIBOSOMAL SIMILAR TO HYPOTHETICAL LIKE </t>
  </si>
  <si>
    <t>sp|P31009|RS2_DROME</t>
  </si>
  <si>
    <t>P31009 RS2_DROME 40S S2 1 2 P49154 RS2_URECA RPS2 P27952 RS2_RAT P25444 RS2_MOUSE 3 P15880 RS2_HUMAN O18789 RS2_BOVIN Q90YS3 RS2_ICTPU P46791 RS2_CRIGR P51403 RS2_CAEEL Q9SCM3 RS24_ARATH 4 RPS2D</t>
  </si>
  <si>
    <t xml:space="preserve">RIBOSOMAL OS DROSOPHILA MELANOGASTER GN SOP PE SV URECHIS CAUPO RATTUS NORVEGICUS MUS MUSCULUS HOMO SAPIENS BOS TAURUS ICTALURUS PUNCTATUS FRAGMENT CRICETULUS GRISEUS CAENORHABDITIS ELEGANS RPS ARABIDOPSIS THALIANA </t>
  </si>
  <si>
    <t>Ribosomal protein S2 - Drosophila melanogaster - translation - cytosolic small ribosomal subunit - structural constituent of ribosome - ribosome - RNA binding - lipid particle</t>
  </si>
  <si>
    <t>PTZ00070 e-110| rpsE_arch 3e-081| rps5p 4e-059| RpsE 3e-044| Ribosomal_S5 3e-026| Ribosomal_S5_C 6e-021| rpsE 5e-020| rpsE_bact 1e-019| rps5 4e-010| GT1_ALG1_like 0.033|</t>
  </si>
  <si>
    <t>Translation, ribosomal structure and biogenesis</t>
  </si>
  <si>
    <t>388359 AAA30329 1 2 307094884 ADN29748 307094860 ADN29736 109240373 BAE96122 34421654 AAQ68064 TILIPO33 307094898 ADN29755 307094942 ADN29777 270046224 BAI50842 270046222 BAI50841 149689020 ABR27825</t>
  </si>
  <si>
    <t xml:space="preserve">PALLIDIPIN SALIVARY LIPOCALIN PLATELET INHIBITOR TRIPLATIN LIKE UNNAMED PRODUCT </t>
  </si>
  <si>
    <t>sp|P54962|BLG4_BLAGE</t>
  </si>
  <si>
    <t>Blattella germanica</t>
  </si>
  <si>
    <t>P54962 BLG4_BLAGE 4 1 Q9ZUD9 SRO2_ARATH SRO2 Q58205 Y795_METJA MJ0795 43067 2661 10045 100440 O22785 PR19B_ARATH 19 2 PRP19B 3 Q55CC2 P04395 3MG2_ECOLI K12 Q3IRQ4 2160 35678 Q1AU14 9941 16129 TUF1 Q9V8R9 41_DROME Q2S0M6 13855 M31</t>
  </si>
  <si>
    <t xml:space="preserve">ALLERGEN BLA G FRAGMENT OS BLATTELLA GERMANICA PE SV PROBABLE INACTIVE POLY POLYMERASE ARABIDOPSIS THALIANA GN UNCHARACTERIZED METHANOCALDOCOCCUS JANNASCHII STRAIN ATCC DSM JAL JCM NBRC PRE MRNA PROCESSING FACTOR HOMOLOG DHSB_DICDI SUCCINATE DEHYDROGENASE IRON SULFUR SUBUNIT MITOCHONDRIAL DICTYOSTELIUM DISCOIDEUM SDHB DNA METHYLADENINE GLYCOSYLASE ESCHERICHIA COLI ALKA LEUC_NATPD ISOPROPYLMALATE DEHYDRATASE LARGE NATRONOMONAS PHARAONIS LEUC EFTU_RUBXD ELONGATION TU RUBROBACTER XYLANOPHILUS DROSOPHILA MELANOGASTER CORA LEUC_SALRD SALINIBACTER RUBER </t>
  </si>
  <si>
    <t>Triabin 3e-012| Adenylate_cycl | Spy | PRK03059 | PHA02798 | PRK10762 | PRK15413 | PRK10982 | ND2 | nudC |</t>
  </si>
  <si>
    <t>388359 AAA30329 1 2 270046222 BAI50841 270046224 BAI50842 307094884 ADN29748 307094942 ADN29777 307094898 ADN29755 307094860 ADN29736 149689020 ABR27825 34421654 AAQ68064 TILIPO33 109240371 BAE96121</t>
  </si>
  <si>
    <t xml:space="preserve">PALLIDIPIN UNNAMED PRODUCT SALIVARY LIPOCALIN LIKE PLATELET INHIBITOR TRIPLATIN </t>
  </si>
  <si>
    <t>sp|Q5F3G6|P20L1_CHICK</t>
  </si>
  <si>
    <t>Gallus gallus</t>
  </si>
  <si>
    <t>Q5F3G6 P20L1_CHICK 20 1 PHF20L1 2 Q9C5U2 AHK2_ARATH AHK2 Q8I615 ORC1_PLAF7 3D7 ORC1 Q9WTQ5 AKA12_MOUSE 12 AKAP12 P54962 BLG4_BLAGE 4 Q9AR38 PPOX1 Q8IWJ2 GCC2_HUMAN GCC2 Q54TW0 PKS18_DICDI 18 PKS18 O75521 ECI2_HUMAN ECI2 Q58205 Y795_METJA MJ0795 43067 2661 10045 100440</t>
  </si>
  <si>
    <t xml:space="preserve">PHD FINGER LIKE OS GALLUS GN PE SV HISTIDINE KINASE ARABIDOPSIS THALIANA ORIGIN RECOGNITION COMPLEX SUBUNIT PLASMODIUM FALCIPARUM ISOLATE A ANCHOR MUS MUSCULUS ALLERGEN BLA G FRAGMENT BLATTELLA GERMANICA PPOC_ORYSJ PROTOPORPHYRINOGEN OXIDASE CHLOROPLASTIC ORYZA SATIVA SUBSP JAPONICA GRIP COILED COIL DOMAIN CONTAINING HOMO SAPIENS PROBABLE POLYKETIDE SYNTHASE DICTYOSTELIUM DISCOIDEUM ENOYL COA DELTA ISOMERASE MITOCHONDRIAL UNCHARACTERIZED METHANOCALDOCOCCUS JANNASCHII STRAIN ATCC DSM JAL JCM NBRC </t>
  </si>
  <si>
    <t>Triabin 1e-019| Herpes_BMRF2 0.026| 7TM_GPCR_Srz | Frag1 | flgA | 7TM_GPCR_Srx | Lipocalin | DUF3023 | ND5 | PHA03007 |</t>
  </si>
  <si>
    <t>149898868 ABR27923 1 11182474 NP_068653 11139112 AAG31619 AF301594_12 240266423 YP_002970759 215789116 ACJ69572 242543740 YP_002995752 192335122 ACF04103 226464139 YP_002735107 166897914 ABZ02149 240266381 YP_002970720 215789088 ACJ69546 226464087 YP_002735068 166897858 ABZ02097 240266437 YP_002970772 215789130 ACJ69585 215788939 ACJ69407 226464034 YP_002735016 166897787 ABZ02031</t>
  </si>
  <si>
    <t xml:space="preserve">TRUNCATED CYTOCHROME B </t>
  </si>
  <si>
    <t>sp|Q9MGL5|CYB_DROSE</t>
  </si>
  <si>
    <t>Drosophila sechellia</t>
  </si>
  <si>
    <t>Q9MGL5 3 1 P07704 Q9MFN9 Q9MDZ9 Q9MGM4 P18935 Q8M0K7 B0FWD7 Q8WBV2 Q36427</t>
  </si>
  <si>
    <t xml:space="preserve">CYB_DROSE CYTOCHROME B OS DROSOPHILA SECHELLIA GN MT CYT PE SV CYB_DROYA YAKUBA CYB_COLHO COCHLIOMYIA HOMINIVORAX CYB CYB_DROSI SIMULANS CYB_DROMA MAURITIANA CYB_DROME MELANOGASTER CYB_SAMCR SAMIA CYNTHIA RICINI CYB_AEDAE AEDES AEGYPTI CYB_OSTNU OSTRINIA NUBILALIS CYB_LOCMI LOCUSTA MIGRATORIA </t>
  </si>
  <si>
    <t>mitochondrial Cytochrome b - Drosophila melanogaster - mitochondrial respiratory chain complex III - ubiquinol-cytochrome-c reductase activity - membrane - electron carrier activity - respiratory electron transport chain - oxidoreductase activity</t>
  </si>
  <si>
    <t>CYTB e-162| CYTB e-140| CYTB e-138| CYTB e-133| CYTB e-130| CYTB e-125| CYTB e-125| CYTB e-124| CYTB e-123| CYTB e-116|</t>
  </si>
  <si>
    <t>Graphocephala atropunctata</t>
  </si>
  <si>
    <t>90819968 ABD98741 1 S27AE 125742521 ABN54483 307172445 EFN63898 156551219 XP_001602185 S27A 69608587 CAJ01880 307203225 EFN82380 62083413 AAX62431 340724113 XP_003400429 40S 340724115 XP_003400430 2 50344522 CAH04347 50344524 CAH04348 69608571 CAJ01877 91077776 XP_969023 270002242 EEZ98689 TCASGA2_TC001225</t>
  </si>
  <si>
    <t xml:space="preserve">UBIQUITIN RIBOSOMAL FUSION SIMILAR TO LIKE ISOFORM HYPOTHETICAL </t>
  </si>
  <si>
    <t>sp|P15357|RS27A_DROME</t>
  </si>
  <si>
    <t>P15357 RS27A_DROME 40S S27A RPS27A 1 2 P68202 RS27A_PLUXY P29504 RS27A_MANSE P68203 RS27A_SPOFR P62979 RS27A_HUMAN P62978 RS27A_CAVPO P62992 RS27A_BOVIN P62982 RS27A_RAT P62983 RS27A_MOUSE P79781 RS27A_CHICK 3</t>
  </si>
  <si>
    <t xml:space="preserve">UBIQUITIN RIBOSOMAL OS DROSOPHILA MELANOGASTER GN PE SV PLUTELLA XYLOSTELLA MANDUCA SEXTA SPODOPTERA FRUGIPERDA HOMO SAPIENS CAVIA PORCELLUS BOS TAURUS RATTUS NORVEGICUS MUS MUSCULUS GALLUS </t>
  </si>
  <si>
    <t>Uncharacterized protein - Canis lupus familiaris - structural constituent of ribosome - intracellular - ribosome - translation</t>
  </si>
  <si>
    <t>Ubiquitin 3e-043| ubiquitin 1e-029| Nedd8 8e-026| UBL 9e-026| Ribosomal_S27 3e-023| UBQ 5e-023| PTZ00044 7e-022| Rad60-SLD 1e-018| AN1_N 3e-016| RAD23_N 4e-016|</t>
  </si>
  <si>
    <t>Lygus lineolaris</t>
  </si>
  <si>
    <t>146285345 ABQ18250 1 L34 264667405 ACY71288 332031366 EGI70879 60S 322797534 EFZ19578 SINV_03395 307187786 EFN72752 62083341 AAX62395 70909859 CAJ17416 L34E 307195690 EFN77532 151301158 NP_001093076 54609259 AAV34845 62083471 AAX62460</t>
  </si>
  <si>
    <t xml:space="preserve">RIBOSOMAL SUBUNIT HYPOTHETICAL ISOFORM B A </t>
  </si>
  <si>
    <t>sp|Q9NB34|RL34_AEDTR</t>
  </si>
  <si>
    <t>Aedes triseriatus</t>
  </si>
  <si>
    <t>Q9NB34 RL34_AEDTR 60S L34 RPL34 2 3 P45842 RL34_AEDAL P87262 RL34A_YEAST 204508 S288C RPL34A 1 P40525 RL34B_YEAST RPL34B P40590 RL34_PEA Q42351 RL341_ARATH Q90YT5 RL34_ICTPU P49207 RL34_HUMAN Q7ZWJ7 RL34_DANRE P41098 RL34_TOBAC</t>
  </si>
  <si>
    <t xml:space="preserve">RIBOSOMAL OS AEDES TRISERIATUS GN PE SV ALBOPICTUS A SACCHAROMYCES CEREVISIAE STRAIN ATCC B PISUM SATIVUM ARABIDOPSIS THALIANA ICTALURUS PUNCTATUS HOMO SAPIENS DANIO RERIO NICOTIANA TABACUM </t>
  </si>
  <si>
    <t>Ribosomal protein L34b - Drosophila melanogaster - cytosolic large ribosomal subunit - structural constituent of ribosome - translation</t>
  </si>
  <si>
    <t>PTZ00074 3e-020| Ribosomal_L34e 2e-013| RPL34A 2e-010| PLN03166 7e-007| rpl34e 0.006| rps14P 0.055| PTZ00218 | NR_LBD_SHP | PRK10427 | Josephin |</t>
  </si>
  <si>
    <t>270046158 BAI50809 1 270046162 BAI50811 270046160 BAI50810 307094846 ADN29729 4 270046170 BAI50815 307094922 ADN29767 270046166 BAI50813 149689054 ABR27842 307095182 ADN29897 270046156 BAI50808</t>
  </si>
  <si>
    <t>Q9U6R6 1 2 Q5ECE3 P80007 CRA2_HOMGA A2 Q9FHN6 SKS2_ARATH SKS2 P37153 Q8VXX5 SKS1_ARATH SKS1 Q0VF96 CGNL1_HUMAN CGNL1 B2BMF9 VP3_ROTW3 VP3 WC3 1981 G6 P7 I2 R2 C2 M2 A3 N2 T6 E2 H3 3 Q9SU40 SKU5_ARATH SKU5 Q3ZWB0 5 CBDB1</t>
  </si>
  <si>
    <t xml:space="preserve">PRCLN_TRIPT PROCALIN OS TRIATOMA PROTRACTA PE SV LOPAP_LONON LOPAP LONOMIA OBLIQUA CRUSTACYANIN SUBUNIT HOMARUS GAMMARUS MONOCOPPER OXIDASE LIKE ARABIDOPSIS THALIANA GN APOD_RABIT APOLIPOPROTEIN D ORYCTOLAGUS CUNICULUS APOD CINGULIN HOMO SAPIENS ROTAVIRUS A STRAIN COW UNITED STATES PYRF_DEHSC OROTIDINE PHOSPHATE DECARBOXYLASE DEHALOCOCCOIDES PYRF </t>
  </si>
  <si>
    <t>Triabin 2e-008| Lipocalin 4e-004| COG1289 0.029| Gypsy | 7TM_GPCR_Str | Gem_osc_para_1 | PHA02789 | FmdE | RapA_C | WcaD |</t>
  </si>
  <si>
    <t>Physcomitrella patens subsp. patens</t>
  </si>
  <si>
    <t>167999534 XP_001752472 1 162696372 EDQ82711 123457415 XP_001316435 121899141 EAY04212 TVAG_298320 14250426 AAH08648 255724776 XP_002547317 240135208 EER34762 330376100 AEC13086 H1 330376102 AEC13087 330376104 AEC13088 330376106 AEC13089 330376108 AEC13090 330376110 AEC13091 330376112 AEC13092 330376114 AEC13093 330376116 AEC13094 330376118 AEC13095 194380258 BAG63896 159470597 XP_001693443 158282946 EDP08697 601931 AAA57153 226726294 P12036 4 200 6470331 AAF13722 AF203032_1 49522839 AAH73969 168269480 BAG09867 27529742 BAA74868 2 KIAA0845</t>
  </si>
  <si>
    <t xml:space="preserve">HYPOTHETICAL NEFH HISTONE UNNAMED PRODUCT NEUROFILAMENT H NFH_HUMAN FULL HEAVY POLYPEPTIDE SHORT NF ALTNAME KDA TRIPLET </t>
  </si>
  <si>
    <t>sp|P12036|NFH_HUMAN</t>
  </si>
  <si>
    <t>Homo sapiens</t>
  </si>
  <si>
    <t>P12036 1 4 Q08865 H12_VOLCA H1 2 3 P02251 H13_RABIT Q08695 MST1_DROHY MST101 Q08864 H11_VOLCA Q08696 MST2_DROHY P80723 BASP1_HUMAN BASP1 P07796 H1G_STRPU P06350 H1_ONCMY Q55FI4 NOP58_DICDI 58 NOP58</t>
  </si>
  <si>
    <t xml:space="preserve">NFH_HUMAN NEUROFILAMENT HEAVY POLYPEPTIDE OS HOMO SAPIENS GN NEFH PE SV HISTONE II VOLVOX CARTERI ORYCTOLAGUS CUNICULUS AXONEME ASSOCIATED DROSOPHILA HYDEI I BRAIN ACID SOLUBLE GAMMA LATE STRONGYLOCENTROTUS PURPURATUS ONCORHYNCHUS MYKISS NUCLEOLAR DICTYOSTELIUM DISCOIDEUM </t>
  </si>
  <si>
    <t>Neurofilament heavy polypeptide - Homo sapiens - microtubule cytoskeleton organization - molecular_function - mitochondrion - neurofilament - nervous system development - cell death - axon - intermediate filament cytoskeleton organization</t>
  </si>
  <si>
    <t>HC2 4e-009| TolA 1e-008| tolA_full 2e-008| PTZ00121 2e-008| tolA 1e-007| PRK13808 2e-007| PRK04950 7e-007| PRK05035 2e-006| PRK07735 3e-006| Rrp15p 3e-006|</t>
  </si>
  <si>
    <t>Chromatin structure and dynamics</t>
  </si>
  <si>
    <t>167999534 XP_001752472 1 162696372 EDQ82711 123457415 XP_001316435 121899141 EAY04212 TVAG_298320 194674393 XP_607274 4 200KDA 194674395 XP_870725 3 2 297484940 XP_002694651 296478432 DAA20547 297484942 XP_002694652 296478433 DAA20548 281345271 EFB20855 PANDA_018549 159477827 XP_001697010 CHLREDRAFT_192616 158274922 EDP00702 323453927 EGB09798 AURANDRAFT_63122 194380258 BAG63896</t>
  </si>
  <si>
    <t xml:space="preserve">HYPOTHETICAL NEUROFILAMENT HEAVY POLYPEPTIDE LIKE ISOFORM UNNAMED PRODUCT </t>
  </si>
  <si>
    <t>P12036 1 4 P16401 H15_HUMAN H1 5 HIST1H1B 3 P35060 H1_TIGCA P07796 H1G_STRPU P80723 BASP1_HUMAN BASP1 2 P10412 H14_HUMAN HIST1H1E P02251 H13_RABIT P02254 H1_SALTR P43276 H15_MOUSE P15865 H12_RAT HIST1H1C</t>
  </si>
  <si>
    <t xml:space="preserve">NFH_HUMAN NEUROFILAMENT HEAVY POLYPEPTIDE OS HOMO SAPIENS GN NEFH PE SV HISTONE TIGRIOPUS CALIFORNICUS GAMMA LATE STRONGYLOCENTROTUS PURPURATUS BRAIN ACID SOLUBLE ORYCTOLAGUS CUNICULUS SALMO TRUTTA MUS MUSCULUS RATTUS NORVEGICUS </t>
  </si>
  <si>
    <t>Uncharacterized protein - Bos taurus - nucleosome - DNA binding - intermediate filament - nucleosome assembly</t>
  </si>
  <si>
    <t>ftsN 2e-005| PRK00708 4e-005| PTZ00144 6e-005| PRK13808 9e-005| PRK12278 5e-004| PTZ00121 5e-004| 7tm_7 6e-004| MIP-T3 6e-004| tolA 7e-004| MARCKS 8e-004|</t>
  </si>
  <si>
    <t>sp|Q962S0|RS7_SPOFR</t>
  </si>
  <si>
    <t>Spodoptera frugiperda</t>
  </si>
  <si>
    <t>Q962S0 RS7_SPOFR 40S S7 RPS7 2 1 P48155 RS7_MANSE Q9NB21 RS7_CULQU</t>
  </si>
  <si>
    <t xml:space="preserve">RIBOSOMAL OS SPODOPTERA FRUGIPERDA GN PE SV MANDUCA SEXTA CULEX QUINQUEFASCIATUS </t>
  </si>
  <si>
    <t>RhoGAP | DUF3402 | RhoGAP | RhoGAP | Ribosomal_S7e | DUF2129 | PRK05839 | Churchill |</t>
  </si>
  <si>
    <t>242014985 XP_002428159 1 40S S7 212512702 EEB15421 110671514 ABG82008 S7E 50344464 CAH04318 121544005 ABM55666 50344466 CAH04319 264667389 ACY71280 91086117 XP_968147 270009893 EFA06341 TCASGA2_TC009214 285002187 NP_001165437 239790765 BAH71922 ACYPI010164 263173189 ACY69878 154091267 ABS57442</t>
  </si>
  <si>
    <t>Q962S0 RS7_SPOFR 40S S7 RPS7 2 1 P48155 RS7_MANSE Q9NB21 RS7_CULQU P62084 RS7_DANRE P62083 RS7_RAT P62082 RS7_MOUSE P62081 RS7_HUMAN Q5RT64 RS7_FELCA A6H769 RS7_BOVIN P62085 RS7_DROYA</t>
  </si>
  <si>
    <t xml:space="preserve">RIBOSOMAL OS SPODOPTERA FRUGIPERDA GN PE SV MANDUCA SEXTA CULEX QUINQUEFASCIATUS DANIO RERIO RATTUS NORVEGICUS MUS MUSCULUS HOMO SAPIENS FELIS CATUS BOS TAURUS DROSOPHILA YAKUBA </t>
  </si>
  <si>
    <t>ribosomal protein S7 - Danio rerio - structural constituent of ribosome - translation - intracellular - ribosome - ribonucleoprotein complex - regulation of cell cycle - rRNA processing - ribosomal small subunit biogenesis - nucleolus - cytosolic small ribosomal subunit</t>
  </si>
  <si>
    <t>Ribosomal_S7e 1e-082| PTZ00389 5e-059| ND5 0.009| cyoE_ctaB 0.010| PRK12648 0.039| GPI2 0.047| PRK02886 | ND5 | PHA02731 | NADH5_C |</t>
  </si>
  <si>
    <t>Carabus granulatus</t>
  </si>
  <si>
    <t>50344474 CAH04323 1 S10E 307199891 EFN80288 40S S10 332019909 EGI60370 322791771 EFZ16016 SINV_12973 307166392 EFN60529 268306488 ACY95365 264667439 ACY71305 48106363 XP_393059 66517421 XP_623303 2 328786407 XP_003250786 340720100 XP_003398481 340720102 XP_003398482 121512010 ABM55456</t>
  </si>
  <si>
    <t xml:space="preserve">RIBOSOMAL HYPOTHETICAL LIKE ISOFORM </t>
  </si>
  <si>
    <t>sp|Q962R9|RS10_SPOFR</t>
  </si>
  <si>
    <t>Q962R9 RS10_SPOFR 40S S10 RPS10 2 1 Q9VWG3 RS10B_DROME S10B RPS10B P63326 RS10_RAT P63325 RS10_MOUSE P46783 RS10_HUMAN Q3T0F4 RS10_BOVIN Q07254 RS10_XENLA Q90YR4 RS10_ICTPU Q9VB14 RS10A_DROME S10A RPS10A Q9NQ39 RS10L_HUMAN RPS10P5 5</t>
  </si>
  <si>
    <t xml:space="preserve">RIBOSOMAL OS SPODOPTERA FRUGIPERDA GN PE SV DROSOPHILA MELANOGASTER RATTUS NORVEGICUS MUS MUSCULUS HOMO SAPIENS BOS TAURUS XENOPUS LAEVIS ICTALURUS PUNCTATUS LIKE </t>
  </si>
  <si>
    <t>Ribosomal protein S10b - Drosophila melanogaster - structural constituent of ribosome - cytosolic small ribosomal subunit - microtubule associated complex</t>
  </si>
  <si>
    <t>S10_plectin 3e-045| PTZ00034 5e-037| COG5045 2e-027| PRK07680 | 7TM_GPCR_Srz | WBP-1 | U3snoRNP10 | PHA03309 | EF2 | PBP2_NikA_DppA_OppA_like_18 |</t>
  </si>
  <si>
    <t>146285351 ABQ18253 1 S4E 242024748 XP_002432788 40S S4 212518297 EEB20050 90820002 ABD98758 70909489 CAJ17169 70909485 CAJ17167 118573852 Q4GXU6 RS4_CARGR 70909481 CAJ17165 74829226 Q56FH2 RS4_LYSTE 62083411 AAX62430 74844658 Q95V34 RS4_SPOFR 16566725 AAL26580 AF429978_1 332017152 EGI57951 322784955 EFZ11726 SINV_08231</t>
  </si>
  <si>
    <t xml:space="preserve">RIBOSOMAL FULL HYPOTHETICAL </t>
  </si>
  <si>
    <t>sp|Q4GXU6|RS4_CARGR</t>
  </si>
  <si>
    <t>Q4GXU6 RS4_CARGR 40S S4 RPS4 2 1 Q95V34 RS4_SPOFR Q56FH2 RS4_LYSTE Q5UAP0 RS4_BOMMO P41042 RS4_DROME Q6PBC4 RS4_XENTR 3 P47961 RS4_CRIGR P47836 RS4_CHICK P79103 RS4_BOVIN P62703 RS4X_RAT RPS4X</t>
  </si>
  <si>
    <t xml:space="preserve">RIBOSOMAL OS CARABUS GRANULATUS GN PE SV SPODOPTERA FRUGIPERDA LYSIPHLEBUS TESTACEIPES BOMBYX MORI DROSOPHILA MELANOGASTER XENOPUS TROPICALIS CRICETULUS GRISEUS GALLUS BOS TAURUS X ISOFORM RATTUS NORVEGICUS </t>
  </si>
  <si>
    <t>Ribosomal protein S4 - Drosophila melanogaster - cytosolic small ribosomal subunit - structural constituent of ribosome - translation - ribosome - RNA binding - lipid particle - mitotic spindle elongation - mitotic spindle organization</t>
  </si>
  <si>
    <t>PLN00036 2e-058| PTZ00118 7e-044| PTZ00223 3e-036| RPS4A 1e-029| PRK04313 5e-018| Ribosomal_S4e 3e-011| KOW 0.004| rfaE_dom_II | GH64-GluB-like | KOW |</t>
  </si>
  <si>
    <t>Locusta migratoria</t>
  </si>
  <si>
    <t>27802643 AAO21473 1 HSP70 37993866 AAP57537 3 70 45331059 AAS57865 311797659 ADQ12985 BD1 307176326 EFN65945 4 662802 AAC23392 322785911 EFZ12530 SINV_15088 332030513 EGI70201 209155490 ACI33977 291227455 XP_002733703 71</t>
  </si>
  <si>
    <t xml:space="preserve">FAMILY MEMBER HEAT SHOCK KDA COGNATE LIKE SIMILAR TO PROTEINS HYPOTHETICAL </t>
  </si>
  <si>
    <t>sp|Q9U639|HSP7D_MANSE</t>
  </si>
  <si>
    <t>Manduca sexta</t>
  </si>
  <si>
    <t>Q9U639 HSP7D_MANSE 70 4 2 1 P08108 HSP70_ONCMY HSC71 P19120 HSP7C_BOVIN 71 HSPA8 O93866 HSP70_TRIRU HSP70 Q71U34 HSP7C_SAGOE P63018 HSP7C_RAT Q5NVM9 HSP7C_PONAB P63017 HSP7C_MOUSE P11142 HSP7C_HUMAN A2Q0Z1 HSP7C_HORSE</t>
  </si>
  <si>
    <t xml:space="preserve">HEAT SHOCK KDA COGNATE OS MANDUCA SEXTA PE SV ONCORHYNCHUS MYKISS GN BOS TAURUS TRICHOPHYTON RUBRUM SAGUINUS OEDIPUS RATTUS NORVEGICUS PONGO ABELII MUS MUSCULUS HOMO SAPIENS EQUUS CABALLUS </t>
  </si>
  <si>
    <t>Heat shock cognate 71 kDa protein - Bos taurus - nucleotide binding - protein binding - ATP binding - intracellular - cytoplasm - cytosol - protein folding - post-Golgi vesicle-mediated transport - response to stress - cell surface - cellular membrane organization - ribonucleoprotein complex - melanosome - ATPase activity, coupled - negative regulation of transcription, DNA-dependent - unfolded protein binding - chaperone mediated protein folding requiring cofactor - regulation of cell cycle - clathrin sculpted gamma-aminobutyric acid transport vesicle membrane - extracellular vesicular exosome</t>
  </si>
  <si>
    <t>PTZ00009 1e-005| FAP 0.001| DUF2330 0.004| tatB 0.009| DEC-1_N 0.011| PLN00045 0.011| PRK07764 0.015| PRK14965 0.023| TT_ORF1 0.024| PHA03247 0.024|</t>
  </si>
  <si>
    <t>11182465 NP_068647 1 11139103 AAG31610 AF301594_3 3 240266430 YP_002970766 215789123 ACJ69578 215788969 ACJ69435 240266360 YP_002970612 215789067 ACJ69526 165935047 ABY74769 240266688 YP_002971063 215789053 ACJ69513 226463847 YP_002727941 166897838 ABZ02078 226463990 YP_002791229 166897726 ABZ01974 240266736 YP_002970972 215788997 ACJ69461 215788938 ACJ69406</t>
  </si>
  <si>
    <t xml:space="preserve">CYTOCHROME C OXIDASE SUBUNIT III </t>
  </si>
  <si>
    <t>sp|P00418|COX3_DROYA</t>
  </si>
  <si>
    <t>P00418 COX3_DROYA 3 1 P00417 COX3_DROME P33508 COX3_ANOQU P34842 COX3_ANOGA B0FWD1 COX3_AEDAE P14574 COX3_LOCMI Q9MIY4 COX3_DANRE CO3 Q36860 COX3_SALSA 2 Q9T9Y6 COX3_GORGO Q95914 COX3_POLOR</t>
  </si>
  <si>
    <t xml:space="preserve">CYTOCHROME C OXIDASE SUBUNIT OS DROSOPHILA YAKUBA GN MT COIII PE SV MELANOGASTER ANOPHELES QUADRIMACULATUS GAMBIAE AEDES AEGYPTI LOCUSTA MIGRATORIA DANIO RERIO SALMO SALAR GORILLA POLYPTERUS ORNATIPINNIS </t>
  </si>
  <si>
    <t>mitochondrial Cytochrome c oxidase subunit III - Drosophila melanogaster - mitochondrial respiratory chain complex IV - mitochondrion - cytochrome-c oxidase activity - mitochondrial electron transport, cytochrome c to oxygen - membrane</t>
  </si>
  <si>
    <t>COX3 e-132| COX3 e-112| COX3 e-111| COX3 e-111| COX3 e-107| COX3 e-107| COX3 e-104| COX3 e-103| Cyt_c_Oxidase_III e-102| COX3 e-101|</t>
  </si>
  <si>
    <t>328787562 XP_391936 3 1 307204973 EFN83512 156763634 ABU94676 156763636 ABU94677 156763638 ABU94678 156763640 ABU94679 237636934 ACR07789 340722617 XP_003399700 66535209 XP_623220 340715331 XP_003396169 340715333 XP_003396170 2 112983481 NP_001036884 1729841 P52273 608681 CAA58465 19773420 BAB86849 156548568 XP_001606870 156548149 XP_001607699 156547846 XP_001604160 155573640 ABU24274</t>
  </si>
  <si>
    <t xml:space="preserve">TUBULIN ALPHA CHAIN LIKE ISOFORM TBA_BOMMO FULL SIMILAR TO </t>
  </si>
  <si>
    <t>sp|P52273|TBA_BOMMO</t>
  </si>
  <si>
    <t>Bombyx mori</t>
  </si>
  <si>
    <t>P52273 2 1 P06605 TBA3_DROME 3 ALPHATUB84D P06603 TBA1_DROME ALPHATUB84B P18288 P41383 TBA2_PATVU 4 TUB2 P68373 TBA1C_MOUSE 1C TUBA1C P68365 TBA1C_CRIGR Q3ZCJ7 TBA1C_BOVIN Q68FR8 TBA3_RAT TUBA3A P05214 TBA3_MOUSE</t>
  </si>
  <si>
    <t xml:space="preserve">TBA_BOMMO TUBULIN ALPHA CHAIN OS BOMBYX MORI PE SV DROSOPHILA MELANOGASTER GN TBAT_ONCMY TESTIS SPECIFIC ONCORHYNCHUS MYKISS PATELLA VULGATA MUS MUSCULUS CRICETULUS GRISEUS BOS TAURUS RATTUS NORVEGICUS </t>
  </si>
  <si>
    <t>alpha-Tubulin at 84D - Drosophila melanogaster - GTP binding - microtubule - tubulin complex - structural constituent of cytoskeleton - microtubule-based process - protein polymerization - microtubule-based movement - GTPase activity - structural molecule activity - GTP catabolic process - cellular process - cytokinesis - lipid particle - protein binding</t>
  </si>
  <si>
    <t>PLN00221 4e-085| PTZ00335 3e-084| alpha_tubulin 8e-084| COG5023 2e-052| Tubulin 3e-032| Tubulin_C 4e-032| beta_tubulin 3e-021| PLN00220 6e-021| PTZ00010 2e-019| epsilon_tubulin 7e-017|</t>
  </si>
  <si>
    <t>Cimex lectularius</t>
  </si>
  <si>
    <t>263173239 ACY69887 1 S18E 50344500 CAH04336 307195851 EFN77647 40S S18 307195853 EFN77649 307195858 EFN77654 332020747 EGI61151 307165872 EFN60227 264667373 ACY71272 66548968 XP_625104 340724920 XP_003400826 70909571 CAJ17207 112984000 NP_001037269 49532882 BAD26676 54609321 AAV34876 156542046 XP_001601390 50344504 CAH04338</t>
  </si>
  <si>
    <t xml:space="preserve">RIBOSOMAL LIKE SIMILAR TO </t>
  </si>
  <si>
    <t>sp|Q962R1|RS18_SPOFR</t>
  </si>
  <si>
    <t>Q962R1 RS18_SPOFR 40S S18 RPS18 2 1 P41094 RS18_DROME Q8ISP0 RS18_BRABE Q8IT98 RS18_AEQIR Q8JGS9 RS18_DANRE P62271 RS18_RAT 3 P62272 RS18_PIG P62270 RS18_MOUSE Q90YQ5 RS18_ICTPU P62269 RS18_HUMAN</t>
  </si>
  <si>
    <t xml:space="preserve">RIBOSOMAL OS SPODOPTERA FRUGIPERDA GN PE SV DROSOPHILA MELANOGASTER BRANCHIOSTOMA BELCHERI AEQUIPECTEN IRRADIANS DANIO RERIO RATTUS NORVEGICUS SUS SCROFA MUS MUSCULUS ICTALURUS PUNCTATUS HOMO SAPIENS </t>
  </si>
  <si>
    <t>Ribosomal protein S18 - Drosophila melanogaster - translation - structural constituent of ribosome - cytosolic small ribosomal subunit - translational initiation - ribosome - RNA binding - lipid particle - mitotic spindle organization - mitotic spindle elongation</t>
  </si>
  <si>
    <t>PTZ00134 1e-062| rps13p 7e-041| arch_S13P 1e-036| Ribosomal_S13 3e-031| RpsM 7e-027| rpsM 2e-012| bact_S13 7e-012| rps13 8e-008| COG1293 0.028| TIGR00275 |</t>
  </si>
  <si>
    <t>307095110 ADN29861 1 40S S3A 307095112 ADN29862 269969616 A6YPJ8 RS3A_TRIIF 149689108 ABR27894 74901606 Q5G5C4 RS3A_PERAM 57869784 AAW57773 PARCXPWEX01 91084673 XP_968064 S3AE 270008925 EFA05373 TCASGA2_TC015539 242014939 XP_002428136 212512679 EEB15398 264667441 ACY71306 74910270 Q6EV04 RS3A_BIPLU 50344458 CAH04315 66547340 XP_396741 2 340722992 XP_003399883 70909477 CAJ17219</t>
  </si>
  <si>
    <t xml:space="preserve">RIBOSOMAL FULL SIMILAR TO HYPOTHETICAL LIKE </t>
  </si>
  <si>
    <t>sp|A6YPJ8|RS3A_TRIIF</t>
  </si>
  <si>
    <t>A6YPJ8 RS3A_TRIIF 40S S3A 2 1 Q5G5C4 RS3A_PERAM PARCXPWEX01 Q6EV04 RS3A_BIPLU A5JSW9 RS3A_BOMMA Q95V35 RS3A_SPOFR Q1HRR3 RS3A_AEDAE AAEL005901 Q64FN2 RS3A_BOMMO B0WN96 RS3A_CULQU CPIJ008584 3 Q56FG9 RS3A_LYSTE B6DDU1 RS3A_ANODA</t>
  </si>
  <si>
    <t xml:space="preserve">RIBOSOMAL OS TRIATOMA INFESTANS PE SV PERIPLANETA AMERICANA GN BIPHYLLUS LUNATUS BOMBYX MANDARINA SPODOPTERA FRUGIPERDA AEDES AEGYPTI MORI CULEX QUINQUEFASCIATUS LYSIPHLEBUS TESTACEIPES ANOPHELES DARLINGI </t>
  </si>
  <si>
    <t>Ribosomal protein S3A - Drosophila melanogaster - structural constituent of ribosome - cytosolic small ribosomal subunit - translation - cytosolic ribosome - oogenesis - lipid particle - mitotic spindle elongation - mitotic spindle organization</t>
  </si>
  <si>
    <t>Ribosomal_S3Ae 9e-072| RPS1A 3e-044| PRK04057 2e-030| ATP6 | Bax1-I | Oxidored_q2 | PHA02716 | PTZ00296 | BI-1-like | DUF2074 |</t>
  </si>
  <si>
    <t>307095050 ADN29831 1 307095054 ADN29833 303249457 ZP_07335672 302489134 EFL49112 227893145 ZP_04010950 227865011 EEJ72432 153809098 ZP_01961766 BACCAC_03408 149128431 EDM19650 29349286 NP_812789 253570367 ZP_04847776 44887868 Q8A0Z3 29341194 AAO78983 251840748 EES68830 46123933 XP_386520 FG06344 339906097 YP_004732894 WIV_GP111 308051968 ADO00455 325662047 ZP_08150666 HMPREF0490_01404 325471710 EGC74929 221480839 EEE19263</t>
  </si>
  <si>
    <t xml:space="preserve">HYPOTHETICAL SECRETED SECRETION HLYD FAMILY RECOMBINATION REGULATOR RECX ELONGATION FACTOR TS EFTS_BACTN FULL SHORT EF CONSERVED </t>
  </si>
  <si>
    <t>sp|Q8A0Z3|EFTS_BACTN</t>
  </si>
  <si>
    <t>Bacteroides thetaiotaomicron</t>
  </si>
  <si>
    <t>Q8A0Z3 3 1 A5GAY8 RF4 A5CVH0 B9M6W2 32 Q7UKI3 2 A1AXV8 Q8R7B8 Q9Z4S2 49049 4359 C0LGI2 Y1677_ARATH AT1G67720 Q75D77 PP4R2_ASHGO 4 10895 109 51 9923 1056 PSY4</t>
  </si>
  <si>
    <t xml:space="preserve">EFTS_BACTN ELONGATION FACTOR TS OS BACTEROIDES THETAIOTAOMICRON GN TSF PE SV ARGC_GEOUR N ACETYL GAMMA GLUTAMYL PHOSPHATE REDUCTASE GEOBACTER URANIIREDUCENS STRAIN ARGC ARGC_VESOH VESICOMYOSOCIUS OKUTANII SUBSP CALYPTOGENA HA ARGC_GEOSF FRC SUCC_RHOBA SUCCINYL COA LIGASE SUBUNIT BETA RHODOPIRELLULA BALTICA SUCC ARGC_RUTMC RUTHIA MAGNIFICA ARGC_THETN THERMOANAEROBACTER TENGCONGENSIS ARGC_THENN THERMOTOGA NEAPOLITANA ATCC DSM NS E PROBABLE LRR RECEPTOR LIKE SERINE THREONINE KINASE ARABIDOPSIS THALIANA PHOSPHATASE REGULATORY ASHBYA GOSSYPII CBS FGSC NRRL Y </t>
  </si>
  <si>
    <t>argC | argC | Rib_hydrolase | pylS | PTZ00217 | Semialdhyde_dh | Sigma70_ner | Utp14 | UbiB | Spore_permease |</t>
  </si>
  <si>
    <t>307095050 ADN29831 1 307095054 ADN29833 303249457 ZP_07335672 302489134 EFL49112 302758242 XP_002962544 SELMODRAFT_438240 300169405 EFJ36007 109130293 XP_001094313 B2 333379296 ZP_08471019 HMPREF9456_02614 332885162 EGK05413 198421324 XP_002119584 340939094 EGS19716 CTHT_0041980 242039427 XP_002467108 SORBIDRAFT_01G019710 241920962 EER94106 67525419 XP_660771 AN3167 2 74596873 Q5B8G3 NOP58_EMENI 58 40744562 EAA63738 259485877 CBF83273</t>
  </si>
  <si>
    <t xml:space="preserve">HYPOTHETICAL SECRETED SECRETION HLYD FAMILY MELANOMA ASSOCIATED ANTIGEN LIKE SIMILAR TO PPIG FULL NUCLEOLAR TPE TPA </t>
  </si>
  <si>
    <t>sp|Q5B8G3|NOP58_EMENI</t>
  </si>
  <si>
    <t>Emericella nidulans</t>
  </si>
  <si>
    <t>Q5B8G3 NOP58_EMENI 58 NOP58 3 1 Q8A0Z3 A5GAY8 RF4 Q6FKH7 FKBP3_CANGA FK506 2001 138 3761 0622 65 FPR3 Q4WYK9 NOP58_ASPFU 4609 AF293 101355 A1100 A1CL70 NOP58_ASPCL 1007 513 816 3887 Q587J6 LITD1_MOUSE L1TD1 2 Q6CTS8 BFR2_KLULA BFR2 8585 2359 70799 1267 1140 WM37 A5CVH0 Q15911 ZFHX3_HUMAN ZFHX3</t>
  </si>
  <si>
    <t xml:space="preserve">NUCLEOLAR OS EMERICELLA NIDULANS GN PE SV EFTS_BACTN ELONGATION FACTOR TS BACTEROIDES THETAIOTAOMICRON TSF ARGC_GEOUR N ACETYL GAMMA GLUTAMYL PHOSPHATE REDUCTASE GEOBACTER URANIIREDUCENS STRAIN ARGC BINDING CANDIDA GLABRATA ATCC CBS JCM NBRC NRRL Y NEOSARTORYA FUMIGATA MYA FGSC ASPERGILLUS CLAVATUS DSM NCTC LINE TYPE TRANSPOSASE DOMAIN CONTAINING MUS MUSCULUS KLUYVEROMYCES LACTIS ARGC_VESOH VESICOMYOSOCIUS OKUTANII SUBSP CALYPTOGENA HA ZINC FINGER HOMEOBOX HOMO SAPIENS </t>
  </si>
  <si>
    <t>Utp14 0.055| PTZ00217 0.069| TFIIF_alpha 0.083| argC | 3a0801s03tim44 | argC | PHA03089 | GT_GPT_archaea | PLN03142 | Rib_hydrolase |</t>
  </si>
  <si>
    <t>149689024 ABR27827 1 40S S15 S22 91090057 XP_968917 S15AE 270013522 EFA09970 TCASGA2_TC012128 242003930 XP_002422912 S15A 212505805 EEB10174 264667377 ACY71274 156544938 XP_001607263 110755382 XP_623524 2 S15AA 3 328788587 XP_003251150 328788589 XP_003251151 340712343 XP_003394721 70909563 CAJ17203 62083449 AAX62449 50344492 CAH04332 322790861 EFZ15546 SINV_12532</t>
  </si>
  <si>
    <t xml:space="preserve">RIBOSOMAL SIMILAR TO HYPOTHETICAL LIKE ISOFORM </t>
  </si>
  <si>
    <t>sp|Q6XIM8|RS15A_DROYA</t>
  </si>
  <si>
    <t>Q6XIM8 RS15A_DROYA 40S S15A RPS15AA 2 3 P48149 RS15A_DROME S15AA Q7KR04 RS15B_DROME S15AB RPS15AB P33095 RS15A_STRPU RPS15A P62246 RS15A_RAT 1 P62245 RS15A_MOUSE P62244 RS15A_HUMAN Q76I82 RS15A_BOVIN Q5R938 RS15A_PONAB P50891 RS15A_PARLI</t>
  </si>
  <si>
    <t xml:space="preserve">RIBOSOMAL OS DROSOPHILA YAKUBA GN PE SV MELANOGASTER STRONGYLOCENTROTUS PURPURATUS RATTUS NORVEGICUS MUS MUSCULUS HOMO SAPIENS BOS TAURUS PONGO ABELII PARACENTROTUS LIVIDUS </t>
  </si>
  <si>
    <t>Ribosomal protein S15Aa - Drosophila melanogaster - structural constituent of ribosome - translation - cytosolic small ribosomal subunit - ribosome - lipid particle - mitotic spindle organization - mitotic spindle elongation</t>
  </si>
  <si>
    <t>PTZ00158 4e-072| PLN00146 2e-066| rps8p 1e-044| RpsH 6e-033| Ribosomal_S8 1e-031| rpsH 1e-011| rps8 8e-009| ARS2 0.082| PLN02972 | urea_trans_UrtC |</t>
  </si>
  <si>
    <t>Nasonia vitripennis</t>
  </si>
  <si>
    <t>156548613 XP_001608082 1 40S 122066029 Q0PXX8 110671460 ABG81981 332024006 EGI64224 162952033 NP_001106143 74904851 Q5UAP4 54609281 AAV34856 66524293 XP_393965 2 315115409 ADT80677 307179455 EFN67779 17298117 BAB78527 P40 328703350 XP_001945147 340724884 XP_003400808</t>
  </si>
  <si>
    <t xml:space="preserve">SIMILAR TO RIBOSOMAL SA RSSA_DIACI FULL RSSA_BOMMO RIBOSOME ASSOCIATED LIKE </t>
  </si>
  <si>
    <t>sp|Q0PXX8|RSSA_DIACI</t>
  </si>
  <si>
    <t>Diaphorina citri</t>
  </si>
  <si>
    <t>Q0PXX8 40S 2 1 Q5UAP4 A2I3Z2 P46771 B4PY37 Q0H6L0 3 Q0H6L1 B4I9F6 P38979 B3MRX2</t>
  </si>
  <si>
    <t xml:space="preserve">RSSA_DIACI RIBOSOMAL SA OS DIAPHORINA CITRI PE SV RSSA_BOMMO BOMBYX MORI RSSA_MACHI MACONELLICOCCUS HIRSUTUS RSSA_STRPU FRAGMENT STRONGYLOCENTROTUS PURPURATUS RSSA_DROYA DROSOPHILA YAKUBA GN STA RSSA_DROTE TEISSIERI RSSA_DROSI SIMULANS RSSA_DROSE SECHELLIA RSSA_DROME MELANOGASTER RSSA_DROAN ANANASSAE </t>
  </si>
  <si>
    <t>stubarista - Drosophila melanogaster - structural constituent of ribosome - cytosolic small ribosomal subunit - translation - ribosome - lipid particle - mitotic spindle organization - mitotic spindle elongation - microtubule associated complex</t>
  </si>
  <si>
    <t>PTZ00254 4e-053| Sa_S2_E_A 2e-037| RPS2 3e-026| Ribosomal_S2 1e-025| rps2P 8e-025| RpsB 3e-022| rpsB 5e-009| rpsB_bact 1e-008| rps2 0.013| PRK08506 0.060|</t>
  </si>
  <si>
    <t>195469567 XP_002099709 1 GE16569 194187233 EDX00817 194912048 XP_001982426 GG12744 190648102 EDV45395 195347454 XP_002040268 GM19023 194121696 EDW43739 17137152 NP_477134 L22 2507316 P50887 2 RL22_DROME 60S 1633049 AAB17433 RPL22 6249321 CAB60023 BACR19J1 4 7290080 AAF45546 21430286 AAM50821 LD40873P 108383520 ABF85737 IP11377P 220950128 ACL87607 195130275 XP_002009578 GI15434 193908028 EDW06895 194768859 XP_001966529 GF22220 190617293 EDV32817 4378008 AAD19341 195402039 XP_002059618 GJ14723 194147325 EDW63040 195448260 XP_002071580 GK10059 194167665 EDW82566 195163299 XP_002022489 GL13062 194104481 EDW26524</t>
  </si>
  <si>
    <t xml:space="preserve">RIBOSOMAL FULL EG PA </t>
  </si>
  <si>
    <t>sp|P50887|RL22_DROME</t>
  </si>
  <si>
    <t>P50887 RL22_DROME 60S L22 RPL22 1 2 P35268 RL22_HUMAN P67985 RL22_PIG P67984 RL22_MOUSE Q4R5I3 RL22_MACFA 3 Q90YU6 RL22_ICTPU P47198 RL22_RAT Q98TF8 RL22_CHICK P13732 RL22_TRIGR Q28IL6 RL22_XENTR</t>
  </si>
  <si>
    <t xml:space="preserve">RIBOSOMAL OS DROSOPHILA MELANOGASTER GN PE SV HOMO SAPIENS SUS SCROFA MUS MUSCULUS MACACA FASCICULARIS ICTALURUS PUNCTATUS RATTUS NORVEGICUS GALLUS TRIPNEUSTES GRATILLA XENOPUS TROPICALIS </t>
  </si>
  <si>
    <t>Ribosomal protein L22 - Drosophila melanogaster - structural constituent of ribosome - translation - cytosolic large ribosomal subunit - ribosome - lipid particle - mitotic spindle elongation - mitotic spindle organization</t>
  </si>
  <si>
    <t>Ribosomal_L22e 4e-061| PTZ00198 6e-047| PRK12323 2e-013| PRK13808 1e-012| PTZ00436 9e-012| PRK07003 8e-011| PRK07764 1e-010| HC2 6e-010| PRK10905 1e-009| PHA03247 6e-009|</t>
  </si>
  <si>
    <t>Sphaerius sp. APV-2005</t>
  </si>
  <si>
    <t>70909769 CAJ17310 1 L22E 195130275 XP_002009578 GI15434 193908028 EDW06895 156553855 XP_001600269 194912048 XP_001982426 GG12744 190648102 EDV45395 322800743 EFZ21647 SINV_13352 195469567 XP_002099709 GE16569 194187233 EDX00817 307194306 EFN76672 60S L22 307210392 EFN86963 195347454 XP_002040268 GM19023 194121696 EDW43739 17137152 NP_477134 2507316 P50887 2 RL22_DROME 1633049 AAB17433 RPL22 6249321 CAB60023 BACR19J1 4 7290080 AAF45546 21430286 AAM50821 LD40873P 108383520 ABF85737 IP11377P 220950128 ACL87607 194768859 XP_001966529 GF22220 190617293 EDV32817</t>
  </si>
  <si>
    <t xml:space="preserve">RIBOSOMAL SIMILAR TO HYPOTHETICAL FULL EG PA </t>
  </si>
  <si>
    <t>P50887 RL22_DROME 60S L22 RPL22 1 2 P67985 RL22_PIG P67984 RL22_MOUSE Q4R5I3 RL22_MACFA 3 Q90YU6 RL22_ICTPU P35268 RL22_HUMAN Q98TF8 RL22_CHICK P13732 RL22_TRIGR P47198 RL22_RAT Q28IL6 RL22_XENTR</t>
  </si>
  <si>
    <t xml:space="preserve">RIBOSOMAL OS DROSOPHILA MELANOGASTER GN PE SV SUS SCROFA MUS MUSCULUS MACACA FASCICULARIS ICTALURUS PUNCTATUS HOMO SAPIENS GALLUS TRIPNEUSTES GRATILLA RATTUS NORVEGICUS XENOPUS TROPICALIS </t>
  </si>
  <si>
    <t>Ribosomal_L22e 3e-048| PTZ00198 8e-038| PRK11855 0.006| PLN02983 0.021| PRK07764 0.021| kgd 0.026| PRK01973 0.028| PRK05704 0.030| aceF 0.033| TrbL_P 0.040|</t>
  </si>
  <si>
    <t>Chryseobacterium gleum ATCC 35910</t>
  </si>
  <si>
    <t>300776248 ZP_07086106 1 300501758 EFK32898 221457964 NP_650924 2 93A 220903154 AAF55817 195569331 XP_002102664 GD20027 194198591 EDX12167 195353863 XP_002043422 GM23153 194127563 EDW49606 25009918 AAN71127 AT31673P 28572148 NP_650923 3 17861392 AAL39173 GH01149P 28381385 AAF55816 220945280 ACL85183 CG42315 220955024 ACL90055 24648555 NP_732567 23171822 AAN13839 194899648 XP_001979371 GG15081 190651074 EDV48329 68061024 XP_672506 56489627 CAH99804 PB000528 03 0 313206897 YP_004046074 312446213 ADQ82568 315023973 EFT36975 325335666 ADZ11940</t>
  </si>
  <si>
    <t xml:space="preserve">APOLIPOPROTEIN N ACYLTRANSFERASE IONOTROPIC RECEPTOR ISOFORM A C PC B HYPOTHETICAL </t>
  </si>
  <si>
    <t>sp|Q8IBP1|YPF16_PLAF7</t>
  </si>
  <si>
    <t>Plasmodium falciparum (isolate 3D7)</t>
  </si>
  <si>
    <t>Q8IBP1 YPF16_PLAF7 PF07_0086 3D7 4 1 B7Q1Q9 T2AG_IXOSC 2 ISCW_ISCW010050 3 P48906 NU2M_PICCA ND2 Q3SZY9 MED6_BOVIN 6 MED6 Q5RD94 MED6_PONAB Q921D4 MED6_MOUSE O75586 MED6_HUMAN</t>
  </si>
  <si>
    <t xml:space="preserve">UNCHARACTERIZED OS PLASMODIUM FALCIPARUM ISOLATE GN PE SV TRANSCRIPTION INITIATION FACTOR IIA SUBUNIT IXODES SCAPULARIS NADH UBIQUINONE OXIDOREDUCTASE CHAIN PICHIA CANADENSIS MEDIATOR RNA POLYMERASE II BOS TAURUS PONGO ABELII MUS MUSCULUS HOMO SAPIENS </t>
  </si>
  <si>
    <t>SunT | NDH_I_N | PTZ00228 | 7TM_GPCR_Srz | ND2 | UDP_invert_4-6DH_SDR_e | Staph_reg_Sar | 2A0302 | COG5542 | PHA03013 |</t>
  </si>
  <si>
    <t>Bombus terrestris</t>
  </si>
  <si>
    <t>340719892 XP_003398378 1 60S P0 340719894 XP_003398379 2 321463232 EFX74249 DAPPUDRAFT_307348 307199404 EFN80029 322797915 EFZ19789 SINV_09784 157674443 ABV60317 221122411 XP_002166296 221112468 XP_002154455 156543342 XP_001607606 255710101 ACU30870 307167494 EFN61067</t>
  </si>
  <si>
    <t xml:space="preserve">ACIDIC RIBOSOMAL LIKE ISOFORM HYPOTHETICAL SIMILAR TO </t>
  </si>
  <si>
    <t>sp|P41095|RLA0_ORYSJ</t>
  </si>
  <si>
    <t>Oryza sativa subsp. japonica</t>
  </si>
  <si>
    <t>P41095 RLA0_ORYSJ 60S P0 OS08G0130500 1 3 P19945 RLA0_RAT RPLP0 2 Q8NHW5 RLA0L_HUMAN RPLP0P6 5 P14869 RLA0_MOUSE O24573 RLA0_MAIZE P05388 RLA0_HUMAN Q93572 RLA0_CAEEL 0 P50346 RLA0_SOYBN P19889 RLA0_DROME P47826 RLA0_CHICK</t>
  </si>
  <si>
    <t xml:space="preserve">ACIDIC RIBOSOMAL OS ORYZA SATIVA SUBSP JAPONICA GN PE SV RATTUS NORVEGICUS LIKE HOMO SAPIENS MUS MUSCULUS ZEA MAYS RP CAENORHABDITIS ELEGANS RPA GLYCINE MAX DROSOPHILA MELANOGASTER GALLUS </t>
  </si>
  <si>
    <t>ribosomal protein, large, P0 - Rattus norvegicus - structural constituent of ribosome - intracellular - nucleus - cytoplasm - ribosome - translational elongation - ribonucleoprotein complex - ribosome biogenesis</t>
  </si>
  <si>
    <t>Ribosomal_60s 6e-006| Ribosomal_P2 2e-005| Ribosomal_P1 3e-005| PLN00138 3e-004| PTZ00135 5e-004| PTZ00373 6e-004| RPP1A 0.007| Ribosomal_P1_P2_L12p 0.009| L21P_arch 0.013| rpl12p |</t>
  </si>
  <si>
    <t>sp|Q8CFY5|COX10_MOUSE</t>
  </si>
  <si>
    <t>Q8CFY5 COX10_MOUSE COX10 2 1 Q5R460 COX10_PONAB Q12887 COX10_HUMAN 3</t>
  </si>
  <si>
    <t xml:space="preserve">PROTOHEME IX FARNESYLTRANSFERASE MITOCHONDRIAL OS MUS MUSCULUS GN PE SV PONGO ABELII HOMO SAPIENS </t>
  </si>
  <si>
    <t>pk1 | ND5 | UNC-93 | PRK09573 |</t>
  </si>
  <si>
    <t>242011669 XP_002426570 1 60S L15 212510707 EEB13832 66506623 XP_396588 2 340712701 XP_003394894 340712703 XP_003394895 332030942 EGI70568 323320804 ADX36424 322788733 EFZ14326 SINV_15101 307197248 EFN78553 307175945 EFN65755 310769827 ADP21471 315115481 ADT80713</t>
  </si>
  <si>
    <t xml:space="preserve">RIBOSOMAL LIKE ISOFORM HYPOTHETICAL </t>
  </si>
  <si>
    <t>sp|P30736|RL15_CHITE</t>
  </si>
  <si>
    <t>Chironomus tentans</t>
  </si>
  <si>
    <t>P30736 RL15_CHITE 60S L15 RPL15 3 P52818 RL15_ANOGA 2 Q7T3M9 RL15_SINKN Q7T3P1 RL15_ANGJA O17445 RL15_DROME 1 Q7T2N4 RL15_SILME P61369 RL15_SILAS P61314 RL15_RAT Q5NVE0 RL15_PONAB P79324 RL15_PIG</t>
  </si>
  <si>
    <t xml:space="preserve">RIBOSOMAL OS CHIRONOMUS TENTANS GN PE SV ANOPHELES GAMBIAE SINIPERCA KNERI ANGUILLA JAPONICA DROSOPHILA MELANOGASTER SILURUS MERIDIONALIS ASOTUS RATTUS NORVEGICUS PONGO ABELII FRAGMENT SUS SCROFA </t>
  </si>
  <si>
    <t>zgc:153668 - Danio rerio - structural constituent of ribosome - intracellular - ribosome - translation - ribonucleoprotein complex</t>
  </si>
  <si>
    <t>PTZ00026 1e-048| Ribosomal_L15e 2e-047| RPL15A 4e-032| PRK04243 1e-027| DUF2456 | PRK11056 | Ribosomal_L19e_E | CHGN | OATP | MAM |</t>
  </si>
  <si>
    <t>Sipunculus nudus</t>
  </si>
  <si>
    <t>159145660 ABW90367 1 L35A 326508326 BAJ99430 112984156 NP_001037243 54609263 AAV34847 91094995 XP_969089 L35AE 270015389 EFA11837 TCASGA2_TC002098 315115417 ADT80681 166952321 ABZ04243 RPL35A 340719155 XP_003398022 60S 149392633 ABR26119 L33 149391943 ABR25872 66515955 XP_623272 2</t>
  </si>
  <si>
    <t xml:space="preserve">RIBOSOMAL SIMILAR TO HYPOTHETICAL LIKE B ISOFORM </t>
  </si>
  <si>
    <t>sp|P49180|RL35A_CAEEL</t>
  </si>
  <si>
    <t>Caenorhabditis elegans</t>
  </si>
  <si>
    <t>P49180 RL35A_CAEEL 60S L35A 33 1 3 Q90YT3 RL35A_ICTPU RPL35A Q9C912 R35A3_ARATH RPL35AC 2 Q9LMK0 R35A1_ARATH RPL35AA P51422 R35A4_ARATH 4 RPL35AD Q9FZH0 R35A2_ARATH RPL35AB P02434 RL35A_XENLA P04646 RL35A_RAT Q5R8K6 RL35A_PONAB O55142 RL35A_MOUSE</t>
  </si>
  <si>
    <t xml:space="preserve">RIBOSOMAL OS CAENORHABDITIS ELEGANS GN RPL PE SV ICTALURUS PUNCTATUS ARABIDOPSIS THALIANA XENOPUS LAEVIS RATTUS NORVEGICUS PONGO ABELII MUS MUSCULUS </t>
  </si>
  <si>
    <t>Caenorhabditis elegans - structural constituent of ribosome - intracellular - ribosome - translation - positive regulation of growth rate - embryo development ending in birth or egg hatching - positive regulation of locomotion - reproduction - growth - nematode larval development</t>
  </si>
  <si>
    <t>PTZ00041 7e-017| Ribosomal_L35Ae 4e-016| COG2451 1e-010| PRK04337 4e-007| PLN02678 0.091| menH_SHCHC | STE3 | KR_2_FAS_SDR_x | PRK00106 | Glyco_hydro_32N |</t>
  </si>
  <si>
    <t>242012371 XP_002426906 1 40S S14 212511135 EEB14168 335057540 NP_001229398 340713053 XP_003395066 340713055 XP_003395067 2 340713057 XP_003395068 3 340713059 XP_003395069 4 307167768 EFN61230 307182077 EFN69455 307208877 EFN86092 322778874 EFZ09290 SINV_11943 332020511 EGI60926 289741361 ADD19428 S14B 195554484 XP_002076899 GD24764 194202917 EDX16493 195438894 XP_002067367 GK16381 195438896 XP_002067368 GK16382 194163452 EDW78353 194163453 EDW78354 195396959 XP_002057096 GJ16536 194146863 EDW62582 195169445 XP_002025532 GL15135 198470570 XP_002133506 GA22775 194109011 EDW31054 198145514 EDY72134 194897099 XP_001978590 GG19671 190650239 EDV47517 156554296 XP_001602465 S14E 152940797 ABS44863 4588920 AAD26263 224924382 ACN69141</t>
  </si>
  <si>
    <t xml:space="preserve">RIBOSOMAL LIKE ISOFORM HYPOTHETICAL SIMILAR TO </t>
  </si>
  <si>
    <t>sp|P14130|RS14_DROME</t>
  </si>
  <si>
    <t>P14130 RS14_DROME 40S S14 RPS14A 1 Q6XI08 RS14A_DROYA S14A 2 Q5UAM9 RS14_BOMMO RPS14 Q1HR24 RS14_AEDAE Q7QBX2 RS14B_ANOGA S14B RPS14B 3 Q7QEH1 RS14A_ANOGA P46295 RS14_CHLRE P13471 RS14_RAT P62264 RS14_MOUSE P62263 RS14_HUMAN</t>
  </si>
  <si>
    <t xml:space="preserve">RIBOSOMAL OS DROSOPHILA MELANOGASTER GN PE SV YAKUBA BOMBYX MORI AEDES AEGYPTI ANOPHELES GAMBIAE CHLAMYDOMONAS REINHARDTII RATTUS NORVEGICUS MUS MUSCULUS HOMO SAPIENS </t>
  </si>
  <si>
    <t>40S ribosomal protein S14a - Drosophila yakuba - molecular_function - cellular_component - biological_process</t>
  </si>
  <si>
    <t>PTZ00129 1e-057| rps11p 3e-050| arch_S11P 5e-040| Ribosomal_S11 6e-029| RpsK 1e-027| PRK05309 2e-013| bact_S11 2e-012| rps11 4e-009| PTZ00090 | Chorismate_synt |</t>
  </si>
  <si>
    <t>263173438 ACY69942 1 263173434 ACY69941 161898814 ABX80390 14 3 237636932 ACR07788 157114501 XP_001652301 170045471 XP_001850331 122127515 Q1HR36 1433Z_AEDAE 94468884 ABF18291 108877244 EAT41469 167868505 EDS31888 282895616 ADB03180 289739717 ADD18606 206557933 Q2F637 2 1433Z_BOMMO 124365237 ABN09647 3ZETA 189086226 BAG38533 57971398 XP_564587 AGAP007643 158285285 XP_001687871 55245261 EAL41737 157019918 EDO64520 224924155 ACN69053 255710241 ACU30940</t>
  </si>
  <si>
    <t xml:space="preserve">MULTIFUNCTIONAL CHAPERONE ZETA SIGMA GAMMA BETA ALPHA FULL FAMILY PB PA </t>
  </si>
  <si>
    <t>sp|Q1HR36|1433Z_AEDAE</t>
  </si>
  <si>
    <t>Aedes aegypti</t>
  </si>
  <si>
    <t>Q1HR36 1433Z_AEDAE 14 3 3ZETA 2 1 Q2F637 1433Z_BOMMO P29310 1433Z_DROME Q5R651 1433Z_PONAB P63104 1433Z_HUMAN P63103 1433Z_BOVIN Q5ZKC9 1433Z_CHICK P63102 1433Z_RAT P63101 1433Z_MOUSE P29361 1433Z_SHEEP</t>
  </si>
  <si>
    <t xml:space="preserve">ZETA OS AEDES AEGYPTI GN PE SV BOMBYX MORI DROSOPHILA MELANOGASTER DELTA PONGO ABELII YWHAZ HOMO SAPIENS BOS TAURUS GALLUS RATTUS NORVEGICUS MUS MUSCULUS OVIS ARIES </t>
  </si>
  <si>
    <t>14-3-3zeta - Drosophila melanogaster - Ras protein signal transduction - activation of tryptophan 5-monooxygenase activity - protein kinase C inhibitor activity - tryptophan hydroxylase activator activity - protein binding - compound eye photoreceptor cell differentiation - cell proliferation - olfactory learning - chromosome segregation - mitotic cell cycle, embryonic - nucleus - learning or memory - oocyte microtubule cytoskeleton polarization - germline ring canal - germarium-derived oocyte fate determination - protein domain specific binding - protein stabilization - protein folding - microtubule associated complex - protein homodimerization activity - protein heterodimerization activity</t>
  </si>
  <si>
    <t>14-3-3 e-119| 14_3_3 6e-093| BMH1 1e-089| PRK06407 | NurA | cysJ | COG3947 | DENN | DHQS | Terminase_3 |</t>
  </si>
  <si>
    <t>114319093 ABI63548 1 307215409 EFN90078 340712505 XP_003394799 307189949 EFN74185 48104663 XP_392962 156548258 XP_001600152 91089633 XP_973579 270012613 EFA09061 TCASGA2_TC006776 115345341 NP_001041703 87248581 ABD36343 334855067 AEH16566 322799004 EFZ20464 SINV_09390 237770133 ACR19030</t>
  </si>
  <si>
    <t xml:space="preserve">RECEPTOR FOR ACTIVATED KINASE C LIKE GUANINE NUCLEOTIDE BINDING SUBUNIT BETA ISOFORM SIMILAR TO HYPOTHETICAL RACK </t>
  </si>
  <si>
    <t>sp|O18640|GBLP_DROME</t>
  </si>
  <si>
    <t>O18640 RACK1 2 P63245 1 GNB2L1 3 P63246 P68040 Q4R7Y4 P63244 P63247 P63243 O42249 O42248</t>
  </si>
  <si>
    <t xml:space="preserve">GBLP_DROME GUANINE NUCLEOTIDE BINDING SUBUNIT BETA LIKE OS DROSOPHILA MELANOGASTER GN PE SV GBLP_RAT RATTUS NORVEGICUS GBLP_PIG SUS SCROFA GBLP_MOUSE MUS MUSCULUS GBLP_MACFA MACACA FASCICULARIS GBLP_HUMAN HOMO SAPIENS GBLP_CHICK GALLUS GBLP_BOVIN BOS TAURUS GBLP_ORENI OREOCHROMIS NILOTICUS GBLP_DANRE DANIO RERIO </t>
  </si>
  <si>
    <t>Receptor of activated protein kinase C 1 - Drosophila melanogaster - protein kinase C binding - oogenesis - wing disc development - cuticle development - cytoplasm - locomotory behavior - oviposition - microtubule associated complex - precatalytic spliceosome - nuclear mRNA splicing, via spliceosome - catalytic step 2 spliceosome</t>
  </si>
  <si>
    <t>WD40 2e-074| COG2319 1e-034| WD40 6e-008| WD40 3e-007| PTZ00421 3e-006| PLN00181 4e-006| VESA1_N 0.003| PTZ00420 0.006| eIF2A | PRK13616 |</t>
  </si>
  <si>
    <t>149898923 ABR27976 1 L11 119369833 ABL67933 263173461 ACY69947 60S 121543815 ABM55572 340710106 XP_003393637 110768336 XP_001121930 332030137 EGI69931 307186122 EFN71847 322787060 EFZ13284 SINV_13287 307205689 EFN83951 307205690 EFN83952</t>
  </si>
  <si>
    <t xml:space="preserve">RIBOSOMAL LIKE HYPOTHETICAL </t>
  </si>
  <si>
    <t>sp|P46222|RL11_DROME</t>
  </si>
  <si>
    <t>P46222 RL11_DROME 60S L11 RPL11 1 2 P62914 RL11_RAT Q9CXW4 RL11_MOUSE 4 P62913 RL11_HUMAN Q6QMZ8 RL11_CHILA 3 Q3T087 RL11_BOVIN Q5RC11 RL11_PONAB Q90YV7 RL11_ICTPU Q29205 RL11_PIG Q94300 RL11_CAEEL 11</t>
  </si>
  <si>
    <t xml:space="preserve">RIBOSOMAL OS DROSOPHILA MELANOGASTER GN PE SV RATTUS NORVEGICUS MUS MUSCULUS HOMO SAPIENS CHINCHILLA LANIGERA BOS TAURUS PONGO ABELII ICTALURUS PUNCTATUS SUS SCROFA CAENORHABDITIS ELEGANS RPL </t>
  </si>
  <si>
    <t>Ribosomal protein L11 - Drosophila melanogaster - structural constituent of ribosome - cytosolic large ribosomal subunit - translation - ribosome - protein binding - lipid particle - mitotic spindle elongation - mitotic spindle organization</t>
  </si>
  <si>
    <t>PTZ00156 1e-077| rpl5p 5e-045| RplE 2e-029| Ribosomal_L5_C 4e-025| rplE 2e-006| rpl5 9e-006| Ribosomal_L5 0.033| PHA02991 | Bax | hyfE |</t>
  </si>
  <si>
    <t>Triatoma rubida</t>
  </si>
  <si>
    <t>291621797 CAQ37668 1 291621817 CAQ37678 291621799 CAQ37669 291621807 CAQ37673 291621809 CAQ37674 291621783 CAQ37661 11182473 NP_068655 11139111 AAG31618 AF301594_11 291621779 CAQ37659 291621801 CAQ37670 291621781 CAQ37660 291621821 CAQ37680</t>
  </si>
  <si>
    <t xml:space="preserve">NADH DEHYDROGENASE SUBUNIT I </t>
  </si>
  <si>
    <t>sp|B0FWD8|NU1M_AEDAE</t>
  </si>
  <si>
    <t>B0FWD8 NU1M_AEDAE 1 ND1 3 P33502 NU1M_ANOQU P07710 NU1M_DROYA P51937 NU1M_DROSU P34846 NU1M_ANOGA P18929 NU1M_DROME 2 P09045 NU1M_LOCMI O63623 NU1M_DALCH P26845 NU1M_MARPO P23650 NU1M_ASTPE</t>
  </si>
  <si>
    <t xml:space="preserve">NADH UBIQUINONE OXIDOREDUCTASE CHAIN OS AEDES AEGYPTI GN MT PE SV ANOPHELES QUADRIMACULATUS DROSOPHILA YAKUBA SUBOBSCURA GAMBIAE MELANOGASTER LOCUSTA MIGRATORIA DALBULUS CHARLESI MARCHANTIA POLYMORPHA ASTERINA PECTINIFERA </t>
  </si>
  <si>
    <t>mitochondrial NADH-ubiquinone oxidoreductase chain 1 - Drosophila melanogaster - NADH dehydrogenase (ubiquinone) activity - mitochondrial respiratory chain complex I - mitochondrion - membrane - oxidation-reduction process</t>
  </si>
  <si>
    <t>ND1 2e-042| NADHdh 2e-033| ND1 1e-032| ND1 9e-030| ND1 3e-028| ND1 2e-026| ND1 3e-026| ND1 8e-023| ND1 4e-022| ND1 5e-021|</t>
  </si>
  <si>
    <t>149689146 ABR27925 1 60S L26 91093619 XP_972048 L26E 270015756 EFA12204 TCASGA2_TC005120 62083429 AAX62439 242010273 XP_002425893 212509869 EEB13155 110671412 ABG81957 70909799 CAJ17386 70909791 CAJ17321 70909801 CAJ17387 70909793 CAJ17322 70909797 CAJ17385</t>
  </si>
  <si>
    <t xml:space="preserve">RIBOSOMAL SIMILAR TO HYPOTHETICAL </t>
  </si>
  <si>
    <t>sp|P61255|RL26_MOUSE</t>
  </si>
  <si>
    <t>P61255 RL26_MOUSE 60S L26 RPL26 2 1 P61256 RL26_MACFA Q95WA0 RL26_LITLI P61254 RL26_HUMAN P61257 RL26_BOVIN Q9UNX3 RL26L_HUMAN RPL26L1 P12749 RL26_RAT Q2I0I6 RL26_AILME P47832 RL26_CHICK P51414 RL261_ARATH RPL26A</t>
  </si>
  <si>
    <t xml:space="preserve">RIBOSOMAL OS MUS MUSCULUS GN PE SV MACACA FASCICULARIS LITTORINA LITTOREA HOMO SAPIENS BOS TAURUS LIKE RATTUS NORVEGICUS AILUROPODA MELANOLEUCA FRAGMENT GALLUS ARABIDOPSIS THALIANA </t>
  </si>
  <si>
    <t>Ribosomal protein L26 - Drosophila melanogaster - cytosolic large ribosomal subunit - structural constituent of ribosome - translation - mitotic spindle elongation - mitotic spindle organization</t>
  </si>
  <si>
    <t>PTZ00194 3e-061| rplX_A_E 3e-045| rpl24p 2e-035| RplX 3e-010| KOW 3e-005| rplX 6e-005| rplX_bact 3e-004| Oxidored_q5_N 0.002| rpl24 0.003| KOW 0.005|</t>
  </si>
  <si>
    <t>307095104 ADN29858 1 L23A 70909771 CAJ17311 L23AE 315115345 ADT80645 193690532 XP_001942614 LOC100166785 270014014 EFA10462 TCASGA2_TC012708 91090868 XP_967229 268306478 ACY95360 242014788 XP_002428067 212512586 EEB15329 112984266 NP_001037229 54609239 AAV34835 183979309 BAG30757</t>
  </si>
  <si>
    <t xml:space="preserve">RIBOSOMAL HYPOTHETICAL SIMILAR TO ISOFORM NUCLEOLIN </t>
  </si>
  <si>
    <t>sp|P62752|RL23A_RAT</t>
  </si>
  <si>
    <t>P62752 RL23A_RAT 60S L23A RPL23A 2 1 P62751 RL23A_MOUSE P62750 RL23A_HUMAN Q24JY1 RL23A_BOVIN O22644 RL23A_FRIAG Q07761 RL23A_TOBAC Q9AT35 RL23A_DAUCA Q9M3C3 R23A2_ARATH RPL23AB Q8LD46 R23A1_ARATH RPL23AA P51997 RL25_PUCGR L25</t>
  </si>
  <si>
    <t xml:space="preserve">RIBOSOMAL OS RATTUS NORVEGICUS GN PE SV MUS MUSCULUS HOMO SAPIENS BOS TAURUS FRITILLARIA AGRESTIS NICOTIANA TABACUM DAUCUS CAROTA ARABIDOPSIS THALIANA PUCCINIA GRAMINIS </t>
  </si>
  <si>
    <t>similar to 60S ribosomal protein L23a - Rattus norvegicus - nucleotide binding - RNA binding - structural constituent of ribosome - intracellular - ribosome - translation</t>
  </si>
  <si>
    <t>PTZ00191 4e-057| PRK14548 1e-030| L23_arch 5e-027| RplW 6e-022| rplW 2e-017| Ribosomal_L23 1e-016| Ribosomal_L23eN 6e-015| rplW 2e-011| rpl23 3e-008| PTPA |</t>
  </si>
  <si>
    <t>111379895 ABH09427 1 L28 70909829 CAJ17401 L28E 91078314 XP_972745 270003956 EFA00404 TCASGA2_TC003255 70909833 CAJ17403 264667459 ACY71315 121543829 ABM55579 156536870 XP_001604901 340728565 XP_003402591 60S 340728567 XP_003402592 2 340728569 XP_003402593 3 66552169 XP_625152 242020790 XP_002430834 212516037 EEB18096</t>
  </si>
  <si>
    <t>sp|Q962T2|RL28_SPOFR</t>
  </si>
  <si>
    <t>Q962T2 RL28_SPOFR 60S L28 RPL28 2 1 Q9VZS5 RL28_DROME Q3T0L7 RL28_BOVIN 3 P41105 RL28_MOUSE P46779 RL28_HUMAN P17702 RL28_RAT 4 Q21930 RL28_CAEEL 28 O82204 RL281_ARATH RPL28A Q9M0E2 RL282_ARATH RPL28C O14069 RL28E_SCHPO L28E 38366 972 RPL28E</t>
  </si>
  <si>
    <t xml:space="preserve">RIBOSOMAL OS SPODOPTERA FRUGIPERDA GN PE SV DROSOPHILA MELANOGASTER BOS TAURUS MUS MUSCULUS HOMO SAPIENS RATTUS NORVEGICUS CAENORHABDITIS ELEGANS RPL ARABIDOPSIS THALIANA PROBABLE SCHIZOSACCHAROMYCES POMBE STRAIN ATCC </t>
  </si>
  <si>
    <t>Ribosomal protein L28 - Drosophila melanogaster - translation - cytosolic large ribosomal subunit - structural constituent of ribosome - mitotic spindle organization - mitotic spindle elongation</t>
  </si>
  <si>
    <t>Ribosomal_L28e 2e-029| PTZ00197 1e-005| PBP1_mGluR_groupI 0.017| phenyl_ABC_PedC 0.040| Autoind_synth | PLN03144 | H2A | PRK13768 | DnaG_DnaB_bind | Pik1 |</t>
  </si>
  <si>
    <t>322779031 EFZ09430 1 SINV_04851 307179403 EFN67733 EAG_04689 328789083 XP_003251227 LOC100576974 340717033 XP_003396994 LOC100647340 242017785 XP_002429367 212514276 EEB16629 91084467 XP_970521 270008865 EFA05313 TCASGA2_TC015471 195399207 XP_002058212 GJ15617 194150636 EDW66320 307199191 EFN79878 EAI_14930 157129947 XP_001661830 AAEL_AAEL011665 94469238 ABF18468 108872021 EAT36246 94469236 ABF18467</t>
  </si>
  <si>
    <t xml:space="preserve">HYPOTHETICAL CONSERVED SIMILAR TO TRANSCRIPTION FACTOR POSSIBLE </t>
  </si>
  <si>
    <t>sp|Q8I3Z1|MLRR1_PLAF7</t>
  </si>
  <si>
    <t>Q8I3Z1 MLRR1_PLAF7 PFE0570W 3D7 2 1 P47065 PT130_YEAST PET130 204508 S288C Q6BZ78 PAN2_DEBHA PAN2 36239 767 1990 0083 2968 3 O74841 FAD1_SCHPO 38366 972 SPCC1235 04C Q6IE70 PAN2_RAT Q8BGF7 PAN2_MOUSE Q504Q3 PAN2_HUMAN Q1RI78 ARP2 RML369 Q8N371 KDM8_HUMAN 8 JMJD5 Q97E92</t>
  </si>
  <si>
    <t xml:space="preserve">MATH LRR DOMAIN CONTAINING OS PLASMODIUM FALCIPARUM ISOLATE GN PE SV SACCHAROMYCES CEREVISIAE STRAIN ATCC PAB DEPENDENT POLY A SPECIFIC RIBONUCLEASE SUBUNIT DEBARYOMYCES HANSENII CBS JCM NBRC IGC PROBABLE FAD SYNTHASE SCHIZOSACCHAROMYCES POMBE RATTUS NORVEGICUS MUS MUSCULUS HOMO SAPIENS RICKA_RICBR COMPLEX ACTIVATING RICKA RICKETTSIA BELLII C LYSINE DEMETHYLASE GLMU_CLOAB BIFUNCTIONAL GLMU CLOSTRIDIUM ACETOBUTYLICUM </t>
  </si>
  <si>
    <t>PHA02653 | RINT1_TIP1 | CyoC | PRK12367 | Ubiquinol_oxidase_III | PRK09296 | rad52 | PRK10663 | Rota_NS53 | PHA02798 |</t>
  </si>
  <si>
    <t>Hyalomma marginatum rufipes</t>
  </si>
  <si>
    <t>307006577 ADN23573 1 S25 241564915 XP_002401963 215501939 EEC11433 67083895 AAY66882 110671462 ABG81982 340713688 XP_003395371 40S 62083477 AAX62463 321478821 EFX89778 DAPPUDRAFT_310174 156551257 XP_001599263 S25E 328785959 XP_003250683 2 322795720 EFZ18399 SINV_07669</t>
  </si>
  <si>
    <t xml:space="preserve">RIBOSOMAL LIKE HYPOTHETICAL SIMILAR TO ISOFORM </t>
  </si>
  <si>
    <t>sp|Q962Q5|RS25_SPOFR</t>
  </si>
  <si>
    <t>Q962Q5 RS25_SPOFR 40S S25 RPS25 3 1 P48588 RS25_DROME Q8ISN9 RS25_BRABE 2 Q6PBI5 RS25_DANRE Q6Q311 RS25_SHEEP P62853 RS25_RAT P62852 RS25_MOUSE P62851 RS25_HUMAN Q56JX5 RS25_BOVIN Q90YP9 RS25_ICTPU</t>
  </si>
  <si>
    <t xml:space="preserve">RIBOSOMAL OS SPODOPTERA FRUGIPERDA GN PE SV DROSOPHILA MELANOGASTER BRANCHIOSTOMA BELCHERI DANIO RERIO OVIS ARIES RATTUS NORVEGICUS MUS MUSCULUS HOMO SAPIENS BOS TAURUS ICTALURUS PUNCTATUS </t>
  </si>
  <si>
    <t>Ribosomal protein S25 - Drosophila melanogaster - cytosolic small ribosomal subunit - structural constituent of ribosome - translation - ribosome</t>
  </si>
  <si>
    <t>Ribosomal_S25 1e-029| COG4901 4e-014| PRK09334 3e-007| selA | TrmB | HTH_DTXR | COG2865 | PRK04311 | RNA_pol_Rpc34 | TroR |</t>
  </si>
  <si>
    <t>125743134 ABN54478 1 312375238 EFR22652 AND_28982 170030013 XP_001842885 167865345 EDS28728 114153136 ABI52734 4 121511992 ABM55447 31242287 XP_321574 AGAP001548 55233796 EAA00873 2 333470196 EGK97545 333470197 EGK97546 172051072 ACB70311 157133228 XP_001656189 AAEL_AAEL012684 94468820 ABF18259 108870894 EAT35119 241068910 XP_002408527 67084013 AAY66941 215492513 EEC02154 318087278 ADV40231</t>
  </si>
  <si>
    <t xml:space="preserve">RIBOSOME ASSOCIATED MEMBRANE HYPOTHETICAL CONSERVED PA PB PC ATTACHED </t>
  </si>
  <si>
    <t>sp|Q6TAW2|SERP2_MOUSE</t>
  </si>
  <si>
    <t>Q6TAW2 SERP2_MOUSE 2 SERP2 Q8N6R1 SERP2_HUMAN 1 Q3T073 SERP2_BOVIN 3 Q9R2C1 SERP1_RAT SERP1 Q9Z1W5 SERP1_MOUSE Q9Y6X1 SERP1_HUMAN Q3ZBR1 SERP1_BOVIN Q5REZ1 SERP1_PONAB Q45577 Q12382 DGK1_YEAST 204508 S288C DGK1</t>
  </si>
  <si>
    <t xml:space="preserve">STRESS ASSOCIATED ENDOPLASMIC RETICULUM OS MUS MUSCULUS GN PE SV HOMO SAPIENS BOS TAURUS RATTUS NORVEGICUS PONGO ABELII YBEC_BACSU PROBABLE AMINO ACID PROTON SYMPORTER YBEC BACILLUS SUBTILIS CTP DEPENDENT DIACYLGLYCEROL KINASE SACCHAROMYCES CEREVISIAE STRAIN ATCC </t>
  </si>
  <si>
    <t>Drosophila melanogaster - ribosome - endoplasmic reticulum - protein modification process</t>
  </si>
  <si>
    <t>RAMP4 7e-029| PRK07143 7e-004| ND2 8e-004| ND6 0.004| ND5 0.013| AgrB 0.014| ND2 0.017| ND5 0.018| ND4 0.032| DUF2154 0.057|</t>
  </si>
  <si>
    <t>328698853 XP_001950325 2 3 242014668 XP_002428007 1 212512526 EEB15269 198465853 XP_002135057 GA23453 198150343 EDY73684 195171429 XP_002026508 GL15583 194111414 EDW33457 328783559 XP_396282 4 110555534 ABG75747 340722078 XP_003399437 195442424 XP_002068958 GK17743 194165043 EDW79944 195126865 XP_002007889 GI12128 193919498 EDW18365 194749429 XP_001957141 GF24205 190624423 EDV39947 195494829 XP_002095007 GE19913 194181108 EDW94719</t>
  </si>
  <si>
    <t xml:space="preserve">GAMMA AMINOBUTYRIC ACID RECEPTOR SUBUNIT RHO LIKE ACETYLCHOLINE DELTA PRECURSOR GLYCINE ALPHA CYS LOOP LIGAND GATED ION CHANNEL </t>
  </si>
  <si>
    <t>sp|P23416|GLRA2_HUMAN</t>
  </si>
  <si>
    <t>P23416 GLRA2_HUMAN 2 GLRA2 1 P22771 GLRA2_RAT Q7TNC8 GLRA2_MOUSE P23415 GLRA1_HUMAN GLRA1 P57695 GLRA1_BOVIN O75311 GLRA3_HUMAN 3 GLRA3 Q09453 GLRB4_CAEEL 4 Q64018 GLRA1_MOUSE Q5RCC5 GBRA2_PONAB GABRA2 P47869 GBRA2_HUMAN</t>
  </si>
  <si>
    <t xml:space="preserve">GLYCINE RECEPTOR SUBUNIT ALPHA OS HOMO SAPIENS GN PE SV RATTUS NORVEGICUS MUS MUSCULUS BOS TAURUS BETA TYPE CAENORHABDITIS ELEGANS GGR GAMMA AMINOBUTYRIC ACID PONGO ABELII </t>
  </si>
  <si>
    <t>Drosophila melanogaster - extracellular-glycine-gated ion channel activity - ion transport - integral to membrane - postsynaptic membrane - phagocytosis, engulfment</t>
  </si>
  <si>
    <t>LIC 3e-036| Neur_chan_memb 5e-029| ORC2 0.061| spore_ylbJ 0.088| Frizzled | ND4 | Macoilin | MFS_Mycoplasma | PIG-P | PLN03211 |</t>
  </si>
  <si>
    <t>Harpegnathos saltator</t>
  </si>
  <si>
    <t>307202053 EFN81599 1 340718978 XP_003397936 156542602 XP_001604174 HDC19127 333467277 EAA06442 4 AGAP000155 119115270 XP_310984 3 198461378 XP_002135863 GA27875 198142660 EDY71386 307171459 EFN63303 195175878 XP_002028627 GL15953 194107339 EDW29382 66515297 XP_392512 2 332025931 EGI66087</t>
  </si>
  <si>
    <t xml:space="preserve">ALKYLATED DNA REPAIR ALKB LIKE HOMOLOG SIMILAR TO PA </t>
  </si>
  <si>
    <t>sp|Q9SA98|ALKBH_ARATH</t>
  </si>
  <si>
    <t>Q9SA98 AT1G11780 2 P0CB42 ALKB1_MOUSE 1 ALKBH1 O60066 38366 972 SPBC13G1 04C Q13686 ALKB1_HUMAN Q54N08 P05050 K12 P0CAT7 3 B8GWW6 NA1000 CB15N P37462 P37003 5</t>
  </si>
  <si>
    <t xml:space="preserve">ALKBH_ARATH ALPHA KETOGLUTARATE DEPENDENT DIOXYGENASE ALKB OS ARABIDOPSIS THALIANA GN PE SV ALKYLATED DNA REPAIR HOMOLOG MUS MUSCULUS ALKBH_SCHPO SCHIZOSACCHAROMYCES POMBE STRAIN ATCC HOMO SAPIENS ALKB_DICDI DICTYOSTELIUM DISCOIDEUM ALKB_ECOLI ESCHERICHIA COLI ALKB_CAUCR CAULOBACTER CRESCENTUS ALKB_CAUCN ALKB_SALTY SALMONELLA TYPHIMURIUM YBFG_ECOLI UNCHARACTERIZED YBFG </t>
  </si>
  <si>
    <t>AlkB - Drosophila melanogaster - oxidation-reduction process - oxidoreductase activity, acting on paired donors, with incorporation or reduction of molecular oxygen, 2-oxoglutarate as one donor, and incorporation of one atom each of oxygen into both donors</t>
  </si>
  <si>
    <t>alkb 8e-005| PRK15401 0.030| AlkB 0.039| peptidase_C19C | STKc_myosinIIIB | PHA03080 | Pox_G7 | PRK09599 | DUF1645 | Peptidases_S8_8 |</t>
  </si>
  <si>
    <t>Tribolium castaneum</t>
  </si>
  <si>
    <t>270002201 EEZ98648 1 TCASGA2_TC001176 321466030 EFX77028 DAPPUDRAFT_248327 307210282 EFN86923 EAI_15794 340725732 XP_003401220 LOC100651619 328780305 XP_003249783 LOC100578635 307186497 EFN72067 EAG_13800 242021391 XP_002431128 PHUM_PHUM513130 212516377 EEB18390 158291860 XP_001688438 AGAP003620 157017490 EDO64160 118371764 XP_001019080 TTHERM_00252290 89300847 EAR98835 221061987 XP_002262563 193811713 CAQ42441</t>
  </si>
  <si>
    <t xml:space="preserve">HYPOTHETICAL PA CONSERVED IN PLASMODIUM SPECIES </t>
  </si>
  <si>
    <t>sp|P38073|EDS1_YEAST</t>
  </si>
  <si>
    <t>Saccharomyces cerevisiae (strain ATCC 204508 / S288c)</t>
  </si>
  <si>
    <t>P38073 EDS1_YEAST EDS1 204508 S288C 1 D3UEC9 EDS1_YEAS8 EC1118 3 A6ZKX7 EDS1_YEAS7 YJM789 B5VDZ9 EDS1_YEAS6 AWRI1631 C7GXX9 EDS1_YEAS2 JAY291 B3LNB2 EDS1_YEAS1 RM11 1A Q8DWV5 SYD_STRA5 Q8E2Q7 SYD_STRA3 Q3JYL7 SYD_STRA1 Q4V8C9 LRC56_RAT 56 LRRC56 2</t>
  </si>
  <si>
    <t xml:space="preserve">TRANSCRIPTIONAL REGULATORY OS SACCHAROMYCES CEREVISIAE STRAIN ATCC GN PE SV LALVIN PRISE DE MOUSSE ASPARTYL TRNA SYNTHETASE STREPTOCOCCUS AGALACTIAE SEROTYPE V ASPS III IA LEUCINE RICH REPEAT CONTAINING RATTUS NORVEGICUS </t>
  </si>
  <si>
    <t>TMPIT | ND3 | Ndc1_Nup | ND5 | DUF2612 | kdsB | SynMuv_product | C2_Dock-D | COG4670 | CemA |</t>
  </si>
  <si>
    <t>Trypanosoma cruzi</t>
  </si>
  <si>
    <t>322823295 EFZ29078 1 71416039 XP_810065 70874542 EAN88214 71414605 XP_809399 70873774 EAN87548 340054271 CCC48567 261328935 CBH11913 72390471 XP_845530 62360325 AAX80741 70802065 AAZ11971 322501227 CBZ36306 146094040 XP_001467131 134071495 CAM70184 154341911 XP_001566907 134064232 CAM40430 322493673 CBZ28963</t>
  </si>
  <si>
    <t xml:space="preserve">GTPASE ACTIVATING RAB LIKE ACTIVATOR UNNAMED PRODUCT </t>
  </si>
  <si>
    <t>sp|Q8GYD9|SDE3_ARATH</t>
  </si>
  <si>
    <t>Q8GYD9 SDE3_ARATH SDE3 2 1 P58525 3 P58524 B4TSS2 CVM19633 A9N5Q2 1250 SPB7 B4T2Z2 SL254 B1VH82 TRPA_CORU7 43042 7109 Q9URY3 C1952 17C 38366 972 SPAC1952 4 Q940Q1 PLY1_ARATH AT1G04680 Q6PFM4</t>
  </si>
  <si>
    <t xml:space="preserve">PROBABLE RNA HELICASE OS ARABIDOPSIS THALIANA GN PE SV MTOX_SALTY N METHYL L TRYPTOPHAN OXIDASE SALMONELLA TYPHIMURIUM SOLA MTOX_SALTI TYPHI MTOX_SALSV SCHWARZENGRUND STRAIN MTOX_SALPB PARATYPHI B ATCC BAA MTOX_SALNS NEWPORT SYNTHASE ALPHA CHAIN CORYNEBACTERIUM UREALYTICUM DSM TRPA YLOH_SCHPO TBC DOMAIN CONTAINING SCHIZOSACCHAROMYCES POMBE PECTATE LYASE LNPB_DANRE LUNAPARK DANIO RERIO LNPB </t>
  </si>
  <si>
    <t>TBC 0.006| SURF4 | PRK13479 | transamin_PhnW | PRK13884 | PRK14704 | NTP_transf_3 | COG5210 | NGN_SP_AnfA1 | PRK13533 |</t>
  </si>
  <si>
    <t>Xenopus (Silurana) tropicalis</t>
  </si>
  <si>
    <t>301620462 XP_002939597 1 3 5 297805002 XP_002870385 297316221 EFH46644 158317651 YP_001510159 FRANEAN1_5909 158113056 ABW15253 327266028 XP_003217809 C1 58261934 XP_568377 134118163 XP_772249 CNBM0170 50254860 EAL17602 57230550 AAW46860</t>
  </si>
  <si>
    <t xml:space="preserve">LOW QUALITY EXONUCLEASE DOMAIN CONTAINING LIKE HYPOTHETICAL CONSERVED CYTOCHROME B COMPLEX SUBUNIT MITOCHONDRIAL HYPOTETICAL </t>
  </si>
  <si>
    <t>sp|Q69VD5|PNH1_ORYSJ</t>
  </si>
  <si>
    <t>Q69VD5 PNH1_ORYSJ PNH1 PHN1 2 1 P98088 MUC5A_HUMAN 5AC MUC5AC 3 Q6LRA6 B1YQ54 MNMC_BURA4 5 MC40 6 Q54BC9 DYRK2_DICDI DYRK2 Q99161 SEC62_YARLI SEC62 122 150 B0KKX3</t>
  </si>
  <si>
    <t xml:space="preserve">ARGONAUTE OS ORYZA SATIVA SUBSP JAPONICA GN PE SV MUCIN FRAGMENTS HOMO SAPIENS PNCB_PHOPR NICOTINATE PHOSPHORIBOSYLTRANSFERASE PHOTOBACTERIUM PROFUNDUM PNCB TRNA METHYLAMINOMETHYL THIOURIDINE BIOSYNTHESIS BIFUNCTIONAL MNMC BURKHOLDERIA AMBIFARIA STRAIN PROBABLE SERINE THREONINE KINASE DICTYOSTELIUM DISCOIDEUM TRANSLOCATION YARROWIA LIPOLYTICA CLIB E PNCB_PSEPG PSEUDOMONAS PUTIDA </t>
  </si>
  <si>
    <t>TLP_HIUase | PRK11099 | PRK13998 | RNR_II_dimer | NrdJ_Z | hdxy_isourate | Adenylsucc_synt | COX1 | PRK11930 | COX1 |</t>
  </si>
  <si>
    <t>149898803 ABR27863 1 SEC61 112983408 NP_001037632 87248599 ABD36352 107953794 ABF85698 312378453 EFR25023 AND_27225 157138304 XP_001657235 56417570 AAV90726 94468870 ABF18284 108869512 EAT33737 158297580 XP_317795 4 AGAP011504 157014644 EAA12929 5 322795695 EFZ18374 SINV_05925 307166034 EFN60311 332027117 EGI67213 242007433 XP_002424544 212507987 EEB11806 170046266 XP_001850693 CPIPJ_CPIJ009025 167869085 EDS32468</t>
  </si>
  <si>
    <t xml:space="preserve">TRANSLOCATION COMPLEX BETA SUBUNIT TRANSPORT HYPOTHETICAL LIKE PA </t>
  </si>
  <si>
    <t>sp|Q5RB31|SC61B_PONAB</t>
  </si>
  <si>
    <t>Pongo abelii</t>
  </si>
  <si>
    <t>Q5RB31 SC61B_PONAB SEC61 SEC61B 3 P60468 SC61B_HUMAN 1 2 P60467 SC61B_CANFA Q9CQS8 SC61B_MOUSE Q54YR4 SC61B_DICDI P38389 SC61B_ARATH AT2G45070 Q9HFC7 SC61B_YARLI 122 150 SBH1 O43002 SC61B_SCHPO 38366 972 Q8J2P4 SC61B_KLULA 8585 2359 70799 1267 1140 WM37 P52871 SC6B2_YEAST SEB2 204508 S288C</t>
  </si>
  <si>
    <t xml:space="preserve">TRANSPORT SUBUNIT BETA OS PONGO ABELII GN PE SV HOMO SAPIENS CANIS FAMILIARIS MUS MUSCULUS DICTYOSTELIUM DISCOIDEUM ARABIDOPSIS THALIANA YARROWIA LIPOLYTICA STRAIN CLIB E SCHIZOSACCHAROMYCES POMBE ATCC KLUYVEROMYCES LACTIS CBS DSM NBRC NRRL Y SACCHAROMYCES CEREVISIAE </t>
  </si>
  <si>
    <t>Sec61beta - Drosophila melanogaster - SRP-dependent cotranslational protein targeting to membrane, translocation - Sec61 translocon complex - protein transporter activity - negative regulation of autophagy</t>
  </si>
  <si>
    <t>Sec61_beta 2e-015| PRK01253 2e-004| 7TM_GPCR_Srsx | COG4748 | rbsC | PHA02834 | EPH_lbd | YqhR | PLN00218 | Nramp |</t>
  </si>
  <si>
    <t>PRK13977 | Trehalase | DUF131 | Strep_67kDa_ant | COG4716 | PRK08493 | PRK13014 |</t>
  </si>
  <si>
    <t>Candida albicans SC5314</t>
  </si>
  <si>
    <t>68484016 XP_714098 1 CAO19 11932 68484420 XP_713896 4452 46435415 EAK94797 46435628 EAK95006 159109109 XP_001704821 GL50803_29457 157432894 EDO77147 298373845 ADI80522 ORF1AB 298373844 ADI80521 ORF1A 328855417 EGG04544 257126622 YP_003164736 257050561 ACV39745 167389122 XP_001738827 165897753 EDR24828 338728409 XP_001917198 2 332831368 XP_520018 3 311253262 XP_001927565</t>
  </si>
  <si>
    <t xml:space="preserve">HYPOTHETICAL POLYPROTEIN OLIGOPEPTIDE TRANSPORTER HOLLIDAY JUNCTION DNA HELICASE RUVA PHOSPHATIDYLINOSITOL KINASE TONSOKU LIKE LOW QUALITY REPAIR ISOFORM </t>
  </si>
  <si>
    <t>sp|D4A615|TONSL_RAT</t>
  </si>
  <si>
    <t>D4A615 3 1 Q6NZL6 2 Q96HA7 Q0P5G1 Q9M092 17 WAKL17 A9JR78 O13557 YL463_YEAST YLR463C 204508 S288C 5 P89888 YE075_YEAST YEL075W A0L633 O10236</t>
  </si>
  <si>
    <t xml:space="preserve">TONSL_RAT TONSOKU LIKE OS RATTUS NORVEGICUS GN TONSL PE SV TONSL_MOUSE MUS MUSCULUS TONSL_HUMAN HOMO SAPIENS TONSL_BOVIN BOS TAURUS WAKLM_ARATH WALL ASSOCIATED RECEPTOR KINASE ARABIDOPSIS THALIANA TONSL_DANRE DANIO RERIO UNCHARACTERIZED SACCHAROMYCES CEREVISIAE STRAIN ATCC A RNC_MAGSM RIBONUCLEASE MAGNETOCOCCUS MC RNC VGLG_RYSV GLYCOPROTEIN G RICE YELLOW STUNT VIRUS </t>
  </si>
  <si>
    <t>PTZ00416 9e-049| PLN00116 3e-048| EF2 1e-035| PRK07560 1e-028| aEF-2 4e-019| GTP_translation_factor 4e-019| GTP_EFTU 8e-019| FusA 3e-018| LepA 3e-017| lepA 3e-016|</t>
  </si>
  <si>
    <t>Candidatus Phytoplasma australiense</t>
  </si>
  <si>
    <t>197294743 YP_001799284 1 PAA_0709 171854070 CAM12043 PA0709 299830290 YP_003734454 299507849 CAZ66833 261326457 CBH09417 319640134 ZP_07994861 317388412 EFV69264 294777544 ZP_06742995 294448612 EFG17161 265752828 ZP_06088397 263236014 EEZ21509 242081621 XP_002445579 SORBIDRAFT_07G021917 241941929 EES15074 237711423 ZP_04541904 229454118 EEO59839 237726117 ZP_04556598 229435925 EEO46002 212692310 ZP_03300438 BACDOR_01806 212665187 EEB25759</t>
  </si>
  <si>
    <t xml:space="preserve">HYPOTHETICAL HEME MATURASE UNLIKELY ALKALINE PHOSPHATASE SUPERFAMILY PHOSPHOGLYCEROL TRANSFERASE LIKE ARYLSULFATASE CONSERVED </t>
  </si>
  <si>
    <t>sp|O34440|YFMI_BACSU</t>
  </si>
  <si>
    <t>Bacillus subtilis</t>
  </si>
  <si>
    <t>O34440 3 1 Q8KA32 Y080_BUCAP BUSG_080 4 Q09203 SRA1_CAEEL 2 Q6FNR0 2001 138 3761 0622 65 MGT1 P33245 IE1 P11138 Q86UQ4 13 ABCA13 Q54ML2 Y5855_DICDI DDB_G0285945 P31916 MAT2_EUGGR MAT2 Q9VZU2</t>
  </si>
  <si>
    <t xml:space="preserve">YFMI_BACSU UNCHARACTERIZED MFS TYPE TRANSPORTER YFMI OS BACILLUS SUBTILIS GN PE SV BUCHNERA APHIDICOLA SUBSP SCHIZAPHIS GRAMINUM SERPENTINE RECEPTOR CLASS ALPHA CAENORHABDITIS ELEGANS SRA MGMT_CANGA METHYLATED DNA CYSTEINE METHYLTRANSFERASE CANDIDA GLABRATA STRAIN ATCC CBS JCM NBRC NRRL Y TATR_NPVBM TRANS ACTIVATING TRANSCRIPTIONAL REGULATORY BOMBYX MORI NUCLEAR POLYHEDROSIS VIRUS TATR_NPVAC AUTOGRAPHA CALIFORNICA ABCAD_HUMAN ATP BINDING CASSETTE SUB FAMILY A MEMBER HOMO SAPIENS DICTYOSTELIUM DISCOIDEUM MATURASE LIKE EUGLENA GRACILIS HHAT_DROME N PALMITOYLTRANSFERASE RASP DROSOPHILA MELANOGASTER </t>
  </si>
  <si>
    <t>ATP6 0.022| Seipin | Vesiculo_matrix | PRK07132 | ND2 | PKD_channel | Phage_pRha | ND2 | ND5 | rpoC2 |</t>
  </si>
  <si>
    <t>Inorganic ion transport and metabolism, Secondary metabolites biosynthesis, transport and catabolism</t>
  </si>
  <si>
    <t>240849105 NP_001155706 1 239788624 BAH70984 ACYPI007342 16518987 AAL25093 AF426742_1 260789839 XP_002589952 BRAFLDRAFT_131265 229275138 EEN45963 332026255 EGI66394 B9 66530530 XP_623625 340720718 XP_003398779 B11 156542271 XP_001600751 71990594 NP_001022756 2 34364489 CAE45742 T07C4 9B 71990586 NP_001022755 5824601 CAA82571 9A 242018684 XP_002429804 A2 212514816 EEB17066</t>
  </si>
  <si>
    <t xml:space="preserve">ANNEXIN IX LIKE HYPOTHETICAL SIMILAR TO A FAMILY MEMBER NEX C ELEGANS CONFIRMED BY TRANSCRIPT EVIDENCE </t>
  </si>
  <si>
    <t>sp|Q9LX08|ANXD6_ARATH</t>
  </si>
  <si>
    <t>Q9LX08 ANXD6_ARATH D6 ANN6 2 1 P27216 ANX13_HUMAN A13 ANXA13 3 P26256 ANX12_HYDVU B12 ANXB12 Q99JG3 ANX13_MOUSE Q29471 ANX13_CANFA P27006 ANX2A_XENLA A2 ANXA2 Q9XEE2 ANXD2_ARATH D2 ANN2 Q5REL2 ANXA1_PONAB A1 ANXA1 P19619 ANXA1_PIG A5A6M2 ANXA1_PANTR</t>
  </si>
  <si>
    <t xml:space="preserve">ANNEXIN OS ARABIDOPSIS THALIANA GN PE SV HOMO SAPIENS HYDRA VULGARIS MUS MUSCULUS CANIS FAMILIARIS A XENOPUS LAEVIS PONGO ABELII SUS SCROFA PAN TROGLODYTES </t>
  </si>
  <si>
    <t>ANX 6e-007| Annexin 2e-006| ND3 | DUF673 | PRK09409 | PRK14702 |</t>
  </si>
  <si>
    <t>258597704 XP_001348380 2 255528799 AAN36819</t>
  </si>
  <si>
    <t xml:space="preserve">CONSERVED PLASMODIUM UNKNOWN FUNCTION </t>
  </si>
  <si>
    <t>sp|Q92508|PIEZ1_HUMAN</t>
  </si>
  <si>
    <t>Q92508 PIEZ1_HUMAN PIEZO1 FAM38A 1 4 Q9ULJ3 ZN295_HUMAN 295 ZNF295 2</t>
  </si>
  <si>
    <t xml:space="preserve">OS HOMO SAPIENS GN PE SV ZINC FINGER </t>
  </si>
  <si>
    <t>ND5 | ND2 | MnuA_DNase1-like | ND4 | PRK05802 | PRK14385 | Cas1_I-B | Staph_a_para_1 | secA | cas1_HMARI |</t>
  </si>
  <si>
    <t>Penicillium marneffei ATCC 18224</t>
  </si>
  <si>
    <t>212542453 XP_002151381 1 210066288 EEA20381 84998046 XP_953744 65304741 CAI73066 118084042 XP_001235122 71033819 XP_766551 68353508 EAN34268 TP01_1030 118084161 XP_001231357 295703464 YP_003596539 E2 294801123 ADF38189 294498115 YP_003561815 294348052 ADE68381 226479936 CAX73264 Q2 262402548 ZP_06079109 262351330 EEZ00463 118084946 XP_001234160</t>
  </si>
  <si>
    <t xml:space="preserve">CONSERVED HYPOTHETICAL PYRUVATE DEHYDROGENASE COMPLEX COMPONENT DIHYDROLIPOAMIDE ACETYLTRANSFERASE COENZYME HOMOLOG PRENYLTRANSFERASE TETRAHEME CYTOCHROME C </t>
  </si>
  <si>
    <t>sp|P36168|YK76_YEAST</t>
  </si>
  <si>
    <t>P36168 YK76_YEAST YKR096W 204508 S288C 1 P54580 Y2433_MYCLE ML2433 4 2 P21883 ODP2_BACSU O74945 RIA1_SCHPO 38366 972 RIA1 Q9NZJ4 Q0SV48 PUR9_CLOPS SM101 3 Q9QUZ8 GMEB1_RAT GMEB1 Q9JL60 GMEB1_MOUSE Q1WUI4 Y542_LACS1 UPF0154 LSL_0542 UCC118 Q9YGT5 HXA9B_DANRE A9B HOXA9B</t>
  </si>
  <si>
    <t xml:space="preserve">UNCHARACTERIZED OS SACCHAROMYCES CEREVISIAE STRAIN ATCC GN PE SV MYCOBACTERIUM LEPRAE DIHYDROLIPOYLLYSINE RESIDUE ACETYLTRANSFERASE COMPONENT PYRUVATE DEHYDROGENASE COMPLEX BACILLUS SUBTILIS PDHC RIBOSOME ASSEMBLY SCHIZOSACCHAROMYCES POMBE SACS_HUMAN SACSIN HOMO SAPIENS SACS BIFUNCTIONAL PURINE BIOSYNTHESIS PURH CLOSTRIDIUM PERFRINGENS TYPE A GLUCOCORTICOID MODULATORY ELEMENT BINDING RATTUS NORVEGICUS MUS MUSCULUS LACTOBACILLUS SALIVARIUS HOMEOBOX HOX DANIO RERIO </t>
  </si>
  <si>
    <t>Baculo_Y142 | PLN02528 | KAR9 | M1P_guanylylT_A_like_N | Aldose_epim | F390_ftsA | PRK15284 | H_kinase_N | mglC | M20_yscS |</t>
  </si>
  <si>
    <t>DUF915 |</t>
  </si>
  <si>
    <t>sp|Q8CF97|VCIP1_RAT</t>
  </si>
  <si>
    <t>Q8CF97 VCIP1_RAT VCIP135 VCPIP1 1 2</t>
  </si>
  <si>
    <t xml:space="preserve">DEUBIQUITINATING OS RATTUS NORVEGICUS GN PE SV </t>
  </si>
  <si>
    <t>ND2 | ND4 | OPT |</t>
  </si>
  <si>
    <t>Cell cycle control, cell division, chromosome partitioning, Posttranslational modification, protein turnover, chaperones</t>
  </si>
  <si>
    <t>sp|Q66I61|CX056_DANRE</t>
  </si>
  <si>
    <t>Danio rerio</t>
  </si>
  <si>
    <t>Q66I61 CX056_DANRE UPF0428 CXORF56 103697 2 1 Q60350 Y035_METJA MJ0035 43067 2661 10045 100440 3 Q6P338 CX056_XENTR TNEU084H20 Q5U515 CX056_XENLA</t>
  </si>
  <si>
    <t xml:space="preserve">HOMOLOG OS DANIO RERIO GN ZGC PE SV UNCHARACTERIZED ABC TRANSPORTER ATP BINDING METHANOCALDOCOCCUS JANNASCHII STRAIN ATCC DSM JAL JCM NBRC XENOPUS TROPICALIS LAEVIS </t>
  </si>
  <si>
    <t>PTZ00384 | DED_Caspase_8_10_repeat2 | NEAT | NEAT | Baculo_Y142 | YfhO |</t>
  </si>
  <si>
    <t>ND1 | PRK14710 | CYTB | DUF1746 | PRK14768 | lanti_perm_MutG | ND1 | PRK09609 | 2A0308 | 7tm_3 |</t>
  </si>
  <si>
    <t>149898934 ABR27983 1 56117738 AAV73809 313585713 ADR70998 307204104 EFN82974 156548615 XP_001608103 194246033 ACF35508 91081867 XP_968284 270006342 EFA02790 TCASGA2_TC007011 241607909 XP_002405905 215500702 EEC10196 67083825 AAY66847 308208146 ADO20320</t>
  </si>
  <si>
    <t xml:space="preserve">SUPEROXIDE DISMUTASE CUZNSOD SIMILAR TO CUZN CU ZN HYPOTHETICAL </t>
  </si>
  <si>
    <t>sp|P28755|SODC_CERCA</t>
  </si>
  <si>
    <t>Ceratitis capitata</t>
  </si>
  <si>
    <t>P28755 3 2 P41973 P10791 Q95086 P54407 1 Q9U4X3 Q9U4X5 Q9U4X4 O65174 Q07182</t>
  </si>
  <si>
    <t xml:space="preserve">SODC_CERCA SUPEROXIDE DISMUTASE OS CERATITIS CAPITATA GN SOD PE SV SODC_DROWI DROSOPHILA WILLISTONI SODC_DROVI VIRILIS SODC_DROPS PSEUDOOBSCURA SODC_DROBS FRAGMENT BUSCKII SODC_DROYA YAKUBA SODC_DROOR ORENA SODC_DROER ERECTA SODC_ZANAE ZANTEDESCHIA AETHIOPICA SODCC SODC_CHYAM CHYMOMYZA AMOENA </t>
  </si>
  <si>
    <t>AT2G28190 - Arabidopsis thaliana - copper ion binding - zinc ion binding - removal of superoxide radicals - chloroplast - response to oxidative stress - response to copper ion - thylakoid - response to stress - response to iron ion - apoplast - chloroplast stroma - superoxide dismutase activity - response to light stimulus</t>
  </si>
  <si>
    <t>PLN02386 5e-011| PLN02642 1e-008| Cu-Zn_Superoxide_Dismutase 4e-006| Sod_Cu 7e-005| SodC 0.006| CYTB 0.014| PhoQ_Sensor | PRK10290 | CYTB | PRK08026 |</t>
  </si>
  <si>
    <t>Rhodopseudomonas palustris BisB18</t>
  </si>
  <si>
    <t>90424693 YP_533063 1 90106707 ABD88744 224010711 XP_002294313 220970330 EED88668 148252263 YP_001236848 146404436 ABQ32942 160881834 YP_001560802 160430500 ABX44063 118444544 YP_878370 NT01CX_2297 118135000 ABK62044</t>
  </si>
  <si>
    <t xml:space="preserve">AMP DEPENDENT SYNTHETASE LIGASE FATTY ACID COA LUXR FAMILY TRANSCRIPTIONAL REGULATOR HYPOTHETICAL MEMBRANE </t>
  </si>
  <si>
    <t>sp|Q55ER0|MANC_DICDI</t>
  </si>
  <si>
    <t>Q55ER0 3 1 Q04430 CAB1 204508 S288C E1BFR5 O74962 38366 972 SPBC4B4 01C Q985P4 4</t>
  </si>
  <si>
    <t xml:space="preserve">MANC_DICDI ALPHA MANNOSIDASE C OS DICTYOSTELIUM DISCOIDEUM GN MANC PE SV PANK_YEAST PANTOTHENATE KINASE SACCHAROMYCES CEREVISIAE STRAIN ATCC GWL_BOVIN SERINE THREONINE GREATWALL BOS TAURUS MASTL PANK_SCHPO SCHIZOSACCHAROMYCES POMBE GLGB_RHILO GLUCAN BRANCHING ENZYME RHIZOBIUM LOTI GLGB </t>
  </si>
  <si>
    <t>YfhO | DUF2031 | ValS | valS | valS | PYST-B | Peptidase_C65 | Baculo_p48 | Tmp39 | PLN02943 |</t>
  </si>
  <si>
    <t>rps12 | PRK02264 | PTZ00450 |</t>
  </si>
  <si>
    <t>Plasmodium falciparum</t>
  </si>
  <si>
    <t>74967164 Q25802 1 RPOC2_PLAFA 1171589 CAA64574 307207363 EFN85113 EAI_14909 332208838 XP_003253519 LOC100594049 312069736 XP_003137821 LOAG_02235 307767018 EFO26252 307168252 EFN61478 EAG_03411 302845401 XP_002954239 VOLCADRAFT_102187 300260444 EFJ44663 332812871 XP_003308996 LOC100608533 302829262 XP_002946198 VOLCADRAFT_86229 300269013 EFJ53193 302537822 ZP_07290164 302446717 EFL18533 195374772 XP_002046177 GJ12655 194153335 EDW68519</t>
  </si>
  <si>
    <t xml:space="preserve">FULL DNA DIRECTED RNA POLYMERASE SUBUNIT BETA ALTNAME PEP PLASTID ENCODED SHORT RPOD HYPOTHETICAL PARTIAL CONSERVED </t>
  </si>
  <si>
    <t>sp|Q25802|RPOC2_PLAFA</t>
  </si>
  <si>
    <t>Q25802 RPOC2_PLAFA RPOC2 3 1 Q8IIG1 YK213_PLAF7 PF11_0213 3D7 2</t>
  </si>
  <si>
    <t xml:space="preserve">DNA DIRECTED RNA POLYMERASE SUBUNIT BETA OS PLASMODIUM FALCIPARUM GN PE SV UNCHARACTERIZED ISOLATE </t>
  </si>
  <si>
    <t>ND5 | ND2 | PRK07691 | GPDPase_memb | 7TM_GPCR_Str | ND6 | DUF1600 | EIIC-GAT | Intron_maturas2 | 7TM_GPCR_Srz |</t>
  </si>
  <si>
    <t>Eubacterium ventriosum ATCC 27560</t>
  </si>
  <si>
    <t>154483903 ZP_02026351 1 EUBVEN_01608 149735394 EDM51280 114329887 YP_740790 YMF77 114150120 ABI51699 167389539 XP_001738998 165897521 EDR24645 83319424 YP_424305 MCAP_0320 83283310 ABC01242 336419671 ZP_08599926 336162991 EGN65933 336401729 ZP_08582489 HMPREF0404_01780 336160606 EGN63648 330802287 XP_003289150 DICPUDRAFT_153476 325080773 EGC34314 83315688 XP_730900 23490771 EAA22465 296184664 ZP_06853075 CLCAR_0062 296050446 EFG89869 255523380 ZP_05390349 CCARBDRAFT_0349 255512838 EET89109</t>
  </si>
  <si>
    <t xml:space="preserve">HYPOTHETICAL CULLIN CONSERVED TRANSCRIPTIONAL REGULATORY CHLOROQUINE RESISTANCE MARKER </t>
  </si>
  <si>
    <t>sp|Q58789|Y1394_METJA</t>
  </si>
  <si>
    <t>Methanocaldococcus jannaschii (strain ATCC 43067 / DSM 2661 / JAL-1 / JCM 10045 / NBRC 100440)</t>
  </si>
  <si>
    <t>Q58789 Y1394_METJA MJ1394 43067 2661 1 10045 100440 4 Q5UPT1 TF2B_MIMIV MIMI_L250 3 Q09336 FB224_CAEEL 244 2 P28561 Q68VQ4 144 P30103 Q57710 IF2P_METJA</t>
  </si>
  <si>
    <t xml:space="preserve">UNCHARACTERIZED OS METHANOCALDOCOCCUS JANNASCHII STRAIN ATCC DSM JAL JCM NBRC GN PE SV TRANSCRIPTION INITIATION FACTOR IIB LIKE ACANTHAMOEBA POLYPHAGA MIMIVIRUS F BOX A CAENORHABDITIS ELEGANS FBXA APCE_AGLNE PHYCOBILIPROTEIN APCE AGLAOTHAMNION NEGLECTUM PRIM_RICTY DNA PRIMASE RICKETTSIA TYPHI VR WILMINGTON DNAG PRIM_RICPR PROWAZEKII MADRID E PROBABLE TRANSLATION IF INFB </t>
  </si>
  <si>
    <t>PHA03007 | PHA02857 | pgi | dTDP_HR_like_SDR_e | DUF3688 | PRK14483 | PTZ00403 | Pox_polyA_pol_C | acidPPc | Phage_rep_O |</t>
  </si>
  <si>
    <t>Coenzyme transport and metabolism</t>
  </si>
  <si>
    <t>Ichthyophthirius multifiliis</t>
  </si>
  <si>
    <t>340505590 EGR31907 1</t>
  </si>
  <si>
    <t xml:space="preserve">INSULIN DEGRADING ENZYME </t>
  </si>
  <si>
    <t>sp|P25370|GFD2_YEAST</t>
  </si>
  <si>
    <t>P25370 GFD2_YEAST DBP5 2 204508 S288C GFD2 1 A7H4N6 1458 RM4099 269 97 3 Q8K915 Q5HVR0 RM1221 A1VYL5 23 36 81 176 Q9PI08 A8FKS9 HEMH_CAMJ8 6 81116 11828 P54245 LGC4_CAEEL 4 A8XNX8 LGC4_CAEBR</t>
  </si>
  <si>
    <t xml:space="preserve">GOOD FOR FULL ACTIVITY OS SACCHAROMYCES CEREVISIAE STRAIN ATCC GN PE SV HEMH_CAMJD FERROCHELATASE CAMPYLOBACTER JEJUNI SUBSP DOYLEI BAA HEMH HFLC_BUCAP HFLC BUCHNERA APHIDICOLA SCHIZAPHIS GRAMINUM HEMH_CAMJR HEMH_CAMJJ SEROTYPE O HEMH_CAMJE NCTC LIGAND GATED ION CHANNEL CAENORHABDITIS ELEGANS LGC BRIGGSAE </t>
  </si>
  <si>
    <t>thrS | PTZ00342 | PSN | PTZ00362 | PLN02579 | PHA03139 | PRK09824 | Delta9-FADS-like | hflC | ComK |</t>
  </si>
  <si>
    <t>Paenibacillus mucilaginosus KNP414</t>
  </si>
  <si>
    <t>337748639 YP_004642801 1 336299828 AEI42931 2 302898769 XP_003047912 NECHADRAFT_68909 256728844 EEU42199 255538502 XP_002510316 223551017 EEF52503 85107040 XP_962300 NCU07714 28923902 EAA33064</t>
  </si>
  <si>
    <t xml:space="preserve">IG DOMAIN CONTAINING GROUP HYPOTHETICAL BRASSINOSTEROID INSENSITIVE ASSOCIATED RECEPTOR KINASE PRECURSOR </t>
  </si>
  <si>
    <t>sp|Q54HT1|TIRA_DICDI</t>
  </si>
  <si>
    <t>Q54HT1 2 1 Q28066 C4BPB_BOVIN C4B C4BPB B4EYR5 3 HI4320 Q54WT9 IP13B_DICDI 13 IPO13B</t>
  </si>
  <si>
    <t xml:space="preserve">TIRA_DICDI TIRA OS DICTYOSTELIUM DISCOIDEUM GN PE SV BINDING BETA CHAIN BOS TAURUS PLSB_PROMH GLYCEROL PHOSPHATE ACYLTRANSFERASE PROTEUS MIRABILIS STRAIN PLSB IMPORTIN HOMOLOG B </t>
  </si>
  <si>
    <t>ycf1 | ND4L | Ycf1 | Zn_peptidase_2 | PLPDE_III_DapDC | BNIP3 | PX_SNX19_like_plant | 2am3keto_CoA | DUF3737 | PHA02907 |</t>
  </si>
  <si>
    <t>Clostridium perfringens E str. JGS1987</t>
  </si>
  <si>
    <t>168204545 ZP_02630550 1 170663765 EDT16448 296125472 YP_003632724 BMUR_0422 296017288 ADG70525 DUF88 108802700 YP_636357 RF1 118574749 Q49KU0 YCF1_EUCGG YCF1 60460866 AAX21086 70940853 XP_740787 56518745 CAH84737 68067153 XP_675547 56494795 CAI04636 257077119 ZP_05571480 ISA0963 3 145532469 XP_001451990 124419667 CAK84593 257075895 ZP_05570256 82705184 XP_726864 23482448 EAA18429 325184619 CCA19111</t>
  </si>
  <si>
    <t xml:space="preserve">CONSERVED HYPOTHETICAL UNKNOWN FUNCTION CHLOROPLAST FULL MEMBRANE SHORT NUCLEAR MOVEMENT TRANSPOSASE UNNAMED PRODUCT DISTRIBUTION GENE C HOMOLOG UBIQUITINSPECIFIC PROTEASE </t>
  </si>
  <si>
    <t>sp|Q49KU0|YCF1_EUCGG</t>
  </si>
  <si>
    <t>Eucalyptus globulus subsp. globulus</t>
  </si>
  <si>
    <t>Q49KU0 YCF1_EUCGG YCF1 3 1 Q8WW22 DNJA4_HUMAN 4 DNAJA4 Q9JLM4 ZMYM3_MOUSE ZMYM3 2 Q14202 ZMYM3_HUMAN P06274 RPOC2_MARPO RPOC2 Q552Q3 INT10_DICDI 10 DDB_G0275707 Q9JMC3 DNJA4_MOUSE Q8D3J0 6 A5MZY0 PDXT_CLOK5 8527 555 10680 B9E3V5 PDXT_CLOK1 12016</t>
  </si>
  <si>
    <t xml:space="preserve">MEMBRANE OS EUCALYPTUS GLOBULUS SUBSP GN PE SV DNAJ HOMOLOG SUBFAMILY A MEMBER HOMO SAPIENS ZINC FINGER MYM TYPE MUS MUSCULUS DNA DIRECTED RNA POLYMERASE SUBUNIT BETA MARCHANTIA POLYMORPHA INTEGRATOR COMPLEX LIKE DICTYOSTELIUM DISCOIDEUM GLMS_WIGBR GLUCOSAMINE FRUCTOSE PHOSPHATE AMINOTRANSFERASE WIGGLESWORTHIA GLOSSINIDIA BREVIPALPIS GLMS GLUTAMINE AMIDOTRANSFERASE PDXT CLOSTRIDIUM KLUYVERI STRAIN ATCC DSM NCIMB NBRC </t>
  </si>
  <si>
    <t>DUF443 0.002| GpcrRhopsn4 0.030| 7TM_GPCR_Srb 0.032| ND4 0.038| ND4 0.082| ND6 0.092| integ_TIGR01906 | DUF846 | NAcGluc_Transf | 7TM_GPCR_Srz |</t>
  </si>
  <si>
    <t>PTZ00134 | VPS10 |</t>
  </si>
  <si>
    <t>sp|Q9P7C7|PRP11_SCHPO</t>
  </si>
  <si>
    <t>Q9P7C7 PRP11_SCHPO PRP11 38366 972 2 1</t>
  </si>
  <si>
    <t xml:space="preserve">PRE MRNA PROCESSING ATP DEPENDENT RNA HELICASE OS SCHIZOSACCHAROMYCES POMBE STRAIN ATCC GN PE SV </t>
  </si>
  <si>
    <t>ATP6 | STKc_beta_ARK |</t>
  </si>
  <si>
    <t>322785125 EFZ11849 1 SINV_05020 198428521 XP_002119554 33440006 AAO46100 340711096 XP_003394117 G1 307206337 EFN84394 56270528 AAH86747 NDNL2 197247158 AAI65513 197127471 ACH43969 2 73951170 XP_545818 296203925 XP_002749106 149062082 EDM12505 RCG47976</t>
  </si>
  <si>
    <t xml:space="preserve">HYPOTHETICAL SIMILAR TO MAGE MELANOMA ASSOCIATED ANTIGEN LIKE NECDIN VARIANT </t>
  </si>
  <si>
    <t>sp|Q96MG7|MAGG1_HUMAN</t>
  </si>
  <si>
    <t>Q96MG7 MAGG1_HUMAN G1 NDNL2 1 Q9UJ55 MAGL2_HUMAN 2 MAGEL2 Q9CPR8 MAGG1_MOUSE Q12816 3 Q5RFC2 MAGD2_PONAB D2 MAGED2 Q9UNF1 MAGD2_HUMAN Q9ES73 MAGD1_RAT D1 MAGED1 Q9QYH6 MAGD1_MOUSE Q9CWV4 B16 MAGEB16 Q6ITT4 MAGD1_PIG</t>
  </si>
  <si>
    <t xml:space="preserve">MELANOMA ASSOCIATED ANTIGEN OS HOMO SAPIENS GN PE SV MAGE LIKE MUS MUSCULUS TROP_HUMAN TROPHININ TRO PONGO ABELII RATTUS NORVEGICUS MAGBG_MOUSE SUS SCROFA </t>
  </si>
  <si>
    <t>Uncharacterized protein - Sus scrofa - regulation of transcription, DNA-dependent</t>
  </si>
  <si>
    <t>MAGE 3e-010| DUF1157 0.008| Pumilio 0.027| pk1 0.060| RasGAP 0.069| kup | LAGLIDADG_1 | cemA | COG3400 | 7TM_GPCR_Sra |</t>
  </si>
  <si>
    <t>270046188 BAI50824 1 56756781 AAW26562 SJCHGC09076 307094826 ADN29719 270046228 BAI50844 294775216 ZP_06740740 294450921 EFG19397 150004186 YP_001298930 149932610 ABR39308 293359013 XP_001074403 2 333994684 YP_004527297 333734137 AEF80086 237708147 ZP_04538628 229457700 EEO63421 237723682 ZP_04554163 265756803 ZP_06090791 229437893 EEO47970 263233589 EEZ19209</t>
  </si>
  <si>
    <t xml:space="preserve">UNNAMED PRODUCT SALIVARY LIPOCALIN PSEUDOURIDYLATE SYNTHASE RIBOSOMAL LARGE SUBUNIT PSEUDOURIDINE B HYPOTHETICAL TRANSLATION INITIATION FACTOR IF </t>
  </si>
  <si>
    <t>sp|P0CB49|YLPM1_RAT</t>
  </si>
  <si>
    <t>P0CB49 YLPM1_RAT 1 YLPM1 Q9R0I7 YLPM1_MOUSE 2 P49750 YLPM1_HUMAN 3 P02463 CO4A1_MOUSE COL4A1 4 Q8CJQ8 IF2_STRCO P05142 PRH1_MOUSE PRH1 A8L6F4 IF2_FRASN EAN1PEC Q5PQQ2 WBP11_RAT 11 WBP11 Q923D5 WBP11_MOUSE Q9Y2W2 WBP11_HUMAN</t>
  </si>
  <si>
    <t xml:space="preserve">YLP MOTIF CONTAINING OS RATTUS NORVEGICUS GN PE SV MUS MUSCULUS HOMO SAPIENS COLLAGEN ALPHA IV CHAIN TRANSLATION INITIATION FACTOR IF STREPTOMYCES COELICOLOR INFB PROLINE RICH HAEIII SUBFAMILY FRANKIA STRAIN WW DOMAIN BINDING </t>
  </si>
  <si>
    <t>DUF1183 0.094| SMN | Triabin | PHA03419 | PROCN | ATG22 | PRK08626 | ARS2 | PhrB | ATP6 |</t>
  </si>
  <si>
    <t>RNA processing and modification, Transcription</t>
  </si>
  <si>
    <t>Candidatus Carsonella ruddii PV</t>
  </si>
  <si>
    <t>116335084 YP_802579 1 CRP_182 116235365 BAF35213 254468181 ZP_05081587 207086991 EDZ64274 160872365 ZP_02062497 159121164 EDP46502 70908088 CAJ17053 TB11 0770 70927999 XP_736275 56510673 CAH88513 PC403259 00 0 70908047 CAJ16981 0060 70908049 CAJ16983 0080 70908114 CAJ17107 1280 15895564 NP_348913 337737514 YP_004636961 15025302 AAK80253 AE007730_8 325509713 ADZ21349 336291136 AEI32270 17508199 NP_490692 K10E9 3150511 AAC17021</t>
  </si>
  <si>
    <t xml:space="preserve">HYPOTHETICAL ATP DEPENDENT DNA HELICASE PCRA PERIPLASMIC TRANSCRIPTIONAL REGULATOR MOCR FAMILY BINDING HTH DOMAIN AMINOTRANSFERASE </t>
  </si>
  <si>
    <t>sp|Q6WNV8|VP3_ROTP5</t>
  </si>
  <si>
    <t>Rotavirus A (strain Pig/United States/OSU/1977 G5-P9[7]-I5-R1-C1-M1-A1-N1-T1-E1-H1)</t>
  </si>
  <si>
    <t>Q6WNV8 VP3_ROTP5 VP3 1977 G5 P9 I5 R1 C1 M1 A1 N1 T1 E1 H1 3 1 B1NKT9 VP3_ROTHT ST3 1975 G4 P2A I1 Q91HJ9 VP3_ROTHU 116E 1986 G9 P8 B1NKU3 VP3_ROTWI WI61 1983 P1A B1NKT1 VP3_ROTHP 1974 G3 Q9QNB1 VP3_ROTHK 1995 G1 2 Q3ZK57 VP3_ROT41 B4106 2000 P11 I2 R2 C2 M3 A9 N2 T6 E5 H3 O97239 DOP1_PLAF7 PFC0245C 3D7 A7J3A4 VP3_ROTYO Q6WVH5 VP3_ROTHW</t>
  </si>
  <si>
    <t xml:space="preserve">OS ROTAVIRUS A STRAIN PIG UNITED STATES OSU PE SV HUMAN KINGDOM FRAGMENT ISOLATE INDIA RX CX MX NX TX HX P JAPAN KU BELGIUM DOPEY HOMOLOG PLASMODIUM FALCIPARUM GN YO AX WA </t>
  </si>
  <si>
    <t>PHA02985 0.049| lspA 0.071| ND5 0.080| uvrD | CD47 | 7TM_GPCR_Srh | DUF1430 | PHA03023 | Baculo_VP1054 | bact_immun_7tm |</t>
  </si>
  <si>
    <t>Plautia stali</t>
  </si>
  <si>
    <t>6526700 BAA88077 1 3 312190375 BAJ33507 2108222 AAB72001 6526693 BAA88076 2 2522237 BAA22791 169219461 BAG12118 6526385 BAA88075 56672230 AAW19634 124358336 ABN05621 70673205 AAZ06771</t>
  </si>
  <si>
    <t xml:space="preserve">VITELLOGENIN FEMALE NEOTENIC SPECIFIC </t>
  </si>
  <si>
    <t>sp|Q868N5|VIT_APIME</t>
  </si>
  <si>
    <t>Q868N5 2 1 Q9U8M0 VIT1_PERAM VG2 Q16927 VIT1_AEDAE A1 VGA1 Q2VQM5 VIT3_SOLIN 3 Q2VQM6 VIT2_SOLIN Q9BPS0 VIT2_PERAM Q05808 4 Q7Z1M0 VIT1_SOLIN P87498 VIT1_CHICK VTG1 P18709 VITA2_XENLA A2</t>
  </si>
  <si>
    <t xml:space="preserve">VIT_APIME VITELLOGENIN OS APIS MELLIFERA GN VG PE SV PERIPLANETA AMERICANA AEDES AEGYPTI SOLENOPSIS INVICTA VIT_ANTGR ANTHONOMUS GRANDIS VTG GALLUS XENOPUS LAEVIS </t>
  </si>
  <si>
    <t>Vitellogenin-3 - Solenopsis invicta - molecular_function - extracellular region - biological_process</t>
  </si>
  <si>
    <t>Sed5p | mut-7_like_exo | PLN02896 | rSAM_HydE | otoconin_90 | Phycobilisome | PHA03132 | lctP | FAS1 | Kinetochor_Ybp2 |</t>
  </si>
  <si>
    <t>Camponotus floridanus</t>
  </si>
  <si>
    <t>307182737 EFN69861 1 B0546 340726288 XP_003401492 2 328778017 XP_392616 3 LOC409090 156554767 XP_001602785 332027669 EGI67737 322788183 EFZ13965 SINV_07918 307193507 EFN76284 242025584 XP_002433204 212518745 EEB20466 91092686 XP_971550 270014813 EFA11261 TCASGA2_TC010795 157361609 ABV44762 11 9</t>
  </si>
  <si>
    <t xml:space="preserve">PROBABLE ATPASE INHIBITOR MITOCHONDRIAL MAI LIKE HYPOTHETICAL SIMILAR TO KDA MIDGUT </t>
  </si>
  <si>
    <t>sp|Q8ZYN2|FEN_PYRAE</t>
  </si>
  <si>
    <t>Pyrobaculum aerophilum (strain ATCC 51768 / IM2 / DSM 7523 / JCM 9630 / NBRC 100827)</t>
  </si>
  <si>
    <t>Q8ZYN2 1 51768 IM2 7523 9630 100827 3 P15540 CP21A_PIG 21 CYP21 2 Q49X49 DPO3_STAS1 15305 20229 Q6FMA9 SMP3_CANGA 4 2001 138 3761 0622 65 SMP3 Q9H6S3 ES8L2_HUMAN 8 EPS8L2 Q9JLT0 MYH10_RAT 10 MYH10 Q61879 MYH10_MOUSE A6NEF3 GG6L4_HUMAN 6 GOLGA6L4 5 P13648 Q29510 CP2CU_RABIT P450 2C30 CYP2C30</t>
  </si>
  <si>
    <t xml:space="preserve">FEN_PYRAE FLAP ENDONUCLEASE OS PYROBACULUM AEROPHILUM STRAIN ATCC DSM JCM NBRC GN FEN PE SV STEROID HYDROXYLASE SUS SCROFA DNA POLYMERASE III POLC TYPE STAPHYLOCOCCUS SAPROPHYTICUS SUBSP GPI MANNOSYLTRANSFERASE CANDIDA GLABRATA CBS NRRL Y EPIDERMAL GROWTH FACTOR RECEPTOR KINASE SUBSTRATE LIKE HOMO SAPIENS MYOSIN RATTUS NORVEGICUS MUS MUSCULUS GOLGIN SUBFAMILY A MEMBER LMNA_CHICK LAMIN GALLUS LMNA CYTOCHROME ORYCTOLAGUS CUNICULUS </t>
  </si>
  <si>
    <t>PLDc_yTdp1_2 | DUF1624 | PRK13875 | E1-E2_ATPase | 7TM_GPCR_Sri | ulaA | DUF1237 | PRK14014 | PRK13654 | FeoB |</t>
  </si>
  <si>
    <t>307182302 EFN69603 1 60S L7A 48105889 XP_393034 307191894 EFN75313 229577209 NP_001153326 332020288 EGI60719 322802719 EFZ22936 SINV_04293 62083327 AAX62388 340727956 XP_003402299 70909631 CAJ17240 L7AE 263173277 ACY69898</t>
  </si>
  <si>
    <t xml:space="preserve">RIBOSOMAL HYPOTHETICAL LIKE </t>
  </si>
  <si>
    <t>sp|P32429|RL7A_CHICK</t>
  </si>
  <si>
    <t>P32429 RL7A_CHICK 60S L7A RPL7A 2 O57592 RL7A_TAKRU 3 P62425 RL7A_RAT 1 P12970 RL7A_MOUSE Q4R5C2 RL7A_MACFA P62424 RL7A_HUMAN P46223 RL7A_DROME Q2TBQ5 RL7A_BOVIN Q90YW2 RL7A_ICTPU O76732 RL7A_ANOGA</t>
  </si>
  <si>
    <t xml:space="preserve">RIBOSOMAL OS GALLUS GN PE SV TAKIFUGU RUBRIPES RATTUS NORVEGICUS MUS MUSCULUS MACACA FASCICULARIS HOMO SAPIENS DROSOPHILA MELANOGASTER BOS TAURUS ICTALURUS PUNCTATUS ANOPHELES GAMBIAE </t>
  </si>
  <si>
    <t>Uncharacterized protein - Gallus gallus - ribonucleoprotein complex - ribosome biogenesis</t>
  </si>
  <si>
    <t>PTZ00365 5e-009| PTZ00222 0.002| PRK05416 | DUF1780 | PFL2_DhaB_BssA | pepcterm_ChnLen | Terminase_GpA | Adeno_E1B_19K | TDT_SSU1 | DUF3608 |</t>
  </si>
  <si>
    <t>270046168 BAI50814 1 82538839 XP_723853 23478291 EAA15418 270046166 BAI50813 270046164 BAI50812</t>
  </si>
  <si>
    <t xml:space="preserve">UNNAMED PRODUCT HYPOTHETICAL </t>
  </si>
  <si>
    <t>sp|P54805|YNH2_METBA</t>
  </si>
  <si>
    <t>Methanosarcina barkeri</t>
  </si>
  <si>
    <t>P54805 YNH2_METBA NIFH2 5 3 1 O13612 NEP2_SCHPO NEDD8 2 38366 972 NEP2</t>
  </si>
  <si>
    <t xml:space="preserve">UNCHARACTERIZED IN REGION OS METHANOSARCINA BARKERI PE SV SPECIFIC PROTEASE SCHIZOSACCHAROMYCES POMBE STRAIN ATCC GN </t>
  </si>
  <si>
    <t>Papilloma_E5 | TEL1 | Baculo_LEF5 | PTEN_C2 | PRK10803 | CLAG | IBR | tatC | 3a01205 | PRK08477 |</t>
  </si>
  <si>
    <t>Carbohydrate transport and metabolism, Posttranslational modification, protein turnover, chaperones, Intracellular trafficking, secretion, and vesicular transport</t>
  </si>
  <si>
    <t>156536971 XP_001608270 1 S9E 90819966 ABD98740 50344472 CAH04322 307202013 EFN81577 40S S9 340724942 XP_003400837 307182078 EFN69456 322799909 EFZ21050 SINV_10506 332017469 EGI58192 193580101 XP_001945527 62083481 AAX62465 62083483 AAX62466 195015334 XP_001984182 GH15146 193897664 EDV96530 91089607 XP_967635 270012619 EFA09067 TCASGA2_TC006782</t>
  </si>
  <si>
    <t xml:space="preserve">SIMILAR TO RIBOSOMAL LIKE HYPOTHETICAL VARIANT ISOFORM </t>
  </si>
  <si>
    <t>sp|P55935|RS9_DROME</t>
  </si>
  <si>
    <t>P55935 RS9_DROME 40S S9 RPS9 1 2 P29314 RS9_RAT 4 A9L913 RS9_PAPAN 3 Q6ZWN5 RS9_MOUSE P46781 RS9_HUMAN A6QLG5 RS9_BOVIN Q20228 RS9_CAEEL 9 P52810 RS9_PODAN 980 10383 O59675 RS9B_SCHPO 38366 972 RPS9B Q09757 RS9A_SCHPO RPS9A</t>
  </si>
  <si>
    <t xml:space="preserve">RIBOSOMAL OS DROSOPHILA MELANOGASTER GN PE SV RATTUS NORVEGICUS PAPIO ANUBIS MUS MUSCULUS HOMO SAPIENS BOS TAURUS CAENORHABDITIS ELEGANS RPS PODOSPORA ANSERINA STRAIN S DSM FGSC B SCHIZOSACCHAROMYCES POMBE ATCC A </t>
  </si>
  <si>
    <t>Ribosomal protein S9 - Drosophila melanogaster - cytosolic small ribosomal subunit - translation - structural constituent of ribosome - ribosome - rRNA binding - mitotic spindle organization - mitotic spindle elongation</t>
  </si>
  <si>
    <t>PTZ00155 2e-099| PLN00189 1e-091| rpsD_arch 9e-074| rps4p 1e-049| RpsD 9e-032| Ribosomal_S4 1e-027| S4 7e-011| rpsD 4e-010| rps4 8e-010| rpsD_bact 3e-009|</t>
  </si>
  <si>
    <t>66565929 XP_392809 2 60S L14 332021826 EGI62169 1 146285359 ABQ18256 322801622 EFZ22263 SINV_10702 340717974 XP_003397448 156543734 XP_001607874 307197827 EFN78938 264667335 ACY71253 332028938 EGI68956 62083491 AAX62470</t>
  </si>
  <si>
    <t xml:space="preserve">RIBOSOMAL LIKE HYPOTHETICAL SIMILAR TO </t>
  </si>
  <si>
    <t>sp|Q95ZE8|RL14_DROVI</t>
  </si>
  <si>
    <t>Drosophila virilis</t>
  </si>
  <si>
    <t>Q95ZE8 RL14_DROVI 60S L14 RPL14 3 1 P55841 RL14_DROME 2 O46160 RL14_LUMRU Q3T0U2 RL14_BOVIN A1XQU3 RL14_PIG Q9CR57 RL14_MOUSE Q63507 RL14_RAT P50914 RL14_HUMAN 4 O94238 RL14_SCHPO 38366 972 Q25278 RL14_LEIDO</t>
  </si>
  <si>
    <t xml:space="preserve">RIBOSOMAL OS DROSOPHILA VIRILIS GN PE SV MELANOGASTER LUMBRICUS RUBELLUS BOS TAURUS SUS SCROFA MUS MUSCULUS RATTUS NORVEGICUS HOMO SAPIENS SCHIZOSACCHAROMYCES POMBE STRAIN ATCC PROBABLE LEISHMANIA DONOVANI </t>
  </si>
  <si>
    <t>Ribosomal protein L14 - Drosophila melanogaster - translation - cytosolic large ribosomal subunit - structural constituent of ribosome - cytosolic ribosome - ribosome - negative regulation of neuron apoptosis - lipid particle - mitotic spindle elongation - mitotic spindle organization</t>
  </si>
  <si>
    <t>Ribosomal_L14e 1e-012| PTZ00065 4e-006| Peptidase_S49_N 2e-004| PRK07561 0.014| PTZ00074 0.014| DUF947 0.018| TolA 0.033| PLN03237 0.058| ND6 0.063| tolA 0.064|</t>
  </si>
  <si>
    <t>Achromobacter piechaudii ATCC 43553</t>
  </si>
  <si>
    <t>293606472 ZP_06688830 1 292815095 EFF74218 220921867 YP_002497168 219946473 ACL56865 262369212 ZP_06062540 262315280 EEY96319 238924985 YP_002938501 25 238876660 ACR76367 270012033 EFA08481 TCASGA2_TC006132 189239828 XP_001813266 GA13915 226325692 ZP_03801210 COPCOM_03505 225205816 EEG88170 166032208 ZP_02235037 DORFOR_01911 166027931 EDR46688 296088999 CBI38702 3 225453604 XP_002267268</t>
  </si>
  <si>
    <t xml:space="preserve">CONSERVED HYPOTHETICAL HISTONE DEACETYLASE SUPERFAMILY GLYCOSIDE HYDROLASE FAMILY SIMILAR TO PA UNNAMED PRODUCT </t>
  </si>
  <si>
    <t>sp|C1DCM3|THIE_LARHH</t>
  </si>
  <si>
    <t>Laribacter hongkongensis (strain HLHK9)</t>
  </si>
  <si>
    <t>C1DCM3 HLHK9 3 1 Q9WUL6 M3K14_MOUSE 14 MAP3K14 Q08AF8 GOG8F_HUMAN 8F 8G GOLGA8F 5 Q5WZK8 RS19_LEGPL 30S S19 A5IHR0 RS19_LEGPC Q5X855 RS19_LEGPA Q9Z1T1 AP3B1_MOUSE AP3B1 2 Q3A1W0 2380 Q5EBF1 5NTC_XENTR NT5C2 Q9FN26 U79B6_ARATH 79B6 UGT79B6</t>
  </si>
  <si>
    <t xml:space="preserve">THIE_LARHH THIAMINE PHOSPHATE PYROPHOSPHORYLASE OS LARIBACTER HONGKONGENSIS STRAIN GN THIE PE SV MITOGEN ACTIVATED KINASE MUS MUSCULUS GOLGIN SUBFAMILY A MEMBER HOMO SAPIENS RIBOSOMAL LEGIONELLA PNEUMOPHILA LENS RPSS CORBY PARIS AP COMPLEX SUBUNIT BETA SYA_PELCD ALANYL TRNA SYNTHETASE PELOBACTER CARBINOLICUS DSM GRA BD ALAS CYTOSOLIC PURINE NUCLEOTIDASE XENOPUS TROPICALIS UDP GLYCOSYLTRANSFERASE ARABIDOPSIS THALIANA </t>
  </si>
  <si>
    <t>PRK10750 | PRK10319 | DHHA1 | DNA_pack_N | rpsS | AtpB | CARM1 | Med23 | OMPLA | rps19 |</t>
  </si>
  <si>
    <t>Naegleria gruberi</t>
  </si>
  <si>
    <t>290973911 XP_002669690 1 284083241 EFC36946 145495446 XP_001433716 124400835 CAK66319 124026311 YP_001015427 123961379 ABM76162 124809959 XP_001348726 23497625 AAN37165 223040078 ZP_03610359 222878664 EEF13764 222632222 EEE64354 OSJ_19194 222615594 EEE51726 OSJ_33125 218185327 EEC67754 OSI_35280 195440380 XP_002068020 GK10811 194164105 EDW79006 158564103 Q0DGS1 2 14</t>
  </si>
  <si>
    <t xml:space="preserve">HYPOTHETICAL UNNAMED PRODUCT CYCLOPHILIN TYPE PEPTIDYL PROLYL CIS TRANS ISOMERASE CONSERVED PLASMODIUM UNKNOWN FUNCTION ARFN_ORYSJ FULL AUXIN RESPONSE FACTOR </t>
  </si>
  <si>
    <t>sp|Q0DGS1|ARFN_ORYSJ</t>
  </si>
  <si>
    <t>Q0DGS1 14 ARF14 2 P09750 SHU6_ECOLX 4 1 B5YG44 RL2_THEYD 50S L2 51303 11347 YP87 3 B3NV41 NAAT1_DROER NAAT1 Q9Z2A5 ATE1_MOUSE ATE1 A8MDD0 PUS10_CALMQ PUS10 13496 167 P20105 E74EA_DROME 74EF EIP74EF B3E7T8 RL2_GEOLS 1151 17278 O13154 PACN2_CHICK PACSIN2 Q7M3M6 E74EF_DROVI</t>
  </si>
  <si>
    <t xml:space="preserve">ARFN_ORYSJ AUXIN RESPONSE FACTOR OS ORYZA SATIVA SUBSP JAPONICA GN PE SV SHUFFLON C ESCHERICHIA COLI RIBOSOMAL THERMODESULFOVIBRIO YELLOWSTONII STRAIN ATCC DSM RPLB SODIUM DEPENDENT NUTRIENT AMINO ACID TRANSPORTER DROSOPHILA ERECTA ARGINYL TRNA TRANSFERASE MUS MUSCULUS PSEUDOURIDINE SYNTHASE CALDIVIRGA MAQUILINGENSIS DSMZ IC ECDYSONE INDUCED ISOFORM A MELANOGASTER GEOBACTER LOVLEYI BAA SZ KINASE CASEIN SUBSTRATE IN NEURONS GALLUS VIRILIS </t>
  </si>
  <si>
    <t>Med5 | 7TM-7TMR_HD | met_A_Alw26 | PLN02508 | ACSF | UPF0259 | spore_ylbJ | Intg_mem_TP0381 | PBP2_NikA | AcsF |</t>
  </si>
  <si>
    <t>Transcription, Replication, recombination and repair</t>
  </si>
  <si>
    <t>Ascaris suum</t>
  </si>
  <si>
    <t>324512585 ADY45210 1 4 237837719 XP_002368157 TGME49_032980 211965821 EEB01017 221509077 EEE34646 TGVEG_022660 221488578 EEE26792 332185563 ZP_08387311 332014541 EGI56598 334333512 XP_001370713 2 71423576 XP_812505 70877291 EAN90654 327288536 XP_003228982 3 120554246 YP_958597 MAQU_1321 120324095 ABM18410 156355945 XP_001623694 156210417 EDO31594 149023354 EDL80248 RCG26843</t>
  </si>
  <si>
    <t xml:space="preserve">ADENYLATE CYCLASE TYPE HYPOTHETICAL CONSERVED SUGAR GLYCOSIDE PENTOSIDE HEXURONIDE TRANSPORTER DOMAIN PYRIN LIKE TASTE RECEPTOR MEMBER </t>
  </si>
  <si>
    <t>sp|Q1ZXA7|FSCC_DICDI</t>
  </si>
  <si>
    <t>Q1ZXA7 3 1 Q06R68 YCF2_JASNU YCF2 A4WGB3 FDHE_ENT38 638 Q9FID9 Y5389_ARATH AT5G38990 2 B8IMW7 ORS2060 21967 Q12541 LAC1_AGABI LCC1 Q9FID6 Y5392_ARATH AT5G39020 Q61161 M4K2_MOUSE MAP4K2 Q12851 M4K2_HUMAN A7ML45 FDHE_ENTS8 894</t>
  </si>
  <si>
    <t xml:space="preserve">FSCC_DICDI FRIZZLED SMOOTHENED LIKE SANS CRD C OS DICTYOSTELIUM DISCOIDEUM GN FSCC PE SV JASMINUM NUDIFLORUM A FDHE HOMOLOG ENTEROBACTER STRAIN PROBABLE RECEPTOR KINASE ARABIDOPSIS THALIANA MRAY_METNO PHOSPHO N ACETYLMURAMOYL PENTAPEPTIDE TRANSFERASE METHYLOBACTERIUM NODULANS LMG MRAY LACCASE AGARICUS BISPORUS MITOGEN ACTIVATED MUS MUSCULUS HOMO SAPIENS SAKAZAKII ATCC BAA </t>
  </si>
  <si>
    <t>SCP_euk 3e-019| SCP 7e-017| SCP_GLIPR-1_like 5e-011| SCP_CRISP 7e-010| SCP_HrTT-1 6e-009| SCP 3e-008| SCP_GAPR-1_like 2e-007| CAP 1e-005| SCP_PRY1_like 2e-005| SCP_PR-1_like 0.003|</t>
  </si>
  <si>
    <t>PTZ00228 | DUF862 | rSAM_six_Cys | NC | ND4 | ndhB | Arena_RNA_pol | stp | TIGR03766 | secF |</t>
  </si>
  <si>
    <t>156551531 XP_001601579 1 L32 2 156551533 XP_001601522 62083443 AAX62446 62083441 AAX62445 149898898 ABR27950 60S 307006443 ADN23506 66472210 BAD98920 49 307006519 ADN23544 242046484 XP_002399507 215497548 EEC07042 90820010 ABD98762 330367403 BAK19477</t>
  </si>
  <si>
    <t xml:space="preserve">SIMILAR TO RIBOSOMAL ISOFORM B A </t>
  </si>
  <si>
    <t>sp|Q962T1|RL32_SPOFR</t>
  </si>
  <si>
    <t>Q962T1 RL32_SPOFR 60S L32 RPL32 2 1 Q8WRF3 RL32_APIME Q94460 RL32_DROAC P61127 RL32_DROYA P61128 RL32_DROSI 3 P04359 RL32_DROME P84323 RL32_DROPS P84327 RL32_DROPE P84326 RL32_DROMI P84325 RL32_DROAZ</t>
  </si>
  <si>
    <t xml:space="preserve">RIBOSOMAL OS SPODOPTERA FRUGIPERDA GN PE SV APIS MELLIFERA DROSOPHILA ACANTHOPTERA YAKUBA SIMULANS MELANOGASTER PSEUDOOBSCURA PERSIMILIS MIRANDA AZTECA </t>
  </si>
  <si>
    <t>Ribosomal protein L32 - Drosophila melanogaster - translation - structural constituent of ribosome - cytosolic large ribosomal subunit - ribosome - mitotic spindle organization - mitotic spindle elongation</t>
  </si>
  <si>
    <t>PTZ00159 6e-022| Ribosomal_L32e 3e-014| Ribosomal_L32_L32e 7e-013| RPL32 2e-006| rpl32e 0.003| Pinin_SDK_memA | ND2 | DUF3422 | Enhancin | PRK04031 |</t>
  </si>
  <si>
    <t>sp|P34550|YNJ6_CAEEL</t>
  </si>
  <si>
    <t>P34550 YNJ6_CAEEL R10E11 6 2 Q3Z709 NUSB_DEHE1 195 3 1 O32162 D3S3T0 FS406 22 Q98RF8 Q9LFD2 LAC8_ARATH 8 LAC8</t>
  </si>
  <si>
    <t xml:space="preserve">UNCHARACTERIZED OS CAENORHABDITIS ELEGANS GN PE SV N UTILIZATION SUBSTANCE B HOMOLOG DEHALOCOCCOIDES ETHENOGENES STRAIN NUSB SUFB_BACSU FES CLUSTER ASSEMBLY SUFB BACILLUS SUBTILIS RIBL_METSF FAD SYNTHASE METHANOCALDOCOCCUS RIBL RECR_MYCPU RECOMBINATION RECR MYCOPLASMA PULMONIS LACCASE ARABIDOPSIS THALIANA </t>
  </si>
  <si>
    <t>7TM_GPCR_Srj | ND2 | GT8_like_1 | ND5 | ND5 | ND4 | DUF1461 | SKN1 | ND5 | Srg |</t>
  </si>
  <si>
    <t>Tetrodontophora bielanensis</t>
  </si>
  <si>
    <t>13621154 NP_112429 1 4 13570021 AAK30948 2 AF272824_9 340504870 EGR31277 IMG5_114870 251811215 ZP_04825688 251805252 EES57909 256846335 ZP_05551792 256718104 EEU31660 66358938 XP_626647 46228395 EAK89294 70779446 AAZ08210 238919222 YP_002932737 NT01EI_1305 16648657 AAL25628 238868791 ACR68502 328724959 XP_003248299 LOC100572717 255037243 YP_003087864 254949999 ACT94699 328872558 EGG20925 DFA_00792</t>
  </si>
  <si>
    <t xml:space="preserve">NADH DEHYDROGENASE SUBUNIT HYPOTHETICAL AROMATIC AMINO ACID AMINOTRANSFERASE WITH SIGNAL WBEIA CONSERVED CELL CYCLE </t>
  </si>
  <si>
    <t>sp|Q9TSL6|UDB23_MACFA</t>
  </si>
  <si>
    <t>Q9TSL6 UDB23_MACFA 2B23 UGT2B23 1 Q555I8 KIF9_DICDI 9 KIF9 2 Q8JL91 VTF3L_ECTVM 3 VITF3L Q68CZ6 HAUS3_HUMAN HAUS3 Q57822 Y377_METJA MJ0377 43067 2661 10045 100440 4 Q0WQG8 GTG2_ARATH GTG2 Q9XIP7 GTG1_ARATH GTG1 Q63517 P33846 VTF3L_VAR67 IND3 1967 Q77TH8 VTF3L_VACCT</t>
  </si>
  <si>
    <t xml:space="preserve">UDP GLUCURONOSYLTRANSFERASE OS MACACA FASCICULARIS GN PE SV KINESIN RELATED DICTYOSTELIUM DISCOIDEUM INTERMEDIATE TRANSCRIPTION FACTOR LARGE SUBUNIT ECTROMELIA VIRUS STRAIN MOSCOW HAUS AUGMIN LIKE COMPLEX HOMO SAPIENS UNCHARACTERIZED METHANOCALDOCOCCUS JANNASCHII ATCC DSM JAL JCM NBRC GPCR TYPE G ARABIDOPSIS THALIANA CENPI_RAT CENTROMERE I RATTUS NORVEGICUS CENPI VARIOLA ISOLATE HUMAN INDIA VACCINIA TIAN TAN </t>
  </si>
  <si>
    <t>ND6 0.032| COX2 0.042| Phlebovirus_G1 0.089| ND4 | TAS2R | PLN02292 | Anoctamin | Borrelia_orfA | ND5 | ND4 |</t>
  </si>
  <si>
    <t>Capnocytophaga sp. oral taxon 329 str. F0087</t>
  </si>
  <si>
    <t>332881591 ZP_08449240 1 332680589 EGJ53537 317490821 ZP_07949257 316920368 EFV41691 194775834 XP_001967849 GF19975 190614411 EDV29935</t>
  </si>
  <si>
    <t xml:space="preserve">TWO COMPONENT REGULATOR PROPELLER INNER MEMBRANE CRED </t>
  </si>
  <si>
    <t>sp|P82933|RT09_HUMAN</t>
  </si>
  <si>
    <t>P82933 RT09_HUMAN 28S S9 MRPS9 1 2 Q58DQ5 RT09_BOVIN 3 P54315 LIPR1_HUMAN PNLIPRP1 Q9D7N3 RT09_MOUSE</t>
  </si>
  <si>
    <t xml:space="preserve">RIBOSOMAL MITOCHONDRIAL OS HOMO SAPIENS GN PE SV BOS TAURUS PANCREATIC LIPASE RELATED MUS MUSCULUS </t>
  </si>
  <si>
    <t>7TM_GPCR_Srx 0.047| CRD_FZ6 | Srg | CreD | DUF2829 | Arena_RNA_pol | DUF613 | ND1 | pssA | PLDc_PSS_G_neg_2 |</t>
  </si>
  <si>
    <t>Lysiphlebus fabarum</t>
  </si>
  <si>
    <t>4586208 CAB40963 1</t>
  </si>
  <si>
    <t xml:space="preserve">NADH DEHYDROGENASE SUBUNIT </t>
  </si>
  <si>
    <t>sp|Q89AZ4|FLIM_BUCBP</t>
  </si>
  <si>
    <t>Buchnera aphidicola subsp. Baizongia pistaciae (strain Bp)</t>
  </si>
  <si>
    <t>Q89AZ4 3 1 P52550 MYBL1 2</t>
  </si>
  <si>
    <t xml:space="preserve">FLIM_BUCBP FLAGELLAR MOTOR SWITCH FLIM OS BUCHNERA APHIDICOLA SUBSP BAIZONGIA PISTACIAE STRAIN BP GN PE SV MYBA_CHICK MYB RELATED A GALLUS </t>
  </si>
  <si>
    <t>46 |</t>
  </si>
  <si>
    <t>114051311 NP_001040110 1 87248087 ABD36096 242247120 NP_001156066 LOC100159439 239790229 BAH71688 ACYPI000810 15673421 NP_267595 281491995 YP_003353975 12724429 AAK05537 AE006374_2 281375704 ADA65208 326406916 ADZ63987 116512241 YP_809457 125623894 YP_001032377 116107895 ABJ73035 124492702 CAL97656 300070666 ADJ60066 156550885 XP_001602321 GA21017 110776829 XP_001119936 110764733 XP_001122944 313885332 ZP_07819083 312619438 EFR30876 156035609 XP_001585916 154698413 EDN98151 225856971 YP_002738482 225726312 ACO22164</t>
  </si>
  <si>
    <t xml:space="preserve">CYTIDINE DEAMINASE HYPOTHETICAL SIMILAR TO PA LIKE </t>
  </si>
  <si>
    <t>sp|Q8QV02|VP3_FDVS</t>
  </si>
  <si>
    <t>Fiji disease virus (isolate Sugarcane)</t>
  </si>
  <si>
    <t>Q8QV02 VP3_FDVS VP3 S3 4 1 Q6MSP0 RL6_MYCMS 50S L6 3 P04448 RL6_MYCCT 27343 10154 Q0WP85 PP150_ARATH AT2G13420 2 A1SJF2 499 JS614 B2GHT4 9341 348 103217 DC2201 Q8VDP2 CX056_MOUSE UPF0428 CXORF56 P08976 LH18_EUGGR LH38 Q663A0 B7J0V1 ZS7</t>
  </si>
  <si>
    <t xml:space="preserve">STRUCTURAL OS FIJI DISEASE VIRUS ISOLATE SUGARCANE GN PE SV RIBOSOMAL MYCOPLASMA MYCOIDES SUBSP SC RPLF CAPRICOLUM STRAIN CALIFORNIA KID ATCC NCTC PENTATRICOPEPTIDE REPEAT CONTAINING MITOCHONDRIAL ARABIDOPSIS THALIANA PYRD_NOCSJ DIHYDROOROTATE DEHYDROGENASE QUINONE NOCARDIOIDES BAA PYRD PYRD_KOCRD KOCURIA RHIZOPHILA DSM NBRC HOMOLOG MUS MUSCULUS LIGHT HARVESTING COMPLEX I PROTEINS FRAGMENT EUGLENA GRACILIS TRUA_BORGA TRNA PSEUDOURIDINE SYNTHASE A BORRELIA GARINII TRUA TRUA_BORBZ BURGDORFERI </t>
  </si>
  <si>
    <t>dnd_rel_methyl | PRK03545 | TatC | cyt_deam_tetra | ND4L | ND6 | PRK12411 | DUF2705 | Herpes_U26 | NAD4L |</t>
  </si>
  <si>
    <t>Strongylocentrotus purpuratus</t>
  </si>
  <si>
    <t>115966118 XP_001193594 1 115620372 XP_001200099 115942391 XP_001193811 115623975 XP_783120 2 115903744 XP_001180711 115945512 XP_001193895 82409002 ABB73282 324325177 ADY20437 326578593 ADZ95867 326578589 ADZ95865 254471295 ZP_05084697 211959441 EEA94639 221053855 XP_002261675 193808135 CAQ38838</t>
  </si>
  <si>
    <t xml:space="preserve">SIMILAR TO ENDONUCLEASE REVERSE TRANSCRIPTASE PARTIAL LANTIBIOTIC DEHYDRATASE DOMAIN CONTAINING POSSIBLE TRANSCRIPTIONAL REGULATOR ASNC FAMILY HYPOTHETICAL CONSERVED IN P KNOWLESI </t>
  </si>
  <si>
    <t>sp|Q39LF8|FLHC_BURS3</t>
  </si>
  <si>
    <t>Burkholderia sp. (strain 383)</t>
  </si>
  <si>
    <t>Q39LF8 FLHC_BURS3 383 3 1 Q7Z614 SNX20_HUMAN 20 SNX20 Q6YQW3 Q2NJ15 Q14517 FAT1_HUMAN FAT1 2 Q2T9W1 SNX20_BOVIN P34443 RHEB1_CAEEL C1DAT3 RL18_LARHH 50S L18 HLHK9 P15263 P37609 LCN2_LACLA 481 LCNDR2 4</t>
  </si>
  <si>
    <t xml:space="preserve">FLAGELLAR TRANSCRIPTIONAL REGULATOR FLHC OS BURKHOLDERIA STRAIN GN PE SV SORTING NEXIN HOMO SAPIENS RPOB_ONYPE DNA DIRECTED RNA POLYMERASE SUBUNIT BETA ONION YELLOWS PHYTOPLASMA OY M RPOB RPOB_AYWBP ASTER WITCHES BROOM AYWB PROTOCADHERIN FAT BOS TAURUS GTP BINDING RHEB HOMOLOG CAENORHABDITIS ELEGANS RIBOSOMAL LARIBACTER HONGKONGENSIS RPLR DEGT_GEOSE PLEIOTROPIC REGULATORY GEOBACILLUS STEAROTHERMOPHILUS DEGT LACTICIN LACTOCOCCIN BIOSYNTHESIS LACTOCOCCUS LACTIS SUBSP </t>
  </si>
  <si>
    <t>RT_nLTR_like 0.050| PX_SNX20 | PHA03374 | C2A_SLP | SQS_PSY | PRK01766 | PBP2_LTTR_like_4 | PTZ00029 | cyt_deam_dimer | PRK14329 |</t>
  </si>
  <si>
    <t>UAA |</t>
  </si>
  <si>
    <t>Achromobacter xylosoxidans A8</t>
  </si>
  <si>
    <t>311109134 YP_003981987 1 AXYL_05978 310763823 ADP19272 317401183 EFV81829 338782596 EGP46968 AXXA_08184 293602175 ZP_06684626 292819445 EFF78475 254822880 ZP_05227881 MINTA_23324</t>
  </si>
  <si>
    <t xml:space="preserve">HYPOTHETICAL DRUG METABOLITE EXPORTER FAMILY TRANSPORTER EAMA </t>
  </si>
  <si>
    <t>sp|P0CL40|YOR96_YEAST</t>
  </si>
  <si>
    <t>P0CL40 YOR96_YEAST UPF0479 YOR396C 204508 S288C 5 1 P0CL39 YL67C_YEAST YLR467C P0CY01 YL67A_YEAST YLL067W 2 P0CL38 YL66C_YEAST YLR466C P0CY00 YL66A_YEAST YLL066W P0CX99 YFG8_YEAST YFL068W 3 P0CL37 YD545_YEAST YDR545C P0C5B8 YH050_YEAST YHL050W Q05131 YMS4_YEAST YMR034C P0CL41 YJ255_YEAST YIL177W</t>
  </si>
  <si>
    <t xml:space="preserve">A OS SACCHAROMYCES CEREVISIAE STRAIN ATCC GN PE SV MEMBRANE UNCHARACTERIZED </t>
  </si>
  <si>
    <t>FimP 0.015| Cg6151-P | RNA_pol_I_A49 | LIM4_Paxillin_like | Pex24p | PRK10836 | FANCF | DUF604 | cobalto_cobN | PRK09274 |</t>
  </si>
  <si>
    <t>PRK10543 |</t>
  </si>
  <si>
    <t>Heterodera glycines</t>
  </si>
  <si>
    <t>302151395 ADK97622 1 5 288903196 YP_003433806 261499442 ACX85132 167522753 XP_001745714 163776063 EDQ89685 83981 F30010 NADH2 6 3 4 290473286 YP_003466152 XBJ1_0203 289172585 CBJ79354 86151829 ZP_01070043 CJJ26094_0486 85841458 EAQ58706 16081952 NP_394362 TA0903 10640180 CAC12032 57237246 YP_178258 CJE0235 57166050 AAW34829 315930913 EFV09895 321442384 ADW85698 323652320 ADX98401 86148989 ZP_01067221 85840347 EAQ57604 313116353 ADR32161 315058127 ADT72456 CJS3_0715 299829004 YP_003734897 269812112 ACZ44421</t>
  </si>
  <si>
    <t xml:space="preserve">NADH DEHYDROGENASE SUBUNIT HYPOTHETICAL UBIQUINONE EC CHAIN LEISHMANIA TARENTOLAE MITOCHONDRION MEMBRANE CONSERVED </t>
  </si>
  <si>
    <t>sp|Q54IV7|RFT1_DICDI</t>
  </si>
  <si>
    <t>Q54IV7 RFT1_DICDI RFT1 3 1 Q057F2 2 P36099 YKD0_YEAST YKL030W 204508 S288C 5 Q67NX5 S12 Q9D132 UPK1A_MOUSE 1A UPK1A O00322 UPK1A_HUMAN P38572 UPK1A_BOVIN Q54F34 Y1141_DICDI DDB_G0291141 O32273 B1H0H2 D17 TGRD_521</t>
  </si>
  <si>
    <t xml:space="preserve">HOMOLOG OS DICTYOSTELIUM DISCOIDEUM GN PE SV CYOE_BUCCC PROTOHEME IX FARNESYLTRANSFERASE BUCHNERA APHIDICOLA SUBSP CINARA CEDRI CYOE UNCHARACTERIZED SACCHAROMYCES CEREVISIAE STRAIN ATCC RIMO_SYMTH RIBOSOMAL METHYLTHIOTRANSFERASE RIMO SYMBIOBACTERIUM THERMOPHILUM UROPLAKIN MUS MUSCULUS HOMO SAPIENS BOS TAURUS PROBABLE ZINC TRANSPORTER TUAB_BACSU TEICHURONIC ACID BIOSYNTHESIS TUAB BACILLUS SUBTILIS RUVX_UNCTG HOLLIDAY JUNCTION RESOLVASE UNCULTURED TERMITE GROUP BACTERIUM PHYLOTYPE RS </t>
  </si>
  <si>
    <t>ND2 0.055| ND2 0.097| ND4 | ND5 | 7TM_GPCR_Srz | RGG_Cterm | ND1 | rpl28 | Rab5ip | ND4L |</t>
  </si>
  <si>
    <t>Clostridium novyi NT</t>
  </si>
  <si>
    <t>118444181 YP_878441 1 118134637 ABK61681 254422585 ZP_05036303 S7335_2737 196190074 EDX85038</t>
  </si>
  <si>
    <t xml:space="preserve">R PHENYLLACTATE DEHYDRATASE SMALL SUBUNIT HYPOTHETICAL </t>
  </si>
  <si>
    <t>sp|Q6IQX7|CHSS2_MOUSE</t>
  </si>
  <si>
    <t>Q6IQX7 CHSS2_MOUSE 2 1 Q8IZ52 CHSS2_HUMAN O80915 PR1B4_ARATH PRA1 B4 PRA1B4 Q9H792 PEAK1_HUMAN PEAK1 4 Q74AB0 3 Q6FJ45 AIM24_CANGA 24 2001 138 3761 0622 65 AIM24</t>
  </si>
  <si>
    <t xml:space="preserve">CHONDROITIN SULFATE SYNTHASE OS MUS MUSCULUS GN CHPF PE SV HOMO SAPIENS FAMILY ARABIDOPSIS THALIANA PSEUDOPODIUM ENRICHED ATYPICAL KINASE ATKA_GEOSL POTASSIUM TRANSPORTING ATPASE A CHAIN GEOBACTER SULFURREDUCENS KDPA ALTERED INHERITANCE MITOCHONDRIA MITOCHONDRIAL CANDIDA GLABRATA STRAIN ATCC CBS JCM NBRC NRRL Y </t>
  </si>
  <si>
    <t>PRK08576 | DUF1836 | PRK06850 | tauD | PRK10124 | ddl | DNA_S_dndC | PRK14121 | pepcterm_export | FGGY_N |</t>
  </si>
  <si>
    <t>242247445 NP_001156239 1 TM2 239789943 BAH71565 ACYPI007262 158285598 XP_308388 3 AGAP007485 157020069 EAA04638 312379841 EFR26001 AND_08196 157131258 XP_001655841 AAEL_AAEL012051 108871589 EAT35814 156554152 XP_001599414 170058644 XP_001865009 167877685 EDS41068 328781192 XP_624839 2 CG10795 198461633 XP_001362070 GA10564 198137402 EAL26650 195486499 XP_002091538 GE13716 194177639 EDW91250 195346427 XP_002039759 GM15723 195585424 XP_002082481 GD25200 194135108 EDW56624 194194490 EDX08066</t>
  </si>
  <si>
    <t xml:space="preserve">DOMAIN CONTAINING LIKE PA HYPOTHETICAL CONSERVED SIMILAR TO </t>
  </si>
  <si>
    <t>sp|Q9W2H1|TM2D1_DROME</t>
  </si>
  <si>
    <t>Q9W2H1 TM2D1_DROME TM2 CG10795 2 1 Q99MB3 TM2D1_MOUSE TM2D1 Q9BX74 TM2D1_HUMAN A5PLH4 TM2D1_DANRE Q95PJ8 TM2D3_CAEEL Y66D12A 21 Q8BJ83 TM2D3_MOUSE 3 TM2D3 Q9BRN9 TM2D3_HUMAN A5PLF5 TM2D3_DANRE Q07FZ2 TM2D3_XENTR Q6DE06 TM2D3_XENLA</t>
  </si>
  <si>
    <t xml:space="preserve">DOMAIN CONTAINING OS DROSOPHILA MELANOGASTER GN PE SV MUS MUSCULUS HOMO SAPIENS DANIO RERIO CAENORHABDITIS ELEGANS XENOPUS TROPICALIS LAEVIS </t>
  </si>
  <si>
    <t>Drosophila melanogaster - cellular_component - molecular_function - biological_process</t>
  </si>
  <si>
    <t>TM2 1e-006| PHA01886 7e-005| XynA 0.002| Rrn6 0.047| GDE_N 0.072| Aconitase | DUF3557 | DUF3819 | sulfolob_CbsB | Toxin_trans |</t>
  </si>
  <si>
    <t>149689084 ABR27873 1 60S L8 121543717 ABM55545 L8E 242008406 XP_002424997 212508626 EEB12259 340719245 XP_003398066 332028826 EGI68855 326503652 BAJ86332 322794791 EFZ17738 SINV_06691 307200174 EFN80472 307212337 EFN88141 307182556 EFN69749 268306420 ACY95331</t>
  </si>
  <si>
    <t>sp|Q95V39|RL8_SPOFR</t>
  </si>
  <si>
    <t>Q95V39 RL8_SPOFR 60S L8 RPL8 2 1 Q6RYS3 RL8_MAMBR Q9V3G1 RL8_DROME Q9U9L2 RL8_ANOGA P41569 RL8_AEDAL 3 Q6PBF0 RL8_XENTR P41116 RL8_XENLA P62919 RL8_RAT P62918 RL8_MOUSE Q90YW1 RL8_ICTPU</t>
  </si>
  <si>
    <t xml:space="preserve">RIBOSOMAL OS SPODOPTERA FRUGIPERDA GN PE SV MAMESTRA BRASSICAE DROSOPHILA MELANOGASTER ANOPHELES GAMBIAE AEDES ALBOPICTUS XENOPUS TROPICALIS LAEVIS RATTUS NORVEGICUS MUS MUSCULUS ICTALURUS PUNCTATUS </t>
  </si>
  <si>
    <t>PTZ00180 0.030| rpl2p | ALDH_DhaS | Csc1_I-D | Pat_SDP1-like | DUF1561 | COG0701 | ND3 | DUF770 | PRK08173 |</t>
  </si>
  <si>
    <t>149898879 ABR27938 1 P1 263173430 ACY69940 60S 195437586 XP_002066721 GK24637 194162806 EDW77707 148298793 NP_001091750 54609189 AAV34810 17136320 NP_476630 LP1 194853475 XP_001968169 GG24717 195350097 XP_002041578 GM16740 195575543 XP_002077637 GD23023 1350780 P08570 2 RLA1_DROME RPA2 RP21C 386060 AAB26902 7296207 AAF51499 17861586 AAL39270 GH13422P 190660036 EDV57228 194123351 EDW45394 194189646 EDX03222 307187711 EFN72683 194766521 XP_001965373 GF20653 190617983 EDV33507 321458684 EFX69748 DAPPUDRAFT_300690 18253043 AAL62466 8476 CAA68557</t>
  </si>
  <si>
    <t xml:space="preserve">RIBOSOMAL ACIDIC FULL ALTNAME HYPOTHETICAL UNNAMED PRODUCT </t>
  </si>
  <si>
    <t>sp|P08570|RLA1_DROME</t>
  </si>
  <si>
    <t>P08570 RLA1_DROME 60S P1 RPLP1 1 2 P02402 RLA1_ARTSA P91913 RLA1_CAEEL P19944 RLA1_RAT 3 P05386 RLA1_HUMAN P18660 RLA1_CHICK Q56K14 RLA1_BOVIN P47955 RLA1_MOUSE P17476 RLA1_SCHPO 38366 972 RPA1 P50344 RLA1_DAVTA CLAH12</t>
  </si>
  <si>
    <t xml:space="preserve">ACIDIC RIBOSOMAL OS DROSOPHILA MELANOGASTER GN PE SV ARTEMIA SALINA CAENORHABDITIS ELEGANS RLA RATTUS NORVEGICUS HOMO SAPIENS GALLUS BOS TAURUS MUS MUSCULUS ALPHA SCHIZOSACCHAROMYCES POMBE STRAIN ATCC DAVIDIELLA TASSIANA </t>
  </si>
  <si>
    <t>Ribosomal protein LP1 - Drosophila melanogaster - cytosolic large ribosomal subunit - structural constituent of ribosome - translation - translational elongation - lipid particle</t>
  </si>
  <si>
    <t>Ribosomal_P1 1e-027| Ribosomal_60s 3e-022| RPP1A 1e-017| Ribosomal_P2 2e-016| Ribosomal_P1_P2_L12p 7e-016| PLN00138 1e-011| PTZ00373 4e-011| rpl12p 5e-010| L21P_arch 5e-008| Ribosomal_L12p 7e-008|</t>
  </si>
  <si>
    <t>Branchiostoma floridae</t>
  </si>
  <si>
    <t>260797829 XP_002593903 1 BRAFLDRAFT_234778 229279135 EEN49914 291232666 XP_002736266 176 319004054 NP_001187755 2 308323887 ADO29079 115696779 XP_799118 115951979 XP_001176147 254789057 B5XGE7 TPC2L_SALSA 209738096 ACI69917 47230519 CAF99712 225715674 ACO13683 268607579 NP_001003506 224613254 ACN60206 213515428 NP_001134513 209733926 ACI67832</t>
  </si>
  <si>
    <t xml:space="preserve">HYPOTHETICAL HEMATOPOIETIC STEM PROGENITOR CELLS LIKE TRAFFICKING PARTICLE COMPLEX SUBUNIT FULL UNNAMED PRODUCT </t>
  </si>
  <si>
    <t>sp|B5XGE7|TPC2L_SALSA</t>
  </si>
  <si>
    <t>Salmo salar</t>
  </si>
  <si>
    <t>B5XGE7 TPC2L_SALSA 2 TRAPPC2L 1 Q9JME7 TPC2L_MOUSE B2RYU6 TPC2L_RAT Q5M8X5 TPC2L_XENTR B5FXJ6 TPC2L_TAEGU A6H7F7 TPC2L_BOVIN Q9UL33 TPC2L_HUMAN Q54CU7 TPC2L_DICDI 3 Q5RBK9 TPC2L_PONAB O13732 C15A10 12C 38366 972 SPAC15A10</t>
  </si>
  <si>
    <t xml:space="preserve">TRAFFICKING PARTICLE COMPLEX SUBUNIT LIKE OS SALMO SALAR GN PE SV MUS MUSCULUS RATTUS NORVEGICUS XENOPUS TROPICALIS TAENIOPYGIA GUTTATA BOS TAURUS HOMO SAPIENS DICTYOSTELIUM DISCOIDEUM PONGO ABELII YDOC_SCHPO UNCHARACTERIZED SCHIZOSACCHAROMYCES POMBE STRAIN ATCC </t>
  </si>
  <si>
    <t>trafficking protein particle complex 2-like - Mus musculus - intracellular - cytoplasm - Golgi apparatus - transport - endoplasmic reticulum - vesicle-mediated transport - ER to Golgi vesicle-mediated transport</t>
  </si>
  <si>
    <t>Sedlin_N 8e-029| TRS20 7e-007| Sybindin 5e-006| Lipoprotein_16 0.068| TRS23 0.098| PLN02981 | ND4 | SufC | PRK00093 | ND2 |</t>
  </si>
  <si>
    <t>Maconellicoccus hirsutus</t>
  </si>
  <si>
    <t>121543975 ABM55652 1 S28E 187175305 NP_001119669 187175307 NP_001119670 193582610 XP_001943747 40S S28 89473734 ABD72679 89473788 ABD72706 91094381 XP_971000 69608600 CAJ01883 69608604 CAJ01884 264667435 ACY71303 270014912 EFA11360 TCASGA2_TC011517 18858095 NP_572568 S28B 125983790 XP_001355660 GA15566 194890478 XP_001977317 GG18316 195044778 XP_001991871 GH12901 195134759 XP_002011804 GI14378 195350506 XP_002041781 GM11375 195393766 XP_002055524 GJ19416 195446918 XP_002070981 GK25380 195481706 XP_002101747 GE17798 195565977 XP_002106570 GD16052 51316939 Q9W334 2 RS28_DROME 10728547 AAF46503 16769298 AAL28868 LD23674P 54643976 EAL32719 190648966 EDV46244 193901629 EDW00496 193909058 EDW07925 194123586 EDW45629 194150034 EDW65725 194167066 EDW81967 194189271 EDX02855 194203950 EDX17526 220947628 ACL86357 RPS28B 220956992 ACL91039 328779779 XP_003249702 285027703 ADC34225 307166370 EFN60507 307195301 EFN77249 332022410 EGI62718 170060838 XP_001865978 170060842 XP_001865980 167879215</t>
  </si>
  <si>
    <t xml:space="preserve">RIBOSOMAL LIKE SIMILAR TO HYPOTHETICAL FULL PA </t>
  </si>
  <si>
    <t>sp|Q9W334|RS28_DROME</t>
  </si>
  <si>
    <t>Q9W334 RS28_DROME 40S S28 RPS28B 3 2 Q962Q2 RS28_SPOFR RPS28 1 Q6EV21 RS28_PAPDA Q6PS50 RS28_BOMMO Q90YP3 RS28_ICTPU Q6PBK3 RS28_DANRE Q95Y04 RS28_CAEEL 28 P62859 RS28_RAT Q6QAT1 RS28_PIG P62858 RS28_MOUSE</t>
  </si>
  <si>
    <t xml:space="preserve">RIBOSOMAL OS DROSOPHILA MELANOGASTER GN PE SV SPODOPTERA FRUGIPERDA PAPILIO DARDANUS BOMBYX MORI ICTALURUS PUNCTATUS DANIO RERIO CAENORHABDITIS ELEGANS RPS RATTUS NORVEGICUS SUS SCROFA MUS MUSCULUS </t>
  </si>
  <si>
    <t>Ribosomal protein S28b - Drosophila melanogaster - cytosolic small ribosomal subunit - structural constituent of ribosome - translation - lipid particle</t>
  </si>
  <si>
    <t>S1_S28E 2e-019| PTZ00085 9e-019| Ribosomal_S28e 2e-018| RPS28A 2e-012| rps28e 2e-011| PRK11658 | RecB | PIR | cyt_deam_tetra | PRK12411 |</t>
  </si>
  <si>
    <t>17534591 NP_495100 1 F59E12 9 2088843 AAB54259 242208117 XP_002469910 220730972 EED84821 226491318 NP_001147110 195607298 ACG25479 47224393 CAG08643 119627579 EAX07174 HCG1793893 76155381 AAX26662 2 SJCHGC03128 209968039 YP_002296214 73852677 YP_293961 EHV207 72415393 CAI65630 85104619 XP_961772 NCU06515 28923344 EAA32536 85106890 XP_962272 NCU06565 28923873 EAA33036</t>
  </si>
  <si>
    <t xml:space="preserve">HYPOTHETICAL MEMBRANE UNNAMED PRODUCT </t>
  </si>
  <si>
    <t>sp|Q27J81|INF2_HUMAN</t>
  </si>
  <si>
    <t>Q27J81 INF2_HUMAN 2 INF2 1 Q9LK03 PERK2_ARATH PERK2 3 Q6PDK2 MLL2_MOUSE MLL2 O14686 MLL2_HUMAN Q84ZL0 FH5_ORYSJ 5 FH5 O60610 DIAP1_HUMAN DIAPH1 Q7RTU5 ASCL5_HUMAN ASCL5 Q7G6K7 FH3_ORYSJ FH3 P13983 HRGPNT3 Q9ZQI0 EPR1_ARATH EPR1</t>
  </si>
  <si>
    <t xml:space="preserve">INVERTED FORMIN OS HOMO SAPIENS GN PE SV PROLINE RICH RECEPTOR LIKE KINASE ARABIDOPSIS THALIANA HISTONE LYSINE N METHYLTRANSFERASE MUS MUSCULUS ORYZA SATIVA SUBSP JAPONICA DIAPHANOUS HOMOLOG ACHAETE SCUTE EXTN_TOBAC EXTENSIN NICOTIANA TABACUM </t>
  </si>
  <si>
    <t>Putative uncharacterized protein - Caenorhabditis elegans - protein binding</t>
  </si>
  <si>
    <t>Drf_FH1 0.026| ND5 0.042| ALMT 0.059| ND2 0.059| PHA02798 0.096| ND5 | 7TMR-DISM_7TM | ND5 | rpoC2 | DUF1183 |</t>
  </si>
  <si>
    <t>sp|Q7ZTU9|TBX2_DANRE</t>
  </si>
  <si>
    <t>Q7ZTU9 TBX2_DANRE TBX2B 2 4</t>
  </si>
  <si>
    <t xml:space="preserve">T BOX TRANSCRIPTION FACTOR OS DANIO RERIO GN PE SV </t>
  </si>
  <si>
    <t>PIG-U | PRK01318 | DUF1676 | COG5038 | methan_mark_9 | COG4008 | COX3 |</t>
  </si>
  <si>
    <t>RT_like_1 | PRK10929 | PLN03189 | exo_TIGR04073 |</t>
  </si>
  <si>
    <t>307201739 EFN81418 1 28S S18A 240849461 NP_001155496 239792177 BAH72459 ACYPI002845 157115872 XP_001658323 108876733 EAT40958 312385727 EFR30153 AND_00411 158291025 XP_312545 3 AGAP002407 157018176 EAA44943 270011201 EFA07649 TCASGA2_TC030560 156552274 XP_001600138 CG31450 307175813 EFN65628 66508635 XP_623794 2</t>
  </si>
  <si>
    <t xml:space="preserve">RIBOSOMAL MITOCHONDRIAL HYPOTHETICAL PA SIMILAR TO ISOFORM </t>
  </si>
  <si>
    <t>sp|Q6BVY9|TIM50_DEBHA</t>
  </si>
  <si>
    <t>Debaryomyces hansenii (strain ATCC 36239 / CBS 767 / JCM 1990 / NBRC 0083 / IGC 2968)</t>
  </si>
  <si>
    <t>Q6BVY9 TIM50_DEBHA TIM50 36239 767 1990 0083 2968 3 1 Q12494 KCS1_YEAST 204508 S288C KCS1 Q1RM03 2 D4DLA2 SUB3_TRIVH 0517 SUB3 Q5VJ75 SUB3_TRIVC Q69F56 SUB3_TRIRU Q64K34 SUB3_ARTBE D4AWY5 SUB3_ARTBC 112371 Q9V6X7 OFUT1_DROME FUT1 Q54QG7</t>
  </si>
  <si>
    <t xml:space="preserve">MITOCHONDRIAL IMPORT INNER MEMBRANE TRANSLOCASE SUBUNIT OS DEBARYOMYCES HANSENII STRAIN ATCC CBS JCM NBRC IGC GN PE SV INOSITOL HEXAKISPHOSPHATE KINASE SACCHAROMYCES CEREVISIAE TCHP_DANRE TRICHOPLEIN KERATIN FILAMENT BINDING DANIO RERIO TCHP SUBTILISIN LIKE PROTEASE TRICHOPHYTON VERRUCOSUM HKI RUBRUM ARTHRODERMA BENHAMIAE GDP FUCOSE O FUCOSYLTRANSFERASE DROSOPHILA MELANOGASTER GRLN_DICDI METABOTROPIC GLUTAMATE RECEPTOR N DICTYOSTELIUM DISCOIDEUM GRLN </t>
  </si>
  <si>
    <t>ND2 | ND2 | NuoL | COG0762 | PLN00218 | PRK05325 | MGDG_synth | Heme_Cu_Oxidase_I | ND5 | FtsW |</t>
  </si>
  <si>
    <t>Fusobacterium sp. 3_1_27</t>
  </si>
  <si>
    <t>237741199 ZP_04571680 1 294784583 ZP_06749872 5 229430731 EEO40943 294487799 EFG35158 83319950 YP_424775 83283836 ABC01768 340500581 EGR27449 IMG5_196320 23098185 NP_691651 OB0730 22776410 BAC12686 332299011 YP_004440933 TREBR_2394 332182114 AEE17802 315225370 ZP_07867184 HMPREF1977_1998 314944643 EFS96678 68484765 XP_713694 CAO19 8646 68484856 XP_713649 1044 46435156 EAK94544 46435203 EAK94590 340508492 EGR34182 IMG5_020870 157736926 YP_001489609 157698780 ABV66940 340506530 EGR32652</t>
  </si>
  <si>
    <t xml:space="preserve">NADH UBIQUINONE OXIDOREDUCTASE CHAIN METALLO BETA LACTAMASE SUPERFAMILY HYPOTHETICAL CONSERVED ABC TRANSPORTER ATP BINDING PERMEASE MAJOR FACILITATOR </t>
  </si>
  <si>
    <t>sp|Q9JKF0|TR123_RAT</t>
  </si>
  <si>
    <t>Q9JKF0 TR123_RAT 2 123 TAS2R123 1 P15605 YM04_PARTE ORF4 4 Q9PQW0 Y183_UREPA UU183 Q8SQJ3 SPL1_ENCCU M1 SPL1 P24896 NU5M_CAEEL 5 ND5 3 A6U5U5 WSM419 Q646G3 T2R42_PAPHA 42 TAS2R42 Q646B8 T2R42_PANTR Q5Y4Z2 T2R42_PANPA Q645T9 T2R42_MACMU</t>
  </si>
  <si>
    <t xml:space="preserve">TASTE RECEPTOR TYPE MEMBER OS RATTUS NORVEGICUS GN PE SV UNCHARACTERIZED MITOCHONDRIAL PARAMECIUM TETRAURELIA UREAPLASMA PARVUM SUBTILISIN LIKE PROTEINASE ENCEPHALITOZOON CUNICULI STRAIN NADH UBIQUINONE OXIDOREDUCTASE CHAIN CAENORHABDITIS ELEGANS MSCL_SINMW LARGE CONDUCTANCE MECHANOSENSITIVE CHANNEL SINORHIZOBIUM MEDICAE MSCL PAPIO HAMADRYAS PAN TROGLODYTES PANISCUS MACACA MULATTA </t>
  </si>
  <si>
    <t>UPF0259 0.010| PRK01318 0.046| COG3389 0.087| ND4L | ATP6 | DUF1119 | ND6 | ND4 | ND2 | ND5 |</t>
  </si>
  <si>
    <t>sp|P51472|OPSB_ASTFA</t>
  </si>
  <si>
    <t>Astyanax fasciatus</t>
  </si>
  <si>
    <t>P51472 B23 2 1 P32310 O49711 PP335_ARATH AT4G21880 Q9W6A8 OP1S2_DANRE OPN1SW2 P87365</t>
  </si>
  <si>
    <t xml:space="preserve">OPSB_ASTFA BLUE SENSITIVE OPSIN OS ASTYANAX FASCIATUS GN PE SV OPSB_CARAU CARASSIUS AURATUS PENTATRICOPEPTIDE REPEAT CONTAINING MITOCHONDRIAL ARABIDOPSIS THALIANA SHORT WAVE DANIO RERIO OPSB_ORYLA ORYZIAS LATIPES </t>
  </si>
  <si>
    <t>YfhO | Sugar_tr | YCCS | secY | DUF521 |</t>
  </si>
  <si>
    <t>PigN | AAA | FtsH_fam | PRK00281 | ftsH |</t>
  </si>
  <si>
    <t>90819994 ABD98754 1 157132602 XP_001656091 94468566 ABF18132 108881665 EAT45890 110671434 ABG81968 255710243 ACU30941 195107094 XP_001998151 GI23793 193914745 EDW13612 322778738 EFZ09154 SINV_02305 170035504 XP_001845609 167877521 EDS40904 194752586 XP_001958602 GF11012 190625884 EDV41408 195388598 XP_002052966 GJ23619 194151052 EDW66486 307212319 EFN88123 4</t>
  </si>
  <si>
    <t xml:space="preserve">NADH DEHYDROGENASE ALPHA SUBCOMPLEX UBIQUINONE MITOCHONDRIAL HYPOTHETICAL SUBUNIT </t>
  </si>
  <si>
    <t>sp|Q62425|NDUA4_MOUSE</t>
  </si>
  <si>
    <t>Q62425 NDUA4_MOUSE 1 4 NDUFA4 2 Q0MQ97 NDUA4_PONPY 3 Q0MQ99 NDUA4_PANTR O00483 NDUA4_HUMAN Q01321 NDUA4_BOVIN Q3YAJ5 NDUA4_MACMU Q4R542 NDUA4_MACFA Q6PBH5 NDUA4_DANRE Q0MQ98 NDUA4_GORGO Q4FZG9 NUA4L_MOUSE NDUFA4L2</t>
  </si>
  <si>
    <t xml:space="preserve">NADH DEHYDROGENASE ALPHA SUBCOMPLEX SUBUNIT OS MUS MUSCULUS GN PE SV PONGO PYGMAEUS PAN TROGLODYTES HOMO SAPIENS BOS TAURUS MACACA MULATTA FASCICULARIS DANIO RERIO GORILLA LIKE </t>
  </si>
  <si>
    <t>Drosophila melanogaster - mitochondrial electron transport, NADH to ubiquinone - mitochondrial respiratory chain complex I - NADH dehydrogenase activity</t>
  </si>
  <si>
    <t>B12D 9e-005| Arv1 | GPI2 | DUF1329 | HOLI | cyt_deam_tetra | Na_symport_sm | ccoG_rdxA_fixG | COG4327 | ND2 |</t>
  </si>
  <si>
    <t>Acetobacter pomorum DM001</t>
  </si>
  <si>
    <t>329113799 ZP_08242570 1 326696809 EGE48479 86145058 ZP_01063390 85837957 EAQ56069 258543632 YP_003189065 256634710 BAI00686 256637766 BAI03735 256640820 BAI06782 256643875 BAI09830 256646930 BAI12878 256649983 BAI15924 256652973 BAI18907 256656027 BAI21954 73972324 XP_860479 19 4 195470947 XP_002087768 GE18201 194173869 EDW87480 290975123 XP_002670293 3 2 284083850 EFC37549 226357819 YP_002787559 226320062 ACO48055 339018729 ZP_08644857 338752199 GAA08161 194759099 XP_001961787 GF15140 190615484 EDV31008 289741639 ADD19567 P450</t>
  </si>
  <si>
    <t xml:space="preserve">PHOSPHOGLYCERATE MUTASE MEMBRANE BISPHOSPHOGLYCERATE SIMILAR TO SERINE THREONINE KINASE ISOFORM METHYL OXOBUTANOATE HYDROXYMETHYLTRANSFERASE DIPEPTIDE ABC TRANSPORTER PERIPLASMIC COMPONENT CYTOCHROME </t>
  </si>
  <si>
    <t>sp|Q6AEC0|DNAJ_LEIXX</t>
  </si>
  <si>
    <t>Leifsonia xyli subsp. xyli</t>
  </si>
  <si>
    <t>Q6AEC0 3 1 Q7TUG9 CCMP1986 MED4 Q54709 OPCA_SYNE7 7942 4 2 Q155Q3 DIXC1_HUMAN DIXDC1 Q5XPI4 RN123_HUMAN E3 RNF123 P44541 51907 11121 KW20 A5UFU9 A5UB07 Q4QP43 NANK_HAEI8 86 028NP O14134 ELF1_SCHPO ELF1 38366 972</t>
  </si>
  <si>
    <t xml:space="preserve">DNAJ_LEIXX CHAPERONE DNAJ OS LEIFSONIA XYLI SUBSP GN PE SV GSHB_PROMP GLUTATHIONE SYNTHETASE PROCHLOROCOCCUS MARINUS PASTORIS STRAIN GSHB OXPP CYCLE OPCA SYNECHOCOCCUS ELONGATUS PCC DIXIN HOMO SAPIENS UBIQUITIN LIGASE NANK_HAEIN N ACETYLMANNOSAMINE KINASE HAEMOPHILUS INFLUENZAE ATCC DSM RD NANK NANK_HAEIG PITTGG NANK_HAEIE PITTEE MRNA EXPORT FACTOR SCHIZOSACCHAROMYCES POMBE </t>
  </si>
  <si>
    <t>PLN02225 | COG3889 | PRK07429 | HMG-CoA_reductase_classI | GT_GPT_euk | ALDH_GABALDH-PuuC | PRK12525 | PLN02201 | PLN00051 | Atrophin-1 |</t>
  </si>
  <si>
    <t>Daphnia pulex</t>
  </si>
  <si>
    <t>321463220 EFX74237 1 DAPPUDRAFT_307386 160938094 ZP_02085450 CLOBOL_02988 158438898 EDP16654 297743779 CBI36662 3 167387799 XP_001738314 165898533 EDR25367 68072813 XP_678320 56498751 CAH93594 15828536 NP_325896 14089478 CAC13238 67477644 XP_654271 56471305 EAL48885 339470631 EGP85728 MYCGRDRAFT_74143 225433874 XP_002264936 182417640 ZP_02948959 237668337 ZP_04528321 182378364 EDT75895 237656685 EEP54241</t>
  </si>
  <si>
    <t xml:space="preserve">HYPOTHETICAL UNNAMED PRODUCT EQUILIBRATIVE NUCLEOSIDE TRANSPORTER CONSERVED ABC PERMEASE ANTIBIOTIC SPAE MUTE LANTIBIOTIC </t>
  </si>
  <si>
    <t>sp|Q89AB4|EX5C_BUCBP</t>
  </si>
  <si>
    <t>Q89AB4 EX5C_BUCBP 3 1 A6LKX4 GSA_THEM4 2 BI429 12029 Q98R44 7 Q9ZDG5 Y364_RICPR RP364 4 Q7SYC7 T185L_DANRE 185 63572 Q7R7N4 PY07549 A4FPU0 23338 B3E9W8 1151 17278 Q1IPE7 NUOB1_ACIBL ELLIN345 NUOB1 A2BWG3 FMT_PROM5 9515</t>
  </si>
  <si>
    <t xml:space="preserve">EXODEOXYRIBONUCLEASE V GAMMA CHAIN OS BUCHNERA APHIDICOLA SUBSP BAIZONGIA PISTACIAE STRAIN BP GN RECC PE SV GLUTAMATE SEMIALDEHYDE AMINOMUTASE THERMOSIPHO MELANESIENSIS DSM HEML TRMB_MYCPU TRNA GUANINE N METHYLTRANSFERASE MYCOPLASMA PULMONIS TRMB UNCHARACTERIZED RICKETTSIA PROWAZEKII MADRID E TRANSMEMBRANE LIKE DANIO RERIO ZGC PESC_PLAYO PESCADILLO HOMOLOG PLASMODIUM YOELII NUOB_SACEN NADH QUINONE OXIDOREDUCTASE SUBUNIT B SACCHAROPOLYSPORA ERYTHRAEA NRRL NUOB NUOB_GEOLS GEOBACTER LOVLEYI ATCC BAA SZ ACIDOBACTERIA BACTERIUM METHIONYL FORMYLTRANSFERASE PROCHLOROCOCCUS MARINUS MIT FMT </t>
  </si>
  <si>
    <t>ND2 | EBP | DUF939 | COG4758 | Got1 | PRK15426 | ND5 | DUF2074 | lanti_perm_MutE | eIF2_gamma |</t>
  </si>
  <si>
    <t>321471685 EFX82657 1 DAPPUDRAFT_316478 163748534 ZP_02155788 161332112 EDQ02789 297800158 XP_002867963 ARALYDRAFT_492955 297313799 EFH44222 296090249 CBI40068 3 225452163 XP_002270555 89100448 ZP_01173311 89084877 EAR64015 195478688 XP_002100614 GE16079 194188138 EDX01722 195396635 XP_002056936 GJ16795 194146703 EDW62422 295704555 YP_003597630 294802214 ADF39280 294499213 YP_003562913 294349150 ADE69479</t>
  </si>
  <si>
    <t xml:space="preserve">HYPOTHETICAL LONG CHAIN FATTY ACID COA LIGASE UNNAMED PRODUCT ACYL SYNTHASE AMP BINDING DOMAIN CONTAINING POSSIBLY </t>
  </si>
  <si>
    <t>sp|Q84P24|4CLL6_ARATH</t>
  </si>
  <si>
    <t>Q84P24 4CLL6_ARATH 4 6 4CLL6 2 Q9CHK3 3 Q84P21 4CLL5_ARATH 5 4CLL5 1 Q84P25 4CLL2_ARATH 4CLL2 Q6ETN3 4CL3_ORYSJ 4CL3 Q9S777 4CL3_ARATH Q84P23 4CLL9_ARATH 9 4CLL9 P17814 4CL1_ORYSJ 4CL1 Q8GVF9 4CLL8_ORYSJ 8 4CLL8 Q10S72 4CLL4_ORYSJ 4CLL4</t>
  </si>
  <si>
    <t xml:space="preserve">COUMARATE COA LIGASE LIKE OS ARABIDOPSIS THALIANA GN PE SV MENE_LACLA SUCCINYLBENZOATE LACTOCOCCUS LACTIS SUBSP MENE PROBABLE ORYZA SATIVA JAPONICA </t>
  </si>
  <si>
    <t>PLN02574 5e-005| PRK07656 1e-004| PLN02246 2e-004| PRK06187 0.004| PRK07788 0.005| CaiC 0.005| PRK08316 0.008| Acs 0.018| PRK13382 0.061| PRK13383 0.063|</t>
  </si>
  <si>
    <t>TaqI_C | PRD_Mga | Peptidase_U4 | PHA02887 | rarD | bacteriocin_ABC | RIH_assoc |</t>
  </si>
  <si>
    <t>Replication, recombination and repair, Chromatin structure and dynamics</t>
  </si>
  <si>
    <t>Leptotrichia buccalis C-1013-b</t>
  </si>
  <si>
    <t>257125186 YP_003163300 1 LEBU_0393 257049125 ACV38309 301792683 XP_002931308 4P4 281351668 EFB27252 PANDA_022206</t>
  </si>
  <si>
    <t xml:space="preserve">HYPOTHETICAL CONSERVED OLFACTORY RECEPTOR LIKE </t>
  </si>
  <si>
    <t>sp|P58182|O12D2_HUMAN</t>
  </si>
  <si>
    <t>P58182 O12D2_HUMAN 12D2 OR12D2 2</t>
  </si>
  <si>
    <t xml:space="preserve">OLFACTORY RECEPTOR OS HOMO SAPIENS GN PE SV </t>
  </si>
  <si>
    <t>ND5 | A-2_8-polyST | Glyco_hydro_97 | PRK08270 | Cornichon | Plasmodium_Vir | 7TMR-DISM_7TM | PTKc_Jak2_Jak3_rpt2 | Fmp27 | TM4SF8_like_LEL |</t>
  </si>
  <si>
    <t>Trypanosoma brucei gambiense DAL972</t>
  </si>
  <si>
    <t>261332415 CBH15410 1 302500511 XP_003012249 ARB_01509 291175806 EFE31609 194741332 XP_001953143 GF17357 190626202 EDV41726 307207423 EFN85140 EAI_03502 197245973 AAI68752 PHF15 311747769 ZP_07721554 ALPR1_15609 126575759 EAZ80069 335283989 XP_003354484 3 332864380 XP_003318274 317138190 XP_001816741 2 297679780 XP_002817699</t>
  </si>
  <si>
    <t xml:space="preserve">HYPOTHETICAL UNLIKELY TWEETY HOMOLOG LIKE ZINC KNUCKLE DOMAIN PARTIAL </t>
  </si>
  <si>
    <t>sp|Q9C0H2|TTYH3_HUMAN</t>
  </si>
  <si>
    <t>Q9C0H2 TTYH3_HUMAN 3 TTYH3 1 Q9HC23 PROK2_HUMAN 2 PROK2 Q9SLN1 FPP7_ARATH 7 FPP7 Q8K9X9 Q9RMV2 Y6613_BACAN PXO2 83 BXB0113 GBAA_PXO2_0113 4 Q4PBP6 NST1_USTMA NST1 521 9021 Q8NB54 CR023_HUMAN C18ORF23 Q5JEY0 918 12380 KOD1 B0WAU6 CPIJ004250 Q32LT7 TTYH3_DANRE</t>
  </si>
  <si>
    <t xml:space="preserve">TWEETY HOMOLOG OS HOMO SAPIENS GN PE SV PROKINETICIN FILAMENT LIKE PLANT ARABIDOPSIS THALIANA NUOJ_BUCAP NADH QUINONE OXIDOREDUCTASE SUBUNIT J BUCHNERA APHIDICOLA SUBSP SCHIZAPHIS GRAMINUM NUOJ UNCHARACTERIZED BACILLUS ANTHRACIS STRESS RESPONSE USTILAGO MAYDIS STRAIN FGSC DHYS_PYRKO PROBABLE DEOXYHYPUSINE SYNTHASE PYROCOCCUS KODAKARAENSIS ATCC BAA JCM DYS LIAS_CULQU LIPOYL MITOCHONDRIAL CULEX QUINQUEFASCIATUS DANIO RERIO </t>
  </si>
  <si>
    <t>Rab5ip | CLb | PRK03776 | HlyIII | Herpes_glycop | livcs | SURF6 | COG5222 | Clusterin | SecY |</t>
  </si>
  <si>
    <t>Drosophila pseudoobscura pseudoobscura</t>
  </si>
  <si>
    <t>198455369 XP_002138064 1 GA27569 198133216 EDY68622 195497534 XP_002096141 GE25516 194182242 EDW95853 195389821 XP_002053572 GJ23278 194151658 EDW67092 195157838 XP_002019801 GL12593 194116392 EDW38435 195107355 XP_001998279 GI23720 193914873 EDW13740 195055422 XP_001994618 GH15123 193892381 EDV91247 194743806 XP_001954391 GF16761 190627428 EDV42952 119601232 EAW80826 2 B56 198421831 XP_002129687 2A 340376033 XP_003386538 56</t>
  </si>
  <si>
    <t xml:space="preserve">PHOSPHATASE REGULATORY SUBUNIT B EPSILON ISOFORM CRA_A SIMILAR TO DELTA SERINE THREONINE KDA BETA LIKE </t>
  </si>
  <si>
    <t>sp|Q61151|2A5E_MOUSE</t>
  </si>
  <si>
    <t>Q61151 2A5E_MOUSE 2A 56 PPP2R5E 2 3 Q16537 2A5E_HUMAN 1 A4FV68 2A5E_BOVIN Q28653 2A5D_RABIT PPP2R5D Q14738 2A5D_HUMAN Q28651 2A5G_RABIT PPP2R5C Q60996 2A5G_MOUSE Q13362 2A5G_HUMAN Q6PD03 2A5A_MOUSE PPP2R5A Q15172 2A5A_HUMAN</t>
  </si>
  <si>
    <t xml:space="preserve">SERINE THREONINE PHOSPHATASE KDA REGULATORY SUBUNIT EPSILON ISOFORM OS MUS MUSCULUS GN PE SV HOMO SAPIENS BOS TAURUS DELTA ORYCTOLAGUS CUNICULUS GAMMA ALPHA </t>
  </si>
  <si>
    <t>Tho2 | Anoctamin | PRK10711 | Herpes_UL6 | ccs1 | B56 | TIGR00659 | AgrB | GH18_narbonin | Sigma54_DBD |</t>
  </si>
  <si>
    <t>340502979 EGR29613 1 IMG5_152140</t>
  </si>
  <si>
    <t xml:space="preserve">HYPOTHETICAL </t>
  </si>
  <si>
    <t>sp|O00939|TERT_EUPAE</t>
  </si>
  <si>
    <t>Euplotes aediculatus</t>
  </si>
  <si>
    <t>O00939 3 1 Q5EA88 GPD1 2 Q9P7S8 RAX1_SCHPO RAX1 38366 972</t>
  </si>
  <si>
    <t xml:space="preserve">TERT_EUPAE TELOMERASE REVERSE TRANSCRIPTASE OS EUPLOTES AEDICULATUS PE SV GPDA_BOVIN GLYCEROL PHOSPHATE DEHYDROGENASE CYTOPLASMIC BOS TAURUS GN SCHIZOSACCHAROMYCES POMBE STRAIN ATCC </t>
  </si>
  <si>
    <t>PRK04870 | PLN02508 | YibE_F | COG5438 | UbiA | Ribosomal_S2 | acc_sec_asp2 | ubiA_other | PHA03111 | Pox_ser-thr_kin |</t>
  </si>
  <si>
    <t>Sorghum bicolor</t>
  </si>
  <si>
    <t>242096230 XP_002438605 1 SORBIDRAFT_10G022640 241916828 EER89972 290980579 XP_002673009 284086590 EFC40265 339475486 EGP90578 MYCGRDRAFT_68239 326668956 XP_001920764 3 LOC100000002 312373790 EFR21476 AND_16999 156087713 XP_001611263 154798517 EDO07695 194909845 XP_001982022 GG12363 190656660 EDV53892 77455372 ABA86495 CG5669 154244366 YP_001415324 XAUT_0409 154158451 ABS65667 320582058 EFW96276</t>
  </si>
  <si>
    <t xml:space="preserve">HYPOTHETICAL VARIANT ERYTHROCYTE SURFACE ANTIGEN ALPHA SUBUNIT CONSERVED NON ESSENTIAL TRNA PSEUDOURIDINE SYNTHASE </t>
  </si>
  <si>
    <t>sp|Q9BXF9|TEKT3_HUMAN</t>
  </si>
  <si>
    <t>Q9BXF9 TEKT3_HUMAN 3 TEKT3 1 P0C2N1 YOPT1_YEREN YOPT1 A1JU65 YOPT1_YERE8 8 1B 8081 Q93RN4 2 O68703 Q8DPS6 GLGB_STRR6 4 255 R6 Q97QS8 Q04KG8 GLGB_STRP2 D39 7466 P22293 Q47QW8</t>
  </si>
  <si>
    <t xml:space="preserve">TEKTIN OS HOMO SAPIENS GN PE SV CYSTEINE PROTEASE YERSINIA ENTEROCOLITICA SEROTYPE O BIOTYPE STRAIN YOPT_YERPS YOPT PSEUDOTUBERCULOSIS YOPT_YERPE PESTIS ALPHA GLUCAN BRANCHING ENZYME STREPTOCOCCUS PNEUMONIAE ATCC BAA GLGB GLGB_STRPN NCTC SUS_DROME SUPPRESSOR SABLE DROSOPHILA MELANOGASTER SU S MURC_THEFY UDP N ACETYLMURAMATE L ALANINE LIGASE THERMOBIFIDA FUSCA YX MURC </t>
  </si>
  <si>
    <t>PRK09579 | ycf1 | PLN02403 | 2a6301s04 | streptolysinS | VESA1_N | PRK14439 | FAR-N_SDR_e | PRK10691 | thiamin_ThiO |</t>
  </si>
  <si>
    <t>Extracellular structures</t>
  </si>
  <si>
    <t>Rhodobacterales bacterium HTCC2150</t>
  </si>
  <si>
    <t>126727089 ZP_01742926 1 RB2150_00599 126703517 EBA02613 317969498 ZP_07970888 SCB02_08183 195427247 XP_002061688 GK17055 194157773 EDW72674 284037926 YP_003387856 283817219 ADB39057 168069696 XP_001786545 162661045 EDQ48643 325115125 CBZ50681 318040088 ZP_07972044 SCB01_00205 190574947 YP_001972792 SMLT3050 190012869 CAQ46499</t>
  </si>
  <si>
    <t xml:space="preserve">HYPOTHETICAL ALDOSE EPIMERASE CONSERVED </t>
  </si>
  <si>
    <t>sp|Q00727|STCV_EMENI</t>
  </si>
  <si>
    <t>Q00727 3 2 A6TFP6 LIGB_KLEP7 700721 78578 1 Q14656 TM187_HUMAN 187 TMEM187 O44249 PRP1_MANSE Q9Y2F5 K0947_HUMAN KIAA0947 5 P05111 P40810 Q8Z377 B4TNS1 CVM19633 B5BIR7 AKU_12601</t>
  </si>
  <si>
    <t xml:space="preserve">STCV_EMENI STERIGMATOCYSTIN BIOSYNTHESIS DEHYDROGENASE STCV OS EMERICELLA NIDULANS GN PE SV DNA LIGASE B KLEBSIELLA PNEUMONIAE SUBSP STRAIN ATCC MGH LIGB TRANSMEMBRANE HOMO SAPIENS PHENOLOXIDASE SUBUNIT MANDUCA SEXTA UNCHARACTERIZED INHA_HUMAN INHIBIN ALPHA CHAIN INHA ILVD_SALTY DIHYDROXY ACID DEHYDRATASE SALMONELLA TYPHIMURIUM ILVD ILVD_SALTI TYPHI ILVD_SALSV SCHWARZENGRUND ILVD_SALPK PARATYPHI A </t>
  </si>
  <si>
    <t>ihfB | VWA_CoxE | TMAO_torS | PRK03968 | COG3380 | BRCA2DBD_OB3 | PRK10258 | PLP_SbnA_fam | Pox_ser-thr_kin | flgA |</t>
  </si>
  <si>
    <t>Oryza sativa Japonica Group</t>
  </si>
  <si>
    <t>222640891 EEE69023 1 OSJ_27994</t>
  </si>
  <si>
    <t>sp|Q9FGR0|CPSF1_ARATH</t>
  </si>
  <si>
    <t>Q9FGR0 CPSF1_ARATH 1 CPSF160 2 Q7M9T3 3</t>
  </si>
  <si>
    <t xml:space="preserve">CLEAVAGE POLYADENYLATION SPECIFICITY FACTOR SUBUNIT OS ARABIDOPSIS THALIANA GN PE SV DNAJ_WOLSU CHAPERONE DNAJ WOLINELLA SUCCINOGENES </t>
  </si>
  <si>
    <t>SAPA | ND4 | SapA | PHA02845 | DUF2679 | Pox_A21 | Nitrate_red_gam | PRK04319 | HTTM | ND6 |</t>
  </si>
  <si>
    <t>Gemmata obscuriglobus UQM 2246</t>
  </si>
  <si>
    <t>168705351 ZP_02737628 1 159119580 XP_001710008 GL50803_40885 157438126 EDO82334 338209680 YP_004653727 6 336303493 AEI46595 332654142 ZP_08419886 25 332517228 EGJ46833 253741749 EES98612 GL50581_4140 154246140 YP_001417098 2 154160225 ABS67441 337746673 YP_004640835 KNP414_02404 336297862 AEI40965 328544992 YP_004305101 326414734 ADZ71797 315651239 ZP_07904269 CPA1 315486535 EFU76887</t>
  </si>
  <si>
    <t xml:space="preserve">PROBABLE TRANSMEMBRANE TRANSPORT HYPOTHETICAL GLUCOSAMINE FRUCTOSE PHOSPHATE AMINOTRANSFERASE ISOMERIZING GLYCOSIDE HYDROLASE FAMILY GLYCINE DEHYDROGENASE SUBUNIT DECARBOXYLATING NA H ANTIPORTER </t>
  </si>
  <si>
    <t>sp|P98167|SSPO_BOVIN</t>
  </si>
  <si>
    <t>Bos taurus</t>
  </si>
  <si>
    <t>P98167 2 P03135 CAPSD_AAV2 VP1 1 P36052 204508 S288C YKL162C Q0CGY7 SEC16_ASPTN SEC16 2624 A1156 3 P11505 AT2B1_RAT ATP2B1 Q5P1H7 DNAJ2_AROAE EBN1 DNAJ2 Q5UQW4 YL373_MIMIV L373 MIMI_L373 Q60304 Y3405_METJA MJECS05 43067 2661 10045 100440 4 O30278 Y2393_ARCFU AF_2393 49558 16 4304 9628 100126 Q700K0</t>
  </si>
  <si>
    <t xml:space="preserve">SSPO_BOVIN SCO SPONDIN OS BOS TAURUS GN SSPO PE SV CAPSID ADENO ASSOCIATED VIRUS MIDA_YEAST MIDA HOMOLOG SACCHAROMYCES CEREVISIAE STRAIN ATCC COPII COAT ASSEMBLY ASPERGILLUS TERREUS NIH FGSC PLASMA MEMBRANE CALCIUM TRANSPORTING ATPASE RATTUS NORVEGICUS CHAPERONE DNAJ AROMATOLEUM AROMATICUM UNCHARACTERIZED GLYCOSYLTRANSFERASE ACANTHAMOEBA POLYPHAGA MIMIVIRUS METHANOCALDOCOCCUS JANNASCHII DSM JAL JCM NBRC ARCHAEOGLOBUS FULGIDUS VC SSPO_RAT </t>
  </si>
  <si>
    <t>sdhA | PLN02318 | PRK03584 | phnP | PTS-IIBC-alpha | AviRa | CRISPR_cas5 | PHA02639 | 3a01205 | PTKc_Tec_Rlk |</t>
  </si>
  <si>
    <t>Det1 | recomb_XerD |</t>
  </si>
  <si>
    <t>Coenzyme transport and metabolism, General function prediction only</t>
  </si>
  <si>
    <t>sp|P74921|ILVE_THEMA</t>
  </si>
  <si>
    <t>Thermotoga maritima</t>
  </si>
  <si>
    <t>P74921 1 2 Q8R9E1 3</t>
  </si>
  <si>
    <t xml:space="preserve">ILVE_THEMA PROBABLE BRANCHED CHAIN AMINO ACID AMINOTRANSFERASE OS THERMOTOGA MARITIMA GN ILVE PE SV LIPA_THETN LIPOYL SYNTHASE THERMOANAEROBACTER TENGCONGENSIS LIPA </t>
  </si>
  <si>
    <t>DUF2768 | PHA03036 | COG3513 |</t>
  </si>
  <si>
    <t>Pichia angusta DL-1</t>
  </si>
  <si>
    <t>320581165 EFW95386 1 HPODL_2720 300871320 YP_003786193 BP951000_1711 300689021 ADK31692 124009470 ZP_01694146 M23134_05857 123984919 EAY24882</t>
  </si>
  <si>
    <t>sp|A9JRL3|CBPC1_XENTR</t>
  </si>
  <si>
    <t>Xenopus tropicalis</t>
  </si>
  <si>
    <t>A9JRL3 CBPC1_XENTR 1 AGTPBP1 2 Q9R1K2 TEN2_RAT ODZ2 Q9WTS5 TEN2_MOUSE Q9NT68 TEN2_HUMAN 3 Q9DER5 TEN2_CHICK O95436 NPT2B_HUMAN 2B SLC34A2</t>
  </si>
  <si>
    <t xml:space="preserve">CYTOSOLIC CARBOXYPEPTIDASE OS XENOPUS TROPICALIS GN PE SV TENEURIN RATTUS NORVEGICUS MUS MUSCULUS HOMO SAPIENS GALLUS SODIUM DEPENDENT PHOSPHATE TRANSPORT </t>
  </si>
  <si>
    <t>Peptidases_S8_11 | Herpes_UL31 | Lipin_N | PTZ00483 | PRK06837 |</t>
  </si>
  <si>
    <t>17510463 NP_491068 1 Y71F9AL 6 7105603 AAF36000 269102076 ZP_06154773 268161974 EEZ40470 68072917 XP_678373 56498821 CAI02647 13928944 NP_113868 P2Y 4 21263797 O35811 P2RY4_RAT P2Y4 2370439 CAA75007 3618229 CAA72241 149042228 EDL95935 309371457 CBX33005 CBG_04744 297838057 XP_002886910 297332751 EFH63169 297538434 YP_003674203 M301_1242 297257781 ADI29626 268559974 XP_002637932 CBG04744 116200349 XP_001225986 CHGG_08330 88179609 EAQ87077 300770462 ZP_07080341 HMPREF0766_10672 300762938 EFK59755</t>
  </si>
  <si>
    <t xml:space="preserve">HYPOTHETICAL TAGF DOMAIN PB FAM PURINOCEPTOR FULL SHORT G COUPLED RECEPTOR LINKED PYRIMIDINERGIC </t>
  </si>
  <si>
    <t>sp|O35811|P2RY4_RAT</t>
  </si>
  <si>
    <t>O35811 P2RY4_RAT P2Y 4 P2RY4 2 1 Q9JJS7 P2RY4_MOUSE P46578 GOP1_CAEEL Q5UR93 YR579_MIMIV R579 MIMI_R579 Q9LR87 10 CSLA10 A9MFG0 5 731 CDC346 86 RSK2980 3 Q0SS95 Y1697_CLOPS UPF0348 CPR_1697 SM101 O35600 ABCA4_MOUSE ABCA4 P47312 P25239 T257_ECOLX ECO57I ECO57IR</t>
  </si>
  <si>
    <t xml:space="preserve">PURINOCEPTOR OS RATTUS NORVEGICUS GN PE SV MUS MUSCULUS UNCHARACTERIZED GOP CAENORHABDITIS ELEGANS ANKYRIN REPEAT ACANTHAMOEBA POLYPHAGA MIMIVIRUS CSLAA_ARATH PROBABLE MANNAN SYNTHASE ARABIDOPSIS THALIANA ASTD_SALAR N SUCCINYLGLUTAMATE SEMIALDEHYDE DEHYDROGENASE SALMONELLA ARIZONAE STRAIN ATCC BAA ASTD CLOSTRIDIUM PERFRINGENS TYPE A RETINAL SPECIFIC ATP BINDING CASSETTE TRANSPORTER TKT_MYCGE TRANSKETOLASE MYCOPLASMA GENITALIUM TKT IIS RESTRICTION ENZYME ESCHERICHIA COLI </t>
  </si>
  <si>
    <t>PRK05785 | DUF3468 | Ufd2P_core | Fijivirus_P9-2 | Usher | Intg_mem_TP0381 | ND6 | 7tm_7 | ND6 | Innexin |</t>
  </si>
  <si>
    <t>Trypanosoma brucei brucei strain 927/4 GUTat10.1</t>
  </si>
  <si>
    <t>71744388 XP_803717 1 70830989 EAN76494 312091502 XP_003147002 LOAG_11435 307757834 EFO17068 226968612 YP_002808562 2 187370815 ACD02445 60391834 P82798 328702045 XP_003241787 LOC100575000 1890778 AAB80962 70925815 XP_735543 56509295 CAH85971 PC404058 00 0 66475736 XP_627684 4 46229113 EAK89962 67594815 XP_665897 PI3_PI4_KINASE 54656761 EAL35666 303239807 ZP_07326331 302592744 EFL62468</t>
  </si>
  <si>
    <t xml:space="preserve">HYPOTHETICAL CONSERVED NADH DEHYDROGENASE SUBUNIT ATRX_MACEU FULL TRANSCRIPTIONAL REGULATOR ATRX ALTNAME ATP DEPENDENT HELICASE X LINKED NUCLEAR MEMBRANE ASSOCIATED WITH TRANSMEMBRANE DOMAINS AT N TERMINUS A PHOSPHATIDYLINOSITOL KINASE DOMAIN C SPORE CORTEX BIOSYNTHESIS YABQ LIKE </t>
  </si>
  <si>
    <t>sp|P82798|ATRX_MACEU</t>
  </si>
  <si>
    <t>Macropus eugenii</t>
  </si>
  <si>
    <t>P82798 2 1 P24499 ATP6_TRYBB ATP6 P14544 COX1_LEITA 3 Q8BG84 LAIR1_MOUSE LAIR1 Q9M007 CHX27_ARATH 27 CHX27 Q8K448 ABCA5_MOUSE 5 ABCA5 Q8CF82 ABCA5_RAT Q54SK5 Q9C0Z0 YKM2_SCHPO PB24D3 02C 38366 972 SPAPB24D3 Q8LPK0 AB8A_ARATH 8 ABCA8</t>
  </si>
  <si>
    <t xml:space="preserve">ATRX_MACEU TRANSCRIPTIONAL REGULATOR ATRX FRAGMENT OS MACROPUS EUGENII GN PE SV ATP SYNTHASE SUBUNIT A TRYPANOSOMA BRUCEI CYTOCHROME C OXIDASE LEISHMANIA TARENTOLAE COI LEUKOCYTE ASSOCIATED IMMUNOGLOBULIN LIKE RECEPTOR MUS MUSCULUS CATION H ANTIPORTER ARABIDOPSIS THALIANA BINDING CASSETTE SUB FAMILY MEMBER RATTUS NORVEGICUS DHKM_DICDI HYBRID SIGNAL TRANSDUCTION HISTIDINE KINASE M DICTYOSTELIUM DISCOIDEUM DHKM UNCHARACTERIZED AMINO ACID PERMEASE SCHIZOSACCHAROMYCES POMBE STRAIN ATCC ABC TRANSPORTER </t>
  </si>
  <si>
    <t>ND6 6e-004| ND2 0.003| ND5 0.003| NDH_I_N 0.005| ND2 0.014| Presenilin 0.015| PRK07132 0.019| ND1 0.049| ND4 0.060| Trep_Strep 0.061|</t>
  </si>
  <si>
    <t>240849099 NP_001155700 1 39S L13 239789841 BAH71519 ACYPI007195 260908407 ACX53924 297828970 XP_002882367 297328207 EFH58626 270009657 EFA06105 TCASGA2_TC008947 91086957 XP_973003 148554345 YP_001261927 148499535 ABQ67789</t>
  </si>
  <si>
    <t xml:space="preserve">RIBOSOMAL LIKE F BOX FAMILY HYPOTHETICAL SIMILAR TO AMINO ACID ALDOLASE OR RACEMASE </t>
  </si>
  <si>
    <t>sp|Q9VJ38|RM13_DROME</t>
  </si>
  <si>
    <t>Q9VJ38 RM13_DROME 39S L13 MRPL13 2 Q3SYS1 RM13_BOVIN 1 Q6C705 TRM82_YARLI 7 TRM82 122 150 3 Q9SR08 FBK49_ARATH AT3G04660</t>
  </si>
  <si>
    <t xml:space="preserve">RIBOSOMAL MITOCHONDRIAL OS DROSOPHILA MELANOGASTER GN PE SV BOS TAURUS TRNA GUANINE N METHYLTRANSFERASE SUBUNIT YARROWIA LIPOLYTICA STRAIN CLIB E F BOX KELCH REPEAT ARABIDOPSIS THALIANA </t>
  </si>
  <si>
    <t>FlaD | COG3930 | DNA_gyraseB | RNase_Zc3h12a | PRK09185 | PRK03979 | PRK15127 | UNC-50 | 2A060601 | Adeno_E1B_55K |</t>
  </si>
  <si>
    <t>sp|Q46JD9|PLSY_PROMT</t>
  </si>
  <si>
    <t>Prochlorococcus marinus (strain NATL2A)</t>
  </si>
  <si>
    <t>Q46JD9 3 NATL2A 1 Q9Q909 VH21_RFVKA 2 S062R A2C4A0 PLSY_PROM1 NATL1A</t>
  </si>
  <si>
    <t xml:space="preserve">PLSY_PROMT GLYCEROL PHOSPHATE ACYLTRANSFERASE OS PROCHLOROCOCCUS MARINUS STRAIN GN PLSY PE SV PROBABLE HOST RANGE RABBIT FIBROMA VIRUS KASZA </t>
  </si>
  <si>
    <t>Tweety_N | Papilloma_E5A | PRK09177 |</t>
  </si>
  <si>
    <t>322815485 EFZ24132 1 5A 71659667 XP_821554 71659671 XP_821556 70886937 EAN99703 70886939 EAN99705 322815486 EFZ24133</t>
  </si>
  <si>
    <t xml:space="preserve">EUKARYOTIC INITIATION FACTOR </t>
  </si>
  <si>
    <t>sp|A0AVI2|FR1L5_HUMAN</t>
  </si>
  <si>
    <t>A0AVI2 FR1L5_HUMAN 1 5 FER1L5 2</t>
  </si>
  <si>
    <t xml:space="preserve">FER LIKE OS HOMO SAPIENS GN PE SV </t>
  </si>
  <si>
    <t>PTZ00328 0.015| Bax1-I | COG0670 | BI-1-like | PRK08668 | PRK11067 | MopB_Res-Cmplx1_Nad11-M | PigN | PTZ00445 | DUF726 |</t>
  </si>
  <si>
    <t>91090312 XP_972241 1 2 270013805 EFA10253 TCASGA2_TC012453 242022752 XP_002431802 212517134 EEB19064 328716960 XP_001946980 328776329 XP_392682 3 156538234 XP_001602190 ENSANGP00000017163 332016629 EGI57500 307180364 EFN68390 157109870 XP_001650859 108878896 EAT43121 333466406 EAA03909 6 AGAP003893 333466407 EGK96230 333466408 EGK96231 333466409 EGK96232 333466410 EGK96233 321478021 EFX88979 DAPPUDRAFT_304733</t>
  </si>
  <si>
    <t xml:space="preserve">SIMILAR TO HYDROXYACID DEHYDROGENASE HYPOTHETICAL C TERMINAL BINDING LIKE ISOFORM PA PB PC PD PE </t>
  </si>
  <si>
    <t>sp|O46036|CTBP_DROME</t>
  </si>
  <si>
    <t>O46036 1 3 Q0VCQ1 CTBP2_BOVIN 2 CTBP2 P56545 CTBP2_HUMAN Q9EQH5 CTBP2_RAT P56546 CTBP2_MOUSE Q9W758 CTBP2_XENLA Q9YHU0 CTBP1_XENLA CTBP1 Q13363 CTBP1_HUMAN Q9Z2F5 CTBP1_RAT O88712 CTBP1_MOUSE</t>
  </si>
  <si>
    <t xml:space="preserve">CTBP_DROME C TERMINAL BINDING OS DROSOPHILA MELANOGASTER GN CTBP PE SV BOS TAURUS HOMO SAPIENS RATTUS NORVEGICUS MUS MUSCULUS XENOPUS LAEVIS </t>
  </si>
  <si>
    <t>C-terminal Binding Protein - Drosophila melanogaster - embryonic development via the syncytial blastoderm - protein binding - protein C-terminus binding - transcription corepressor activity - nucleus - negative regulation of transcription from RNA polymerase II promoter - oxidation-reduction process - oxidoreductase activity, acting on the CH-OH group of donors, NAD or NADP as acceptor - NAD binding - transcription coactivator activity - Wnt receptor signaling pathway - transcription factor binding - bristle development - regulation of transcription from RNA polymerase II promoter - wing disc development - protein homodimerization activity - regulation of transcription, DNA-dependent - regulation of Wnt receptor signaling pathway</t>
  </si>
  <si>
    <t>2-Hacid_dh 9e-007| PRK07764 7e-004| SerA 0.001| PRK12438 0.001| PHA03247 0.002| DUF1421 0.003| DUF3292 0.006| Tymo_45kd_70kd 0.006| Atrophin-1 0.007| PRK03427 0.008|</t>
  </si>
  <si>
    <t>307095098 ADN29855 1 P2 149689182 ABR27956 116267201 ABJ96355 60S 321460321 EFX71364 DAPPUDRAFT_231539 263173345 ACY69918 73983454 XP_533197 2 85812225 ABC84250 RPLP2 27807523 NP_777213 1173072 P42899 RLA2_BOVIN 600177 AAC48755 82571755 AAI10144 296471412 DAA13527 148704539 EDL36486 MCG10050 83745120 NP_080296 3 46397855 P99027 RLA2_MOUSE 12832389 BAB22086 12842474 BAB25616 12846190 BAB27066 12849123 BAB28217 15214576 AAH12413 26353818 BAC40539 26389653 BAC25768 26389709 BAC25777 74140891 BAE22051 74177844 BAE39010 148686138 EDL18085 148686140 EDL18087</t>
  </si>
  <si>
    <t xml:space="preserve">RIBOSOMAL ACIDIC HYPOTHETICAL SIMILAR TO FULL LARGE UNNAMED PRODUCT ISOFORM CRA_A </t>
  </si>
  <si>
    <t>sp|P42899|RLA2_BOVIN</t>
  </si>
  <si>
    <t>P42899 RLA2_BOVIN 60S P2 RPLP2 3 1 P99027 RLA2_MOUSE P05387 RLA2_HUMAN P02401 RLA2_RAT 2 Q29315 RLA2_PIG Q6X9Z5 RLA2_HORSE Q9UUZ6 RLA2_ASPFU 4609 AF293 101355 A1100 AFUA_2G10100 O01725 RLA2_BRAFL Q9C3Z5 RLA2_PODAN 980 10383 P05389 RLA2_DROME</t>
  </si>
  <si>
    <t xml:space="preserve">ACIDIC RIBOSOMAL OS BOS TAURUS GN PE SV MUS MUSCULUS HOMO SAPIENS RATTUS NORVEGICUS SUS SCROFA EQUUS CABALLUS NEOSARTORYA FUMIGATA STRAIN ATCC MYA CBS FGSC BRANCHIOSTOMA FLORIDAE PODOSPORA ANSERINA S DSM DROSOPHILA MELANOGASTER </t>
  </si>
  <si>
    <t>Uncharacterized protein - Canis lupus familiaris - structural constituent of ribosome - intracellular - ribosome - translational elongation</t>
  </si>
  <si>
    <t>Ribosomal_P2 2e-030| PLN00138 3e-022| Ribosomal_60s 3e-020| RPP1A 2e-018| Ribosomal_P1 4e-018| Ribosomal_P1_P2_L12p 2e-017| PTZ00373 1e-012| rpl12p 3e-010| PTZ00135 8e-010| Ribosomal_L12p 8e-010|</t>
  </si>
  <si>
    <t>Paramecium tetraurelia</t>
  </si>
  <si>
    <t>145524134 XP_001447897 1 124415425 CAK80500 340374850 XP_003385950 324532777 ADY49258 324525469 ADY48551 324525461 ADY48550 330805713 XP_003290823 DICPUDRAFT_92560 325079033 EGC32654 320580936 EFW95158 307193107 EFN76024 302595945 P0CG68 300175122 CBK20433 2</t>
  </si>
  <si>
    <t xml:space="preserve">HYPOTHETICAL UNNAMED PRODUCT POLYUBIQUITIN LIKE UBIQUITIN C VARIANT UBC_PIG FULL CONTAINS RELATED FLAGS PRECURSOR </t>
  </si>
  <si>
    <t>sp|P59669|UBIQP_GEOCY</t>
  </si>
  <si>
    <t>Geodia cydonium</t>
  </si>
  <si>
    <t>P59669 2 P0CG74 UBI4P_CANAL UBI4 1 P0CG73 UBI1P_CANAL UBI1 P0CG68 Q3E7T8 UBQ14_ARATH 14 UBQ14 P0CH33 UBQ11_ARATH 11 UBQ11 Q8H159 UBQ10_ARATH 10 UBQ10 P69317 3 P69313 Q8SWD4 M1 ECU02_0740I</t>
  </si>
  <si>
    <t xml:space="preserve">UBIQP_GEOCY POLYUBIQUITIN OS GEODIA CYDONIUM PE SV CANDIDA ALBICANS GN UBC_PIG C SUS SCROFA UBC ARABIDOPSIS THALIANA UBIQ_LUPPO UBIQUITIN LUPINUS POLYPHYLLUS UBIQ_HELAN HELIANTHUS ANNUUS UBIQ_ENCCU ENCEPHALITOZOON CUNICULI STRAIN </t>
  </si>
  <si>
    <t>Polyubiquitin-C - Sus scrofa - nucleus - cytoplasm</t>
  </si>
  <si>
    <t>Ubiquitin 5e-019| ubiquitin 1e-013| UBL 4e-011| Nedd8 2e-010| PTZ00044 4e-009| UBQ 8e-009| Scythe_N 1e-007| Rad60-SLD 1e-007| GDX_N 5e-006| NIRF_N 8e-006|</t>
  </si>
  <si>
    <t>242020678 XP_002430779 1 212515976 EEB18041 321457271 EFX68361 DAPPUDRAFT_301481 332024517 EGI64715 328776451 XP_393107 3 LOC409604 170037757 XP_001846722 167881068 EDS44451 156541998 XP_001599805 340723271 XP_003400015 LOC100643213 157110045 XP_001650930 AAEL_AAEL005476 108878824 EAT43049 320541882 NP_572515 2 CG42388 318069345 AAF46432 320541880 NP_001188566 318069344 ADV37648</t>
  </si>
  <si>
    <t xml:space="preserve">CONSERVED HYPOTHETICAL NOSTRIN ISOFORM D C </t>
  </si>
  <si>
    <t>sp|Q5I0D6|NOSTN_RAT</t>
  </si>
  <si>
    <t>Q5I0D6 2 1 Q6WKZ7 Q12965 MYO1E_HUMAN MYO1E Q63356 MYO1E_RAT Q8IVI9 O00160 MYO1F_HUMAN MYO1F 3 Q2KJB5 Q9NZM3 ITSN2_HUMAN ITSN2 O43586 PPIP1_HUMAN PSTPIP1 P10569</t>
  </si>
  <si>
    <t xml:space="preserve">NOSTN_RAT NOSTRIN OS RATTUS NORVEGICUS GN PE SV NOSTN_MOUSE MUS MUSCULUS MYOSIN IE HOMO SAPIENS NOSTN_HUMAN IF NOSTN_BOVIN BOS TAURUS INTERSECTIN PROLINE SERINE THREONINE PHOSPHATASE INTERACTING MYSC_ACACA IC HEAVY CHAIN ACANTHAMOEBA CASTELLANII MIC </t>
  </si>
  <si>
    <t>nitric oxide synthase trafficker - Rattus norvegicus - molecular_function - DNA binding - cellular_component - nucleus - cytoplasm - plasma membrane - endocytosis - biological_process - cytoplasmic membrane-bounded vesicle - negative regulation of transcription, DNA-dependent</t>
  </si>
  <si>
    <t>SH3 3e-009| SH3 3e-009| SH3_1 5e-007| SH3_2 2e-004| SdaC 0.054| ND2 0.073| 2a6301s01 0.076| IRK | 3_prime_RNase | 7TM_GPCR_Srsx |</t>
  </si>
  <si>
    <t>Aminomonas paucivorans DSM 12260</t>
  </si>
  <si>
    <t>312880453 ZP_07740253 1 DUF2078 310783744 EFQ24142 71661122 XP_817587 70882787 EAN95736 TC00 1047053511511 5</t>
  </si>
  <si>
    <t xml:space="preserve">UNKNOWN FUNCTION MEMBRANE HYPOTHETICAL </t>
  </si>
  <si>
    <t>sp|Q755H7|HUT1_ASHGO</t>
  </si>
  <si>
    <t>Ashbya gossypii (strain ATCC 10895 / CBS 109.51 / FGSC 9923 / NRRL Y-1056)</t>
  </si>
  <si>
    <t>Q755H7 HUT1_ASHGO 1 10895 109 51 9923 1056 HUT1 3 P43151 2 O62714 Q6P8F8 TM38A_XENTR TMEM38A Q3J2H4 TGT_RHOS4 17023 4 8253 158 A3PJT9 TGT_RHOS1 17029 9 P48442 Q9QY96 P35384 P41180</t>
  </si>
  <si>
    <t xml:space="preserve">UDP GALACTOSE TRANSPORTER HOMOLOG OS ASHBYA GOSSYPII STRAIN ATCC CBS FGSC NRRL Y GN PE SV GPA_LEIDO GUANINE NUCLEOTIDE BINDING SUBUNIT ALPHA LEISHMANIA DONOVANI CASR_PIG EXTRACELLULAR CALCIUM SENSING RECEPTOR FRAGMENTS SUS SCROFA CASR TRIMERIC INTRACELLULAR CATION CHANNEL TYPE A XENOPUS TROPICALIS QUEUINE TRNA RIBOSYLTRANSFERASE RHODOBACTER SPHAEROIDES NCIB DSM TGT ATH CASR_RAT RATTUS NORVEGICUS CASR_MOUSE MUS MUSCULUS CASR_BOVIN BOS TAURUS CASR_HUMAN HOMO SAPIENS </t>
  </si>
  <si>
    <t>Se_dep_Molyb_1 0.070| YMF19 | ATP6 | ND2 | zf-DNA_Pol | orf27 | PRK13419 | PLN02420 | DUF2871 | PLN03129 |</t>
  </si>
  <si>
    <t>Loa loa</t>
  </si>
  <si>
    <t>312083912 XP_003144059 1 LOAG_08480 307760773 EFO20007 227498824 ZP_03928964 8 7 226904276 EEH90194 195476110 XP_002085992 GE22666 194185774 EDW99385 82618268 ABB84987 VP7 160331185 XP_001712300 HAN_1G137 159765747 ABW97975 308477859 XP_003101142 CRE_14813 308264070 EFP08023 312101410 XP_003149634 LOAG_14085 307755201 EFO14435 118474703 YP_892333 CFF8240_1175 118413929 ABK82349 82618348 ABB85027 82618260 ABB84983</t>
  </si>
  <si>
    <t xml:space="preserve">HYPOTHETICAL AMINO OXONONANOATE SYNTHASE CONSERVED </t>
  </si>
  <si>
    <t>sp|Q70KH2|GLCM_PIG</t>
  </si>
  <si>
    <t>Sus scrofa</t>
  </si>
  <si>
    <t>Q70KH2 3 1 P17439 P87724 NSP1_ROTHU 116E 1986 G9 P8 I1 A1 E1 2 P21285 VP7_ROTHL VP7 L26 1987 G12 P1B I2 R2 C2 M1 M2 A2 N1 T2 E2 H1 B3SRV2 NSP1_ROTHP 1974 G3 P1A R1 C1 T1 O40627 NSP1_ROTHJ K8 1977 G1 P3A H3 Q54DN3 XPO7_DICDI 7 XPO7 P35423 NSP1_ROTHD 1976 G2 N2 H2 Q07156 VP7_ROTHU P30212 NSP1_ROTHI 80 198?</t>
  </si>
  <si>
    <t xml:space="preserve">GLCM_PIG GLUCOSYLCERAMIDASE OS SUS SCROFA GN GBA PE SV GLCM_MOUSE MUS MUSCULUS NON STRUCTURAL ROTAVIRUS A ISOLATE HUMAN INDIA RX CX MX NX TX HX OUTER CAPSID GLYCOPROTEIN STRAIN PHILIPPINES UNITED STATES P JAPAN IX EX EXPORTIN DICTYOSTELIUM DISCOIDEUM DS IGV GX PX AX </t>
  </si>
  <si>
    <t>VanZ 0.062| Suf | VP7 | M11L | Chordopox_A20R | DUF1361 | ACR3 | DUF1975 | PHA03042 | DUF846 |</t>
  </si>
  <si>
    <t>Georissus sp. APV-2005</t>
  </si>
  <si>
    <t>70909863 CAJ17418 1 L35E 264667453 ACY71312 L35 315115467 ADT80706 112984164 NP_001037241 54609261 AAV34846 268306446 ACY95344 70909865 CAJ17419 121512030 ABM55466 15213786 AAK92168 AF400196_1 49532854 BAD26662 21435723 AAM53950 AF514335_1</t>
  </si>
  <si>
    <t xml:space="preserve">RIBOSOMAL </t>
  </si>
  <si>
    <t>sp|P17078|RL35_RAT</t>
  </si>
  <si>
    <t>P17078 RL35_RAT 60S L35 RPL35 1 3 Q6ZWV7 RL35_MOUSE 2 Q69CJ9 RL35_OPHHA Q98TF7 RL35_CHICK P42766 RL35_HUMAN Q3MHM7 RL35_BOVIN P0CX85 RL35B_YEAST 204508 S288C RPL35A P0CX84 RL35A_YEAST Q29361 RL35_PIG Q9M5L0 RL35_EUPES</t>
  </si>
  <si>
    <t xml:space="preserve">RIBOSOMAL OS RATTUS NORVEGICUS GN PE SV MUS MUSCULUS OPHIOPHAGUS HANNAH GALLUS HOMO SAPIENS BOS TAURUS B SACCHAROMYCES CEREVISIAE STRAIN ATCC A SUS SCROFA EUPHORBIA ESULA </t>
  </si>
  <si>
    <t>ribosomal protein L35 - Rattus norvegicus - structural constituent of ribosome - intracellular - cytoplasm - cytosol - ribosome - translation - translational elongation</t>
  </si>
  <si>
    <t>CENP-M | Ribosomal_L30_N | CRD_FZ | ND4 | COG3202 | Fz | CDC37_N | Papilloma_E5 | ND2 | PRK04184 |</t>
  </si>
  <si>
    <t>sp|P27218|SCRY_KLEPN</t>
  </si>
  <si>
    <t>Klebsiella pneumoniae</t>
  </si>
  <si>
    <t>P27218 3 1 P32977 2</t>
  </si>
  <si>
    <t xml:space="preserve">SCRY_KLEPN SUCROSE PORIN OS KLEBSIELLA PNEUMONIAE GN SCRY PE SV PORO_PSEAE O PSEUDOMONAS AERUGINOSA OPRO </t>
  </si>
  <si>
    <t>purP | FNR_like_3 | DUF1297 |</t>
  </si>
  <si>
    <t>Streptomyces sp. FR-008</t>
  </si>
  <si>
    <t>81295782 ABB70179 1 294634000 ZP_06712556 292829996 EFF88349 238062342 ZP_04607051 5 237884153 EEP72981 115893528 XP_796904 2 115940343 XP_001180206 331251230 XP_003338215 PGTG_19841 309317205 EFP93796 302831674 XP_002947402 VOLCADRAFT_87768 300267266 EFJ51450 2586118 AAC53555 242760758 XP_002340054 242811331 XP_002485726 218714065 EED13488 218723250 EED22667 118382135 XP_001024227 TTHERM_00458200 89305994 EAS03982 242035449 XP_002465119 SORBIDRAFT_01G032340 241918973 EER92117</t>
  </si>
  <si>
    <t xml:space="preserve">UNKNOWN NON RIBOSOMAL SYNTHETASE NADH RIBOFLAVIN PHOSPHATE OXIDOREDUCTASE HYPOTHETICAL ETS TRANSCRIPTION FACTOR SPI B CONSERVED </t>
  </si>
  <si>
    <t>sp|Q6NWV3|IF122_MOUSE</t>
  </si>
  <si>
    <t>Q6NWV3 IF122_MOUSE 122 IFT122 2 1 Q96RJ3 TR13C_HUMAN 13C TNFRSF13C Q9NGW9 Q9HBG6 IF122_HUMAN Q10683 Y2075_MYCTU RV2075C MT2135 4 A2QW83 PAN2_ASPNC PAN2 513 88 A1513 3 Q8JZM0 TFB1M_MOUSE TFB1M Q4IPA4 YTH1_GIBZE YTH1 9075 31084 O18937 RNAS2_AOTTR RNASE2 Q58D34 PI16_BOVIN 16 PI16</t>
  </si>
  <si>
    <t xml:space="preserve">INTRAFLAGELLAR TRANSPORT HOMOLOG OS MUS MUSCULUS GN PE SV TUMOR NECROSIS FACTOR RECEPTOR SUPERFAMILY MEMBER HOMO SAPIENS MKCB_DICDI PROBABLE SERINE THREONINE KINASE MKCB DICTYOSTELIUM DISCOIDEUM UNCHARACTERIZED MYCOBACTERIUM TUBERCULOSIS PAB DEPENDENT POLY A SPECIFIC RIBONUCLEASE SUBUNIT ASPERGILLUS NIGER STRAIN CBS FGSC DIMETHYLADENOSINE TRANSFERASE MITOCHONDRIAL MRNA END PROCESSING GIBBERELLA ZEAE PH NRRL NON SECRETORY AOTUS TRIVIRGATUS PEPTIDASE INHIBITOR BOS TAURUS </t>
  </si>
  <si>
    <t>rnd | CAD1 | TDT_like_2 | ispH | pp-GalNAc-T | Pat_PLPL | UPF0236 | PRK07390 | PRK11387 | PRK14725 |</t>
  </si>
  <si>
    <t>156548458 XP_001605165 1 2708267 AAB92394 2290213 AAB65093 AA1 156545886 XP_001606639 242211593 XP_002471634 220729310 EED83187 270016646 EFA13092 TCASGA2_TC012961 156540942 XP_001599975 334883360 BAK38644 270016026 EFA12474 TCASGA2_TC001498 8489517 AAF75693 AF248072_1</t>
  </si>
  <si>
    <t xml:space="preserve">SIMILAR TO MYOSIN RHOGAP MYR REVERSE TRANSCRIPTASE LIAN RETROTRANSPOSON LACHESIN HYPOTHETICAL UNNAMED PRODUCT </t>
  </si>
  <si>
    <t>sp|Q9H4Z2|ZN335_HUMAN</t>
  </si>
  <si>
    <t>Q9H4Z2 ZN335_HUMAN 335 ZNF335 1 Q03276 PO11_POPJA R1 4 P56151 CY550_APHFL 550 Q6C4I9 ERB1_YARLI ERB1 122 150 3 P40317 SOK1_YEAST SOK1 204508 S288C 2 B1KTS4 A3 Q30Z99 5 G20 C4LJV6 CLPX_CORK4 44385 35717 Q6BRG6 ERB1_DEBHA 36239 767 1990 0083 2968 Q9HM08 TOP1_THEAC 25905 1728 9062 15155 C165</t>
  </si>
  <si>
    <t xml:space="preserve">ZINC FINGER OS HOMO SAPIENS GN PE SV RETROVIRUS RELATED POL POLYPROTEIN FROM TYPE RETROTRANSPOSABLE ELEMENT FRAGMENT POPILLIA JAPONICA CYTOCHROME C APHANIZOMENON FLOS AQUAE PSBV RIBOSOME BIOGENESIS YARROWIA LIPOLYTICA STRAIN CLIB E SACCHAROMYCES CEREVISIAE ATCC ADEC_CLOBM ADENINE DEAMINASE CLOSTRIDIUM BOTULINUM LOCH MAREE ADE DXS_DESDG DEOXY D XYLULOSE PHOSPHATE SYNTHASE DESULFOVIBRIO DESULFURICANS DXS ATP DEPENDENT CLP PROTEASE BINDING SUBUNIT CLPX CORYNEBACTERIUM KROPPENSTEDTII DSM CCUG DEBARYOMYCES HANSENII CBS JCM NBRC IGC DNA TOPOISOMERASE THERMOPLASMA ACIDOPHILUM AMRC TOPA </t>
  </si>
  <si>
    <t>PHA03259 | PLN02740 | DUF1796 | PolY_Pol_V_umuC | M14_Nna1_like_2 | lysidine_TilS_C | Tymo_45kd_70kd | PHA03127 | RGS_GRK2_GRK3 | Cdc6_C |</t>
  </si>
  <si>
    <t>307171464 EFN63308 1 5 322795957 EFZ18583 SINV_07102 242012479 XP_002426960 212511189 EEB14222 332018843 EGI59399 167234457 NP_001107844 270005452 EFA01900 TCASGA2_TC007510 112983206 NP_001037662 110175064 ABG54290 307194950 EFN77058 EAI_00699 156552359 XP_001602518 328715160 XP_001944299 2 328715162 XP_003245550 66515288 XP_392511</t>
  </si>
  <si>
    <t xml:space="preserve">EUKARYOTIC TRANSLATION INITIATION FACTOR HYPOTHETICAL SIMILAR TO LIKE ISOFORM </t>
  </si>
  <si>
    <t>sp|Q4R3D4|EF1D_MACFA</t>
  </si>
  <si>
    <t>Q4R3D4 EF1D_MACFA 1 EEF1D 2 P29692 EF1D_HUMAN 5 Q9ZNT9 FIS2_ARATH FIS2 3 P09627 PMA1_SCHPO 38366 972 PMA1 P53787 EF1D_RABIT Q5A1A0 MPH1_CANAL MPH1 O97939 Q28034 GLU2B_BOVIN Q09555 DAF19_CAEEL 19 Q7YTA6 PHG1C_DICDI 1C PHG1C</t>
  </si>
  <si>
    <t xml:space="preserve">ELONGATION FACTOR DELTA OS MACACA FASCICULARIS GN PE SV HOMO SAPIENS POLYCOMB GROUP FERTILIZATION INDEPENDENT SEED ARABIDOPSIS THALIANA PLASMA MEMBRANE ATPASE SCHIZOSACCHAROMYCES POMBE STRAIN ATCC ORYCTOLAGUS CUNICULUS ATP DEPENDENT DNA HELICASE CANDIDA ALBICANS ENAM_PIG ENAMELIN SUS SCROFA ENAM GLUCOSIDASE SUBUNIT BETA BOS TAURUS PRKCSH RFX LIKE TRANSCRIPTION DAF CAENORHABDITIS ELEGANS PHAGOCYTIC RECEPTOR DICTYOSTELIUM DISCOIDEUM </t>
  </si>
  <si>
    <t>SerH | PHA03244 | ZnMc_salivary_gland_MPs | serS | PHA03247 | OPT_sfam | ND4 | Coiled | PLN03031 | Fmp27 |</t>
  </si>
  <si>
    <t>124487752 ABN11963 1 229577300 NP_001153346 322788785 EFZ14353 SINV_04537 220980842 CAQ19275 242016318 XP_002428776 2 212513461 EEB16038 114052272 NP_001040465 95103002 ABF51442 153792609 NP_001093277 4 95103006 ABF51444 289741489 ADD19492 194767669 XP_001965937 GF11453 190619780 EDV35304 333469984 EGK97474 AGAP001797</t>
  </si>
  <si>
    <t xml:space="preserve">HYPOTHETICAL TROPOMYOSIN ISOFORM A PI </t>
  </si>
  <si>
    <t>sp|Q60UW4|TPM_CAEBR</t>
  </si>
  <si>
    <t>Caenorhabditis briggsae</t>
  </si>
  <si>
    <t>Q60UW4 11 3 1 Q27249 TPM3_CAEEL P15846 Q22866 TPM1_CAEEL Q95VA8 2 Q8WR63 Q9NAS5 O01673 Q25632 O18416</t>
  </si>
  <si>
    <t xml:space="preserve">TPM_CAEBR TROPOMYOSIN OS CAENORHABDITIS BRIGGSAE GN LEV PE SV ISOFORMS C E ELEGANS TPMM_TRICO MUSCLE TRICHOSTRONGYLUS COLUBRIFORMIS A B D F TPM_TRISP TRICHINELLA SPIRALIS TPM_TRIPS PSEUDOSPIRALIS TPM_ANISI ANISAKIS SIMPLEX TPM_ACAVI ACANTHOCHEILONEMA VITEAE TPM_ONCVO ONCHOCERCA VOLVULUS TMY TPM_DERPT DERMATOPHAGOIDES PTERONYSSINUS </t>
  </si>
  <si>
    <t>Tropomyosin isoforms c/e - Caenorhabditis elegans - cytoplasm - actin filament organization - embryo development - spicule insertion - locomotion - actin filament binding</t>
  </si>
  <si>
    <t>Tropomyosin 7e-024| Myosin_tail_1 6e-004| Smc 7e-004| BAR_MUG137_fungi 0.002| Med21 0.006| SMC_prok_B 0.007| PRK04778 0.008| PspA_IM30 0.009| COG1579 0.015| PRK03918 0.024|</t>
  </si>
  <si>
    <t>Clostridium spiroforme DSM 1552</t>
  </si>
  <si>
    <t>169351654 ZP_02868592 1 CLOSPI_02435 169291876 EDS74009</t>
  </si>
  <si>
    <t>sp|Q54IW5|Y8475_DICDI</t>
  </si>
  <si>
    <t>Q54IW5 Y8475_DICDI G8 DDB_G0288475 3 1 Q7MP87 YJ016 Q8DED1 O67303 Y1264_AQUAE AQ_1264 4</t>
  </si>
  <si>
    <t xml:space="preserve">DOMAIN CONTAINING OS DICTYOSTELIUM DISCOIDEUM GN PE SV APAG_VIBVY APAG VIBRIO VULNIFICUS STRAIN APAG_VIBVU UNCHARACTERIZED AQUIFEX AEOLICUS </t>
  </si>
  <si>
    <t>DUF573 | Corona_S1 | DCX | Pox_A6 | A-tRNA_syn_arch | Tfb2 | PRK15305 | STKc_MAK_like | K_trans | MreD |</t>
  </si>
  <si>
    <t>149898887 ABR27945 1 6 327492629 YP_004347526 F0 325511728 ADZ23055 215788942 ACJ69410 11182468 NP_068646 11139106 AAG31613 AF301594_6 242543733 YP_002995745 192335115 ACF04096 240266735 YP_002970971 215788996 ACJ69460 215788968 ACJ69434 226464132 YP_002735100 166897907 ABZ02142 226463989 YP_002791228 166897725 ABZ01973 215788954 ACJ69421</t>
  </si>
  <si>
    <t xml:space="preserve">TRUNCATED ATPASE SUBUNIT ATP SYNTHASE </t>
  </si>
  <si>
    <t>sp|Q1HRS5|ATP6_AEDAE</t>
  </si>
  <si>
    <t>Q1HRS5 ATP6_AEDAE ATPASE6 2 1 P14569 ATP6_LOCMI ATP6 3 P33507 ATP6_ANOQU Q5JCK5 ATP6_AEDAL P00850 ATP6_DROME P34834 ATP6_ANOGA P00851 ATP6_DROYA P50269 ATP6_DROSI Q7IV45 ATP6_DROSE Q7IV55 ATP6_DROMA</t>
  </si>
  <si>
    <t xml:space="preserve">ATP SYNTHASE SUBUNIT A OS AEDES AEGYPTI GN MT PE SV LOCUSTA MIGRATORIA ANOPHELES QUADRIMACULATUS ALBOPICTUS DROSOPHILA MELANOGASTER GAMBIAE YAKUBA SIMULANS SECHELLIA MAURITIANA </t>
  </si>
  <si>
    <t>mitochondrial ATPase subunit 6 - Drosophila melanogaster - mitochondrion - hydrogen-exporting ATPase activity, phosphorylative mechanism - mitochondrial proton-transporting ATP synthase complex, coupling factor F(o) - ATP synthesis coupled proton transport - proton-transporting ATP synthase complex, coupling factor F(o) - neuron homeostasis - muscle cell homeostasis - mitochondrial ATP synthesis coupled proton transport - locomotion - hydrogen ion transporting ATP synthase activity, rotational mechanism - determination of adult lifespan - neurological system process - regulation of ATPase activity</t>
  </si>
  <si>
    <t>ATP6 4e-018| ATP_synt_6_or_A 8e-012| ATP6 2e-010| ATP6 1e-009| ATP6 1e-008| ATP-synt_A 2e-008| PRK05815 4e-008| ATP6 7e-007| ATP6 2e-006| ATP6 2e-006|</t>
  </si>
  <si>
    <t>11182472 NP_068652 1 6 11139110 AAG31617 AF301594_10 149898874 ABR27930 340001911 YP_004734461 295060602 ADF65641 215788974 ACJ69440 240266435 YP_002970771 215789128 ACJ69583 240266379 YP_002970719 215789086 ACJ69544 215788947 ACJ69415 226464138 YP_002735106 166897913 ABZ02148 288903308 YP_003433951 222538095 ACM63331 258649557 YP_003204835 226934940 ACO92548</t>
  </si>
  <si>
    <t>sp|P34856|NU6M_ANOGA</t>
  </si>
  <si>
    <t>Anopheles gambiae</t>
  </si>
  <si>
    <t>P34856 NU6M_ANOGA 6 ND6 3 2 Q33635 NU6M_ANOAL B0FWD6 NU6M_AEDAE 1 P07709 NU6M_DROYA P18933 NU6M_DROME Q34050 NU6M_CERCA P33513 NU6M_ANOQU Q36425 NU6M_LOCMI P04540 NU5M_TRYBB 5 ND5 Q8CQF4 12228</t>
  </si>
  <si>
    <t xml:space="preserve">NADH UBIQUINONE OXIDOREDUCTASE CHAIN OS ANOPHELES GAMBIAE GN MT PE SV ALBIMANUS AEDES AEGYPTI DROSOPHILA YAKUBA MELANOGASTER CERATITIS CAPITATA QUADRIMACULATUS LOCUSTA MIGRATORIA TRYPANOSOMA BRUCEI ARSB_STAES ARSENICAL PUMP MEMBRANE STAPHYLOCOCCUS EPIDERMIDIS STRAIN ATCC ARSB </t>
  </si>
  <si>
    <t>ND6 2e-012| ND6 2e-006| ND6 0.012| Oxidored_q3 | DUF843 | PHA03042 | PRK14402 | put_Glu_GABA_T | COG4984 | Pox_mRNA-cap |</t>
  </si>
  <si>
    <t>Caenorhabditis briggsae AF16</t>
  </si>
  <si>
    <t>309355511 CAP38906 2 CBG_22275 268564141 XP_002639026 1 CBG22275 307173213 EFN64275 EAG_08928 221056731 XP_002259503 193809575 CAQ40276 115497024 NP_001069856 ZDHHC20 119368822 Q0VC89 ZDH20_BOVIN 20 111305231 AAI20295 296481746 DAA23861 195124597 XP_002006778 GI21255 193911846 EDW10713 312091502 XP_003147002 LOAG_11435 307757834 EFO17068 146180959 XP_001021819 TTHERM_01250140 146144347 EAS01574 340506363 EGR32515 IMG5_079950 338196635 EGO88820 CBCST_02961</t>
  </si>
  <si>
    <t xml:space="preserve">HYPOTHETICAL CONSERVED IN PLASMODIUM SPECIES PROBABLE PALMITOYLTRANSFERASE FULL ALTNAME ZINC FINGER DHHC DOMAIN CONTAINING SHORT TYPE </t>
  </si>
  <si>
    <t>sp|Q0VC89|ZDH20_BOVIN</t>
  </si>
  <si>
    <t>Q0VC89 ZDH20_BOVIN ZDHHC20 2 1 Q5Y5T1 ZDH20_MOUSE Q8IIG1 YK213_PLAF7 PF11_0213 3D7 Q9UIJ5 ZDHC2_HUMAN ZDHHC2 Q5W0Z9 ZDH20_HUMAN Q54CY2 Y2556_DICDI DDB_G0292556 4 Q6BV76 TEL1 36239 767 1990 0083 2968 3 Q9JKR5 ZDHC2_RAT P59267 ZDHC2_MOUSE Q80W99 CTSR3_MOUSE CATSPER3</t>
  </si>
  <si>
    <t xml:space="preserve">PROBABLE PALMITOYLTRANSFERASE OS BOS TAURUS GN PE SV MUS MUSCULUS UNCHARACTERIZED PLASMODIUM FALCIPARUM ISOLATE HOMO SAPIENS DICTYOSTELIUM DISCOIDEUM ATM_DEBHA SERINE THREONINE KINASE DEBARYOMYCES HANSENII STRAIN ATCC CBS JCM NBRC IGC RATTUS NORVEGICUS CATION CHANNEL SPERM ASSOCIATED </t>
  </si>
  <si>
    <t>vMSA | Bestrophin | ND2 | PHA03083 | NADH_dehy_S2_C | DUF1656 | ND2 | ND2 | Vezatin | fliM |</t>
  </si>
  <si>
    <t>Saccharomyces cerevisiae Lalvin QA23</t>
  </si>
  <si>
    <t>323348607 EGA82851 1 NNF2P 323333525 EGA74919 259146592 CAY79849 256269406 EEU04703 207345147 EDZ72061 YGR089WP 190406891 EDV10158 SCRG_00928 151943366 EDN61679 21450911 NP_659534 RH5 5656627 AAD45955 U40839_26 6321526 NP_011603 1723686 P53253 NNF2_YEAST NNF2 1323131 CAA97092 285812282 DAA08182 166237220 ABQ51009 RUCL41</t>
  </si>
  <si>
    <t xml:space="preserve">LIKE HYPOTHETICAL CONSERVED FULL UNNAMED PRODUCT TPG TPA MAJOR SURFACE GLYCOPROTEIN </t>
  </si>
  <si>
    <t>sp|P53253|NNF2_YEAST</t>
  </si>
  <si>
    <t>P53253 NNF2_YEAST NNF2 204508 S288C 1 Q06327 LOX1_ARATH LOX1 P36312 POL1_CPSMV RNA1 3 P34987 OL867_RAT 867 OLR867 2 A6PWY4 WDR76_MOUSE 76 WDR76 Q9WYR4 P03600 POL1_CPMVS A2T7D2 ZKSC5_PANTR 5 ZKSCAN5 Q9Y2L8 ZKSC5_HUMAN</t>
  </si>
  <si>
    <t xml:space="preserve">OS SACCHAROMYCES CEREVISIAE STRAIN ATCC GN PE SV LIPOXYGENASE ARABIDOPSIS THALIANA POLYPROTEIN COWPEA SEVERE MOSAIC VIRUS DG OLFACTORY RECEPTOR RATTUS NORVEGICUS WD REPEAT CONTAINING MUS MUSCULUS PTLY_THEMA PECTATE TRISACCHARIDE LYASE THERMOTOGA MARITIMA PELA SB ZINC FINGER WITH KRAB SCAN DOMAINS PAN TROGLODYTES HOMO SAPIENS </t>
  </si>
  <si>
    <t>ND5 0.063| COX3 | ND6 | COX2 | CYTB | GpcrRhopsn4 | PRK14992 | 2A0604s01 | EMP70 | HoxN |</t>
  </si>
  <si>
    <t>Treponema primitia ZAS-2</t>
  </si>
  <si>
    <t>333999922 YP_004532534 1 TREPR_0347 333740949 AEF86439 55274313 AAV49054 4 68066181 XP_675074 56494045 CAH94696 70949621 XP_744204 56524060 CAH78632 162606592 XP_001713326 12580792 CAC27110</t>
  </si>
  <si>
    <t xml:space="preserve">HYPOTHETICAL CONSERVED NADH DEHYDROGENASE SUBUNIT MRNA CAPPING ENZYME </t>
  </si>
  <si>
    <t>sp|O60055|UTP20_SCHPO</t>
  </si>
  <si>
    <t>O60055 UTP20_SCHPO U3 20 38366 972 UTP20 2 1 Q9TLX3 3 Q9URU2 DNA2_SCHPO DNA2</t>
  </si>
  <si>
    <t xml:space="preserve">SMALL NUCLEOLAR RNA ASSOCIATED OS SCHIZOSACCHAROMYCES POMBE STRAIN ATCC GN PE SV LPXC_CYACA UDP O N ACETYLGLUCOSAMINE DEACETYLASE CYANIDIUM CALDARIUM LPXC DNA REPLICATION ATP DEPENDENT HELICASE </t>
  </si>
  <si>
    <t>lgt | flgE | ND4 | DUF2748 | TAS2R | NhoA | ND2 | DRIM | SecY | Srg |</t>
  </si>
  <si>
    <t>Chrysomela tremulae</t>
  </si>
  <si>
    <t>264667453 ACY71312 1 L35 70909863 CAJ17418 L35E 70909865 CAJ17419 91082169 XP_970855 270007435 EFA03883 TCASGA2_TC014007 121512030 ABM55466 315115467 ADT80706 292494904 NP_001167614 121543807 ABM55568 70909861 CAJ17417 268306446 ACY95344</t>
  </si>
  <si>
    <t>P17078 RL35_RAT 60S L35 RPL35 1 3 Q6ZWV7 RL35_MOUSE 2 Q69CJ9 RL35_OPHHA Q98TF7 RL35_CHICK P42766 RL35_HUMAN Q3MHM7 RL35_BOVIN Q29361 RL35_PIG Q6PBC1 RL35_XENTR Q8JHJ1 RL35_DANRE Q6UZF7 RL35_HIPCM</t>
  </si>
  <si>
    <t xml:space="preserve">RIBOSOMAL OS RATTUS NORVEGICUS GN PE SV MUS MUSCULUS OPHIOPHAGUS HANNAH GALLUS HOMO SAPIENS BOS TAURUS SUS SCROFA XENOPUS TROPICALIS DANIO RERIO HIPPOCAMPUS COMES </t>
  </si>
  <si>
    <t>Ribosomal protein L35 - Drosophila melanogaster - translation - structural constituent of ribosome - cytosolic large ribosomal subunit - lipid particle - mitotic spindle elongation - mitotic spindle organization</t>
  </si>
  <si>
    <t>PRK13831 0.025| ND1 0.030| YfhO 0.043| ALDH_F3-13-14_CALDH-like 0.055| ALDH_F3AB 0.056| ND1 | COG3202 | 2A43 | DUF2645 | ND5 |</t>
  </si>
  <si>
    <t>sp|P38566|HYALP_RABIT</t>
  </si>
  <si>
    <t>Oryctolagus cuniculus</t>
  </si>
  <si>
    <t>P38566 20 SPAM1 2</t>
  </si>
  <si>
    <t xml:space="preserve">HYALP_RABIT HYALURONIDASE PH OS ORYCTOLAGUS CUNICULUS GN PE SV </t>
  </si>
  <si>
    <t>fliI | FliI_clade1 | PHA02962 | UAS_ETEA |</t>
  </si>
  <si>
    <t>Nematostella vectensis</t>
  </si>
  <si>
    <t>156389506 XP_001635032 1 156222121 EDO42969 157690688 CAL69071 60S L27 2 157690686 CAL69070 264667413 ACY71292 70909809 CAJ17391 L27E 70909817 CAJ17395 70909813 CAJ17393 197210383 ACH48199 166952311 ABZ04238 RPL27 159145726 ABW90400</t>
  </si>
  <si>
    <t xml:space="preserve">TPE TPA RIBOSOMAL ISOFORM </t>
  </si>
  <si>
    <t>sp|P91914|RL27_CAEEL</t>
  </si>
  <si>
    <t>P91914 RL27_CAEEL 60S L27 27 2 1 Q05462 RL27_PEA RPL27 P61354 RL27_RAT A1XQU5 RL27_PIG P61358 RL27_MOUSE Q4R8Z4 RL27_MACFA Q90YU1 RL27_ICTPU 3 P61353 RL27_HUMAN P61359 RL27_HIPCM Q7ZV82 RL27_DANRE</t>
  </si>
  <si>
    <t xml:space="preserve">RIBOSOMAL OS CAENORHABDITIS ELEGANS GN RPL PE SV PISUM SATIVUM RATTUS NORVEGICUS SUS SCROFA MUS MUSCULUS MACACA FASCICULARIS ICTALURUS PUNCTATUS HOMO SAPIENS HIPPOCAMPUS COMES DANIO RERIO </t>
  </si>
  <si>
    <t>Ribosomal_L27e 5e-004| PTZ00471 0.071| PRK09894 | pleD | MNNL | GGDEF | GGDEF |</t>
  </si>
  <si>
    <t>DSPc 0.067| DSPc | CDC14 | Transposase_28 | PRK07483 | conj_TOL_TraD | Arena_RNA_pol | Baculo_LEF-2 | Tsg |</t>
  </si>
  <si>
    <t>Drosophila simulans</t>
  </si>
  <si>
    <t>195584030 XP_002081819 1 GD11216 194193828 EDX07404 89890039 ZP_01201550 89518312 EAS20968</t>
  </si>
  <si>
    <t xml:space="preserve">CONSERVED HYPOTHETICAL TRANSMEMBRANE </t>
  </si>
  <si>
    <t>sp|C1FNT8|MUTL_CLOBJ</t>
  </si>
  <si>
    <t>Clostridium botulinum (strain Kyoto / Type A2)</t>
  </si>
  <si>
    <t>C1FNT8 A2 3 1 C3KX34 MUTL_CLOB6 657 BA4 Q55610 SECD_SYNY3 27184 6803</t>
  </si>
  <si>
    <t xml:space="preserve">MUTL_CLOBJ DNA MISMATCH REPAIR MUTL OS CLOSTRIDIUM BOTULINUM STRAIN KYOTO TYPE GN PE SV TRANSLOCASE SUBUNIT SECD SYNECHOCYSTIS ATCC PCC N </t>
  </si>
  <si>
    <t>7TM_GPCR_Sra | Nic96 | ND4L | Sre | bact_immun_7tm | DUF3169 | secY | SecY | DUF1700 | Ion_trans_N |</t>
  </si>
  <si>
    <t>Guillardia theta</t>
  </si>
  <si>
    <t>162606124 XP_001713577 1 GTHECHR1080 13794497 AAK39872 AF165818_80 124484691 YP_001031272 C3 124270803 BAF45675</t>
  </si>
  <si>
    <t xml:space="preserve">HYPOTHETICAL VIRAL INNEXIN </t>
  </si>
  <si>
    <t>sp|B4QSF0|SPAST_DROSI</t>
  </si>
  <si>
    <t>B4QSF0 3 1 B4HGG6 Q8I0P1 2 Q8GV94 Q5A3J1 RM51_CANAL 54S L51 MRPL51 Q75JN1 Q8VYT3 Y4052_ARATH AT4G30520 Q96P67 GPR82_HUMAN 82 GPR82</t>
  </si>
  <si>
    <t xml:space="preserve">SPAST_DROSI SPASTIN OS DROSOPHILA SIMULANS GN SPAS PE SV SPAST_DROSE SECHELLIA SPAST_DROME MELANOGASTER MATK_GALNI MATURASE K GALANTHUS NIVALIS MATK RIBOSOMAL MITOCHONDRIAL CANDIDA ALBICANS IFKC_DICDI PROBABLE SERINE THREONINE KINASE IFKC DICTYOSTELIUM DISCOIDEUM LRR RECEPTOR LIKE ARABIDOPSIS THALIANA G COUPLED HOMO SAPIENS </t>
  </si>
  <si>
    <t>PHA02748 | Borrelia_orfA | Beach | ARS2 | PRANC | PRK14995 | Peptidase_C57 | Beach | DUF2417 | PRK14526 |</t>
  </si>
  <si>
    <t>Xenopsylla cheopis</t>
  </si>
  <si>
    <t>121511934 ABM55418 1 40S S3 70906311 AAZ14891 255710087 ACU30863 157118131 XP_001659023 108875828 EAT40053 157118129 XP_001659022 70906313 AAZ14892 108875827 EAT40052 312380148 EFR26232 AND_07881 170057463 XP_001864493 167876891 EDS40274 50344456 CAH04314 S3E 263173249 ACY69890 215260015 ACJ64492</t>
  </si>
  <si>
    <t xml:space="preserve">RIBOSOMAL HYPOTHETICAL </t>
  </si>
  <si>
    <t>sp|Q06559|RS3_DROME</t>
  </si>
  <si>
    <t>Q06559 RS3_DROME 40S S3 RPS3 1 Q90YS2 RS3_ICTPU 2 P47835 RS32_XENLA P02350 RS31_XENLA P62909 RS3_RAT P62908 RS3_MOUSE E2RH47 RS3_CANFA Q5R465 RS3_PONAB Q0Z8U2 RS3_PIG P23396 RS3_HUMAN</t>
  </si>
  <si>
    <t xml:space="preserve">RIBOSOMAL OS DROSOPHILA MELANOGASTER GN PE SV ICTALURUS PUNCTATUS B XENOPUS LAEVIS A RATTUS NORVEGICUS MUS MUSCULUS CANIS FAMILIARIS PONGO ABELII SUS SCROFA HOMO SAPIENS </t>
  </si>
  <si>
    <t>Ribosomal protein S3 - Drosophila melanogaster - nuclear matrix - DNA-(apurinic or apyrimidinic site) lyase activity - nucleus - DNA repair - oxidized purine base lesion DNA N-glycosylase activity - cytosolic small ribosomal subunit - structural constituent of ribosome - translation - cytoplasm - ribosome - RNA binding - negative regulation of neuron apoptosis - lipid particle - microtubule associated complex - mitosis - response to DNA damage stimulus</t>
  </si>
  <si>
    <t>PTZ00084 1e-064| rpsC_E_A 3e-036| RpsC 6e-026| rps3p 1e-024| Ribosomal_S3_C 2e-020| rpsC_bact 0.038| rps3 | tRNA_synt_2f | glyS | PA_CoA_ligase |</t>
  </si>
  <si>
    <t>149898779 ABR27853 1 40S S17 146285342 ABQ18249 S17E 242003765 XP_002422853 212505723 EEB10115 156552609 XP_001599093 50344496 CAH04334 50344494 CAH04333 264667437 ACY71304 110671428 ABG81965 70909569 CAJ17206 91094139 XP_969085 270010869 EFA07317 TCASGA2_TC015910</t>
  </si>
  <si>
    <t xml:space="preserve">RIBOSOMAL SUBUNIT SIMILAR TO HYPOTHETICAL </t>
  </si>
  <si>
    <t>sp|Q962R2|RS17_SPOFR</t>
  </si>
  <si>
    <t>Q962R2 RS17_SPOFR 40S S17 RPS17 2 3 P17704 RS17_DROME Q9U9L1 RS17_ANOGA P04644 RS17_RAT Q6QAP7 RS17_PIG P63276 RS17_MOUSE 1 Q90YQ6 RS17_ICTPU P08708 RS17_HUMAN P63275 RS17_FELCA P63274 RS17_CRIGR</t>
  </si>
  <si>
    <t xml:space="preserve">RIBOSOMAL OS SPODOPTERA FRUGIPERDA GN PE SV DROSOPHILA MELANOGASTER ANOPHELES GAMBIAE RATTUS NORVEGICUS SUS SCROFA MUS MUSCULUS ICTALURUS PUNCTATUS HOMO SAPIENS FELIS CATUS CRICETULUS GRISEUS </t>
  </si>
  <si>
    <t>Ribosomal protein S17 - Drosophila melanogaster - structural constituent of ribosome - translation - cytosolic small ribosomal subunit - ribosome - lipid particle</t>
  </si>
  <si>
    <t>Ribosomal_S17e 1e-014| PTZ00154 7e-011| ND2 0.054| DUF3444 | PHA03398 | EIID-AGA | spore_II_E | KIP1 | ECM27 | PLN02966 |</t>
  </si>
  <si>
    <t>Xenopus laevis</t>
  </si>
  <si>
    <t>148226986 NP_001080579 1 33416729 AAH56121 224059978 XP_002194127 149016224 EDL75470 148668017 EDL00434 148668018 EDL00435 148668019 EDL00436 26345522 BAC36412 12848723 BAB28064 51948478 NP_001004252 51260793 AAH79364 74227024 BAE38313 116283395 AAH02313 74223199 BAE40736</t>
  </si>
  <si>
    <t xml:space="preserve">PHENYLALANYL TRNA SYNTHETASE BETA SUBUNIT FRSB PHENYLALANINE LIKE ISOFORM CRA_B CRA_C UNNAMED PRODUCT CHAIN FARSB </t>
  </si>
  <si>
    <t>sp|Q9WUA2|SYFB_MOUSE</t>
  </si>
  <si>
    <t>Q9WUA2 2 Q5R7F7 1 Q9NSD9 3 Q9VCA5 CG5706 Q19713 Q9SGE9 AT1G72550 O13432 FRS1 P15624 204508 S288C Q661A7 Q550D2</t>
  </si>
  <si>
    <t xml:space="preserve">SYFB_MOUSE PHENYLALANYL TRNA SYNTHETASE BETA CHAIN OS MUS MUSCULUS GN FARSB PE SV SYFB_PONAB PONGO ABELII SYFB_HUMAN HOMO SAPIENS SYFB_DROME PROBABLE DROSOPHILA MELANOGASTER SYFB_CAEEL CAENORHABDITIS ELEGANS FRS SYFB_ARATH ARABIDOPSIS THALIANA SYFB_CANAL CANDIDA ALBICANS SYFB_YEAST SACCHAROMYCES CEREVISIAE STRAIN ATCC SYFB_BORGA BORRELIA GARINII PHET SYFB_DICDI DICTYOSTELIUM DISCOIDEUM PHESB </t>
  </si>
  <si>
    <t>phenylalanyl-tRNA synthetase, beta subunit - Rattus norvegicus - nucleotide binding - magnesium ion binding - RNA binding - phenylalanine-tRNA ligase activity - ATP binding - cytoplasm - cytosol - translation - phenylalanyl-tRNA aminoacylation</t>
  </si>
  <si>
    <t>PLN02265 2e-010| pheT_arch 5e-007| PheRS_beta_core 1e-006| PheT 2e-006| pheT 1e-005| pheT 4e-005| pheT_bact 0.007| Nudix_hydrolase_3 | desat_CrtD | Cyto_ox_2 |</t>
  </si>
  <si>
    <t>290978370 XP_002671909 1 284085481 EFC39165 310795343 EFQ30804 GNS1 SUR4 46125939 XP_387523 FG07347 295442922 NP_592859 2 259016224 Q7LKX0 ELOH2_SCHPO 3 SPAC1639 01C 254745493 CAB55288 242779875 XP_002479478 242779880 XP_002479479 218719625 EED19044 218719626 EED19045 325279664 YP_004252206 324311473 ADY32026 323347298 EGA81571 SUR4P 323332420 EGA73829 259148351 CAY81598 323336392 EGA77660 256271396 EEU06458</t>
  </si>
  <si>
    <t xml:space="preserve">FAMILY HYPOTHETICAL FULL ELONGATION FATTY ACIDS ALTNAME KETO ACYL COA SYNTHASE POLYSACCHARIDE BIOSYNTHESIS </t>
  </si>
  <si>
    <t>sp|Q7LKX0|ELOH2_SCHPO</t>
  </si>
  <si>
    <t>Q7LKX0 ELOH2_SCHPO 2 38366 972 SPAC1639 01C 3 Q54CJ4 1 P40319 ELO3_YEAST 204508 S288C SUR4 O60174 SFC6_SCHPO SFC6 P25358 ELO2_YEAST FEN1 Q86JM5 Y2012_DICDI DDB_G0272012 A6Q913 Y1015_SULNB UPF0182 SUN_1015 NBC37 P38990 SAK1_YEAST SNF1 SAK1 A0RQ64 HIS7_CAMFF 82 40 Q555E8 Y4669_DICDI DDB_G0274669</t>
  </si>
  <si>
    <t xml:space="preserve">ELONGATION FATTY ACIDS OS SCHIZOSACCHAROMYCES POMBE STRAIN ATCC GN PE SV ELOA_DICDI A DICTYOSTELIUM DISCOIDEUM ELOA SACCHAROMYCES CEREVISIAE TRANSCRIPTION FACTOR TAU SUBUNIT SULFUROVUM ACTIVATING KINASE IMIDAZOLEGLYCEROL PHOSPHATE DEHYDRATASE CAMPYLOBACTER FETUS SUBSP HISB </t>
  </si>
  <si>
    <t>ELO 3e-005| PRK10917 | Reticulon | PRK02975 | GmhB_yaeD | PHA02819 | ER_lumen_recept | aceE |</t>
  </si>
  <si>
    <t>Odoribacter splanchnicus DSM 20712</t>
  </si>
  <si>
    <t>325278904 YP_004251446 1 ODOSP_0154 324310713 ADY31266 114329856 YP_740760 YMF73 114150089 ABI51669 118362153 XP_001014304 89296071 EAR94059</t>
  </si>
  <si>
    <t xml:space="preserve">HYPOTHETICAL MIZ ZINC FINGER FAMILY </t>
  </si>
  <si>
    <t>sp|Q74ZZ0|ERG27_ASHGO</t>
  </si>
  <si>
    <t>Q74ZZ0 ERG27_ASHGO 3 10895 109 51 9923 1056 ERG27 1 Q8K9E8 Y389_BUCAP UPF0169 BUSG_389 Q8IIG1 YK213_PLAF7 PF11_0213 3D7 2 Q8U381 43587 3638 8422 VC1 Q5UPI6 YL112_MIMIV L112 MIMI_L112 4</t>
  </si>
  <si>
    <t xml:space="preserve">KETO STEROID REDUCTASE OS ASHBYA GOSSYPII STRAIN ATCC CBS FGSC NRRL Y GN PE SV BUCHNERA APHIDICOLA SUBSP SCHIZAPHIS GRAMINUM UNCHARACTERIZED PLASMODIUM FALCIPARUM ISOLATE MPGP_PYRFU MANNOSYL PHOSPHOGLYCERATE PHOSPHATASE PYROCOCCUS FURIOSUS DSM JCM MNGB ANKYRIN REPEAT ACANTHAMOEBA POLYPHAGA MIMIVIRUS </t>
  </si>
  <si>
    <t>ND3 | HEQRo_perm_3TM | 2A0309 | TDT_C4-dicarb_trans | DUF3169 | COG4393 | ND4 | ND2 | FPL | ND4 |</t>
  </si>
  <si>
    <t>PRK04125 | PLN02912 | START_STARD10-like |</t>
  </si>
  <si>
    <t>Signal transduction mechanisms, Intracellular trafficking, secretion, and vesicular transport</t>
  </si>
  <si>
    <t>Drosophila willistoni</t>
  </si>
  <si>
    <t>195455494 XP_002074745 1 GK22993 194170830 EDW85731 195155334 XP_002018560 GL17775 194114356 EDW36399 125809997 XP_001361315 GA18708 54636490 EAL25893 328794350 XP_001122778 2 195384563 XP_002050984 GJ19895 194145781 EDW62177 195120614 XP_002004819 GI20125 193909887 EDW08754 194881091 XP_001974682 GG21892 190657869 EDV55082 328783917 XP_395577 4 195335591 XP_002034447 GM21884 194126417 EDW48460 340712055 XP_003394580</t>
  </si>
  <si>
    <t xml:space="preserve">VIGILIN LIKE PARTIAL </t>
  </si>
  <si>
    <t>sp|Q9Z1A6|VIGLN_RAT</t>
  </si>
  <si>
    <t>Q9Z1A6 1 Q5R439 2 Q8VDJ3 Q00341 P81021 P06105 SC160_YEAST SCP160 204508 S288C 3 Q3UE17 MEX3D_MOUSE MEX3D Q86XN8 MEX3D_HUMAN Q66GS2 B3GTC_ARATH 12 B3GALT12 B1LAW7 RQ2</t>
  </si>
  <si>
    <t xml:space="preserve">VIGLN_RAT VIGILIN OS RATTUS NORVEGICUS GN HDLBP PE SV VIGLN_PONAB PONGO ABELII VIGLN_MOUSE MUS MUSCULUS VIGLN_HUMAN HOMO SAPIENS VIGLN_CHICK GALLUS SACCHAROMYCES CEREVISIAE STRAIN ATCC RNA BINDING PROBABLE BETA GALACTOSYLTRANSFERASE ARABIDOPSIS THALIANA RLMN_THESQ RIBOSOMAL LARGE SUBUNIT METHYLTRANSFERASE N THERMOTOGA RLMN </t>
  </si>
  <si>
    <t>vigilin_like_KH 2e-008| KH 3e-006| KH_1 3e-006| KH-I 2e-005| PCBP_like_KH | PRK14469 | DUF990 | ccs1 | chap_CCT_delta | PRK07318 |</t>
  </si>
  <si>
    <t>CH4_NH3mon_ox_C | AmoC | Cas10_III | Orbi_VP3 |</t>
  </si>
  <si>
    <t>sp|Q3K5S5|CCA_PSEPF</t>
  </si>
  <si>
    <t>Pseudomonas fluorescens (strain Pf0-1)</t>
  </si>
  <si>
    <t>Q3K5S5 PF0 1 3 Q4UMZ3 Y214_RICFE RF_0214 1525 URRWXCAL2 2 C3K334 SBW25 B5RPQ2 A1 B5RMA6 Q98993 A0ZSK4 D1CDT8 FTSH_THET1 798 YNP1 Q0TTK8 FTSH_CLOP1 13124 8237 A8ZNZ4 FTSH_ACAM1 11017</t>
  </si>
  <si>
    <t xml:space="preserve">CCA_PSEPF MULTIFUNCTIONAL CCA OS PSEUDOMONAS FLUORESCENS STRAIN GN PE SV EXPORT ATP BINDING PERMEASE RICKETTSIA FELIS ATCC VR CCA_PSEFS DNLJ_BORRA DNA LIGASE BORRELIA RECURRENTIS LIGA DNLJ_BORDL DUTTONII LY VTXB_SYNVE VERRUCOTOXIN SUBUNIT BETA SYNANCEIA VERRUCOSA STXB_SYNVE NEOVERRUCOTOXIN DEPENDENT ZINC METALLOPROTEASE FTSH THERMOBACULUM TERRENUM BAA CLOSTRIDIUM PERFRINGENS NCTC TYPE A ACARYOCHLORIS MARINA MBIC </t>
  </si>
  <si>
    <t>7TM_GPCR_Srv | creatine_kinase_like | PRK05354 | DNA_ligase_aden | DUF316 | ligA | PLPDE_III_ADC | tpt | SRPBCC_PITPNC1_like | Zona_pellucida |</t>
  </si>
  <si>
    <t>sp|P47460|HMW2_MYCGE</t>
  </si>
  <si>
    <t>Mycoplasma genitalium</t>
  </si>
  <si>
    <t>P47460 HMW2_MYCGE 2 HMW2 3 1</t>
  </si>
  <si>
    <t xml:space="preserve">CYTADHERENCE HIGH MOLECULAR WEIGHT OS MYCOPLASMA GENITALIUM GN PE SV </t>
  </si>
  <si>
    <t>ND2 | 7TM_GPCR_Srz | TFIID_90kDa | Trep_Strep | Tmemb_161AB | DUF1600 | ndhB | ATP6 | ND2 | RocR |</t>
  </si>
  <si>
    <t>PRK07132 |</t>
  </si>
  <si>
    <t>325505061 ADZ17402 1 TD01073P 195334787 XP_002034058 GM21656 194126028 EDW48071 194882653 XP_001975425 GG20565 190658612 EDV55825 113204833 ABI34150 GM18188P 116007708 NP_001036552 L34 121953120 Q0E959 RM34_DROME 39S L34MT 113194659 ABI31099 321479106 EFX90062 DAPPUDRAFT_299906 307211848 EFN87795 195488362 XP_002092282 GE11750 194178383 EDW91994 157117585 XP_001658838 AAEL_AAEL008044 108875982 EAT40207 156540682 XP_001599742</t>
  </si>
  <si>
    <t xml:space="preserve">MITOCHONDRIAL RIBOSOMAL FULL SHORT MRP FLAGS PRECURSOR HYPOTHETICAL CONSERVED SIMILAR TO </t>
  </si>
  <si>
    <t>sp|Q0E959|RM34_DROME</t>
  </si>
  <si>
    <t>Q0E959 RM34_DROME 39S L34 MRPL34 3 1 Q337A0 XB33_ORYSJ E3 XBOS33 2</t>
  </si>
  <si>
    <t xml:space="preserve">RIBOSOMAL MITOCHONDRIAL OS DROSOPHILA MELANOGASTER GN PE SV PROBABLE UBIQUITIN LIGASE ORYZA SATIVA SUBSP JAPONICA </t>
  </si>
  <si>
    <t>Ribosomal_L34 | CYTB | DUF808 | REX4_like | IPK |</t>
  </si>
  <si>
    <t>Methanothermococcus okinawensis IH1</t>
  </si>
  <si>
    <t>336121653 YP_004576428 1 334856174 AEH06650 238899095 YP_002924777 HDEF_2062 229466855 ACQ68629</t>
  </si>
  <si>
    <t xml:space="preserve">PHOSPHOADENOSINE PHOSPHOSULFATE REDUCTASE HYPOTHETICAL </t>
  </si>
  <si>
    <t>sp|Q09400|YRB3_CAEEL</t>
  </si>
  <si>
    <t>Q09400 YRB3_CAEEL F58F12 3 2 1 P47432 Y186_MYCGE MG186 4 Q54KV4 CK5P1_DICDI CDK5RAP1 P48927 NU6M_PICCA 6 ND6 Q869W0 HBX2_DICDI HBX2 Q7VQX7</t>
  </si>
  <si>
    <t xml:space="preserve">UNCHARACTERIZED OS CAENORHABDITIS ELEGANS GN PE SV LIPOPROTEIN MYCOPLASMA GENITALIUM LIKE DICTYOSTELIUM DISCOIDEUM NADH UBIQUINONE OXIDOREDUCTASE CHAIN PICHIA CANADENSIS HOMEOBOX SYR_BLOFL ARGINYL TRNA SYNTHETASE BLOCHMANNIA FLORIDANUS ARGS </t>
  </si>
  <si>
    <t>ATP6 | Spore_permease | 7TM_GPCR_Sru | ND2 | Phage_holin_4 | 7TM_GPCR_Srh | ND4 | 7TM_GPCR_Srz | PSN | Pox_ser-thr_kin |</t>
  </si>
  <si>
    <t>Plasmodium berghei</t>
  </si>
  <si>
    <t>68071649 XP_677738 1 56497969 CAI00004 225378038 ZP_03755259 ROSEINA2194_03698 225210039 EEG92393 187777210 ZP_02993683 CLOSPO_00756 187774138 EDU37940 170760202 YP_001785530 CLK_3381 226703801 B1KSX3 Y3381_CLOBM UPF0313 169407191 ACA55602 170755103 YP_001779833 CLD_0573 226707747 B1ID91 Y573_CLOBK 169120315 ACA44151 168177535 ZP_02612199 182671208 EDT83182 153940682 YP_001389565 CLI_0267 166988504 A7G9V5 Y267_CLOBL 152936578 ABS42076 295317662 ADF98039 153933272 YP_001382606 CLB_0243 153935718 YP_001386158 CLC_0258 166987479 A7FQL2 Y243_CLOB1 152929316 ABS34816 152931632 ABS37131 148378205 YP_001252746 226947423 YP_002802514 254765038 C1FQT8 Y251_CLOBJ CLM_0251 148287689 CAL81754 226844578 ACO87244 322804470 CBZ02020 291538916 CBL12027</t>
  </si>
  <si>
    <t xml:space="preserve">HYPOTHETICAL CONSERVED FULL RADICAL SAM DOMAIN METHYLASE FE S OXIDOREDUCTASE </t>
  </si>
  <si>
    <t>sp|B1ID91|Y573_CLOBK</t>
  </si>
  <si>
    <t>Clostridium botulinum (strain Okra / Type B1)</t>
  </si>
  <si>
    <t>B1ID91 Y573_CLOBK UPF0313 CLD_0573 B1 3 1 B1KSX3 Y3381_CLOBM CLK_3381 A3 A7G9V5 Y267_CLOBL CLI_0267 10281 C1FQT8 Y251_CLOBJ CLM_0251 A2 A7FQL2 Y243_CLOB1 CLB_0243 19397 C3KYN9 Y249_CLOB6 CLJ_B0249 657 BA4 Q8I2A6 CBPZ1_PLAF7 PFA0170C 3D7 2 O73579 VD4L_CWPXG D4L I2R 90 4 Q9X442 P21102 VC18_VACCC C18 B24 B24R</t>
  </si>
  <si>
    <t xml:space="preserve">OS CLOSTRIDIUM BOTULINUM STRAIN OKRA TYPE GN PE SV LOCH MAREE LANGELAND NCTC F KYOTO ATCC A ZINC CARBOXYPEPTIDASE PLASMODIUM FALCIPARUM ISOLATE ANKYRIN REPEAT COWPOX VIRUS GRI GRISHAK HGPC_HAEIF HEMOGLOBIN HAPTOGLOBIN BINDING C HAEMOPHILUS INFLUENZAE HGPC VACCINIA COPENHAGEN </t>
  </si>
  <si>
    <t>PRK00955 | Lipoxygenase | PHA02730 | ND5 | AgrB | SAM_YgiQ | PSN | LbH_UDP-GlcNAc_AT | PRK12664 | 7TM_GPCR_Srbc |</t>
  </si>
  <si>
    <t>263173277 ACY69898 1 60S L7A 307191894 EFN75313 322802719 EFZ22936 SINV_04293 62083327 AAX62388 307182302 EFN69603 332020288 EGI60719 48105889 XP_393034 229577209 NP_001153326 70909631 CAJ17240 L7AE 70909641 CAJ17245</t>
  </si>
  <si>
    <t>sp|Q90YW2|RL7A_ICTPU</t>
  </si>
  <si>
    <t>Ictalurus punctatus</t>
  </si>
  <si>
    <t>Q90YW2 RL7A_ICTPU 60S L7A RPL7A 2 3 O57592 RL7A_TAKRU P62425 RL7A_RAT 1 Q4R5C2 RL7A_MACFA P62424 RL7A_HUMAN P12970 RL7A_MOUSE P46223 RL7A_DROME P32429 RL7A_CHICK Q2TBQ5 RL7A_BOVIN O76732 RL7A_ANOGA</t>
  </si>
  <si>
    <t xml:space="preserve">RIBOSOMAL OS ICTALURUS PUNCTATUS GN PE SV TAKIFUGU RUBRIPES RATTUS NORVEGICUS MACACA FASCICULARIS HOMO SAPIENS MUS MUSCULUS DROSOPHILA MELANOGASTER GALLUS BOS TAURUS ANOPHELES GAMBIAE </t>
  </si>
  <si>
    <t>Uncharacterized protein - Rattus norvegicus - ribosome biogenesis</t>
  </si>
  <si>
    <t>PTZ00365 1e-041| PTZ00222 3e-028| Ribosomal_L7Ae 2e-022| RPL8A 5e-016| rpl7ae 2e-014| rpl7ae 2e-013| nfrB | PRK05416 | DUF1780 | PRK07714 |</t>
  </si>
  <si>
    <t>Pseudomonas fluorescens Pf-5</t>
  </si>
  <si>
    <t>70732439 YP_262201 1 123652991 Q4K6D2 RSMC_PSEF5 16S M2G1207 2 68346738 AAY94344 260597740 YP_003210311 CTU_19480 260216917 CBA30502</t>
  </si>
  <si>
    <t xml:space="preserve">RIBOSOMAL RNA SMALL SUBUNIT METHYLTRANSFERASE C FULL ALTNAME RRNA GUANINE N RSMC HYPOTHETICAL </t>
  </si>
  <si>
    <t>sp|Q4K6D2|RSMC_PSEF5</t>
  </si>
  <si>
    <t>Pseudomonas fluorescens (strain Pf-5 / ATCC BAA-477)</t>
  </si>
  <si>
    <t>Q4K6D2 RSMC_PSEF5 5 477 3 1 A5V5Y5 RS5_SPHWW 30S S5 RW1 6014 10273 Q1GPB6 RS5_SPHAL 13593 18877 RB2256 Q5RB58 BUB3_PONAB BUB3 2 Q9WVA3 BUB3_MOUSE O43684 BUB3_HUMAN Q1JQB2 BUB3_BOVIN P53263 YG2U_YEAST YGR107W 204508 S288C P0CS26 VPS27_CRYNJ 27 JEC21 VPS27 P0CS27 VPS27_CRYNB 3501A</t>
  </si>
  <si>
    <t xml:space="preserve">RIBOSOMAL RNA SMALL SUBUNIT METHYLTRANSFERASE C OS PSEUDOMONAS FLUORESCENS STRAIN PF ATCC BAA GN RSMC PE SV SPHINGOMONAS WITTICHII DSM JCM RPSE SPHINGOPYXIS ALASKENSIS LMG MITOTIC CHECKPOINT PONGO ABELII MUS MUSCULUS HOMO SAPIENS BOS TAURUS UNCHARACTERIZED SACCHAROMYCES CEREVISIAE VACUOLAR SORTING ASSOCIATED CRYPTOCOCCUS NEOFORMANS VAR SEROTYPE D B </t>
  </si>
  <si>
    <t>PRK10689 | PRK14555 | NifQ | PRK10188 | DUF2079 | COG2910 | PRK08190 | Fes |</t>
  </si>
  <si>
    <t>Hemiselmis andersenii</t>
  </si>
  <si>
    <t>160331861 XP_001712637 1 HAN_3G511 159766086 ABW98312 206900650 YP_002250101 206739753 ACI18811</t>
  </si>
  <si>
    <t xml:space="preserve">HYPOTHETICAL REGULATORY </t>
  </si>
  <si>
    <t>sp|Q4WTT2|SET2_ASPFU</t>
  </si>
  <si>
    <t>Neosartorya fumigata (strain ATCC MYA-4609 / Af293 / CBS 101355 / FGSC A1100)</t>
  </si>
  <si>
    <t>Q4WTT2 SET2_ASPFU H3 36 4609 AF293 101355 A1100 SET2 3 1</t>
  </si>
  <si>
    <t xml:space="preserve">HISTONE LYSINE N METHYLTRANSFERASE SPECIFIC OS NEOSARTORYA FUMIGATA STRAIN ATCC MYA CBS FGSC GN PE SV </t>
  </si>
  <si>
    <t>PRK06242 | Tmp39 | COX1 | ND2 | PTZ00398 | COG1160 | PRK04375 | TatC | DUF1016 | PRK06233 |</t>
  </si>
  <si>
    <t>340726020 XP_003401361 1 40S S23 322785903 EFZ12522 SINV_14421 321473772 EFX84739 DAPPUDRAFT_230600 307204326 EFN83081 307189879 EFN74123 307204327 EFN83082 307204343 EFN83098 332025138 EGI65318 264667365 ACY71268 224924402 ACN69151 241688817 XP_002412862 215506664 EEC16158 242025351 XP_002433088 242025355 XP_002433090 212518615 EEB20350 212518617 EEB20352 242247238 NP_001156067 239793514 BAH72869 ACYPI000819</t>
  </si>
  <si>
    <t>sp|Q962Q7|RS23_SPOFR</t>
  </si>
  <si>
    <t>Q962Q7 RS23_SPOFR 40S S23 RPS23 2 1 Q6EV23 RS23_PAPDA Q8T3U2 RS23_DROME Q86FP7 RS23_DERVA P62268 RS23_RAT 3 Q6SA96 RS23_PIG P62267 RS23_MOUSE Q90YQ1 RS23_ICTPU P62266 RS23_HUMAN P62298 RS23_CHILA</t>
  </si>
  <si>
    <t xml:space="preserve">RIBOSOMAL OS SPODOPTERA FRUGIPERDA GN PE SV PAPILIO DARDANUS DROSOPHILA MELANOGASTER DERMACENTOR VARIABILIS RATTUS NORVEGICUS SUS SCROFA MUS MUSCULUS ICTALURUS PUNCTATUS HOMO SAPIENS CHINCHILLA LANIGERA </t>
  </si>
  <si>
    <t>Ribosomal protein S23 - Drosophila melanogaster - translation - structural constituent of ribosome - cytosolic small ribosomal subunit</t>
  </si>
  <si>
    <t>PTZ00067 2e-017| Ribosomal_S23 4e-014| rps12P 1e-010| S23_S12_E_A 9e-009| RpsL 4e-007| Ribosomal_S12 6e-007| Ribosomal_S12_like 5e-004| ABC_PDR_domain1 | DUF2142 | 7TM_GPCR_Srsx |</t>
  </si>
  <si>
    <t>328794350 XP_001122778 2 328783917 XP_395577 4 340712055 XP_003394580 1 332023809 EGI64033 322792393 EFZ16377 SINV_10742 307211856 EFN87803 307168409 EFN61569 255530126 YP_003090498 B558 255343110 ACU02436 227488944 ZP_03919260 227542062 ZP_03972111 227091128 EEI26440 227182113 EEI63085 195455494 XP_002074745 GK22993 194170830 EDW85731</t>
  </si>
  <si>
    <t xml:space="preserve">VIGILIN LIKE PARTIAL HYPOTHETICAL SUCCINATE DEHYDROGENASE OR FUMARATE REDUCTASE CYTOCHROME B SUBUNIT FAMILY SEC INDEPENDENT TWIN ARGININE TRANSLOCASE SYSTEM </t>
  </si>
  <si>
    <t>sp|P38459|YMF16_MARPO</t>
  </si>
  <si>
    <t>Marchantia polymorpha</t>
  </si>
  <si>
    <t>P38459 YMF16_MARPO YMF16 3 1 O96185 YPF08_PLAF7 PFB0460C 3D7 Q4VZL0 YCF1_CUCSA YCF1 2 Q494A7 4 P0C0J8 P46_MYCHJ 46 25934 10110 P46 P0C0J7 P46_MYCH2 232 Q5XI06 MYST1_RAT MYST1 Q9D1P2 MYST1_MOUSE Q9H7Z6 MYST1_HUMAN Q54JA5</t>
  </si>
  <si>
    <t xml:space="preserve">UNCHARACTERIZED TATC LIKE OS MARCHANTIA POLYMORPHA GN PE SV PLASMODIUM FALCIPARUM ISOLATE MEMBRANE CUCUMIS SATIVUS A UBIA_BLOPB HYDROXYBENZOATE OCTAPRENYLTRANSFERASE BLOCHMANNIA PENNSYLVANICUS STRAIN BPEN UBIA KDA SURFACE ANTIGEN MYCOPLASMA HYOPNEUMONIAE J ATCC NCTC PROBABLE HISTONE ACETYLTRANSFERASE RATTUS NORVEGICUS MUS MUSCULUS HOMO SAPIENS SIBC_DICDI INTEGRIN BETA C DICTYOSTELIUM DISCOIDEUM SIBC </t>
  </si>
  <si>
    <t>PRK00566 | PHA03276 | DUF1561 | 7TM_GPCR_Srz | 2A0309 | oat | spore_ger_x_C | PRK06589 | ND5 | PARP_regulatory |</t>
  </si>
  <si>
    <t>Schizophyllum commune H4-8</t>
  </si>
  <si>
    <t>302694873 XP_003037115 1 SCHCODRAFT_46566 300110812 EFJ02213 240278999 EER42505 225560246 EEH08528 154276664 XP_001539177 150414250 EDN09615 325090257 EGC43567 309356380 CAP37242 2 79 224490514 CAA86231 5 E03A3 6A 224492392 CAO82018 3 193205641 NP_497814 112257438 ABI14559 25152042 NP_497817 26454684 P42173 UNC79_CAEEL 21615428 CAA86235 6B 21615463 CAA84690</t>
  </si>
  <si>
    <t xml:space="preserve">HYPOTHETICAL FUNGAL SPECIFIC TRANSCRIPTION FACTOR DOMAIN CONTAINING CBR UNC C ELEGANS CONFIRMED BY TRANSCRIPT EVIDENCE UNCOORDINATED FAMILY MEMBER FULL </t>
  </si>
  <si>
    <t>sp|P42173|UNC79_CAEEL</t>
  </si>
  <si>
    <t>P42173 UNC79_CAEEL 79 2 3 P50077 CCH1_YEAST CCH1 204508 S288C 1 O28148 Y2132_ARCFU AF_2132 49558 16 4304 9628 100126 4 P15618 YM17_PARTE ORF17 A8AE07 MQO_CITK8 895 4225 83 SGSC4696 A6NE52 K1875_HUMAN KIAA1875 Q9SX90 PUP20_ARATH 20 PUP20 5 Q8NA29 MFS2A_HUMAN 2A MFSD2A P03075 Q8BHL6 FAP24_MOUSE 24 FAAP24</t>
  </si>
  <si>
    <t xml:space="preserve">UNCOORDINATED OS CAENORHABDITIS ELEGANS GN UNC PE SV CALCIUM CHANNEL SACCHAROMYCES CEREVISIAE STRAIN ATCC UNCHARACTERIZED ARCHAEOGLOBUS FULGIDUS VC DSM JCM NBRC MITOCHONDRIAL PARAMECIUM TETRAURELIA PROBABLE MALATE QUINONE OXIDOREDUCTASE CITROBACTER KOSERI BAA CDC MQO WD REPEAT CONTAINING HOMO SAPIENS PURINE PERMEASE ARABIDOPSIS THALIANA MAJOR FACILITATOR SUPERFAMILY DOMAIN LT_POVHA LARGE T ANTIGEN HAMSTER POLYOMAVIRUS FANCONI ANEMIA ASSOCIATED KDA MUS MUSCULUS </t>
  </si>
  <si>
    <t>Plant_vir_prot 0.017| ND6 0.091| 7TM_GPCR_Srz | ND5 | PTZ00304 | ND4 | Bax1-I | ND4 | DUF3439 | ND5 |</t>
  </si>
  <si>
    <t>PLN02668 |</t>
  </si>
  <si>
    <t>157117564 XP_001658828 1 AAEL_AAEL008025 108875999 EAT40224 333467261 EAA45149 5 AGAP000173 158289210 XP_310964 4 91092260 XP_967199 CG16787 270001227 EEZ97674 TCASGA2_TC016219 195431505 XP_002063779 GK15850 194159864 EDW74765 195028364 XP_001987046 GH21697 193903046 EDW01913 194885886 XP_001976506 GG19974 190659693 EDV56906 194754327 XP_001959447 GF12049 190620745 EDV36269 28573649 NP_611857 3 28380676 AAF47115 2 201065939 ACH92379 FI07217P 195489401 XP_002092723 GE11507 194178824 EDW92435</t>
  </si>
  <si>
    <t xml:space="preserve">HYPOTHETICAL CONSERVED PA SIMILAR TO </t>
  </si>
  <si>
    <t>sp|Q5SQH8|CF136_HUMAN</t>
  </si>
  <si>
    <t>Q5SQH8 CF136_HUMAN C6ORF136 2 1 Q32KT5 CF136_BOVIN Q6MG12 CF136_RAT Q5TM64 CF136_MACMU 4 A8Z6P6 SYI_CAMC1 13826 3 Q8K385 FRRS1_MOUSE FRRS1 Q55FG3 VP13C_DICDI 13C Q87F43 TEMECULA1 700964 B0U1K9 M12 B2I6K2 SYA_XYLF2 M23</t>
  </si>
  <si>
    <t xml:space="preserve">UNCHARACTERIZED OS HOMO SAPIENS GN PE SV HOMOLOG BOS TAURUS RATTUS NORVEGICUS MACACA MULATTA ISOLEUCYL TRNA SYNTHETASE CAMPYLOBACTER CONCISUS STRAIN ILES FERRIC CHELATE REDUCTASE MUS MUSCULUS VACUOLAR SORTING ASSOCIATED DICTYOSTELIUM DISCOIDEUM TIPC SYA_XYLFT ALANYL XYLELLA FASTIDIOSA ATCC ALAS SYA_XYLFM </t>
  </si>
  <si>
    <t>Uncharacterized protein C6orf136 - Homo sapiens - mitochondrion</t>
  </si>
  <si>
    <t>DUF2358 2e-016| GPDPase_memb 0.062| KISc_CENP_E | PHA03098 | PRK08207 | ND3 | sulP | COX1 | Serum_albumin | ND5 |</t>
  </si>
  <si>
    <t>Entamoeba histolytica HM-1:IMSS</t>
  </si>
  <si>
    <t>67466890 XP_649584 1 56466058 EAL44198 167386590 XP_001737826 165899278 EDR25917 EDI_044730 170590218 XP_001899869 BM1_42035 158592501 EDP31099 324500082 ADY40049 4 324499860 ADY39950</t>
  </si>
  <si>
    <t xml:space="preserve">HYPOTHETICAL CONSERVED PROTEASOME ACTIVATOR COMPLEX SUBUNIT </t>
  </si>
  <si>
    <t>sp|Q77PU6|U90_HHV6Z</t>
  </si>
  <si>
    <t>Human herpesvirus 6B (strain Z29)</t>
  </si>
  <si>
    <t>Q77PU6 U90_HHV6Z U90 6B Z29 4 1 Q64686 SIA7C_RAT 2 6 3 ST6GALNAC3 Q9SIV5 C3H19_ARATH 19 AT2G16470 Q7NZF7 A1W3P0 JS42 B9MD45 Q9LFM5 YUC4_ARATH YUCCA4 YUC4 Q6CCU8 MON1_YARLI MON1 122 150 Q9ZU49 LPP1_ARATH LPP1 Q9ERL9 GCYA3_MOUSE GUCY1A3</t>
  </si>
  <si>
    <t xml:space="preserve">OS HUMAN HERPESVIRUS STRAIN GN PE SV ALPHA N ACETYLGALACTOSAMINIDE SIALYLTRANSFERASE RATTUS NORVEGICUS ZINC FINGER CCCH DOMAIN CONTAINING ARABIDOPSIS THALIANA SAHH_CHRVO ADENOSYLHOMOCYSTEINASE CHROMOBACTERIUM VIOLACEUM AHCY SAHH_ACISJ ACIDOVORAX SAHH_ACIET EBREUS TPSY FLAVIN MONOOXYGENASE VACUOLAR FUSION YARROWIA LIPOLYTICA CLIB E LIPID PHOSPHATE PHOSPHATASE GUANYLATE CYCLASE SOLUBLE SUBUNIT MUS MUSCULUS </t>
  </si>
  <si>
    <t>PLN02715 | COG5578 | pgaB | CYTB | PRK06922 | FhuE | NOX_Duox_like_FAD_NADP | COG3355 | PRK13665 | COX1 |</t>
  </si>
  <si>
    <t>340502723 EGR29381 1 IMG5_156780 124513254 XP_001349983 23615400 CAD52391 152030932 ABS28695 71892285 YP_278019 71796391 AAZ41142 567922 AAA67536 6226534 NP_009320 VAR1P 116242761 P02381 3 VAR1 4160381 CAA09839 13611 CAA24077 3452511 CAA09218 VAR1U 66475232 XP_627432 46228906 EAK89755 258597109 XP_001347532 2 254922459 AAN35445 158333587 YP_001514759 AM1_0388 158303828 ABW25445</t>
  </si>
  <si>
    <t xml:space="preserve">HYPOTHETICAL CONSERVED PLASMODIUM MEMBRANE UNKNOWN FUNCTION SMALL SUBUNIT RIBOSOMAL TRANSALDOLASE A VARI RMAR_YEAST FULL MITOCHONDRIAL UNNAMED PRODUCT ASSOCIATED HD SUPERFAMILY CYCLIC NUCLEOTIDE PHOSPHODIESTERASE DOMAIN CONTAINING </t>
  </si>
  <si>
    <t>sp|P02381|RMAR_YEAST</t>
  </si>
  <si>
    <t>P02381 VAR1 204508 S288C 1 3 Q35905 Q54X75 MED16_DICDI 16 MED16 2 A6VP95 55618 130Z Q60287 Y3528_METJA MJECL28 43067 2661 10045 100440 4 Q85WU2 YCF1_PINKO YCF1 Q54JL0 NDOR1_DICDI Q5UQT2 YR335_MIMIV R335 MIMI_R335 P33336 SKN1_YEAST SKN1 Q89501 CD2H_ASFB7 CD2 1971 BA71V 058</t>
  </si>
  <si>
    <t xml:space="preserve">RMAR_YEAST RIBOSOMAL MITOCHONDRIAL OS SACCHAROMYCES CEREVISIAE STRAIN ATCC GN PE SV RMAR_SACDO DOUGLASII MEDIATOR RNA POLYMERASE II TRANSCRIPTION SUBUNIT DICTYOSTELIUM DISCOIDEUM KDSA_ACTSZ DEHYDRO DEOXYPHOSPHOOCTONATE ALDOLASE ACTINOBACILLUS SUCCINOGENES KDSA UNCHARACTERIZED METHANOCALDOCOCCUS JANNASCHII DSM JAL JCM NBRC PINUS KORAIENSIS NADPH DEPENDENT DIFLAVIN OXIDOREDUCTASE REDC ACANTHAMOEBA POLYPHAGA MIMIVIRUS BETA GLUCAN SYNTHESIS ASSOCIATED HOMOLOG AFRICAN SWINE FEVER VIRUS BADAJOZ VERO ADAPTED </t>
  </si>
  <si>
    <t>ND5 4e-004| ND5 0.006| ND5 0.017| 7tm_7 0.027| Polysacc_synt 0.027| 2A0309 0.030| bact_immun_7tm 0.035| ND2 0.061| COG4758 | DUF1385 |</t>
  </si>
  <si>
    <t>Schistosoma japonicum</t>
  </si>
  <si>
    <t>56756781 AAW26562 1 SJCHGC09076 172051224 ACB70387 60602612 AAX27763 SJCHGC01957 260207839 CAY61867 332816184 XP_003309691 297286943 XP_001083254 2 5 291399659 XP_002716226 76155559 AAX26850 SJCHGC01954 145701009 NP_536800 7239359 AAF43197 76154077 AAX25590 SJCHGC07817</t>
  </si>
  <si>
    <t xml:space="preserve">HYPOTHETICAL ACETYLCHOLINESTERASE COLLAGENIC TAIL ISOFORM COLLAGEN LIKE SUBUNIT III PRECURSOR </t>
  </si>
  <si>
    <t>sp|Q8CJQ8|IF2_STRCO</t>
  </si>
  <si>
    <t>Streptomyces coelicolor</t>
  </si>
  <si>
    <t>Q8CJQ8 IF2_STRCO 2 3 1 P10164 PRP2_RAT PRP25 Q9Z180 SETBP1 4 O75526 RBMXL2 Q9Y6X0 Q6CEV2 SEC16_YARLI SEC16 122 150 Q8IN94 Q12906 ILF3_HUMAN ILF3 Q4R813 Q9Z1X4 ILF3_MOUSE</t>
  </si>
  <si>
    <t xml:space="preserve">TRANSLATION INITIATION FACTOR IF OS STREPTOMYCES COELICOLOR GN INFB PE SV ACIDIC PROLINE RICH FRAGMENT RATTUS NORVEGICUS SETBP_MOUSE SET BINDING MUS MUSCULUS HNRGT_HUMAN RNA MOTIF X LINKED LIKE HOMO SAPIENS SETBP_HUMAN COPII COAT ASSEMBLY YARROWIA LIPOLYTICA STRAIN CLIB E OSA_DROME TRITHORAX GROUP OSA DROSOPHILA MELANOGASTER INTERLEUKIN ENHANCER HNRGT_MACFA MACACA FASCICULARIS </t>
  </si>
  <si>
    <t>PHA03419 0.033| ND2 | PHA03087 | COG3083 | 6PF2K | ND4 | ND5 | Sig70_famx3 | DUF735 | COG3106 |</t>
  </si>
  <si>
    <t>Cryptosporidium parvum Iowa II</t>
  </si>
  <si>
    <t>126653427 XP_001388389 1 126117482 EAZ51582 67596910 XP_666108 54657031 EAL35877 261329605 CBH12587 147833028 CAN72812 VITISV_004748 32491159 NP_871413 WGLP410 25166366 BAC24556 340502706 EGR29365 IMG5_156920 149375193 ZP_01892965 MDG893_06229 149360557 EDM49009 333924579 YP_004498159 333750140 AEF95247 323701210 ZP_08112885 323533812 EGB23676</t>
  </si>
  <si>
    <t xml:space="preserve">FALZ HYPOTHETICAL UNLIKELY YBGF S LAYER DOMAIN CONTAINING </t>
  </si>
  <si>
    <t>sp|O24661|ASNS_TRIVS</t>
  </si>
  <si>
    <t>Triphysaria versicolor</t>
  </si>
  <si>
    <t>O24661 2 3 Q8QGP3 1 A6MM27 RPOC1_BUXMI RPOC1 Q9ZZW1 Q0182_YEAST Q0182 204508 S288C 5</t>
  </si>
  <si>
    <t xml:space="preserve">ASNS_TRIVS ASPARAGINE SYNTHETASE OS TRIPHYSARIA VERSICOLOR GN AS PE SV CBPZ_CHICK CARBOXYPEPTIDASE Z GALLUS CPZ DNA DIRECTED RNA POLYMERASE SUBUNIT BETA BUXUS MICROPHYLLA UNCHARACTERIZED MITOCHONDRIAL SACCHAROMYCES CEREVISIAE STRAIN ATCC </t>
  </si>
  <si>
    <t>ND5 0.006| 7TM_GPCR_Srbc | ndhB | matK | PLN02549 | YfhO | PQ-loop |</t>
  </si>
  <si>
    <t>294610618 NP_001170966 1 5 C1 289186742 ADC91981 126632652 CAM56495</t>
  </si>
  <si>
    <t xml:space="preserve">UDP GLUCURONOSYLTRANSFERASE FAMILY POLYPEPTIDE NOVEL SIMILAR TO VERTEBRATE GLYCOSYLTRANSFERASE </t>
  </si>
  <si>
    <t>sp|P48906|NU2M_PICCA</t>
  </si>
  <si>
    <t>Pichia canadensis</t>
  </si>
  <si>
    <t>P48906 NU2M_PICCA 2 ND2 3 Q9CN36 PM70 1 P53851 TEX1_YEAST TEX1 204508 S288C</t>
  </si>
  <si>
    <t xml:space="preserve">NADH UBIQUINONE OXIDOREDUCTASE CHAIN OS PICHIA CANADENSIS GN PE SV MUKB_PASMU CHROMOSOME PARTITION MUKB PASTEURELLA MULTOCIDA STRAIN SACCHAROMYCES CEREVISIAE ATCC </t>
  </si>
  <si>
    <t>7TM_GPCR_Srb | Bac_GDH | ndhB | PRK08155 | DUF846 | PRK12402 | PRK13564 | DUF2242 | Homoserine_dh | Spindle_Spc25 |</t>
  </si>
  <si>
    <t>Defense mechanisms</t>
  </si>
  <si>
    <t>Plasmodium yoelii yoelii</t>
  </si>
  <si>
    <t>83315912 XP_730996 1 23490899 EAA22561 183178921 ACC43931 7 183178967 ACC43974 160331047 XP_001712231 HAN_1G61 159765678 ABW97906 146180959 XP_001021819 2 TTHERM_01250140 146144347 EAS01574 307128517 YP_003880547 306482979 ADM89849 145503065 XP_001437510 124404660 CAK70113 68069615 XP_676719 56496540 CAH95280 312097443 XP_003148977 LOAG_13421 307755858 EFO15092 284008845 CBA75635</t>
  </si>
  <si>
    <t xml:space="preserve">HYPOTHETICAL TRANSMEMBRANE RECEPTOR RHODOPSIN FAMILY C ASPARTYL TRNA SYNTHETASE UNNAMED PRODUCT CONSERVED POLYSACCHARIDE BIOSYNTHESIS </t>
  </si>
  <si>
    <t>sp|Q37372|NU5M_ACACA</t>
  </si>
  <si>
    <t>Acanthamoeba castellanii</t>
  </si>
  <si>
    <t>Q37372 NU5M_ACACA 5 ND5 3 1 Q54Y73 Q32065 YCX9_CHLRE 341 7 4 Q9LJW0 PHO19_ARATH PHO1 9 H9 2 Q8I3Z1 MLRR1_PLAF7 PFE0570W 3D7 C6KTB7 ALTH1_PLAF7 E3 PFF1365C O94569 C1773 12 38366 972 SPBC1773 P09975 YCF2_MARPO YCF2 Q56NG9 Q80U44 ZFY16_MOUSE 16 ZFYVE16</t>
  </si>
  <si>
    <t xml:space="preserve">NADH UBIQUINONE OXIDOREDUCTASE CHAIN OS ACANTHAMOEBA CASTELLANII GN PE SV BZPD_DICDI PROBABLE BASIC LEUCINE ZIPPER TRANSCRIPTION FACTOR D DICTYOSTELIUM DISCOIDEUM BZPD UNCHARACTERIZED KDA IN PSBD PSBC INTERGENIC REGION CHLAMYDOMONAS REINHARDTII PHOSPHATE TRANSPORTER HOMOLOG ARABIDOPSIS THALIANA MATH LRR DOMAIN CONTAINING PLASMODIUM FALCIPARUM ISOLATE UBIQUITIN LIGASE YGDC_SCHPO TRANSCRIPTIONAL REGULATORY SCHIZOSACCHAROMYCES POMBE STRAIN ATCC MARCHANTIA POLYMORPHA BPTA_BORBI BPTA BORRELIA BISSETTII ZINC FINGER FYVE MUS MUSCULUS </t>
  </si>
  <si>
    <t>ND6 0.022| DUF3021 0.059| COX3 | 7TM_GPCR_Srw | Bestrophin | ELO | lef-8 | ND4 | Baculo_VP91_N | ND2 |</t>
  </si>
  <si>
    <t>Vibrio vulnificus MO6-24/O</t>
  </si>
  <si>
    <t>320156008 YP_004188387 1 319931321 ADV86185 27365610 NP_761138 27361758 AAO10665 37680242 NP_934851 VV2057 37198989 BAC94822</t>
  </si>
  <si>
    <t xml:space="preserve">HDIG DOMAIN CONTAINING HYPOTHETICAL CONSERVED </t>
  </si>
  <si>
    <t>sp|Q9CKA9|DNLJ_PASMU</t>
  </si>
  <si>
    <t>Pasteurella multocida (strain Pm70)</t>
  </si>
  <si>
    <t>Q9CKA9 PM70 3 1 P94528 2</t>
  </si>
  <si>
    <t xml:space="preserve">DNLJ_PASMU DNA LIGASE OS PASTEURELLA MULTOCIDA STRAIN GN LIGA PE SV ARAN_BACSU PROBABLE ARABINOSE BINDING BACILLUS SUBTILIS ARAN </t>
  </si>
  <si>
    <t>PRK10867 | Homeobox | PRK15417 | DUF915 | COX1 | rihB | Peptidase_A2B |</t>
  </si>
  <si>
    <t>110456474 ABG74714 1 AC1147 118083774 XP_001231536 328354776 CCA41173 PP7435_CHR4 1026 339470672 EGP85769 MYCGRDRAFT_86961 339470668 EGP85765 MYCGRDRAFT_45610 148357120 NP_001091866 LOC100037361 326677452 XP_003200836 LOC100151188 125858763 AAI29241 158463 297490390 XP_002698313 296473139 DAA15254 BOS_23197 260804167 XP_002596960 BRAFLDRAFT_76460 229282221 EEN52972 301792757 XP_002931345 LOC100471656 297468418 XP_002706016</t>
  </si>
  <si>
    <t xml:space="preserve">LIKE SIMILAR TO HYPOTHETICAL ZGC </t>
  </si>
  <si>
    <t>sp|O59679|GEF3_SCHPO</t>
  </si>
  <si>
    <t>O59679 GEF3_SCHPO GEF3 38366 972 2 1 Q9TEY4 3 Q7YC74 Q64GI8 Q7YC76 Q9TEY7 Q7RTU5 ASCL5_HUMAN 5 ASCL5 Q9TEY6 Q49Y08 SYG_STAS1 15305 20229 Q64GJ1</t>
  </si>
  <si>
    <t xml:space="preserve">RHO GUANINE NUCLEOTIDE EXCHANGE FACTOR OS SCHIZOSACCHAROMYCES POMBE STRAIN ATCC GN PE SV CYB_APOSY CYTOCHROME B APODEMUS SYLVATICUS MT CYB CYB_RHYIS RHYNCHOMYS ISAROGENSIS CYB_CHRSB CHROTOMYS SIBUYANENSIS CYB_ARCLU ARCHBOLDOMYS LUZONENSIS CYB_APOFL FLAVICOLLIS ACHAETE SCUTE HOMOLOG HOMO SAPIENS CYB_APOMI MICROPS GLYCYL TRNA SYNTHETASE STAPHYLOCOCCUS SAPROPHYTICUS SUBSP DSM GLYQS CYB_CHRSI SILACEUS </t>
  </si>
  <si>
    <t>zgc:158463 - Danio rerio - molecular_function - cellular_component - biological_process</t>
  </si>
  <si>
    <t>PRK08517 | 2a38euk | PRK14194 | SrmB | Rep_1 | PRK05990 | 3HBOH | Pho88 | GPP34 | PRK00772 |</t>
  </si>
  <si>
    <t>124802800 XP_001347599 1 23495182 AAN35512 167380747 XP_001735436 165902587 EDR28370 EDI_037450</t>
  </si>
  <si>
    <t xml:space="preserve">CONSERVED PLASMODIUM HYPOTHETICAL </t>
  </si>
  <si>
    <t>sp|Q9JJV3|CCGL_MOUSE</t>
  </si>
  <si>
    <t>Q9JJV3 TMEM37 2 1 Q84WG0 PTR26_ARATH AT2G02020 Q8D233 3 Q058E5 Q8VHW1 Q37617 NU4M_PROWI 4 ND4 P77783 K12 Q695U0 RHBL1_TOXGO ROM1</t>
  </si>
  <si>
    <t xml:space="preserve">CCGL_MOUSE VOLTAGE DEPENDENT CALCIUM CHANNEL GAMMA LIKE SUBUNIT OS MUS MUSCULUS GN PE SV PROBABLE NITRATE TRANSPORTER ARABIDOPSIS THALIANA RPOB_WIGBR DNA DIRECTED RNA POLYMERASE BETA WIGGLESWORTHIA GLOSSINIDIA BREVIPALPIS RPOB RPOB_BUCCC BUCHNERA APHIDICOLA SUBSP CINARA CEDRI CCGL_RAT RATTUS NORVEGICUS NADH UBIQUINONE OXIDOREDUCTASE CHAIN PROTOTHECA WICKERHAMII YNFF_ECOLI DIMETHYL SULFOXIDE REDUCTASE YNFF ESCHERICHIA COLI STRAIN RHOMBOID PROTEASE TOXOPLASMA GONDII </t>
  </si>
  <si>
    <t>ND6 | BALF1 | EXS | PRK05905 | Fumble | ccoN | ABC_membrane | Herpes_BMRF2 | pk1 | Nitrate_red_gam |</t>
  </si>
  <si>
    <t>328718471 XP_001944095 2 5 321458586 EFX69652 1 DAPPUDRAFT_300887 242023552 XP_002432196 212517593 EEB19458 241997866 XP_002433576 215495335 EEC04976 91091098 XP_968555 AGAP002051 270014078 EFA10526 TCASGA2_TC012778 94496209 ZP_01302787 94424388 EAT09411 71652965 XP_815129 70880160 EAN93278 309362909 CAP27716 CBG_07321 282880617 ZP_06289323 281305512 EFA97566 268581381 XP_002645674 CBG07321</t>
  </si>
  <si>
    <t xml:space="preserve">ATP BINDING CASSETTE SUB FAMILY G MEMBER LIKE HYPOTHETICAL TRANSPORTER ABC SIMILAR TO PA PERMEASE CONSERVED ALPHA GALACTOSIDASE </t>
  </si>
  <si>
    <t>sp|Q04719|ME53_NPVAC</t>
  </si>
  <si>
    <t>Autographa californica nuclear polyhedrosis virus</t>
  </si>
  <si>
    <t>Q04719 ME53_NPVAC 53 ME53 4 2 A3LX02 SPB4_PICST SPB4 58785 6054 10063 11545 3 Q59NP8 SPB42_CANAL SPB42 1 Q59N29 SPB41_CANAL SPB41 Q869P0 DDX31_DICDI DDX31 Q4P9E5 SPB4_USTMA 521 9021 Q6BSM3 SPB4_DEBHA 36239 767 1990 0083 2968 P08749 COX2_PARTE P08748 COX2_PARPR O85297</t>
  </si>
  <si>
    <t xml:space="preserve">EARLY KDA OS AUTOGRAPHA CALIFORNICA NUCLEAR POLYHEDROSIS VIRUS GN PE SV ATP DEPENDENT RRNA HELICASE SCHEFFERSOMYCES STIPITIS STRAIN ATCC CBS NBRC NRRL Y CANDIDA ALBICANS PROBABLE RNA DICTYOSTELIUM DISCOIDEUM USTILAGO MAYDIS FGSC DEBARYOMYCES HANSENII JCM IGC CYTOCHROME C OXIDASE SUBUNIT PARAMECIUM TETRAURELIA COII PRIMAURELIA FTSI_BUCAP PEPTIDOGLYCAN SYNTHASE FTSI BUCHNERA APHIDICOLA SUBSP SCHIZAPHIS GRAMINUM </t>
  </si>
  <si>
    <t>arg_catab_AOST | AstA | arg_catab_AstA | DUF705 | glyc2_xrt_Gpos1 | PHA02919 | Brix | COG4262 | PRK13298 | CYTB |</t>
  </si>
  <si>
    <t>328718760 XP_001945713 2 31 KIAA1161 198467625 XP_001354457 GA17264 198149333 EAL31510 195448965 XP_002071890 1 GK10238 194167975 EDW82876 195396531 XP_002056885 GJ16771 194146652 EDW62371 195131921 XP_002010392 GI14708 193908842 EDW07709 195043405 XP_001991613 GH11967 193901371 EDW00238 340717813 XP_003397370 LOC100643654 332029283 EGI69266 322784425 EFZ11396 SINV_16112 307203441 EFN82516</t>
  </si>
  <si>
    <t xml:space="preserve">UNCHARACTERIZED FAMILY GLUCOSIDASE LIKE HYPOTHETICAL </t>
  </si>
  <si>
    <t>sp|Q6NSJ0|K1161_HUMAN</t>
  </si>
  <si>
    <t>Q6NSJ0 K1161_HUMAN 31 KIAA1161 1 2 Q69ZQ1 K1161_MOUSE O62653 3 P19965 SP15_TORCA P07768 P14410 6 O43451 5 P23739 Q9F234 AGL2_BACTQ O62699 NOS2_CANFA NOS2</t>
  </si>
  <si>
    <t xml:space="preserve">UNCHARACTERIZED FAMILY GLUCOSIDASE OS HOMO SAPIENS GN PE SV MUS MUSCULUS SUIS_SUNMU SUCRASE ISOMALTASE INTESTINAL SUNCUS MURINUS SI SITS BINDING TORPEDO CALIFORNICA SUIS_RABIT ORYCTOLAGUS CUNICULUS SUIS_HUMAN MGA_HUMAN MALTASE GLUCOAMYLASE MGAM SUIS_RAT RATTUS NORVEGICUS ALPHA BACILLUS THERMOAMYLOLIQUEFACIENS NITRIC OXIDE SYNTHASE INDUCIBLE CANIS FAMILIARIS </t>
  </si>
  <si>
    <t>Drosophila melanogaster - alpha-glucosidase II complex - alpha-glucosidase activity - carbohydrate metabolic process</t>
  </si>
  <si>
    <t>Glyco_hydro_31 9e-009| COG1501 1e-006| PRK10426 5e-004| PRK10658 0.001| CysJ | EcsB | PTZ00250 | PDR_like | PRK06319 | PCAF_N |</t>
  </si>
  <si>
    <t>195169971 XP_002025787 1 GL18256 198467948 XP_002133896 GA28022 194110640 EDW32683 198146182 EDY72523 195350820 XP_002041936 GM11453 194123741 EDW45784 194889862 XP_001977173 GG18387 190648822 EDV46100 24641180 NP_572681 CG2076 7292595 AAF47994 33589294 AAQ22414 RH72958P 220951088 ACL88087 220959672 ACL92379 194762624 XP_001963434 GF20290 190629093 EDV44510 195399125 XP_002058171 GJ15635 194150595 EDW66279 157104296 XP_001648341 108869213 EAT33438 195498734 XP_002096651 GE25789 194182752 EDW96363 194899288 XP_001979192 GG25161 190650895 EDV48150 195568979 XP_002102489 GD19479 194198416 EDX11992</t>
  </si>
  <si>
    <t xml:space="preserve">PA GROWTH HORMONE INDUCIBLE TRANSMEMBRANE </t>
  </si>
  <si>
    <t>sp|Q5XIA8|GHITM_RAT</t>
  </si>
  <si>
    <t>Q5XIA8 2 1 Q91VC9 Q9H3K2 P55061 BI1_HUMAN TMBIM6 P55062 BI1_RAT Q5R7R1 BI1_PONAB Q94A20 BI1L_ARATH BI1 AT4G15470 O74888 YQE4_SCHPO C576 04 38366 972 SPCC576 Q9IA79 BI1_PAROL Q9KSA1 Y1358_VIBCH VC_1358 3</t>
  </si>
  <si>
    <t xml:space="preserve">GHITM_RAT GROWTH HORMONE INDUCIBLE TRANSMEMBRANE OS RATTUS NORVEGICUS GN GHITM PE SV GHITM_MOUSE MUS MUSCULUS GHITM_HUMAN HOMO SAPIENS BAX INHIBITOR PONGO ABELII LIKE ARABIDOPSIS THALIANA UNCHARACTERIZED MEMBRANE SCHIZOSACCHAROMYCES POMBE STRAIN ATCC PROBABLE PARALICHTHYS OLIVACEUS VIBRIO CHOLERAE </t>
  </si>
  <si>
    <t>growth hormone inducible transmembrane protein - Rattus norvegicus - mitochondrion - mitochondrial inner membrane - apoptosis - membrane - integral to membrane</t>
  </si>
  <si>
    <t>BI-1-like 1e-017| Bax1-I 6e-016| COG0670 3e-008| COG0392 0.028| ArsB_NhaD_permease 0.080| PRK06131 | PHA02967 | glyQ | PRK12649 | PHA03018 |</t>
  </si>
  <si>
    <t>340508695 EGR34347 1 IMG5_015140 340504725 EGR31144 340500150 EGR27047 IMG5_202280 337288997 YP_004628469 334902735 AEH23541 340504800 EGR31213 196016538 XP_002118121 TRIADDRAFT_62157 190579334 EDV19432 108773300 YP_635779 CHVUCP076 77157956 ABA61997 315659410 ZP_07912273 315495529 EFU83861 340500381 EGR27267 IMG5_199470 163787519 ZP_02181966 FBALC1_03232 159877407 EDP71464</t>
  </si>
  <si>
    <t xml:space="preserve">HYPOTHETICAL PHOSPHOLIPID TRANSLOCATING P TYPE FLIPPASE FAMILY APOLIPOPROTEIN N ACYLTRANSFERASE PAS DOMAIN S BOX MEMBRANE </t>
  </si>
  <si>
    <t>sp|Q7SYR6|LMBD1_XENLA</t>
  </si>
  <si>
    <t>Q7SYR6 LMBD1_XENLA LMBRD1 2 1 Q59076 43067 2661 10045 100440 3 P24499 ATP6_TRYBB ATP6 O74630 TEL1 38366 972 Q45594 Q8BUR4 DOCK1_MOUSE DOCK1 Q14185 DOCK1_HUMAN Q96RC9 OR8B4_HUMAN 8B4 OR8B4 Q8D2Q7 O80483 NAS3_ARATH NAS3</t>
  </si>
  <si>
    <t xml:space="preserve">PROBABLE LYSOSOMAL COBALAMIN TRANSPORTER OS XENOPUS LAEVIS GN PE SV HTPX_METJA PROTEASE HTPX HOMOLOG METHANOCALDOCOCCUS JANNASCHII STRAIN ATCC DSM JAL JCM NBRC ATP SYNTHASE SUBUNIT A TRYPANOSOMA BRUCEI ATM_SCHPO SERINE THREONINE KINASE SCHIZOSACCHAROMYCES POMBE YYDH_BACSU ZINC METALLOPROTEASE YYDH BACILLUS SUBTILIS DEDICATOR CYTOKINESIS MUS MUSCULUS HOMO SAPIENS OLFACTORY RECEPTOR NHAA_WIGBR NA H ANTIPORTER NHAA WIGGLESWORTHIA GLOSSINIDIA BREVIPALPIS NICOTIANAMINE ARABIDOPSIS THALIANA </t>
  </si>
  <si>
    <t>7TM_GPCR_Srz 0.015| ND4 0.042| VAR1 | NMN_transporter | Srg | AgrB | AgrB | GpcrRhopsn4 | Peptidase_U4 | Sre |</t>
  </si>
  <si>
    <t>Tetrahymena thermophila SB210</t>
  </si>
  <si>
    <t>118369220 XP_001017815 1 TTHERM_00439180 89299582 EAR97570 238853495 ZP_04643872 282852020 ZP_06261378 238833886 EEQ26146 282556780 EFB62384 300361629 ZP_07057806 300354248 EFJ70119 116629596 YP_814768 311110761 ZP_07712158 116095178 ABJ60330 311065915 EFQ46255 322369399 ZP_08043964 ZOD2009_07919 320551131 EFW92780 328870399 EGG18773 5 281210686 EFA84852 PPL_01845 281341856 EFB17440 PANDA_008112 124505959 XP_001351577 23504504 CAD51384 284164731 YP_003403010 HTUR_1449 284014386 ADB60337 DUF6</t>
  </si>
  <si>
    <t xml:space="preserve">HYPOTHETICAL ADHESION EXOPROTEIN GRAM POSITIVE SIGNAL YSIRK FAMILY PREFOLDIN SUBUNIT CHROMOSOME ASSEMBLY FACTOR CAF UNKNOWN FUNCTION TRANSMEMBRANE </t>
  </si>
  <si>
    <t>sp|Q8YSU5|Y2987_NOSS1</t>
  </si>
  <si>
    <t>Nostoc sp. (strain PCC 7120 / UTEX 2576)</t>
  </si>
  <si>
    <t>Q8YSU5 Y2987_NOSS1 UPF0187 ALR2987 7120 2576 3 1 Q02749 YP068_YEAST YPL068C 204508 S288C Q555C6 VP13B_DICDI 13B VPS13B Q55GD2 Y8328_DICDI DDB_G0268328 4 Q8YXE4 SYW_NOSS1 O43196 MSH5_HUMAN 5 MSH5 P18160 PYK1_DICDI PYK1 A5LFX5 KCNU1_MACFA KCNU1 2 Q6CJI9 CHO2_KLULA 8585 2359 70799 1267 1140 WM37 CHO2 A8J6X1</t>
  </si>
  <si>
    <t xml:space="preserve">OS NOSTOC STRAIN PCC UTEX GN PE SV UNCHARACTERIZED SACCHAROMYCES CEREVISIAE ATCC VACUOLAR SORTING ASSOCIATED DICTYOSTELIUM DISCOIDEUM TRYPTOPHANYL TRNA SYNTHETASE TRPS MUTS HOMOLOG HOMO SAPIENS DUAL SPECIFICITY KINASE SPLA POTASSIUM CHANNEL SUBFAMILY U MEMBER MACACA FASCICULARIS PHOSPHATIDYLETHANOLAMINE N METHYLTRANSFERASE KLUYVEROMYCES LACTIS CBS DSM NBRC NRRL Y BMT_GLELI BERGAPTOL O GLEHNIA LITTORALIS BMT </t>
  </si>
  <si>
    <t>Pombe_5TM | DUF1157 | PHA03087 | MpPF26 | LANC_like | PRK11664 | Papilloma_E5 | Pex24p | DUF1980 | DUF443 |</t>
  </si>
  <si>
    <t>307095118 ADN29865 1 UCHL1 149898901 ABR27951 312597590 ADQ89804 CG4265 195034864 XP_001988992 GH11470 193904992 EDW03859 195575937 XP_002077833 GD22865 194189842 EDX03418 195341893 XP_002037536 GM18256 194132386 EDW53954 258816 AAB23929 303086 AAA15411 313768 CAA49358 313770 CAA49359 17136836 NP_476940 320544423 NP_001188681 73920967 P35122 2 5052490 AAD38575 AF145600_1 7295994 AAF51291 220943726 ACL84406 220960320 ACL92696 318068293 ADV36932 260833566 XP_002611728 BRAFLDRAFT_268698 229297099 EEN67738</t>
  </si>
  <si>
    <t xml:space="preserve">UBIQUITIN C TERMINAL HYDROLASE CARBOXY HOMOLOG CARBOXYL ISOFORM A B UCHL_DROME FULL ALTNAME THIOESTERASE UCH PA HYPOTHETICAL </t>
  </si>
  <si>
    <t>sp|P35122|UCHL_DROME</t>
  </si>
  <si>
    <t>P35122 2 Q91Y78 UCHL3_RAT L3 UCHL3 1 Q06AB3 UCHL3_PIG Q9JKB1 UCHL3_MOUSE P15374 UCHL3_HUMAN Q2TBG8 UCHL3_BOVIN P58321 UCHL4_MOUSE L4 UCHL4 Q54T48 UCH1 3 O01391 P09936 UCHL1_HUMAN L1 UCHL1</t>
  </si>
  <si>
    <t xml:space="preserve">UCHL_DROME UBIQUITIN CARBOXYL TERMINAL HYDROLASE OS DROSOPHILA MELANOGASTER GN UCH PE SV ISOZYME RATTUS NORVEGICUS SUS SCROFA MUS MUSCULUS HOMO SAPIENS BOS TAURUS UCHL_DICDI PROBABLE DICTYOSTELIUM DISCOIDEUM UCHL_APLCA APLYSIA CALIFORNICA </t>
  </si>
  <si>
    <t>Ubiquitin carboxy-terminal hydrolase - Drosophila melanogaster - protein deubiquitination - ubiquitin thiolesterase activity - ubiquitin-dependent protein catabolic process - microtubule associated complex</t>
  </si>
  <si>
    <t>Peptidase_C12_UCH_L1_L3 4e-015| Peptidase_C12 5e-009| COX2 0.024| Peptidase_C12_UCH37_BAP1 0.027| 7TM_GPCR_Srz | ND5 | Rap_GAP | sucr_synth | PHA02614 | Citrate_ly_lig |</t>
  </si>
  <si>
    <t>328718471 XP_001944095 2 5 242023552 XP_002432196 1 212517593 EEB19458 321458586 EFX69652 DAPPUDRAFT_300887 241997866 XP_002433576 215495335 EEC04976 91091098 XP_968555 AGAP002051 270014078 EFA10526 TCASGA2_TC012778 71652965 XP_815129 70880160 EAN93278 309362909 CAP27716 CBG_07321 282880617 ZP_06289323 281305512 EFA97566 268581381 XP_002645674 CBG07321 340509312 EGR34862 IMG5_000900</t>
  </si>
  <si>
    <t xml:space="preserve">ATP BINDING CASSETTE SUB FAMILY G MEMBER LIKE TRANSPORTER HYPOTHETICAL ABC SIMILAR TO PA CONSERVED ALPHA GALACTOSIDASE </t>
  </si>
  <si>
    <t>Q04719 ME53_NPVAC 53 ME53 4 2 A3LX02 SPB4_PICST SPB4 58785 6054 10063 11545 3 Q59NP8 SPB42_CANAL SPB42 1 Q59N29 SPB41_CANAL SPB41 Q869P0 DDX31_DICDI DDX31 Q4P9E5 SPB4_USTMA 521 9021 Q6BSM3 SPB4_DEBHA 36239 767 1990 0083 2968 P08749 COX2_PARTE P08748 COX2_PARPR Q9FM64 PP431_ARATH AT5G55740 CRR21</t>
  </si>
  <si>
    <t xml:space="preserve">EARLY KDA OS AUTOGRAPHA CALIFORNICA NUCLEAR POLYHEDROSIS VIRUS GN PE SV ATP DEPENDENT RRNA HELICASE SCHEFFERSOMYCES STIPITIS STRAIN ATCC CBS NBRC NRRL Y CANDIDA ALBICANS PROBABLE RNA DICTYOSTELIUM DISCOIDEUM USTILAGO MAYDIS FGSC DEBARYOMYCES HANSENII JCM IGC CYTOCHROME C OXIDASE SUBUNIT PARAMECIUM TETRAURELIA COII PRIMAURELIA PENTATRICOPEPTIDE REPEAT CONTAINING CHLOROPLASTIC ARABIDOPSIS THALIANA </t>
  </si>
  <si>
    <t>arg_catab_AOST 0.092| AstA | arg_catab_AstA | glyc2_xrt_Gpos1 | PHA02919 | Brix | GatC | PHA03042 | COG4262 | RbsD_FucU |</t>
  </si>
  <si>
    <t>223029543 ACM78493 1 MIP02330P 195505392 XP_002099484 GE23327 194185585 EDW99196 38048075 AAR09940 CG1746 24651599 NP_651852 24651601 NP_733422 24651603 NP_733423 194905019 XP_001981105 GG11879 7302028 AAF57131 23172756 AAN14267 23172757 AAN14268 41058227 AAR99150 GM13193P 190655743 EDV52975 307200014 EFN80360 289743209 ADD20352 289743213 ADD20354 F1F0 ATP9 269146606 ACZ28249 197260868 ACH56931 195449282 XP_002072006 GK22551 194168091 EDW82992 195394561 XP_002055911 GJ10646 194142620 EDW59023</t>
  </si>
  <si>
    <t xml:space="preserve">SIMILAR TO DROSOPHILA MELANOGASTER ISOFORM A B C ATP SYNTHASE LIPID BINDING MITOCHONDRIAL PRECURSOR SUBUNIT PROTEOLIPID </t>
  </si>
  <si>
    <t>sp|Q9U505|AT5G_MANSE</t>
  </si>
  <si>
    <t>Q9U505 AT5G_MANSE 2 1 Q06056 AT5G2_SHEEP ATP5G2 P07926 AT5G2_BOVIN P05496 AT5G1_HUMAN ATP5G1 P56383 AT5G2_MOUSE Q06646 AT5G2_RAT P17605 AT5G1_SHEEP P32876 AT5G1_BOVIN Q5RAP9 AT5G2_PONAB Q06645 AT5G1_RAT</t>
  </si>
  <si>
    <t xml:space="preserve">ATP SYNTHASE LIPID BINDING MITOCHONDRIAL OS MANDUCA SEXTA PE SV OVIS ARIES GN BOS TAURUS HOMO SAPIENS MUS MUSCULUS RATTUS NORVEGICUS PONGO ABELII </t>
  </si>
  <si>
    <t>Drosophila melanogaster - hydrogen-exporting ATPase activity, phosphorylative mechanism - proton transport - mitochondrial proton-transporting ATP synthase complex, coupling factor F(o) - ATP hydrolysis coupled proton transport - ATP synthesis coupled proton transport</t>
  </si>
  <si>
    <t>ATP9 1e-040| PRK07558 1e-021| ATP-synt_C 2e-016| AtpE 2e-013| PRK07159 2e-012| PRK13469 2e-010| PRK07874 3e-007| PRK13471 4e-006| atpH 7e-006| PRK06876 4e-005|</t>
  </si>
  <si>
    <t>307213084 EFN88606 1 2 156541514 XP_001600201 ENSANGP00000013320 328784624 XP_003250473 328784622 XP_624232 242008388 XP_002424988 212508617 EEB12250 332031608 EGI71080 321461617 EFX72647 DAPPUDRAFT_227363 170062742 XP_001866801 167880566 EDS43949 157131338 XP_001662201 108881857 EAT46082 94469092 ABF18395</t>
  </si>
  <si>
    <t xml:space="preserve">STROMAL CELL DERIVED FACTOR SIMILAR TO LIKE ISOFORM PRECURSOR HYPOTHETICAL PROBABLE ER RETAINED MANNOSYLTRANSFERASE </t>
  </si>
  <si>
    <t>sp|Q9HCN8|SDF2L_HUMAN</t>
  </si>
  <si>
    <t>Q9HCN8 SDF2L_HUMAN 2 1 SDF2L1 Q9DCT5 SDF2_MOUSE SDF2 Q3T083 SDF2L_BOVIN Q99470 SDF2_HUMAN Q3SZ45 SDF2_BOVIN Q9ESP1 SDF2L_MOUSE Q2V3K9 DF312_ARATH 312 AT4G08039 5 Q31CB9 MQO_PROM9 9312 3 A3PBD7 MQO_PROM0 9301 Q0CSL5 AIM24_ASPTN 24 2624 A1156 AIM24</t>
  </si>
  <si>
    <t xml:space="preserve">STROMAL CELL DERIVED FACTOR LIKE OS HOMO SAPIENS GN PE SV MUS MUSCULUS BOS TAURUS DEFENSIN ARABIDOPSIS THALIANA PROBABLE MALATE QUINONE OXIDOREDUCTASE PROCHLOROCOCCUS MARINUS STRAIN MIT MQO ALTERED INHERITANCE MITOCHONDRIA MITOCHONDRIAL ASPERGILLUS TERREUS NIH FGSC </t>
  </si>
  <si>
    <t>Drosophila melanogaster - membrane</t>
  </si>
  <si>
    <t>7TM_GPCR_Srz 0.003| MIR 0.011| PHA03100 0.012| 7tm_7 0.025| HobA | ND5 | 7TM_GPCR_Srh | Acyl_transf_3 | COG3936 | GDPD_memb_like |</t>
  </si>
  <si>
    <t>270046188 BAI50824 1 307094826 ADN29719 270046174 BAI50817 270046176 BAI50818 270046172 BAI50816 307094828 ADN29720 307094904 ADN29758 TM227 270046228 BAI50844 307094878 ADN29745 307094956 ADN29784 TM817</t>
  </si>
  <si>
    <t>sp|Q32LQ3|OSGC2_DANRE</t>
  </si>
  <si>
    <t>Q32LQ3 OSGC2_DANRE OSGEPL1 2 Q6AZB3 CPIN1_DANRE CIAPIN1 1 A6NC05 YD286_HUMAN C5ORF63 3 Q06366 4 P46082 120 Q7VQ46 B6YUR8 7 NA1 Q5JHC0 918 12380 KOD1 Q8JU53 VP7_AQRVC VP7 1977 S10 Q4K5Z3 SFSA_PSEF5 5 477</t>
  </si>
  <si>
    <t xml:space="preserve">PROBABLE TRNA THREONYLCARBAMOYLADENOSINE BIOSYNTHESIS OS DANIO RERIO GN PE SV ANAMORSIN GLUTAREDOXIN LIKE HOMO SAPIENS BXEN_CLOBU BOTULINUM NEUROTOXIN TYPE E NON TOXIC COMPONENT CLOSTRIDIUM BUTYRICUM BXEN_CLOBO ENT OXAA_CHLPN INNER MEMBRANE OXAA CHLAMYDIA PNEUMONIAE ATGT_THEON CYANO DEAZAGUANINE RIBOSYLTRANSFERASE THERMOCOCCUS ONNURINEUS STRAIN TGTA ATGT_PYRKO PYROCOCCUS KODAKARAENSIS ATCC BAA JCM OUTER CAPSID AQUAREOVIRUS C ISOLATE GOLDEN SHINER USA GSRV SUGAR FERMENTATION STIMULATION HOMOLOG PSEUDOMONAS FLUORESCENS PF SFSA </t>
  </si>
  <si>
    <t>DUF1157 | PRK13533 | PRK07132 | PurM-like1 | PRK13534 | lef-9 | PIG-U | LEF-9 | holin_tox_secr | PRK05582 |</t>
  </si>
  <si>
    <t>Lactobacillus casei ATCC 334</t>
  </si>
  <si>
    <t>116493579 YP_805313 1 116103729 ABJ68871 169848644 XP_001831027 116507920 EAU90815 227533501 ZP_03963550 227188830 EEI68897 191636829 YP_001985995 239630809 ZP_04673840 301065132 YP_003787155 190711131 CAQ65137 239527092 EEQ66093 300437539 ADK17305 327380868 AEA52344 327384032 AEA55506 84495093 ZP_00994212 84384586 EAQ00466</t>
  </si>
  <si>
    <t xml:space="preserve">DNA GYRASE B SUBUNIT GLUCOOLIGOSACCHARIDE OXIDASE TOPOISOMERASE ATP HYDROLYZING TRANSPORTER </t>
  </si>
  <si>
    <t>sp|Q93YP7|4HPT_ARATH</t>
  </si>
  <si>
    <t>Q93YP7 4HPT_ARATH 4 PPT1 2 1 Q3UZB0 ARMX5_MOUSE 5 ARMCX5 Q96MN9 ZN488_HUMAN 488 ZNF488 Q8N1F8 S11IP_HUMAN 11 STK11IP 3 Q2GXM1 SEC16_CHAGB SEC16 6205 148 51 1962 6347 1970 P29991 POLG_DEN27 16681 PDK53 C5JPM9 M28P1_AJEDS BDBG_05051 SLH14081 C5G8H4 M28P1_AJEDR BDCG_00606 Q06561 UNC52_CAEEL 52 Q9WDA6 POLG_DEN2Q IQT2913 1996</t>
  </si>
  <si>
    <t xml:space="preserve">HYDROXYBENZOATE POLYPRENYLTRANSFERASE MITOCHONDRIAL OS ARABIDOPSIS THALIANA GN PE SV ARMADILLO REPEAT CONTAINING X LINKED MUS MUSCULUS ZINC FINGER HOMO SAPIENS SERINE THREONINE KINASE INTERACTING COPII COAT ASSEMBLY CHAETOMIUM GLOBOSUM STRAIN ATCC CBS DSM NBRC NRRL GENOME POLYPROTEIN DENGUE VIRUS TYPE PROBABLE METALLOPROTEASE AJELLOMYCES DERMATITIDIS ER BASEMENT MEMBRANE PROTEOGLYCAN CAENORHABDITIS ELEGANS UNC PERU </t>
  </si>
  <si>
    <t>yidC_oxa1_cterm | PRK01318 | PLN02809 | Prim-Pol | nuoE_fam | Tymo_45kd_70kd | DcuB | PRK06395 | P3A | PRK09412 |</t>
  </si>
  <si>
    <t>Thermodesulfatator indicus DSM 15286</t>
  </si>
  <si>
    <t>337286654 YP_004626127 1 335359482 AEH45163 297709185 XP_002831323 4 225848656 YP_002728819 225643527 ACN98577 74178756 BAE34028 340517924 EGR48166 48 302521412 ZP_07273754 318062364 ZP_07981085 318078601 ZP_07985933 333024936 ZP_08453000 302430307 EFL02123 332744788 EGJ75229 194016113 ZP_03054728 194012468 EDW22035 71908758 YP_286345 123733132 Q47BA6 71848379 AAZ47875 218848508 ABI54480 157691197 YP_001485659 157679955 ABV61099</t>
  </si>
  <si>
    <t xml:space="preserve">NICKEL TRANSPORT COMPLEX NIKM SUBUNIT TRANSMEMBRANE GRAM DOMAIN CONTAINING LIKE PARTIAL HISTIDINE KINASE INTERNAL REGION UNNAMED PRODUCT GLYCOSYLTRANSFERASE FAMILY SYSTEM INTEGRAL MEMBRANE BINDING DEPENDENT SYSTEMS INNER COMPONENT YDAM DISULPHIDE BOND FORMATION DSBB DSBB_DECAR FULL DISULFIDE B ALTNAME OXIDOREDUCTASE POLYPROTEIN POSSIBLE </t>
  </si>
  <si>
    <t>sp|Q47BA6|DSBB_DECAR</t>
  </si>
  <si>
    <t>Dechloromonas aromatica (strain RCB)</t>
  </si>
  <si>
    <t>Q47BA6 3 1 O96099 FAD5B_DICDI 5 P38888 MNL1_YEAST 204508 S288C MNL1 P00566 2 P04414 Q9U299 XRN2_CAEEL Q8XVC2 Q8BIZ1 ANS1B_MOUSE 1B ANKS1B A4JHJ1 G4 22486 P96587</t>
  </si>
  <si>
    <t xml:space="preserve">DSBB_DECAR DISULFIDE BOND FORMATION B OS DECHLOROMONAS AROMATICA STRAIN RCB GN DSBB PE SV DELTA FATTY ACID DESATURASE DICTYOSTELIUM DISCOIDEUM FADB ER DEGRADATION ENHANCING ALPHA MANNOSIDASE LIKE SACCHAROMYCES CEREVISIAE ATCC KCRM_TORMA CREATINE KINASE M TYPE TORPEDO MARMORATA KCRM_TORCA CALIFORNICA EXORIBONUCLEASE HOMOLOG CAENORHABDITIS ELEGANS XRN OPGH_RALSO GLUCANS BIOSYNTHESIS GLUCOSYLTRANSFERASE H RALSTONIA SOLANACEARUM OPGH ANKYRIN REPEAT STERILE MOTIF DOMAIN CONTAINING MUS MUSCULUS MOAC_BURVG MOLYBDENUM COFACTOR C BURKHOLDERIA VIETNAMIENSIS LMG MOAC YDAM_BACSU UNCHARACTERIZED GLYCOSYLTRANSFERASE YDAM BACILLUS SUBTILIS </t>
  </si>
  <si>
    <t>DUF443 | RseA | PLN03153 | PRK14214 | abgT | MFS | PRA1 | ND2 | ND1 | Peptidase_U4 |</t>
  </si>
  <si>
    <t>Signal transduction mechanisms, Lipid transport and metabolism</t>
  </si>
  <si>
    <t>270046230 BAI50845 1 270046220 BAI50840 307094958 ADN29785 TM816 270046196 BAI50828 149689186 ABR27959 4A 270046250 BAI50855 307094892 ADN29752 149689032 ABR27831 307094910 ADN29761 307094878 ADN29745</t>
  </si>
  <si>
    <t xml:space="preserve">UNNAMED PRODUCT TRIABIN LIKE LIPOCALIN PRECURSOR SALIVARY </t>
  </si>
  <si>
    <t>sp|Q5ECE3|LOPAP_LONON</t>
  </si>
  <si>
    <t>Lonomia obliqua</t>
  </si>
  <si>
    <t>Q5ECE3 1 2 Q9JHB5 A7MZI5 IF2_VIBHB 1116 BB120 3 B9L8G5 MO5U34 1463 18972 Q9QZE7 Q00724 RET4_MOUSE 4 RBP4 P04916 RET4_RAT P49291 P00305 Q8IVF6 AN18A_HUMAN 18A ANKRD18A</t>
  </si>
  <si>
    <t xml:space="preserve">LOPAP_LONON LOPAP OS LONOMIA OBLIQUA PE SV TSNAX_RAT TRANSLIN ASSOCIATED X RATTUS NORVEGICUS GN TSNAX TRANSLATION INITIATION FACTOR IF VIBRIO HARVEYI STRAIN ATCC BAA INFB CMOB_NAUPA TRNA METHYLTRANSFERASE NAUTILIA PROFUNDICOLA DSM AMH CMOB TSNAX_MOUSE MUS MUSCULUS RETINOL BINDING LAZA_SCHAM LAZARILLO SCHISTOCERCA AMERICANA ICYA_MANSE INSECTICYANIN A MANDUCA SEXTA INSA ANKYRIN REPEAT DOMAIN CONTAINING HOMO SAPIENS </t>
  </si>
  <si>
    <t>Triabin 0.001| Lipocalin 0.004| Presenilin 0.009| PRK09609 0.033| PalH | ATP6 | ND5 | ND5 | pyrB | COG4589 |</t>
  </si>
  <si>
    <t>324522964 ADY48165 1 Z2 255652498 ZP_05399400 CDIFQCD_20116 124805643 XP_001350497 PFEMP3 23496620 AAN36177</t>
  </si>
  <si>
    <t xml:space="preserve">SERINE THREONINE PHOSPHATASE PP HYPOTHETICAL ERYTHROCYTE MEMBRANE </t>
  </si>
  <si>
    <t>sp|Q55GU0|Y9955_DICDI</t>
  </si>
  <si>
    <t>Q55GU0 Y9955_DICDI DDB_G0267514 3 1 B1L1L6 Y3152_CLOBM UPF0182 CLK_3152 A3 C3KXR7 Y017_CLOB6 CLJ_B0017 657 BA4</t>
  </si>
  <si>
    <t xml:space="preserve">PROBABLE SERINE THREONINE KINASE OS DICTYOSTELIUM DISCOIDEUM GN PE SV CLOSTRIDIUM BOTULINUM STRAIN LOCH MAREE TYPE </t>
  </si>
  <si>
    <t>CYTB | YMF19 | rpoC2 | DUF3267 | ND5 | CYTB | CYTB | PalH | Spore_YabQ | RarD |</t>
  </si>
  <si>
    <t>Cell wall/membrane/envelope biogenesis, Intracellular trafficking, secretion, and vesicular transport</t>
  </si>
  <si>
    <t>Plasmodium chabaudi</t>
  </si>
  <si>
    <t>6983948 AAF34742 1 AF200327_3 332665241 YP_004448029 HALHY_3297 332334055 AEE51156</t>
  </si>
  <si>
    <t xml:space="preserve">UNKNOWN HYPOTHETICAL </t>
  </si>
  <si>
    <t>sp|Q54FZ8|Y8923_DICDI</t>
  </si>
  <si>
    <t>Q54FZ8 Y8923_DICDI DDB_G0290641 4 2 Q54L72 1 P53943 AQR1_YEAST AQR1 204508 S288C C6KTB7 ALTH1_PLAF7 E3 PFF1365C 3D7 3 Q58792 Y1397_METJA MJ1397 43067 2661 10045 100440 P52466 UL34_HHV7J U34 7</t>
  </si>
  <si>
    <t xml:space="preserve">UNCHARACTERIZED TRANSMEMBRANE OS DICTYOSTELIUM DISCOIDEUM GN PE SV GTAD_DICDI GATA ZINC FINGER DOMAIN CONTAINING GTAD PROBABLE TRANSPORTER SACCHAROMYCES CEREVISIAE STRAIN ATCC UBIQUITIN LIGASE PLASMODIUM FALCIPARUM ISOLATE METHANOCALDOCOCCUS JANNASCHII DSM JAL JCM NBRC VIRION EGRESS HUMAN HERPESVIRUS JI </t>
  </si>
  <si>
    <t>Lactococcin_972 | PHA03027 | Zip | PRK13231 | psaB | OpgC_C | ND5 | PTZ00104 | EcsB | DUF1368 |</t>
  </si>
  <si>
    <t>Drosophila mojavensis</t>
  </si>
  <si>
    <t>195120213 XP_002004623 1 GI20029 193909691 EDW08558 340501768 EGR28510 IMG5_173660 68481098 XP_715464 CAO19 10596 68481239 XP_715394 3084 46437015 EAK96368 46437087 EAK96439 71651188 XP_814276 70879236 EAN92425 284931297 ADC31235 284930799 ADC30738 294660511 NP_853310 2 MGA_0250 284812172 AAP56878</t>
  </si>
  <si>
    <t xml:space="preserve">HYPOTHETICAL CONSERVED DOMAIN POTENTIAL GENE REGION UNIQUE </t>
  </si>
  <si>
    <t>sp|Q44904|FLIZ_BORBU</t>
  </si>
  <si>
    <t>Borrelia burgdorferi</t>
  </si>
  <si>
    <t>Q44904 4 2 Q9EPW9 TLR6_MOUSE 6 TLR6 1 P91580 RAB33_CIOIN 33 COS41 3 Q62770 UN13C_RAT 13 UNC13C Q7UZZ3 CCMP1986 MED4 Q16AA1 33942 114 Q4P9R2 HUT1_USTMA 521 9021 HUT1 Q5LW11 700808 15171 Q7A1Q0 MW2 Q6GBR2 MSSA476</t>
  </si>
  <si>
    <t xml:space="preserve">FLIZ_BORBU FLAGELLAR FLIZ OS BORRELIA BURGDORFERI GN PE SV TOLL LIKE RECEPTOR MUS MUSCULUS RAS RELATED RAB CIONA INTESTINALIS UNC HOMOLOG C RATTUS NORVEGICUS DAPAT_PROMP LL DIAMINOPIMELATE AMINOTRANSFERASE PROCHLOROCOCCUS MARINUS SUBSP PASTORIS STRAIN DAPL OXAA_ROSDO INNER MEMBRANE OXAA ROSEOBACTER DENITRIFICANS ATCC OCH UDP GALACTOSE TRANSPORTER USTILAGO MAYDIS FGSC OXAA_SILPO SILICIBACTER POMEROYI DSM DSS VRAA_STAAW LONG CHAIN FATTY ACID COA LIGASE VRAA STAPHYLOCOCCUS AUREUS VRAA_STAAS </t>
  </si>
  <si>
    <t>3a01204 | PRK01318 | UAA | CD47 | PHA03081 | DUF1386 | LIM1_Enigma_like_1 | Dymeclin | exosortase_3 | NR_DBD_RXR |</t>
  </si>
  <si>
    <t>124512862 XP_001349787 1 23615204 CAD52194 72389883 XP_845236 ALG9 62359944 AAX80369 70801771 AAZ11677 340924055 EGS18958 CTHT_0055730 312621195 YP_004022808 CALKRO_0073 312201662 ADQ44989 312126318 YP_003991192 CALHY_0061 311776337 ADQ05823 302870803 YP_003839439 COB47_0077 302573662 ADL41453 255731119 XP_002550484 240132441 EER31999</t>
  </si>
  <si>
    <t xml:space="preserve">CONSERVED PLASMODIUM UNKNOWN FUNCTION LIKE MANNOSYLTRANSFERASE HYPOTHETICAL </t>
  </si>
  <si>
    <t>sp|Q6GLR6|FGF1_XENLA</t>
  </si>
  <si>
    <t>Q6GLR6 FGF1_XENLA 1 FGF1 2 Q8UVR8 CSF12_TAKRU CSF1R2 3 P41910 MAF1_YEAST MAF1 204508 S288C Q89AH4 Q8RHN5 O74851 ADG3_SCHPO ADG3 38366 972 Q19552 SRA29_CAEEL 29 Q8BX79 GPR21_MOUSE 21 GPR21 Q99679 GPR21_HUMAN</t>
  </si>
  <si>
    <t xml:space="preserve">HEPARIN BINDING GROWTH FACTOR OS XENOPUS LAEVIS GN PE SV MACROPHAGE COLONY STIMULATING RECEPTOR TAKIFUGU RUBRIPES REPRESSOR RNA POLYMERASE III TRANSCRIPTION SACCHAROMYCES CEREVISIAE STRAIN ATCC FLGJ_BUCBP FLAGELLAR FLGJ HOMOLOG BUCHNERA APHIDICOLA SUBSP BAIZONGIA PISTACIAE BP TILS_FUSNN TRNA ILE LYSIDINE SYNTHASE FUSOBACTERIUM NUCLEATUM TILS SCHIZOSACCHAROMYCES POMBE SERPENTINE CLASS ALPHA CAENORHABDITIS ELEGANS SRA PROBABLE G COUPLED MUS MUSCULUS HOMO SAPIENS </t>
  </si>
  <si>
    <t>lspA | PHA03013 | PRK06761 | Baculo_ODV-E27 | Acm | Adenylation_DNA_ligase_III | PRK10649 | PRK14374 | CAL1 | thi_PPkinase |</t>
  </si>
  <si>
    <t>Cryptosporidium hominis</t>
  </si>
  <si>
    <t>67604583 XP_666625 1 ENSANGP00000021996 54657656 EAL36395</t>
  </si>
  <si>
    <t>sp|Q9WC60|ENV_HV1S2</t>
  </si>
  <si>
    <t>Human immunodeficiency virus type 1 group M subtype J (isolate SE9280)</t>
  </si>
  <si>
    <t>Q9WC60 ENV_HV1S2 GP160 1 SE9280 3 P20247 HBB2_TORMA 2 HBB2 P20246 HBB1_TORMA HBB1 P57080 UBP25_MOUSE 25 USP25</t>
  </si>
  <si>
    <t xml:space="preserve">ENVELOPE GLYCOPROTEIN OS HUMAN IMMUNODEFICIENCY VIRUS TYPE GROUP M SUBTYPE J ISOLATE GN ENV PE SV HEMOGLOBIN SUBUNIT BETA TORPEDO MARMORATA UBIQUITIN CARBOXYL TERMINAL HYDROLASE MUS MUSCULUS </t>
  </si>
  <si>
    <t>PRK05904 | ND2 | DUF845 | Gemini_AL3 | ND5 | PHA03087 | ubiA | COG5522 | PTZ00024 | poly_P_AMP_trns |</t>
  </si>
  <si>
    <t>Anolis carolinensis</t>
  </si>
  <si>
    <t>327273734 XP_003221635 1 7 15899835 NP_344440 284174091 ZP_06388060 13816553 AAK43230 261601512 ACX91115 MFS_1 307721571 YP_003892711 306979664 ADN09699 115623556 XP_799928 2 115950200 XP_001181424 34495967 NP_900182 CV_0512 34101821 AAQ58189 11993624 AAG42819 339757275 EGQ40856 258515540 YP_003191762 257779245 ACV63139 167385502 XP_001737374 165899856 EDR26349 EDI_058930 336441527 AEI54993</t>
  </si>
  <si>
    <t xml:space="preserve">MYOTUBULARIN RELATED LIKE TRANSPORTER MAJOR FACILITATOR SUPERFAMILY PERMEASE YJGP YJGQ FAMILY HYPOTHETICAL CYTOCHROME B DRUG RESISTANCE EMRB QACA SUBFAMILY BLAPER </t>
  </si>
  <si>
    <t>sp|P37321|BLE1_PSEAE</t>
  </si>
  <si>
    <t>Pseudomonas aeruginosa</t>
  </si>
  <si>
    <t>P37321 BLE1_PSEAE 1 PER1 Q5REM8 TM205_PONAB 205 TMEM205 2 Q6UW68 TM205_HUMAN Q08958 YP205_YEAST YPL205C 204508 S288C 5 O62126 TM41_CAEEL 41 175 Q28GF8 TM205_XENTR Q2M1K9 ZN423_HUMAN 423 ZNF423 A1L1R6 ZN423_DANRE Q66GP0 Y5738_ARATH AT5G67385 P83119 MTH12_DROME 12 MTHL12 3</t>
  </si>
  <si>
    <t xml:space="preserve">EXTENDED SPECTRUM BETA LACTAMASE PER OS PSEUDOMONAS AERUGINOSA GN PE SV TRANSMEMBRANE PONGO ABELII HOMO SAPIENS UNCHARACTERIZED SACCHAROMYCES CEREVISIAE STRAIN ATCC HOMOLOG CAENORHABDITIS ELEGANS TAG XENOPUS TROPICALIS ZINC FINGER DANIO RERIO BTB POZ DOMAIN CONTAINING ARABIDOPSIS THALIANA PROBABLE G COUPLED RECEPTOR MTH LIKE DROSOPHILA MELANOGASTER </t>
  </si>
  <si>
    <t>PLN02230 | RhoGAP_fBEM3 | AAA_PrkA | STKc_LATS2 | PLN00218 | TRAUB | oat | PRK14565 | Serinc | YGGT |</t>
  </si>
  <si>
    <t>83755202 ABC46449 1 83755204 ABC46450 60678789 AAX33729 5 312982517 ADR30117 329564865 AEB91971 154936819 CAO85744 242247327 NP_001156274 239788893 BAH71103 ACYPI008657 301312586 ADK66959 161137518 ABX57814 20386063 AAM21563 AF448500_1 193673850 XP_001942714 11596154 AAG38507 AF273041_1 GST1 10443883 AAG17625</t>
  </si>
  <si>
    <t xml:space="preserve">GST PER A ALLERGEN GLUTATHIONE S TRANSFERASE DELTA CLASS LIKE </t>
  </si>
  <si>
    <t>sp|Q93113|GST1D_ANOGA</t>
  </si>
  <si>
    <t>Q93113 GST1D_ANOGA 1 GSTD1 P28338 GSTT1_MUSDO GST1 2 P42860 GSTT1_LUCCU Q9VG95 GSTT5_DROME D5 GSTD5 3 Q9VG96 GSTT4_DROME D4 GSTD4 P67805 GSTT1_DROSI P30106 GSTT1_DROSE P67804 GSTT1_DROMA P30108 GSTT1_DROYA P30107 GSTT1_DROTE</t>
  </si>
  <si>
    <t xml:space="preserve">GLUTATHIONE S TRANSFERASE ISOFORM D OS ANOPHELES GAMBIAE GN PE SV MUSCA DOMESTICA LUCILIA CUPRINA DROSOPHILA MELANOGASTER FRAGMENT SIMULANS SECHELLIA MAURITIANA YAKUBA TEISSIERI </t>
  </si>
  <si>
    <t>Glutathione S transferase D5 - Drosophila melanogaster - glutathione transferase activity</t>
  </si>
  <si>
    <t>GST_C_Delta_Epsilon 6e-015| GST_C_1 8e-007| GST_C_Theta 4e-004| Gst 0.003| GST_C_GTT1_like 0.005| GST_C_Zeta 0.006| GST_C_7 0.006| GST_C_family 0.011| GST_C_Ure2p_like 0.013| GST_C 0.038|</t>
  </si>
  <si>
    <t>121543871 ABM55600 1 P22 307166640 EFN60652 332023251 EGI63506 307208991 EFN86191 91086193 XP_971411 270010236 EFA06684 TCASGA2_TC009614 156543374 XP_001608220 242014772 XP_002428059 212512578 EEB15321 48096761 XP_392514 340718988 XP_003397941 312285614 ADQ64497</t>
  </si>
  <si>
    <t xml:space="preserve">CALCIUM BINDING SIMILAR TO HYPOTHETICAL LIKE </t>
  </si>
  <si>
    <t>sp|P61023|CHP1_RAT</t>
  </si>
  <si>
    <t>P61023 CHP1_RAT P22 1 2 P61022 CHP1_MOUSE Q3SYS6 CHP1_BOVIN Q5ZM44 CHP1_CHICK 3 Q5R7F0 CHP1_PONAB Q99653 CHP1_HUMAN O43745 CHP2_HUMAN CHP2 Q9D869 CHP2_MOUSE P42322 CANB1_NAEGR CNB1 P87072 24698 74 OR23 1A 708 71 1257 987</t>
  </si>
  <si>
    <t xml:space="preserve">CALCIUM BINDING OS RATTUS NORVEGICUS GN CHP PE SV MUS MUSCULUS BOS TAURUS GALLUS PONGO ABELII HOMO SAPIENS CALCINEURIN B HOMOLOGOUS SUBUNIT NAEGLERIA GRUBERI CANB_NEUCR NEUROSPORA CRASSA STRAIN ATCC CBS DSM FGSC CNB </t>
  </si>
  <si>
    <t>ethanol sensitive with low memory - Drosophila melanogaster - calcium ion binding</t>
  </si>
  <si>
    <t>FRQ1 7e-011| EFh 3e-009| PTZ00184 2e-008| PTZ00183 1e-004| PRK09350 0.033| TerB | efhand | EFh | efhand_3 | EH |</t>
  </si>
  <si>
    <t>239788117 BAH70753 1 ACYPI000747 193688233 XP_001945136 6 328700596 XP_003241318 2 321468031 EFX79018 DAPPUDRAFT_319968 195576690 XP_002078208 GD22662 194190217 EDX03793 195342670 XP_002037923 GM18034 194132773 EDW54341 194856543 XP_001968773 GG24316 190660640 EDV57832 20129243 NP_608909 CG8680 7296948 AAF52221 42415403 AAS15671 LP20380P 220947668 ACL86377 220956968 ACL91027 195472761 XP_002088667 GE18696 194174768 EDW88379 91083249 XP_974018 270008233 EFA04681 TCASGA2_TC014412 307187709 EFN72681</t>
  </si>
  <si>
    <t xml:space="preserve">PROBABLE NADH DEHYDROGENASE IRON SULFUR MITOCHONDRIAL LIKE ISOFORM HYPOTHETICAL PA SIMILAR TO </t>
  </si>
  <si>
    <t>sp|P52503|NDUS6_MOUSE</t>
  </si>
  <si>
    <t>P52503 NDUS6_MOUSE 6 NDUFS6 1 2 Q4R5X8 NDUS6_MACFA Q0MQH5 NDUS6_PONPY Q0MQH7 NDUS6_PANTR O75380 NDUS6_HUMAN Q19724 NDUS6_CAEEL Q0MQH6 NDUS6_GORGO P23934 NDUS6_BOVIN P52504 NDUS6_RAT 3 Q5AUI1</t>
  </si>
  <si>
    <t xml:space="preserve">NADH DEHYDROGENASE IRON SULFUR MITOCHONDRIAL OS MUS MUSCULUS GN PE SV MACACA FASCICULARIS PONGO PYGMAEUS PAN TROGLODYTES HOMO SAPIENS PROBABLE CAENORHABDITIS ELEGANS NDUF GORILLA BOS TAURUS RATTUS NORVEGICUS LBSA_EMENI LACTOBACILLUS SHIFTED EMERICELLA NIDULANS LBSA </t>
  </si>
  <si>
    <t>Drosophila melanogaster - NADH dehydrogenase (ubiquinone) activity - mitochondrial respiratory chain complex I</t>
  </si>
  <si>
    <t>zf-CHCC 4e-014| COG4391 5e-005| DUF3533 0.008| DUF1976 0.077| COX1 | PLN02294 | PHA02980 | PHA03042 | PRK12772 | ND6 |</t>
  </si>
  <si>
    <t>Trichinella spiralis</t>
  </si>
  <si>
    <t>339252484 XP_003371465 1 316968307 EFV52603 306450783 ADM88652 149195444 ZP_01872526 CMTB2_05442 149134412 EDM22906 68072337 XP_678082 56498439 CAH94756 PB101452 00 0 15838693 NP_299381 XF2102 9107230 AAF84901 AE004026_2 XF_2102 68056691 XP_670677 56486159 CAI03821 PB405731 195434595 XP_002065288 GK14750 194161373 EDW76274 198472205 XP_002133360 GA28018 198139653 EDY70762 195156769 XP_002019269 GL25514 194115422 EDW37465 34763701 ZP_00144625 27886553 EAA23786</t>
  </si>
  <si>
    <t xml:space="preserve">ZINC METALLO LARGE T ANTIGEN HYPOTHETICAL </t>
  </si>
  <si>
    <t>sp|P20470|L_BUNYW</t>
  </si>
  <si>
    <t>Bunyamwera virus</t>
  </si>
  <si>
    <t>P20470 3 1 Q01023 UL95_SHV21 34 2 11 Q9HVV4 P94459 Q9SK28 FH18_ARATH 18 FH18 Q8D278 RL27_WIGBR 50S L27 Q7YQM1 AFF2_PONPY AF4 FMR2 AFF2 Q7YQM2 AFF2_PANTR P51816 AFF2_HUMAN 4 Q38439 YOR3_BPSPP 8 5 GP2 GP6 SPP1</t>
  </si>
  <si>
    <t xml:space="preserve">L_BUNYW RNA DIRECTED POLYMERASE L OS BUNYAMWERA VIRUS GN PE SV GENE SAIMIRIINE HERPESVIRUS STRAIN PTSN_PSEAE NITROGEN REGULATORY PSEUDOMONAS AERUGINOSA PTSN PPSD_BACSU PLIPASTATIN SYNTHASE SUBUNIT D BACILLUS SUBTILIS PPSD FORMIN LIKE ARABIDOPSIS THALIANA RIBOSOMAL WIGGLESWORTHIA GLOSSINIDIA BREVIPALPIS RPMA FAMILY MEMBER PONGO PYGMAEUS PAN TROGLODYTES HOMO SAPIENS UNCHARACTERIZED KDA IN INTERGENIC REGION PHAGE </t>
  </si>
  <si>
    <t>lanti_perm_MutE | PRK03893 | GT8_A4GalT_like | Herpes_LAMP2 | COG5542 | PSN | 7tm_7 | DUF560 | PLN02841 | AAK_AKiii-YclM-BS |</t>
  </si>
  <si>
    <t>Roseburia inulinivorans DSM 16841</t>
  </si>
  <si>
    <t>225376546 ZP_03753767 1 ROSEINA2194_02188 225211583 EEG93937 66802986 XP_635336 DDB_G0291213 60463649 EAL61833 229163270 ZP_04291225 REC2 228620333 EEK77204 224082530 XP_002306730 222856179 EEE93726</t>
  </si>
  <si>
    <t xml:space="preserve">HYPOTHETICAL DNA INTERNALIZATION RELATED COMPETENCE COMEC </t>
  </si>
  <si>
    <t>sp|Q5WKF5|CYSH_BACSK</t>
  </si>
  <si>
    <t>Bacillus clausii (strain KSM-K16)</t>
  </si>
  <si>
    <t>Q5WKF5 K16 3 1 Q07IE7 ILVD_RHOP5 BISA53 Q4JUN3 K411 B6A7Q3 CDK14_RABIT 14 CDK14 O35495 CDK14_MOUSE 2 O94921 CDK14_HUMAN C0RW22 CDK14_DASNO B0VXL7 CDK14_CALMO B0VXE8 CDK14_CALJA A7IBD6 ILVD_XANP2 1158 PY2</t>
  </si>
  <si>
    <t xml:space="preserve">CYSH_BACSK PHOSPHOADENOSINE PHOSPHOSULFATE REDUCTASE OS BACILLUS CLAUSII STRAIN KSM GN CYSH PE SV DIHYDROXY ACID DEHYDRATASE RHODOPSEUDOMONAS PALUSTRIS ILVD ILVD_CORJK CORYNEBACTERIUM JEIKEIUM CYCLIN DEPENDENT KINASE ORYCTOLAGUS CUNICULUS MUS MUSCULUS HOMO SAPIENS DASYPUS NOVEMCINCTUS CALLICEBUS MOLOCH CALLITHRIX JACCHUS XANTHOBACTER AUTOTROPHICUS ATCC BAA </t>
  </si>
  <si>
    <t>STKc_PFTAIRE1 | liver_ADH_like1 | TIGR00052 | GBV-C_env | PRK05035 | ELO | ORC2 | UPF0565 | 6PTHBS | PLN02833 |</t>
  </si>
  <si>
    <t>Amphimedon queenslandica</t>
  </si>
  <si>
    <t>340382617 XP_003389815 1 LOC100633698 207268059 YP_002261359 5 195957066 ACG59316 317097429 YP_004123632 283825391 ADB43146</t>
  </si>
  <si>
    <t xml:space="preserve">HYPOTHETICAL NADH DEHYDROGENASE SUBUNIT </t>
  </si>
  <si>
    <t>sp|Q7G6K7|FH3_ORYSJ</t>
  </si>
  <si>
    <t>Q7G6K7 FH3_ORYSJ 3 FH3 2 Q8F3V7 1 Q72RU2 Q54C31 O94466 RGA7_SCHPO 7 38366 972 RGA7 Q9C6S1 FH14_ARATH 14 FH14 Q9LR87 10 CSLA10 Q051I5 L550 Q04T63 JB197 A8MWK0 FAD2L_HUMAN</t>
  </si>
  <si>
    <t xml:space="preserve">FORMIN LIKE OS ORYZA SATIVA SUBSP JAPONICA GN PE SV LIPA_LEPIN LIPOYL SYNTHASE LEPTOSPIRA INTERROGANS LIPA LIPA_LEPIC SEROGROUP ICTEROHAEMORRHAGIAE SEROVAR COPENHAGENI PSIR_DICDI PSIR DICTYOSTELIUM DISCOIDEUM PROBABLE RHO GTPASE ACTIVATING SCHIZOSACCHAROMYCES POMBE STRAIN ATCC ARABIDOPSIS THALIANA CSLAA_ARATH MANNAN LIPA_LEPBL BORGPETERSENII HARDJO BOVIS LIPA_LEPBJ FATTY ACID DESATURASE HOMO SAPIENS </t>
  </si>
  <si>
    <t>SR_beta | PRK13898 | 7TM_GPCR_Sra | PHA02653 | COG1164 | PRK06753 | Rep_trans | PHA03324 | PRK00068 | PLN03210 |</t>
  </si>
  <si>
    <t>Replication, recombination and repair, Signal transduction mechanisms</t>
  </si>
  <si>
    <t>115439237 NP_001043898 1 OS01G0685500 113533429 BAF05812 255012355 ZP_05284481 109946700 YP_663928 109713921 CAJ98929 321473796 EFX84763 DAPPUDRAFT_222870 86170557 XP_966038 46362280 CAG25218 66362080 XP_628004 46227496 EAK88431 313143503 ZP_07805696 313128534 EFR46151 291240184 XP_002740000 224437032 ZP_03658013 257076871 ZP_05571232 FACI_07406</t>
  </si>
  <si>
    <t xml:space="preserve">SECRETED POLYSACCHARIDE POLYMERASE METAL DEPENDENT HYDROLASE FRAGMENT HYPOTHETICAL RAP CHROMATIN WITH AN AT HOOK A PHD FINGER DOMAIN C TERMINUS DETHIOBIOTIN SYNTHETASE </t>
  </si>
  <si>
    <t>sp|P55340|ECSB_BACSU</t>
  </si>
  <si>
    <t>P55340 4 1 Q8M355 VAR1 3 Q863Y7 GPR172B P28785 2 Q8NXC4 MW2 Q6GAR1 MSSA476 Q6GI68 MRSA252 Q7A6D3 N315 Q99V76 MU50 700699 Q5HH70</t>
  </si>
  <si>
    <t xml:space="preserve">ECSB_BACSU ECSB OS BACILLUS SUBTILIS GN PE SV RMAR_SACCA RIBOSOMAL MITOCHONDRIAL SACCHAROMYCES CASTELLII RFT_PIG RIBOFLAVIN TRANSPORTER SUS SCROFA TNAB_PROVU LOW AFFINITY TRYPTOPHAN PERMEASE PROTEUS VULGARIS TNAB LTAA_STAAW PROBABLE GLYCOLIPID LTAA STAPHYLOCOCCUS AUREUS STRAIN LTAA_STAAS LTAA_STAAR LTAA_STAAN LTAA_STAAM ATCC LTAA_STAAC COL </t>
  </si>
  <si>
    <t>SYS1 | DUF1430 | PTZ00473 | Furin-like | PTZ00251 | 7TM_GPCR_Srbc | PIP5K | PIPKc | PRK01766 | Cas8a1_I-A |</t>
  </si>
  <si>
    <t>71402828 XP_804279 1 S20 71415873 XP_809988 71415877 XP_809990 70867165 EAN82428 70874453 EAN88137 70874455 EAN88139 322824491 EFZ29885 154340365 XP_001566139 154340369 XP_001566141 134063458 CAM39638 134063460 CAM39640 157871666 XP_001684382 157871670 XP_001684384 339898722 XP_003392671 339898724 XP_003392672 68127451 CAJ05252 68127453 CAJ05254 321398476 CBZ08852 321398477 CBZ08853 322493183 CBZ28468 322493184 CBZ28469 322493186 CBZ28471 322500439 CBZ35516 322500440 CBZ35517 322824496 EFZ29889 323449899 EGB05784 AURANDRAFT_60237 320167604 EFW44503 156374958 XP_001629850 156374960 XP_001629851 156216859 EDO37787 156216860 EDO37788 325114575 CBZ50131 30S S10P 221482544 EEE20892 40S 237841589 XP_002370092 211967756 EEB02952 221504580 EEE30253</t>
  </si>
  <si>
    <t xml:space="preserve">RIBOSOMAL UNNAMED PRODUCT HYPOTHETICAL RELATED </t>
  </si>
  <si>
    <t>sp|P55828|RS20_DROME</t>
  </si>
  <si>
    <t>P55828 RS20_DROME 40S S20 RPS20 1 P23403 RS20_XENLA 3 P60868 RS20_RAT P60867 RS20_MOUSE Q4R5D0 RS20_MACFA P60866 RS20_HUMAN Q3ZBH8 RS20_BOVIN A1XQU9 RS20_PIG Q5R924 RS20_PONAB O74893 RS20_SCHPO 38366 972</t>
  </si>
  <si>
    <t xml:space="preserve">RIBOSOMAL OS DROSOPHILA MELANOGASTER GN PE SV XENOPUS LAEVIS RATTUS NORVEGICUS MUS MUSCULUS MACACA FASCICULARIS HOMO SAPIENS BOS TAURUS SUS SCROFA PONGO ABELII SCHIZOSACCHAROMYCES POMBE STRAIN ATCC </t>
  </si>
  <si>
    <t>Ribosomal protein S20 - Drosophila melanogaster - structural constituent of ribosome - translation - cytosolic small ribosomal subunit - ribosome - RNA binding - lipid particle</t>
  </si>
  <si>
    <t>PTZ00039 1e-028| S10_Arc_S20_Euk 3e-020| Ribosomal_S10 2e-018| RpsJ 8e-015| rps10p 1e-014| rpsJ 2e-005| rpsJ_bact 8e-005| bchD 0.008| PRK08319 | ketoacyl-synt |</t>
  </si>
  <si>
    <t>112984142 NP_001037438 1 90018289 ABD83950 87248237 ABD36171 221579705 ACM24351 72013892 XP_783243 115971434 XP_001178294 91077774 XP_968953 270002241 EEZ98688 TCASGA2_TC001224 321468461 EFX79446 DAPPUDRAFT_231033 240848741 NP_001155554 NSA2 239799254 BAH70557 ACYPI003981 260829883 XP_002609891 BRAFLDRAFT_60200 229295253 EEN65901 327262989 XP_003216304 326934942 XP_003213541 149408559 XP_001513525 4</t>
  </si>
  <si>
    <t xml:space="preserve">TGF BETA INDUCIBLE NUCLEAR HAIRY CELL LEUKEMIA HYPOTHETICAL SIMILAR TO RIBOSOME BIOGENESIS HOMOLOG PARTIAL RECEPTOR COACTIVATOR </t>
  </si>
  <si>
    <t>sp|Q9CR47|NSA2_MOUSE</t>
  </si>
  <si>
    <t>Q9CR47 NSA2_MOUSE NSA2 2 1 O95478 NSA2_HUMAN Q3SX11 NSA2_BOVIN Q9QYU7 NSA2_RAT Q4P3S7 NSA2_USTMA 521 9021 3 Q54GN8 NSA2_DICDI P0CQ60 NSA2_CRYNJ JEC21 P0CQ61 NSA2_CRYNB 3501A Q0UV95 NSA2_PHANO SN15 10173 Q75CG9 NSA2_ASHGO 10895 109 51 9923 1056</t>
  </si>
  <si>
    <t xml:space="preserve">RIBOSOME BIOGENESIS HOMOLOG OS MUS MUSCULUS GN PE SV HOMO SAPIENS BOS TAURUS RATTUS NORVEGICUS USTILAGO MAYDIS STRAIN FGSC DICTYOSTELIUM DISCOIDEUM CRYPTOCOCCUS NEOFORMANS VAR SEROTYPE D B PHAEOSPHAERIA NODORUM ASHBYA GOSSYPII ATCC CBS NRRL Y </t>
  </si>
  <si>
    <t>RCG44568 - Rattus norvegicus - nucleus</t>
  </si>
  <si>
    <t>PTZ00388 5e-065| Ribosomal_S8e 7e-024| RPS8A 2e-020| PRK04049 4e-009| S8e 5e-006| ND2 0.001| ND4 0.060| ND5 | ND4 | PRK06588 |</t>
  </si>
  <si>
    <t>34528144 BAC85458 1 294993686 ZP_06799377 MTUB2_04036 7524908 NP_045910 CHVULCP152 7515364 T07338 52D 2224502 BAA57986 168700457 ZP_02732734 GOBSU_13077 255633844 ACU17283 255558856 XP_002520451 223540293 EEF41864 312072051 XP_003138889 LOAG_03304 307765947 EFO25181 294994954 ZP_06800645 MTUB2_10695 340509303 EGR34853 IMG5_000810 168701455 ZP_02733732 GOBSU_18155</t>
  </si>
  <si>
    <t xml:space="preserve">UNNAMED PRODUCT HYPOTHETICAL CHLORELLA VULGARIS CHLOROPLAST UNKNOWN TUBULIN BETA CHAIN </t>
  </si>
  <si>
    <t>sp|P53245|YG2C_YEAST</t>
  </si>
  <si>
    <t>P53245 YG2C_YEAST YGR069W 204508 S288C 5 1 Q601U7 TRUB_MYCH2 232 3 P53862 YNW8_YEAST YNL228W Q923U0 TM1L1_MOUSE TOM1 TOM1L1 Q655R6 MCSU3 2 P53880 YNR9_YEAST YNL179C Q54P94 Y6147_DICDI DDB_G0284695 4 P58418 CLRN1_HUMAN CLRN1 Q6F1I4 B5X2S3 ARP8_SALSA 8 ACTR8</t>
  </si>
  <si>
    <t xml:space="preserve">UNCHARACTERIZED OS SACCHAROMYCES CEREVISIAE STRAIN ATCC GN PE SV TRNA PSEUDOURIDINE SYNTHASE B MYCOPLASMA HYOPNEUMONIAE TRUB MEMBRANE LIKE MUS MUSCULUS MOCOS_ORYSJ MOLYBDENUM COFACTOR SULFURASE ORYZA SATIVA SUBSP JAPONICA DICTYOSTELIUM DISCOIDEUM CLARIN HOMO SAPIENS TRUB_MESFL MESOPLASMA FLORUM ACTIN RELATED SALMO SALAR </t>
  </si>
  <si>
    <t>ND5 0.027| Spore_permease 0.076| DUF2079 | PRK05771 | RNRR2 | COX3 | PRK14552 | PIG-U | Gsf2 | ND3 |</t>
  </si>
  <si>
    <t>Borrelia recurrentis A1</t>
  </si>
  <si>
    <t>203288273 YP_002223323 1 BRE_1001 201085493 ACH95066 312076194 XP_003140752 LOAG_05167 307764080 EFO23314 340504837 EGR31246 IMG5_115060 302151389 ADK97617 2 291279024 YP_003495859 DEFDS_0622 290753726 BAI80103 300432150 ADK12974 3 262073237 ACY09447 6 299830275 YP_003734439 299507834 CAZ66818 340505069 EGR31440 IMG5_109580 68066591 XP_675270 56494358 CAH96701 PB103919 00 0</t>
  </si>
  <si>
    <t xml:space="preserve">HYPOTHETICAL NADH DEHYDROGENASE SUBUNIT CONSERVED </t>
  </si>
  <si>
    <t>sp|Q36428|NU5M_LOCMI</t>
  </si>
  <si>
    <t>Q36428 NU5M_LOCMI 5 ND5 3 1 P57538 Y466_BUCAI BU466 P04540 NU5M_TRYBB A2BZ97 MRAY_PROM5 9515 O51272 P34077 NIC96_YEAST NIC96 204508 S288C 2 Q99393 IZH4_YEAST IZH4 P81311 Y70A_METJA MJ0703 43067 2661 10045 100440 4 Q03584 P39480 33909 639 8929 15157 11770</t>
  </si>
  <si>
    <t xml:space="preserve">NADH UBIQUINONE OXIDOREDUCTASE CHAIN OS LOCUSTA MIGRATORIA GN PE SV UNCHARACTERIZED TRANSPORTER BUCHNERA APHIDICOLA SUBSP ACYRTHOSIPHON PISUM TRYPANOSOMA BRUCEI PHOSPHO N ACETYLMURAMOYL PENTAPEPTIDE TRANSFERASE PROCHLOROCOCCUS MARINUS STRAIN MIT MRAY FTSK_BORBU DNA TRANSLOCASE FTSK BORRELIA BURGDORFERI NUCLEOPORIN SACCHAROMYCES CEREVISIAE ATCC ADIPOR LIKE RECEPTOR METHANOCALDOCOCCUS JANNASCHII DSM JAL JCM NBRC RFC_SHIDY O ANTIGEN POLYMERASE SHIGELLA DYSENTERIAE RFC CYB_SULAC CYTOCHROME B SULFOLOBUS ACIDOCALDARIUS NCIMB SOXC </t>
  </si>
  <si>
    <t>ND5 0.024| DUF1361 0.026| ND2 0.046| NtpI 0.067| spore_yabQ 0.076| integ_TIGR01906 0.097| 7TM_GPCR_Srz | MIG-14_Wnt-bd | Spore_permease | ND1 |</t>
  </si>
  <si>
    <t>Anopheles gambiae str. PEST</t>
  </si>
  <si>
    <t>158286873 XP_308977 4 AGAP006768 157020676 EAA04759 5 299115818 CBN74381 1 224121474 XP_002318591 222859264 EEE96811 157130223 XP_001655649 108871969 EAT36194 47222871 CAF96538 307214708 EFN89637 113671561 NP_001038780 108742158 AAI17646 136759 340724215 XP_003400479 326671540 XP_003199458 328781536 XP_624113 2</t>
  </si>
  <si>
    <t xml:space="preserve">PA DIACYLGLYCEROL KINASE EPSILON UNNAMED PRODUCT ALPHA ZGC LIKE LOW QUALITY PARTIAL </t>
  </si>
  <si>
    <t>sp|P51556|DGKA_RAT</t>
  </si>
  <si>
    <t>P51556 2 1 Q39017 DGK1_ARATH DGK1 P49621 Q6NS52 Q9Y6T7 Q03603 DGK3_CAEEL 3 P20192 O88673 A0JN54 P23743</t>
  </si>
  <si>
    <t xml:space="preserve">DGKA_RAT DIACYLGLYCEROL KINASE ALPHA OS RATTUS NORVEGICUS GN DGKA PE SV ARABIDOPSIS THALIANA DGKB_RAT BETA DGKB DGKB_MOUSE MUS MUSCULUS DGKB_HUMAN HOMO SAPIENS PROBABLE CAENORHABDITIS ELEGANS DGK DGKA_PIG SUS SCROFA DGKA_MOUSE DGKA_BOVIN BOS TAURUS DGKA_HUMAN </t>
  </si>
  <si>
    <t>Cwf_Cwc_15 | ND2 | Herpes_ORF11 | PRK14454 | nqrD | PRK05922 | Rnf-Nqr | PRK06474 | TDT_C4-dicarb_trans | PRK04319 |</t>
  </si>
  <si>
    <t>Lipid transport and metabolism, Signal transduction mechanisms</t>
  </si>
  <si>
    <t>Giardia lamblia P15</t>
  </si>
  <si>
    <t>308163233 EFO65589 1 SMC6 33667844 AAQ24522 RAD18 159108258 XP_001704401 157432463 EDO76727 24380179 NP_722134 290579845 YP_003484237 24378182 AAN59440 AE015008_11 254996744 BAH87345 238883048 EEQ46686 CAWG_05049 241956760 XP_002421100 223644443 CAX41258 219684889 ZP_03539831 219671834 EED28889 68473450 XP_719283 CAO19 13051 68473689 XP_719169 5608 46440974 EAL00275 46441094 EAL00394 328870544 EGG18918 DFA_02658 340959885 EGS21066 CTHT_0029070</t>
  </si>
  <si>
    <t xml:space="preserve">RESPONSE REGULATOR SCNR LIKE HYPOTHETICAL DNA DIRECTED RNA POLYMERASE III SUBUNIT CONSERVED </t>
  </si>
  <si>
    <t>sp|Q00333|NPBL_COPC7</t>
  </si>
  <si>
    <t>Coprinopsis cinerea (strain Okayama-7 / 130 / FGSC 9003)</t>
  </si>
  <si>
    <t>Q00333 NPBL_COPC7 RAD9 7 130 9003 2 Q09014 NCF1_MOUSE 1 NCF1 3 O60602 TLR5_HUMAN 5 TLR5 4 Q8I3Z1 MLRR1_PLAF7 PFE0570W 3D7</t>
  </si>
  <si>
    <t xml:space="preserve">OS COPRINOPSIS CINEREA STRAIN OKAYAMA FGSC GN PE SV NEUTROPHIL CYTOSOL FACTOR MUS MUSCULUS TOLL LIKE RECEPTOR HOMO SAPIENS MATH LRR DOMAIN CONTAINING PLASMODIUM FALCIPARUM ISOLATE </t>
  </si>
  <si>
    <t>Rnase_HI_RT_non_LTR 2e-010| RNase_H 4e-005| RNase_HI_eukaryote_like 0.042| RNase_HI_prokaryote_like 0.043| RNase_HI_bacteria_HBD 0.080| RnhA | COG1480 | DUF2679 | PRK10209 | rnhA |</t>
  </si>
  <si>
    <t>67191208 NP_066289 2 308153512 P0CG48 195337251 XP_002035242 1 GM14032 194128335 EDW50378 302595943 P0CG50 9837284 AAG00512 AF285161_1 2627129 BAA23486 334324804 XP_001373422 333469848 EAL38503 3 AGAP001971 327291982 XP_003230699 321469467 EFX80447 DAPPUDRAFT_243700 270010560 EFA07008 TCASGA2_TC009978 195448336 XP_002071613 GK10077 194167698 EDW82599</t>
  </si>
  <si>
    <t xml:space="preserve">POLYUBIQUITIN C UBC_HUMAN FULL CONTAINS UBIQUITIN FLAGS PRECURSOR UBC_MOUSE RELATED LIKE PA HYPOTHETICAL </t>
  </si>
  <si>
    <t>sp|P0CG48|UBC_HUMAN</t>
  </si>
  <si>
    <t>P0CG48 1 2 P0CG69 P63E 3 P62976 Q63429 P0CG61 P0CG68 P0CG64 P0CG50 P0CG66 P0CH28</t>
  </si>
  <si>
    <t xml:space="preserve">UBC_HUMAN POLYUBIQUITIN C OS HOMO SAPIENS GN UBC PE SV UBIQP_DROME DROSOPHILA MELANOGASTER UBI UBIQP_CRIGR CRICETULUS GRISEUS UBC_RAT RATTUS NORVEGICUS UBC_PONPY PONGO PYGMAEUS UBC_PIG SUS SCROFA UBC_PANTR PAN TROGLODYTES UBC_MOUSE MUS MUSCULUS UBC_GORGO GORILLA UBC_BOVIN BOS TAURUS </t>
  </si>
  <si>
    <t>AT1G65350 - Arabidopsis thaliana - intracellular - protein modification process - ubiquitin-dependent protein catabolic process</t>
  </si>
  <si>
    <t>Ubiquitin 1e-036| ubiquitin 5e-024| UBL 9e-021| UBQ 2e-020| Nedd8 4e-020| PTZ00044 8e-017| Rad60-SLD 5e-016| RAD23_N 7e-014| AN1_N 5e-013| UBQ 6e-011|</t>
  </si>
  <si>
    <t>307095144 ADN29878 1 322801876 EFZ22448 SINV_13716 321449276 EFX61807 DAPPUDRAFT_338064 242009791 XP_002425666 C20ORF121 212509559 EEB12928 321463048 EFX74067 DAPPUDRAFT_307513 332025463 EGI65628 321461992 EFX73019 DAPPUDRAFT_200654 158300450 XP_320369 4 AGAP012165 157013165 EAA43295 321455327 EFX66463 DAPPUDRAFT_64631 156545952 XP_001604771 ENSANGP00000012173</t>
  </si>
  <si>
    <t xml:space="preserve">CRAL TRIO DOMAIN CONTAINING HYPOTHETICAL ALPHA TOCOPHEROL TRANSFER LIKE PA SIMILAR TO </t>
  </si>
  <si>
    <t>sp|P40912|INV1_HANAN</t>
  </si>
  <si>
    <t>Hansenula anomala</t>
  </si>
  <si>
    <t>P40912 INV1_HANAN INV1 3 1 Q9USH8 GLU2B_SCHPO 2 38366 972 GTB1 Q6MS23 O25537 B5Z7M7 G27 Q6MDK6 5 UWE25 Q2NUA4 4 Q6ZGM7 YSL7_ORYSJ YSL7 E3RYW5 RTC5_PYRTT 0 RTC5 B2WB15 RTC5_PYRTR 1C</t>
  </si>
  <si>
    <t xml:space="preserve">INVERTASE OS HANSENULA ANOMALA GN PE SV GLUCOSIDASE SUBUNIT BETA SCHIZOSACCHAROMYCES POMBE STRAIN ATCC SYC_MYCMS CYSTEINYL TRNA SYNTHETASE MYCOPLASMA MYCOIDES SUBSP SC CYSS LPXB_HELPY LIPID A DISACCHARIDE SYNTHASE HELICOBACTER PYLORI LPXB LPXB_HELPG DXS_PARUW DEOXY D XYLULOSE PHOSPHATE PROTOCHLAMYDIA AMOEBOPHILA DXS LPXK_SODGM TETRAACYLDISACCHARIDE KINASE SODALIS GLOSSINIDIUS MORSITANS LPXK PROBABLE METAL NICOTIANAMINE TRANSPORTER ORYZA SATIVA JAPONICA RESTRICTION TELOMERE CAPPING PYRENOPHORA TERES F TRITICI REPENTIS PT BFP </t>
  </si>
  <si>
    <t>ND5 0.099| ND4 | priA | TTQ_mauG | DUF2013 | PHA03097 | 55 | DUF1600 | PTZ00046 | PRK13741 |</t>
  </si>
  <si>
    <t>322795179 EFZ18001 1 SINV_00623 48142179 XP_393586 2 340714243 XP_003395640 332029716 EGI69595 307206660 EFN84632 157115853 XP_001658314 108883484 EAT47709 91084131 XP_967388 270006674 EFA03122 TCASGA2_TC013032 170036099 XP_001845903 167878594 EDS41977 307176267 EFN65898 193631989 XP_001945546</t>
  </si>
  <si>
    <t xml:space="preserve">HYPOTHETICAL WD REPEAT FYVE DOMAIN CONTAINING LIKE PHOSPHOINOSITIDE BINDING SIMILAR TO </t>
  </si>
  <si>
    <t>sp|Q8BUB4|WDFY2_MOUSE</t>
  </si>
  <si>
    <t>Q8BUB4 WDFY2_MOUSE 2 WDFY2 Q96P53 WDFY2_HUMAN Q8IWB7 WDFY1_HUMAN 1 WDFY1 Q2KIY3 WDFY1_BOVIN Q8ES91 Y751_OCEIH OB0751 14371 11309 3954 HTE831 3 Q84JM4 TPR3_ARATH TPR3 A5DBG1 ERB1_PICGU ERB1 6260 566 6381 1539 10279 324 O26010 Q9LRZ0 TPR2_ARATH TPR2 B0UTE1 SYA_HAES2 2336</t>
  </si>
  <si>
    <t xml:space="preserve">WD REPEAT FYVE DOMAIN CONTAINING OS MUS MUSCULUS GN PE SV HOMO SAPIENS BOS TAURUS ADENINE DEAMINASE OCEANOBACILLUS IHEYENSIS STRAIN DSM JCM KCTC TOPLESS RELATED ARABIDOPSIS THALIANA RIBOSOME BIOGENESIS MEYEROZYMA GUILLIERMONDII ATCC CBS NBRC NRRL Y COAD_HELPY PHOSPHOPANTETHEINE ADENYLYLTRANSFERASE HELICOBACTER PYLORI COAD ALANYL TRNA SYNTHETASE HAEMOPHILUS SOMNUS ALAS </t>
  </si>
  <si>
    <t>DNA_ligase_A_N | WD40 | WD40 | clpX | Noc2 | WD40 | NR_LBD_RAR | PRK12276 | ClpX | ND2 |</t>
  </si>
  <si>
    <t>Phaeosphaeria nodorum SN15</t>
  </si>
  <si>
    <t>169623152 XP_001804984 1 SNOG_14807 111056879 EAT77999 47576409 NP_001000532 OLR1568 149019829 EDL77977 1568 68065538 XP_674752 56493526 CAH95302 70952951 XP_745608 56525986 CAH74336 326519823 BAK00284 22129037 NP_667146 167 18479604 AAL60816 MOR272 32027175 AAP70761 OLFR167 146327374 AAI41447 148665135 EDK97551 157170126 AAI53163 312108363 XP_003151106 LOAG_15568 307753729 EFO12963 300870183 YP_003785054 300687882 ADK30553 15895276 NP_348625 337737225 YP_004636672 15024988 AAK79965 AE007704_4 325509422 ADZ21058 336290991 AEI32125 262368645 ZP_06061974 262316323 EEY97361</t>
  </si>
  <si>
    <t xml:space="preserve">HYPOTHETICAL OLFACTORY RECEPTOR TRANSPORTER GAF SENSOR SIGNAL TRANSDUCTION HISTIDINE KINASE ENZYME SIDEROPHORE SURFACTIN BIOSYNTHESIS </t>
  </si>
  <si>
    <t>sp|Q7A423|SSAA2_STAAN</t>
  </si>
  <si>
    <t>Staphylococcus aureus (strain N315)</t>
  </si>
  <si>
    <t>Q7A423 SSAA2_STAAN SSAA2 N315 1 Q99RX4 SSAA2_STAAM MU50 700699 Q5HDQ9 SSAA2_STAAC 3 C1CTA6 TAIWAN19F 14 C1CMI6 P1031 C1CGA0 Q9EUQ7 SCPA_STRR6 255 R6 B2ISX4 CGSP14 Q97NX5 B8ZNI0 700669 23F</t>
  </si>
  <si>
    <t xml:space="preserve">STAPHYLOCOCCAL SECRETORY ANTIGEN OS STAPHYLOCOCCUS AUREUS STRAIN GN PE SV ATCC COL SCPA_STRZT SEGREGATION CONDENSATION A STREPTOCOCCUS PNEUMONIAE SCPA SCPA_STRZP SCPA_STRZJ JJA BAA SCPA_STRPS SCPA_STRPN SCPA_STRPJ SPAIN </t>
  </si>
  <si>
    <t>PduL | PRK00347 | PRK14505 | Corona_NS3b | PHA02845 | PRK15070 | Baculo_p47 | ND4 | ND4L | CLAG |</t>
  </si>
  <si>
    <t>sp|P02789|TRFE_CHICK</t>
  </si>
  <si>
    <t>P02789 1 2 Q5UPB8 YL043_MIMIV L43 MIMI_L43 4</t>
  </si>
  <si>
    <t xml:space="preserve">TRFE_CHICK OVOTRANSFERRIN OS GALLUS PE SV UNCHARACTERIZED ACANTHAMOEBA POLYPHAGA MIMIVIRUS GN </t>
  </si>
  <si>
    <t>Peptidase_A8 | ND5 | DUF1831 | PTZ00219 | AA_permease |</t>
  </si>
  <si>
    <t>Acromyrmex echinatior</t>
  </si>
  <si>
    <t>332023102 EGI63363 1 6 328779818 XP_003249710 328779816 XP_393572 3 2 340712407 XP_003394752 6B 340712405 XP_003394751 307202681 EFN81987 307169755 EFN62313 193624862 XP_001944089 156549298 XP_001600236 SEC15 91091956 XP_968337 270000776 EEZ97223 TCASGA2_TC011021</t>
  </si>
  <si>
    <t xml:space="preserve">EXOCYST COMPLEX COMPONENT ISOFORM LIKE SIMILAR TO HYPOTHETICAL </t>
  </si>
  <si>
    <t>sp|Q9VDE6|EXOC6_DROME</t>
  </si>
  <si>
    <t>Q9VDE6 EXOC6_DROME 6 SEC15 1 Q8TAG9 EXOC6_HUMAN EXOC6 3 E2R766 EXOC6_CANFA O54923 EXOC6_RAT 2 Q8R313 EXOC6_MOUSE A6H5Z3 EXC6B_MOUSE 6B EXOC6B Q9Y2D4 EXC6B_HUMAN Q18286 EXOC6_CAEEL 15 4 Q0SQE9 RL22_CLOPS 50S L22 SM101 Q8XHS8 RL22_CLOPE</t>
  </si>
  <si>
    <t xml:space="preserve">EXOCYST COMPLEX COMPONENT OS DROSOPHILA MELANOGASTER GN PE SV HOMO SAPIENS CANIS FAMILIARIS RATTUS NORVEGICUS MUS MUSCULUS CAENORHABDITIS ELEGANS SEC RIBOSOMAL CLOSTRIDIUM PERFRINGENS STRAIN TYPE A RPLV </t>
  </si>
  <si>
    <t>sec15 - Drosophila melanogaster - exocyst - synaptic vesicle docking involved in exocytosis - synaptic vesicle targeting - neurotransmitter secretion - vesicle-mediated transport - phototaxis - axon guidance - bristle development - endosome - endocytic recycling - cytoplasmic vesicle - axon terminus - border follicle cell migration</t>
  </si>
  <si>
    <t>ycf2 | ubiA | uvrC | sbcc | Nup88 | BicD | lstR | PRK11281 | COG2952 | OmpH |</t>
  </si>
  <si>
    <t>Schistosoma mansoni</t>
  </si>
  <si>
    <t>256081373 XP_002576945 1 238662235 CAZ33182 195109903 XP_001999521 GI24566 193916115 EDW14982 156103057 XP_001617221 148806095 EDL47494 212224706 YP_002307942 212009663 ACJ17045 89886402 NP_001034960 T2R3F 89111395 BAE80362 195128155 XP_002008531 GI11771 193920140 EDW19007 298529674 ZP_07017077 298511110 EFI35013 254368530 ZP_04984546 157121433 EDO65624 84994218 XP_951831 65301992 CAI74099 TA15650 312095621 XP_003148415 LOAG_12855 307756419 EFO15653</t>
  </si>
  <si>
    <t xml:space="preserve">HYPOTHETICAL CONSERVED SIGNAL SEQUENCE PEPTIDASE BITTER TASTE RECEPTOR MODO NADH UBIQUINONE PLASTOQUINONE COMPLEX I PHOSPHATIDATE CYTIDYLYLTRANSFERASE </t>
  </si>
  <si>
    <t>sp|Q3ED15|WAXSA_ARATH</t>
  </si>
  <si>
    <t>Q3ED15 10 AT1G34490 3 1 P54589 4 Q57898 Y456_METJA MJ0456 43067 2661 10045 100440 Q6FQY7 ATG7_CANGA ATG7 2001 138 3761 0622 65 Q9CMX0 Y682_PASMU PM0682 PM70 Q25802 RPOC2_PLAFA RPOC2 P15577 NU2M_PARTE 2 ND2 Q29003 5HT1E_PIG 5 1E HTR1E Q9N2B6 5HT1E_PANTR P28566 5HT1E_HUMAN</t>
  </si>
  <si>
    <t xml:space="preserve">WAXSA_ARATH LONG CHAIN ALCOHOL O FATTY ACYLTRANSFERASE OS ARABIDOPSIS THALIANA GN PE SV YHCE_BACSU UNCHARACTERIZED YHCE BACILLUS SUBTILIS TRANSPORTER METHANOCALDOCOCCUS JANNASCHII STRAIN ATCC DSM JAL JCM NBRC UBIQUITIN LIKE MODIFIER ACTIVATING ENZYME CANDIDA GLABRATA CBS NRRL Y PASTEURELLA MULTOCIDA DNA DIRECTED RNA POLYMERASE SUBUNIT BETA PLASMODIUM FALCIPARUM NADH UBIQUINONE OXIDOREDUCTASE PARAMECIUM TETRAURELIA HYDROXYTRYPTAMINE RECEPTOR FRAGMENT SUS SCROFA PAN TROGLODYTES HOMO SAPIENS </t>
  </si>
  <si>
    <t>DUF3397 0.007| ND2 0.083| bact_immun_7tm | ND2 | PHA03024 | ND5 | ubiA | 7TM_GPCR_Srh | COPI_assoc | Ninjurin |</t>
  </si>
  <si>
    <t>Buchnera aphidicola str. Cc (Cinara cedri)</t>
  </si>
  <si>
    <t>116515086 YP_802715 1 116256940 ABJ90622 191637873 YP_001987039 LCABL_10960 190712175 CAQ66181 327381942 AEA53418 327385102 AEA56576 120435572 YP_861258 4 117577722 CAL66191 307199054 EFN79778 EAI_16356 301353313 YP_003795385 NAD6 251765326 ACT15479 237752918 ZP_04583398 229375185 EEO25276 301353474 YP_003795695 6 253807598 ACT36177 315452917 YP_004073187 HFELIS_05130 315131969 CBY82597</t>
  </si>
  <si>
    <t xml:space="preserve">YAET OUTER MEMBRANE PRECURSOR HYPOTHETICAL UNCHARACTERIZED PHAGE NTP BINDING ARNT LIKE UNDECAPRENYL PHOSPHATE ALPHA AMINO DEOXY L ARABINOSE ARABINOSYL TRANSFERASE O SIALOGLYCOPROTEIN ENDOPEPTIDASE NADH DEHYDROGENASE SUBUNIT </t>
  </si>
  <si>
    <t>sp|Q89AY7|Y081_BUCBP</t>
  </si>
  <si>
    <t>Q89AY7 Y081_BUCBP BBP_081 4 1 Q7M8K5 3 B5Z9L4 G27 P55996 B6JP93 GCP_HELP2 P12 Q17Z01 A8ER74 GCP_ARCB4 RM4018 Q9ZJ27 J99 Q7XHZ0 HFB4B_ORYSJ 4B HSFB4B 2 Q30UB9 33889 1251</t>
  </si>
  <si>
    <t xml:space="preserve">UNCHARACTERIZED OS BUCHNERA APHIDICOLA SUBSP BAIZONGIA PISTACIAE STRAIN BP GN PE SV GCP_WOLSU PROBABLE TRNA THREONYLCARBAMOYLADENOSINE BIOSYNTHESIS GCP WOLINELLA SUCCINOGENES GCP_HELPG HELICOBACTER PYLORI GCP_HELPY GCP_HELAH ACINONYCHIS SHEEBA ARCOBACTER BUTZLERI GCP_HELPJ HEAT STRESS TRANSCRIPTION FACTOR B ORYZA SATIVA JAPONICA GCP_SULDN SULFURIMONAS DENITRIFICANS ATCC DSM </t>
  </si>
  <si>
    <t>ND6 0.020| BPI1 0.027| ND4 | ND5 | Mannosyl_trans | 7TM_GPCR_Sru | DUF2899 | ND1 | ATP6 | AtpB |</t>
  </si>
  <si>
    <t>332028141 EGI68192 1 12 340716731 XP_003396848 339237869 XP_003380489 316976648 EFV59895 307199133 EFN79843 EAI_11049 328777393 XP_001120207 2 LOC724372 307196710 EFN78169 EAI_08141 241172959 XP_002410808 PXR1 215495005 EEC04646 307185013 EFN71242 EAG_13349 91088415 XP_966747 CG32418 270012198 EFA08646 TCASGA2_TC006309 156398679 XP_001638315 156225435 EDO46252</t>
  </si>
  <si>
    <t xml:space="preserve">NUCLEOLAR LOW QUALITY LIKE CONSERVED HYPOTHETICAL SIMILAR TO PA </t>
  </si>
  <si>
    <t>sp|A5E4P1|PXR1_LODEL</t>
  </si>
  <si>
    <t>Lodderomyces elongisporus (strain ATCC 11503 / CBS 2605 / JCM 1781 / NBRC 1676 / NRRL YB-4239)</t>
  </si>
  <si>
    <t>A5E4P1 PXR1_LODEL PXR1 11503 2605 1781 1676 4239 3 1 Q55FI4 NOP58_DICDI 58 NOP58 Q869E1 DNLI1_DICDI LIG1 Q12495 RLF2_YEAST P90 204508 S288C RLF2 P13816 FC27 4 A7TIF5 NOP58_VANPO 22028 70294 Q6BIX6 NOP58_DEBHA 36239 767 1990 0083 2968 2 Q6BUE3 PXR1_DEBHA Q9VJ87 CWC22_DROME CWC22 Q46E38 804</t>
  </si>
  <si>
    <t xml:space="preserve">OS LODDEROMYCES ELONGISPORUS STRAIN ATCC CBS JCM NBRC NRRL YB GN PE SV NUCLEOLAR DICTYOSTELIUM DISCOIDEUM DNA LIGASE CHROMATIN ASSEMBLY FACTOR SUBUNIT SACCHAROMYCES CEREVISIAE GARP_PLAFF GLUTAMIC ACID RICH PLASMODIUM FALCIPARUM ISOLATE PAPUA NEW GUINEA GARP VANDERWALTOZYMA POLYSPORA DSM DEBARYOMYCES HANSENII IGC PRE MRNA SPLICING HOMOLOG DROSOPHILA MELANOGASTER NCM PRIL_METBF PROBABLE PRIMASE LARGE METHANOSARCINA BARKERI FUSARO PRIB </t>
  </si>
  <si>
    <t>hypothetical protein LOC100363336 - Rattus norvegicus - nucleosome - DNA binding - nucleosome assembly</t>
  </si>
  <si>
    <t>ND5 6e-007| SURF6 3e-006| PTZ00121 3e-006| Nop53 4e-005| ND5 5e-005| ND2 5e-005| DUF947 9e-005| ND5 9e-005| PRK12704 2e-004| ND4 2e-004|</t>
  </si>
  <si>
    <t>Tetraodon nigroviridis</t>
  </si>
  <si>
    <t>47211613 CAF92926 1 302781556 XP_002972552 SELMODRAFT_413006 300160019 EFJ26638 1165322 AAB53156 15218966 NP_173553 3 334302912 Q9FS16 EXTN3_ARATH ATEXT3 ATEXT5 8920638 AAF81360 AC036104_9 ATEXT1 U43627 12 28 AA597816 AA712635 N65860 AA598180 H77085 AA394416 AA394413 AA650774 AA650748 Z25975 AA597958 AA597955 332191962 AEE30083 198462982 XP_002135414 GA28342 198151061 EDY74041 302755382 XP_002961115 SELMODRAFT_402740 300172054 EFJ38654 302766952 XP_002966896 SELMODRAFT_408138 300164887 EFJ31495 89257638 ABD65126 168237 AAA33375 445130 1908433A 12248384 BAB20084</t>
  </si>
  <si>
    <t xml:space="preserve">UNNAMED PRODUCT HYPOTHETICAL EXTENSIN FULL SHORT FLAGS PRECURSOR CONTAINS SIMILARITY TO FROM ARABIDOPSIS THALIANA CONCATAMERS AMINO ACIDS RICH IN PROLINE ESTS COME THIS GENE LIKE REGION CONTAINING HYDROXYPROLINE PRF HYP GLYCOPROTEIN </t>
  </si>
  <si>
    <t>sp|Q9FS16|EXTN3_ARATH</t>
  </si>
  <si>
    <t>Q9FS16 EXTN3_ARATH 3 EXT3 2 P06599 1 Q9M1G9 EXTN2_ARATH EXT2 Q7G6K7 FH3_ORYSJ FH3 O65375 LRX1_ARATH LRX1 Q38913 EXTN1_ARATH EXT1 Q8K1I7 WIPF1_MOUSE WIPF1 Q6NWC6 CPSF6_DANRE 6 CPSF6 Q9SN46 LRX5_ARATH 5 LRX5 O15743</t>
  </si>
  <si>
    <t xml:space="preserve">EXTENSIN OS ARABIDOPSIS THALIANA GN PE SV EXTN_DAUCA DAUCUS CAROTA FORMIN LIKE ORYZA SATIVA SUBSP JAPONICA LEUCINE RICH REPEAT WAS WASL INTERACTING FAMILY MEMBER MUS MUSCULUS CLEAVAGE POLYADENYLATION SPECIFICITY FACTOR SUBUNIT DANIO RERIO SPNA_DICDI SPALTEN DICTYOSTELIUM DISCOIDEUM SPNA </t>
  </si>
  <si>
    <t>extensin 3 - Arabidopsis thaliana - plant-type cell wall organization - endomembrane system - structural constituent of cell wall</t>
  </si>
  <si>
    <t>Extensin_2 0.019| ND2 0.044| ND5 0.100| pullulan_Gpos | TonB | MepA | DUF1754 | PTZ00127 | CTF_NFI | PRK13024 |</t>
  </si>
  <si>
    <t>327286564 XP_003228000 1 4 326933508 XP_003212845 167535742 XP_001749544 163771936 EDQ85595 115966524 XP_001188161 115923339 XP_001177443 115953853 XP_001183744 115905724 XP_795143 2 149030731 EDL85768 13928866 NP_113817 310214 AAA42054 RN3 3915806 P34067 PSB4_RAT 3 301767894 XP_002919381</t>
  </si>
  <si>
    <t xml:space="preserve">PROTEASOME SUBUNIT BETA TYPE LIKE HYPOTHETICAL PROSOME MACROPAIN FULL SHORT CHAIN ALTNAME MULTICATALYTIC ENDOPEPTIDASE COMPLEX FLAGS PRECURSOR </t>
  </si>
  <si>
    <t>sp|P34067|PSB4_RAT</t>
  </si>
  <si>
    <t>P34067 PSB4_RAT 4 PSMB4 1 2 P99026 PSB4_MOUSE P28070 PSB4_HUMAN Q3T108 PSB4_BOVIN P28024 PSB4_XENLA Q9USQ9 PSB4_SCHPO 38366 972 SPBC577 10 Q556Q0 PSB4_DICDI 3 Q7DLR9 PSB4_ARATH PBG1 Q9VNA5 PSB4_DROME PROSBETA7 Q8SS01 PSB4_ENCCU M1 PRE4</t>
  </si>
  <si>
    <t xml:space="preserve">PROTEASOME SUBUNIT BETA TYPE OS RATTUS NORVEGICUS GN PE SV MUS MUSCULUS HOMO SAPIENS BOS TAURUS FRAGMENT XENOPUS LAEVIS PROBABLE SCHIZOSACCHAROMYCES POMBE STRAIN ATCC DICTYOSTELIUM DISCOIDEUM ARABIDOPSIS THALIANA DROSOPHILA MELANOGASTER ENCEPHALITOZOON CUNICULI </t>
  </si>
  <si>
    <t>proteasome (prosome, macropain) subunit, beta type 4 - Rattus norvegicus - lipopolysaccharide binding - negative regulation of inflammatory response to antigenic stimulus - threonine-type endopeptidase activity - nucleus - cytoplasm - proteasome core complex - peptidase activity - anaphase-promoting complex-dependent proteasomal ubiquitin-dependent protein catabolic process - negative regulation of ubiquitin-protein ligase activity involved in mitotic cell cycle - positive regulation of ubiquitin-protein ligase activity involved in mitotic cell cycle - proteolysis involved in cellular protein catabolic process</t>
  </si>
  <si>
    <t>proteasome_beta_type_4 5e-023| proteasome_beta 6e-010| proteasome_protease_HslV 2e-004| PRE1 5e-004| Proteasome 0.002| arc_protsome_B | proteasome_beta_archeal | COG4272 | TonB-tbp-lbp | rpoC2 |</t>
  </si>
  <si>
    <t>290990271 XP_002677760 1 284091369 EFC45016 333921738 YP_004495319 2 333483960 AEF42520 301616468 XP_002937679 5 330822440 XP_003291660 DICPUDRAFT_156274 325078159 EGC31826</t>
  </si>
  <si>
    <t xml:space="preserve">MRNA DEADENYLASE COLLAGEN ALPHA I CHAIN INTERFERON INDUCED TRANSMEMBRANE LIKE HYPOTHETICAL </t>
  </si>
  <si>
    <t>sp|Q95T64|PGPLA_DROME</t>
  </si>
  <si>
    <t>Q95T64 1 2 Q85FH9 NU5C_ADICA 5 Q4L446 MNHD2_STAHJ MNHD2 JCSC1435 3 Q7N155 TT01 Q54YD8 COPB2_DICDI COPB2 Q1ACF3 NU5C_CHAVU Q2LAE1 ASHH2_ARATH ASHH2 Q1Q994 Y1982_PSYCK UPF0341 PCRYO_1982 K5 Q75B70 STU1_ASHGO STU1 10895 109 51 9923 1056 Q2HXK9</t>
  </si>
  <si>
    <t xml:space="preserve">PGPLA_DROME PEPTIDOGLYCAN RECOGNITION LA OS DROSOPHILA MELANOGASTER GN PGRP PE SV NAD P H QUINONE OXIDOREDUCTASE SUBUNIT CHLOROPLASTIC ADIANTUM CAPILLUS VENERIS NDHF ANTIPORTER STAPHYLOCOCCUS HAEMOLYTICUS STRAIN SECM_PHOLL SECRETION MONITOR PHOTORHABDUS LUMINESCENS SUBSP LAUMONDII SECM COATOMER BETA DICTYOSTELIUM DISCOIDEUM CHARA VULGARIS HISTONE LYSINE N METHYLTRANSFERASE ARABIDOPSIS THALIANA PSYCHROBACTER CRYOHALOLENTIS ASHBYA GOSSYPII ATCC CBS FGSC NRRL Y RBOHD_SOLTU RESPIRATORY BURST OXIDASE HOMOLOG D SOLANUM TUBEROSUM RBOHD </t>
  </si>
  <si>
    <t>PHA02947 0.056| ND4 | COX3 | DUF3533 | ND5 | GH20_chitobiase-like | ndhF | PRK07376 | PTZ00140 | ileS |</t>
  </si>
  <si>
    <t>125979449 XP_001353757 1 GA18418 54640740 EAL29491 327288789 XP_003229107 C1 334326313 XP_001371129 2 195376329 XP_002046949 GJ13163 194154107 EDW69291 195491954 XP_002093786 GE21489 194179887 EDW93498 194866990 XP_001971983 GG15267 190653766 EDV51009 24658292 NP_647958 CG4769 195337635 XP_002035434 GM14701 195587948 XP_002083723 GD13884 7295470 AAF50785 20151533 AAM11126 GM14501P 194128527 EDW50570 194195732 EDX09308 220943796 ACL84441 220953700 ACL89393 194750263 XP_001957547 GF23975 190624829 EDV40353 195127393 XP_002008153 GI13337 193919762 EDW18629 291230135 XP_002735024</t>
  </si>
  <si>
    <t xml:space="preserve">CYTOCHROME HEME MITOCHONDRIAL LIKE PA C </t>
  </si>
  <si>
    <t>sp|Q00988|CY1_KLULA</t>
  </si>
  <si>
    <t>Kluyveromyces lactis (strain ATCC 8585 / CBS 2359 / DSM 70799 / NBRC 1267 / NRRL Y-1140 / WM37)</t>
  </si>
  <si>
    <t>Q00988 CY1_KLULA C1 8585 2359 70799 1267 1140 WM37 CYT1 3 1 P07143 CY1_YEAST 204508 S288C Q9D0M3 CY1_MOUSE CYC1 P08574 CY1_HUMAN P00125 CY1_BOVIN 2 Q54D07 CY1_DICDI P07142 CY1_NEUCR 24698 74 OR23 1A 708 71 1257 987 O59680 CY1_SCHPO 38366 972 P23135 CY1_RHORU P51131</t>
  </si>
  <si>
    <t xml:space="preserve">CYTOCHROME HEME MITOCHONDRIAL OS KLUYVEROMYCES LACTIS STRAIN ATCC CBS DSM NBRC NRRL Y GN PE SV SACCHAROMYCES CEREVISIAE MUS MUSCULUS HOMO SAPIENS BOS TAURUS DICTYOSTELIUM DISCOIDEUM NEUROSPORA CRASSA FGSC CYT SCHIZOSACCHAROMYCES POMBE RHODOSPIRILLUM RUBRUM PETC CYBC_BRAJA B BRADYRHIZOBIUM JAPONICUM FBCH </t>
  </si>
  <si>
    <t>Drosophila melanogaster - electron transporter, transferring electrons within CoQH2-cytochrome c reductase complex activity - oxidative phosphorylation - mitochondrial respiratory chain complex III - mitochondrial electron transport, ubiquinol to cytochrome c - heme binding - lipid particle</t>
  </si>
  <si>
    <t>Cytochrom_C1 2e-010| CYT1 6e-005| ycf1 | UDP_invert_4-6DH_SDR_e | NR_LBD_TR2_like | HP_OMP | MopB_Res-Cmplx1_Nad11-M | ND5 | nrdF | Methylase_S |</t>
  </si>
  <si>
    <t>Chlorella vulgaris</t>
  </si>
  <si>
    <t>7524826 NP_045828 1 CHVULCP069 7515424 T07256 67 2224419 BAA57903 340502723 EGR29381 IMG5_156780 340502186 EGR28898 IMG5_166920 312233248 YP_004021468 310619464 ADP01835 309253214 ADO60607 5 293363696 ZP_06610443 REC2 292552740 EFF41503 149240033 XP_001525892 146450015 EDK44271 157644643 ABV59021 157644628 ABV59007 82569450 ABB83367</t>
  </si>
  <si>
    <t xml:space="preserve">HYPOTHETICAL CHLORELLA VULGARIS CHLOROPLAST UNNAMED PRODUCT NADH DEHYDROGENASE SUBUNIT COMEC LIKE CPS POLYMERASE CPSH </t>
  </si>
  <si>
    <t>sp|Q44907|FLIR_BORBU</t>
  </si>
  <si>
    <t>Q44907 3 1 Q754Q7 RFT1_ASHGO RFT1 10895 109 51 9923 1056 Q97MW3 CA_C0078 Q9MUP3 YCF81_MESVI YCF81 P40913 RFT1_KLULA 8585 2359 70799 1267 1140 WM37 2 Q4FLV1 HTCC1062 Q6G577 Q9BWV7 TTLL2_HUMAN TTLL2 5 Q646E8 TA2R3_PAPHA TAS2R3 Q646A7 TA2R3_PANTR</t>
  </si>
  <si>
    <t xml:space="preserve">FLIR_BORBU FLAGELLAR BIOSYNTHETIC FLIR OS BORRELIA BURGDORFERI GN PE SV OLIGOSACCHARIDE TRANSLOCATION ASHBYA GOSSYPII STRAIN ATCC CBS FGSC NRRL Y AGRB_CLOAB AGRB LIKE CLOSTRIDIUM ACETOBUTYLICUM UNCHARACTERIZED MESOSTIGMA VIRIDE KLUYVEROMYCES LACTIS DSM NBRC CTAA_PELUB HEME A SYNTHASE PELAGIBACTER UBIQUE CTAA UBIE_BARHE UBIQUINONE MENAQUINONE BIOSYNTHESIS METHYLTRANSFERASE UBIE BARTONELLA HENSELAE PROBABLE TUBULIN POLYGLUTAMYLASE HOMO SAPIENS TASTE RECEPTOR TYPE MEMBER PAPIO HAMADRYAS PAN TROGLODYTES </t>
  </si>
  <si>
    <t>PRK09609 0.004| DltB 0.004| Got1 0.005| ND4 0.007| ND5 0.017| ND4L 0.037| 7TM_GPCR_Srh 0.041| ND5 0.046| DUF1361 0.048| TIGR03766 |</t>
  </si>
  <si>
    <t>sp|Q4A578|IF2_MYCS5</t>
  </si>
  <si>
    <t>Mycoplasma synoviae (strain 53)</t>
  </si>
  <si>
    <t>Q4A578 IF2_MYCS5 2 53 3 1</t>
  </si>
  <si>
    <t xml:space="preserve">TRANSLATION INITIATION FACTOR IF OS MYCOPLASMA SYNOVIAE STRAIN GN INFB PE SV </t>
  </si>
  <si>
    <t>COG5062 | PTZ00092 | Plant_vir_prot |</t>
  </si>
  <si>
    <t>121543871 ABM55600 1 P22 307166640 EFN60652 332023251 EGI63506 307208991 EFN86191 156543374 XP_001608220 91086193 XP_971411 270010236 EFA06684 TCASGA2_TC009614 242014772 XP_002428059 212512578 EEB15321 48096761 XP_392514 114051682 NP_001040173 87248283 ABD36194 225346701 ACN86373 312285614 ADQ64497</t>
  </si>
  <si>
    <t xml:space="preserve">CALCIUM BINDING SIMILAR TO HYPOTHETICAL </t>
  </si>
  <si>
    <t>FRQ1 5e-012| EFh 1e-010| PTZ00184 2e-009| PTZ00183 6e-006| efhand 0.006| EFh 0.006| EH 0.061| TerB 0.080| efhand_3 | TryThrA_C |</t>
  </si>
  <si>
    <t>149898895 ABR27949 1 S20 50344510 CAH04341 S20E 315115379 ADT80662 242022832 XP_002431842 40S 212517174 EEB19104 148298732 NP_001091809 54609325 AAV34878 268306374 ACY95308 50284390 CAH04126 237862690 ACR24970 15213828 AAK92189 AF400217_1 170040758 XP_001848155 167864366 EDS27749 157123487 XP_001660168 56417538 AAV90710 94468398 ABF18048 108874398 EAT38623</t>
  </si>
  <si>
    <t xml:space="preserve">RIBOSOMAL RIBSOMAL </t>
  </si>
  <si>
    <t>sp|P23403|RS20_XENLA</t>
  </si>
  <si>
    <t>P23403 RS20_XENLA 40S S20 RPS20 3 1 P60868 RS20_RAT P60867 RS20_MOUSE Q4R5D0 RS20_MACFA P60866 RS20_HUMAN Q3ZBH8 RS20_BOVIN P55828 RS20_DROME Q5R924 RS20_PONAB A1XQU9 RS20_PIG Q9STY6 RS202_ARATH 2 RPS20B</t>
  </si>
  <si>
    <t xml:space="preserve">RIBOSOMAL OS XENOPUS LAEVIS GN PE SV RATTUS NORVEGICUS MUS MUSCULUS MACACA FASCICULARIS HOMO SAPIENS BOS TAURUS DROSOPHILA MELANOGASTER PONGO ABELII SUS SCROFA ARABIDOPSIS THALIANA </t>
  </si>
  <si>
    <t>ribosomal protein S20 - Danio rerio - structural constituent of ribosome - intracellular - translation - RNA binding - ribosome - small ribosomal subunit - cytosolic small ribosomal subunit</t>
  </si>
  <si>
    <t>PTZ00039 6e-051| S10_Arc_S20_Euk 1e-041| Ribosomal_S10 3e-032| RpsJ 4e-027| rps10p 2e-025| rpsJ 7e-014| rps10 7e-013| rpsJ_bact 3e-012| Na_H_Exchanger 0.059| CstA 0.089|</t>
  </si>
  <si>
    <t>Trichoplax adhaerens</t>
  </si>
  <si>
    <t>196004454 XP_002112094 1 TRIADDRAFT_55790 190585993 EDV26061 118404034 NP_001072861 LOC780322 114107652 AAI23083 MGC147286 281485582 NP_001100910 2 LOC307923 293343423 XP_001077968 16 7 293355297 XP_226551 5 187469143 AAI66767 RGD1565149 118096600 XP_414200 149038442 EDL92802 60416117 AAH90704 158780 338723132 XP_001917128 C16ORF7 301782863 XP_002926848 281339543 EFB15127 PANDA_016553 148679781 EDL11728 MCG19595</t>
  </si>
  <si>
    <t xml:space="preserve">HYPOTHETICAL SIMILAR TO CHROMOSOME OPEN READING FRAME ISOFORM CRA_A ZGC LOW QUALITY UNCHARACTERIZED HOMOLOG CRA_C </t>
  </si>
  <si>
    <t>sp|Q8C190|CP007_MOUSE</t>
  </si>
  <si>
    <t>Q8C190 CP007_MOUSE C16ORF7 2 1 Q9Y2B5 CP007_HUMAN P59729 RIN3_MOUSE 3 RIN3 Q8TB24 RIN3_HUMAN 4 Q00798 RBP1_PLAVB RBP1 Q9ZD36 Y511_RICPR RP511 Q8I1U7 SMC3_PLAF7 3D7 PFD0685C Q640L5 CCD18_MOUSE 18 CCDC18 Q076A4 MYH8_CANFA 8 MYH8 Q5T9S5 CCD18_HUMAN</t>
  </si>
  <si>
    <t xml:space="preserve">UNCHARACTERIZED HOMOLOG OS MUS MUSCULUS PE SV HOMO SAPIENS GN RAS RAB INTERACTOR RETICULOCYTE BINDING PLASMODIUM VIVAX STRAIN BELEM RICKETTSIA PROWAZEKII MADRID E STRUCTURAL MAINTENANCE CHROMOSOMES FALCIPARUM ISOLATE COILED COIL DOMAIN CONTAINING MYOSIN CANIS FAMILIARIS </t>
  </si>
  <si>
    <t>zgc:113159 - Danio rerio - cellular_component - biological_process - molecular_function</t>
  </si>
  <si>
    <t>VPS9 3e-012| VPS9 2e-005| PTZ00440 3e-004| DUF827 0.075| Snf7 | sbcc | ND2 | ND5 | SMC_prok_B | Srg |</t>
  </si>
  <si>
    <t>71407261 XP_806111 1 70869757 EAN84260 322823120 EFZ28947 TCSYLVIO_4813 71400097 XP_802948 70865388 EAN81502 322487797 CBZ23039 154331359 XP_001561498 134058815 CAM36486 194389678 BAG61800 47208438 CAF91288 47218589 CAG10288 167519166 XP_001743923 163777885 EDQ91501 167526246 XP_001747457 163774292 EDQ87924</t>
  </si>
  <si>
    <t xml:space="preserve">HYPOTHETICAL CONSERVED UNNAMED PRODUCT </t>
  </si>
  <si>
    <t>sp|Q69566|U88_HHV6U</t>
  </si>
  <si>
    <t>Human herpesvirus 6A (strain Uganda-1102)</t>
  </si>
  <si>
    <t>Q69566 U88_HHV6U U88 6A 1102 4 1 Q02722 Q300_MOUSE Q300 HPVC2 P21435 3 P27460 P29167 BM5 P03336 P29168 DEF27 Q7M3M8 2 Q17865 YTE4_CAEEL C09G1 A1Z651 POL_XMRV6 VP62</t>
  </si>
  <si>
    <t xml:space="preserve">UNCHARACTERIZED OS HUMAN HERPESVIRUS STRAIN UGANDA GN PE SV MUS MUSCULUS GAG_MLVHO GAG POLYPROTEIN HORTULANUS MURINE LEUKEMIA VIRUS GAG_MLVCB CAS BR E GAG_MLVBM ECO GAG_MLVAV AKV GAG_MLVDE CAS_DROME TRANSCRIPTION FACTOR CASTOR DROSOPHILA MELANOGASTER CAENORHABDITIS ELEGANS POL XENOTROPIC MULV RELATED ISOLATE </t>
  </si>
  <si>
    <t>PRK07764 0.003| PTZ00368 0.032| streptolysinS 0.092| Papilloma_E5 0.093| PBP2_LrhA_like | PhnA_Zn_Ribbon | M20_Acy1L2 | torA | DUF2968 | PriA |</t>
  </si>
  <si>
    <t>289629282 NP_001166224 1 332027165 EGI67258 322794695 EFZ17668 SINV_05488 307197505 EFN78735 91077442 XP_967058 270001622 EEZ98069 TCASGA2_TC000476 307167496 EFN61069 157704373 ABV68875 21218346 AAM44043 AF509878_1 260908099 ACX54056 260908101 ACX54057 240848575 NP_001155797 239788704 BAH71020 ACYPI009403</t>
  </si>
  <si>
    <t xml:space="preserve">FERRITIN SUBUNIT HYPOTHETICAL SIMILAR TO HEAVY CHAIN LIKE </t>
  </si>
  <si>
    <t>sp|P41822|FRI_AEDAE</t>
  </si>
  <si>
    <t>P41822 1 2 P49946 Q7SXA6 FRIH3_XENLA P49948 FTH1 Q26061 P17663 P85837 P85838 P42577 P49947</t>
  </si>
  <si>
    <t xml:space="preserve">FRI_AEDAE FERRITIN SUBUNIT OS AEDES AEGYPTI GN FERH PE SV FRIH_SALSA HEAVY SALMO SALAR CHAIN OOCYTE ISOFORM XENOPUS LAEVIS FRIHA_XENLA A FRI_PACLE PACIFASTACUS LENIUSCULUS FRIHB_XENLA B FRIH_TRENE TREMATOMUS NEWNESI FRIH_TREBE BERNACCHII FRIS_LYMST SOMA LYMNAEA STAGNALIS FRIM_SALSA MIDDLE </t>
  </si>
  <si>
    <t>Ferritin 1 heavy chain homologue - Drosophila melanogaster - intracellular ferritin complex - cellular iron ion homeostasis - ferrous iron binding - oxidoreductase activity - ferric iron binding - iron ion transport - oxidation-reduction process - Golgi apparatus - microtubule associated complex - fusome</t>
  </si>
  <si>
    <t>Euk_Ferritin 4e-019| Ferritin 3e-005| Ferritin 3e-005| PTZ00427 | Aph-1 | DUF2267 | Lung_7-TM_R | CoiA | DUF2434 | PHA02638 |</t>
  </si>
  <si>
    <t>307179910 EFN68055 1 156543022 XP_001603845 307213768 EFN89106 328782990 XP_394136 4 LOC410659 242011180 XP_002426333 RAD50 212510410 EEB13595 91082887 XP_971801 270007608 EFA04056 TCASGA2_TC014288 333470022 EAA01227 5 AGAP001765 158301644 XP_321318 157104989 XP_001648664 108884156 EAT48381 118099478 XP_415382 2 97</t>
  </si>
  <si>
    <t xml:space="preserve">GOLGIN SUBFAMILY A MEMBER SIMILAR TO OMEGA CRYSTALLIN HYPOTHETICAL DNA DOUBLE STRAND BREAK REPAIR ATPASE PA GOLGI COMPLEX AUTOANTIGEN </t>
  </si>
  <si>
    <t>sp|Q92805|GOGA1_HUMAN</t>
  </si>
  <si>
    <t>Q92805 GOGA1_HUMAN 1 GOLGA1 3 Q9CW79 GOGA1_MOUSE 2 O66878 Q54T16 P17065 SEC2_YEAST SEC2 204508 S288C Q54FL0 Q86KL1 BRE1_DICDI E3 BRE1 Q54F40 Y1133_DICDI DDB_G0291133 O32022 4 Q03101</t>
  </si>
  <si>
    <t xml:space="preserve">GOLGIN SUBFAMILY A MEMBER OS HOMO SAPIENS GN PE SV MUS MUSCULUS SMC_AQUAE CHROMOSOME PARTITION SMC AQUIFEX AEOLICUS BZPK_DICDI PROBABLE BASIC LEUCINE ZIPPER TRANSCRIPTION FACTOR K DICTYOSTELIUM DISCOIDEUM BZPK RAB GUANINE NUCLEOTIDE EXCHANGE SACCHAROMYCES CEREVISIAE STRAIN ATCC MYBO_DICDI MYB LIKE O MYBO UBIQUITIN LIGASE KINASE YQZD_BACSU UNCHARACTERIZED YQZD BACILLUS SUBTILIS CYAG_DICDI ADENYLATE CYCLASE GERMINATION SPECIFIC ACGA </t>
  </si>
  <si>
    <t>centrosomin's beautiful sister - Drosophila melanogaster - centrosome - cytoplasm - chromatin - spindle - perinuclear region of cytoplasm - centrosome cycle</t>
  </si>
  <si>
    <t>Grip 2e-009| GRIP 4e-008| Sec2p 0.036| type_III_yscE | KpsE | MYSc | MYSc_type_I | PRK05218 | COX3 | PRK12705 |</t>
  </si>
  <si>
    <t>121543851 ABM55590 1 294994954 ZP_06800645 MTUB2_10695 294993873 ZP_06799564 MTUB2_04996 154317912 XP_001558275 150843597 EDN18790 294995292 ZP_06800983 MTUB2_12463 294995171 ZP_06800862 MTUB2_11812 168703125 ZP_02735402 GOBSU_26581 118350795 XP_001008676 TTHERM_00170160 89290443 EAR88431 294994776 ZP_06800467 MTUB2_09757 68476019 XP_717950 CAO19 3260 68476150 XP_717884 10770 46439619 EAK98935 46439687 EAK99002</t>
  </si>
  <si>
    <t xml:space="preserve">NUCLEOPLASMIN ISOFORM LIKE HYPOTHETICAL </t>
  </si>
  <si>
    <t>sp|Q5RF26|NUCL_PONAB</t>
  </si>
  <si>
    <t>Q5RF26 2 3 Q9NLA3 ANO39_ASTPE ANO39 1 Q8ILI6 AN32_PLAF7 32 3D7 PF14_0257 Q9QJ59 B4_HHV6Z B4 6B Z29 4 Q54LY8 Y6915_DICDI DDB_G0286299 Q6FQ21 NOP58_CANGA 58 2001 138 3761 0622 65 NOP58 P79741 P19338 Q64289 NDF1_RAT NEUROD1 Q5DTT4 RGAG4_MOUSE RGAG4</t>
  </si>
  <si>
    <t xml:space="preserve">NUCL_PONAB NUCLEOLIN OS PONGO ABELII GN NCL PE SV NUCLEOPLASMIN LIKE ASTERINA PECTINIFERA ACIDIC LEUCINE RICH NUCLEAR PHOSPHOPROTEIN RELATED PLASMODIUM FALCIPARUM ISOLATE HUMAN HERPESVIRUS STRAIN UNCHARACTERIZED DICTYOSTELIUM DISCOIDEUM NUCLEOLAR CANDIDA GLABRATA ATCC CBS JCM NBRC NRRL Y PESC_DANRE PESCADILLO DANIO RERIO PES NUCL_HUMAN HOMO SAPIENS NEUROGENIC DIFFERENTIATION FACTOR RATTUS NORVEGICUS RETROTRANSPOSON GAG DOMAIN CONTAINING MUS MUSCULUS </t>
  </si>
  <si>
    <t>ND2 9e-006| ND5 3e-005| DUF755 6e-004| ND4 7e-004| 7TM_GPCR_Str 0.002| 7tm_7 0.003| ND6 0.003| Nop14 0.003| Nucleoplasmin 0.004| Srg 0.004|</t>
  </si>
  <si>
    <t>307095098 ADN29855 1 P2 149689182 ABR27956 116267201 ABJ96355 60S 161669188 ABX75446 LP0 194766521 XP_001965373 GF20653 190617983 EDV33507 195470260 XP_002087426 RPLP1 38047823 AAR09814 RPP2 194173527 EDW87138 17136320 NP_476630 LP1 194853475 XP_001968169 GG24717 195350097 XP_002041578 GM16740 195575543 XP_002077637 GD23023 1350780 P08570 2 RLA1_DROME P1 RPA2 RP21C 386060 AAB26902 7296207 AAF51499 17861586 AAL39270 GH13422P 190660036 EDV57228 194123351 EDW45394 194189646 EDX03222 8476 CAA68557 263173345 ACY69918 336381007 EGO22159 SERLADRAFT_472573</t>
  </si>
  <si>
    <t xml:space="preserve">RIBOSOMAL ACIDIC SIMILAR TO DROSOPHILA MELANOGASTER FULL ALTNAME UNNAMED PRODUCT HYPOTHETICAL </t>
  </si>
  <si>
    <t>P08570 RLA1_DROME 60S P1 RPLP1 1 2 Q6X9Z5 RLA2_HORSE P2 RPLP2 3 P18660 RLA1_CHICK Q29315 RLA2_PIG P42899 RLA2_BOVIN P02401 RLA2_RAT P99027 RLA2_MOUSE P05387 RLA2_HUMAN P05386 RLA1_HUMAN Q56K14 RLA1_BOVIN</t>
  </si>
  <si>
    <t xml:space="preserve">ACIDIC RIBOSOMAL OS DROSOPHILA MELANOGASTER GN PE SV EQUUS CABALLUS GALLUS SUS SCROFA BOS TAURUS RATTUS NORVEGICUS MUS MUSCULUS HOMO SAPIENS </t>
  </si>
  <si>
    <t>Ribosomal_P2 0.002| Ribosomal_60s 0.002| Ribosomal_P1 0.006| PTZ00135 0.013| PLN00138 0.014| RPP1A 0.032| Ribosomal_P1_P2_L12p 0.076| PTZ00373 0.078| eIF-3c_N | ndhG |</t>
  </si>
  <si>
    <t>156548458 XP_001605165 1 2290213 AAB65093 AA1 156545886 XP_001606639 156541172 XP_001599048 156540059 XP_001599613 156541724 XP_001600610 195155827 XP_002018802 GL25754 194114955 EDW36998 170051969 XP_001862008 167872964 EDS36347 156540942 XP_001599975 299746323 XP_001837896 2 298407002 EAU83912</t>
  </si>
  <si>
    <t xml:space="preserve">SIMILAR TO MYOSIN RHOGAP MYR LIAN RETROTRANSPOSON LACHESIN CAT EYE SYNDROME CRITICAL REGION PARTIAL FMN ADENYLYLTRANSFERASE </t>
  </si>
  <si>
    <t>sp|A4SF77|SAHH_PROVI</t>
  </si>
  <si>
    <t>Prosthecochloris vibrioformis (strain DSM 265)</t>
  </si>
  <si>
    <t>A4SF77 265 3 1 A7NI92 13941 HLO8 Q6LPR5 Q8LNW4 FLOT2_ORYSJ 2 FLOT2 Q8SQK8 M1 ECU09_1680 P39060 COIA1_HUMAN COL18A1 5 Q2FUW1 SRAP_STAA8 8325 Q869Q3 Q9Z0Y7 IRS4_MOUSE 4 IRS4 Q55DU7 GDT4_DICDI GDT4</t>
  </si>
  <si>
    <t xml:space="preserve">SAHH_PROVI ADENOSYLHOMOCYSTEINASE OS PROSTHECOCHLORIS VIBRIOFORMIS STRAIN DSM GN AHCY PE SV MURC_ROSCS UDP N ACETYLMURAMATE L ALANINE LIGASE ROSEIFLEXUS CASTENHOLZII MURC BIOD_PHOPR ATP DEPENDENT DETHIOBIOTIN SYNTHETASE BIOD PHOTOBACTERIUM PROFUNDUM FLOTILLIN LIKE ORYZA SATIVA SUBSP JAPONICA SYNC_ENCCU PROBABLE ASPARAGINYL TRNA CYTOPLASMIC ENCEPHALITOZOON CUNICULI COLLAGEN ALPHA XVIII CHAIN HOMO SAPIENS SERINE RICH ADHESIN FOR PLATELETS STAPHYLOCOCCUS AUREUS NCTC SRAP NAPA_DICDI NCK ASSOCIATED HOMOLOG DICTYOSTELIUM DISCOIDEUM NAPA INSULIN RECEPTOR SUBSTRATE MUS MUSCULUS THREONINE KINASE </t>
  </si>
  <si>
    <t>Tymo_45kd_70kd | pyruv_ox_red | Wrch_1 | OpgC_C | catalase_clade_3 | VI_minor_1 | Tc10 | TIGR01213 | Catalase | PRK05371 |</t>
  </si>
  <si>
    <t>Cell wall/membrane/envelope biogenesis, Extracellular structures</t>
  </si>
  <si>
    <t>307184750 EFN71069 1 EAG_12773 116334961 YP_802456 116235242 BAF35090 340505499 EGR31819 IMG5_101230 312134244 YP_004001582 311774295 ADQ03782 340503522 EGR30100 IMG5_142390 340502412 EGR29103 IMG5_162870 307299229 ZP_07579030 306915025 EFN45411 237742766 ZP_04573247 229430414 EEO40626 156102206 XP_001616796 8 7 148805670 EDL47069 162606448 XP_001713254 26S 12580720 CAC27038</t>
  </si>
  <si>
    <t xml:space="preserve">HYPOTHETICAL RNA POLYMERASE SIGMA FACTOR RPOD VANZ FAMILY BINDING DEPENDENT TRANSPORT SYSTEMS INNER MEMBRANE COMPONENT AMINO OXONONANOATE SYNTHASE PROTEASOME REGULATORY SUBUNIT </t>
  </si>
  <si>
    <t>sp|Q9J5C4|V096_FOWPN</t>
  </si>
  <si>
    <t>Fowlpox virus (strain NVSL)</t>
  </si>
  <si>
    <t>Q9J5C4 V096_FOWPN FPV096 3 1 Q54ZW0 PHG1B_DICDI 1B PHG1B 2 O75165 DJC13_HUMAN 13 DNAJC13 5 P04371 COX1_TRYBB P53246 YG2D_YEAST YGR071C 204508 S288C O67364 Y1349_AQUAE UPF0719 AQ_1349 Q1ACN4 RPOC2_CHAVU RPOC2 P29869 NU2M_DROSI ND2 P29868 NU2M_DROSE O51424 Y468_BORBU UPF0135 BB_0468</t>
  </si>
  <si>
    <t xml:space="preserve">OS FOWLPOX VIRUS STRAIN NVSL GN PE SV PHAGOCYTIC RECEPTOR DICTYOSTELIUM DISCOIDEUM DNAJ HOMOLOG SUBFAMILY C MEMBER HOMO SAPIENS CYTOCHROME OXIDASE SUBUNIT TRYPANOSOMA BRUCEI COXI UNCHARACTERIZED SACCHAROMYCES CEREVISIAE ATCC TRANSMEMBRANE AQUIFEX AEOLICUS DNA DIRECTED RNA POLYMERASE BETA CHARA VULGARIS NADH UBIQUINONE OXIDOREDUCTASE CHAIN FRAGMENT DROSOPHILA SIMULANS MT SECHELLIA BORRELIA BURGDORFERI </t>
  </si>
  <si>
    <t>TatC 0.014| GpcrRhopsn4 0.084| PRANC 0.084| Cas_TM1802 0.086| ND4 | 7TM_GPCR_Srz | COG4905 | COG1906 | DUF1113 | COG4267 |</t>
  </si>
  <si>
    <t>Drosophila persimilis</t>
  </si>
  <si>
    <t>195174566 XP_002028044 1 GL15031 194115766 EDW37809 195129187 XP_002009040 GI13828 193920649 EDW19516 195017253 XP_001984566 GH16539 193898048 EDV96914 194748825 XP_001956842 GF24372 190624124 EDV39648 125980265 XP_001354157 GA18651 54642461 EAL31209 195442605 XP_002069043 GK12351 194165128 EDW80029 195588933 XP_002084211 GD14147 194196220 EDX09796 195326195 XP_002029815 GM25111 194118758 EDW40801 194865724 XP_001971572 GG14367 190653355 EDV50598 242010602 XP_002426054 212510064 EEB13316</t>
  </si>
  <si>
    <t xml:space="preserve">UBIQUITIN LIGASE </t>
  </si>
  <si>
    <t>sp|Q9ES34|UBE3B_MOUSE</t>
  </si>
  <si>
    <t>Q9ES34 UBE3B_MOUSE E3B UBE3B 2 3 Q7Z3V4 UBE3B_HUMAN 1 Q08CZ0 UBE3B_XENTR Q9SCQ2 UPL7_ARATH E3 UPL7 Q80U95 UBE3C_MOUSE E3C UBE3C Q15386 UBE3C_HUMAN Q8RWB8 UPL6_ARATH UPL6 Q1K9C4 YFK7_SCHPO C167 07C 38366 972 SPAC167 P53119 HUL5_YEAST HUL5 204508 S288C P33202 UFD4_YEAST 4 UFD4</t>
  </si>
  <si>
    <t xml:space="preserve">UBIQUITIN LIGASE OS MUS MUSCULUS GN PE SV HOMO SAPIENS XENOPUS TROPICALIS ARABIDOPSIS THALIANA PROBABLE SCHIZOSACCHAROMYCES POMBE STRAIN ATCC SACCHAROMYCES CEREVISIAE FUSION DEGRADATION </t>
  </si>
  <si>
    <t>Drosophila melanogaster - ubiquitin-protein ligase activity - protein modification process - intracellular</t>
  </si>
  <si>
    <t>HECTc 8e-027| HECTc 1e-023| HECT 2e-023| HUL4 2e-019| PurU | Poxvirus_B22R | Frag1 | DUF3609 | DUF2306 | DUF2090 |</t>
  </si>
  <si>
    <t>301609533 XP_002934334 1 GAS2 2 323455233 EGB11102 AURANDRAFT_62084 86356383 YP_468275 RHE_CH00734 86280485 ABC89548 121716963 XP_001275964 SNF5 119404121 EAW14538 238502457 XP_002382462 317147902 XP_003190127 220691272 EED47620 340371654 XP_003384360 LOC100635014 321473888 EFX84854 DAPPUDRAFT_314399 315221932 ZP_07863843 315188898 EFU22602 296220131 XP_002756188 C10ORF71 198449775 XP_002136960 GA26849 198130751 EDY67518</t>
  </si>
  <si>
    <t xml:space="preserve">LIKE HYPOTHETICAL SWI SNF COMPLEX SUBUNIT CYSTATHIONINE GAMMA SYNTHASE UNCHARACTERIZED </t>
  </si>
  <si>
    <t>sp|Q9LX99|GRIMP_ARATH</t>
  </si>
  <si>
    <t>Q9LX99 1 Q711Q0 CJ071_HUMAN C10ORF71 2 Q3A450 2380 3 P27633 A5A7I7 CDPK4_SOLTU 4 CPK4 Q55FP1 TF2H1_DICDI GTF2H1 Q0CQL9 MCA1B_ASPTN 1B 2624 A1156 P25723 P27584 GPA1_SCHPO 38366 972 GPA1 O95377 CXB5_HUMAN 5 GJB5</t>
  </si>
  <si>
    <t xml:space="preserve">GRIMP_ARATH GEMINIVIRUS REP INTERACTING MOTOR OS ARABIDOPSIS THALIANA GN GRIMP PE SV UNCHARACTERIZED HOMO SAPIENS CARA_PELCD CARBAMOYL PHOSPHATE SYNTHASE SMALL CHAIN PELOBACTER CARBINOLICUS STRAIN DSM GRA BD CARA TBP_XENLA TATA BOX BINDING XENOPUS LAEVIS TBP CALCIUM DEPENDENT KINASE SOLANUM TUBEROSUM GENERAL TRANSCRIPTION FACTOR IIH SUBUNIT DICTYOSTELIUM DISCOIDEUM METACASPASE ASPERGILLUS TERREUS NIH FGSC CASB TLD_DROME DORSAL VENTRAL PATTERNING TOLLOID DROSOPHILA MELANOGASTER TLD GUANINE NUCLEOTIDE ALPHA SCHIZOSACCHAROMYCES POMBE ATCC GAP JUNCTION BETA </t>
  </si>
  <si>
    <t>rpoC1 | PBP2_NikA_DppA_OppA_like_9 | eIF2_C | HolD | PTZ00327 | Tcp11 | GCD11 | PLN02673 | C2_NEDD4_NEDD4L | DsrC |</t>
  </si>
  <si>
    <t>Anopheles stephensi</t>
  </si>
  <si>
    <t>27372929 AAO06838 1 SG1B 297593794 ADI47580</t>
  </si>
  <si>
    <t xml:space="preserve">SALIVARY METALLOPROTEINASE </t>
  </si>
  <si>
    <t>sp|B6EXY6|LUP4_ARATH</t>
  </si>
  <si>
    <t>B6EXY6 LUP4_ARATH 2 Q6WWW4 UPL3_ARATH E3 UPL3 1 Q5I147 PTPH1_MDBV H1 Q54YF7 3 Q93105 P0C754 VF71_ASFK5 DP71L 50 1950 167 P0CB20 P94369 A5UFL7 Q4QPJ6 UXAC_HAEI8 86 028NP</t>
  </si>
  <si>
    <t xml:space="preserve">BETA AMYRIN SYNTHASE OS ARABIDOPSIS THALIANA GN BAS PE SV UBIQUITIN LIGASE TYROSINE PHOSPHATASE LIKE MICROPLITIS DEMOLITOR BRACOVIRUS MANB_DICDI ALPHA MANNOSIDASE B DICTYOSTELIUM DISCOIDEUM MANB INSR_AEDAE INSULIN RECEPTOR AEDES AEGYPTI INR AFRICAN SWINE FEVER VIRUS ISOLATE PIG KENYA KEN CONII_CONST CON IKOT CONUS STRIATUS YXLA_BACSU PURINE CYTOSINE PERMEASE YXLA BACILLUS SUBTILIS UXAC_HAEIG URONATE ISOMERASE HAEMOPHILUS INFLUENZAE STRAIN PITTGG UXAC </t>
  </si>
  <si>
    <t>STKc_MOK 0.091| PRK14205 | STKc_MAK_like | CoiA | STKc_CDK_like | Pkinase | STKc_Nek | STKc_CMGC | ACR | DUF1368 |</t>
  </si>
  <si>
    <t>Cellvibrio japonicus Ueda107</t>
  </si>
  <si>
    <t>192359032 YP_001980759 1 CJA_0235 190685197 ACE82875 124505789 XP_001351008 23510651 CAD49036 118361772 XP_001014114 TTHERM_00405380 89295881 EAR93869 340503124 EGR29741 IMG5_149240 124801371 XP_001349676 3845280 AAC71949 163753399 ZP_02160523 161327131 EDP98456 302332270 ADL22463 283469849 CAQ49060 282910198 ZP_06318002 282325590 EFB55898 312439023 ADQ78094</t>
  </si>
  <si>
    <t xml:space="preserve">HYPOTHETICAL CONSERVED SERINE THREONINE KINASE PLASMODIUM SHORT CHAIN FATTY ACIDS TRANSPORTER DEOXYNUCLEOSIDE DEOXYPURINE SUBUNIT </t>
  </si>
  <si>
    <t>sp|P70917|HSPA_BRAJA</t>
  </si>
  <si>
    <t>Bradyrhizobium japonicum</t>
  </si>
  <si>
    <t>P70917 3 1 C5M5S1 AIM14_CANTT AIM14 3404 T1 Q554C5 WRKY1_DICDI WRKY1 2 P20636 ETF2_VACCW 82 Q923Y8 TAAR1_MOUSE TAAR1 Q8I1N6 AP2A_PLAF7 AP2 PFD0985W 3D7 4 Q923Y9 TAAR1_RAT P61243 YCF2_PHYPA YCF2 P30397 Q1ZXL2 C518B_DICDI P450 518B1 CYP518B1</t>
  </si>
  <si>
    <t xml:space="preserve">HSPA_BRAJA SMALL HEAT SHOCK HSPA OS BRADYRHIZOBIUM JAPONICUM GN PE SV PROBABLE METALLOREDUCTASE CANDIDA TROPICALIS STRAIN ATCC MYA WRKY TRANSCRIPTION FACTOR DICTYOSTELIUM DISCOIDEUM EARLY KDA SUBUNIT VACCINIA VIRUS WESTERN RESERVE VETFL TRACE AMINE ASSOCIATED RECEPTOR MUS MUSCULUS ERF DOMAIN CONTAINING PLASMODIUM FALCIPARUM ISOLATE RATTUS NORVEGICUS PHYSCOMITRELLA PATENS SUBSP ROAA_EUGGR RIBOSOMAL OPERON A EUGLENA GRACILIS ROAA CYTOCHROME </t>
  </si>
  <si>
    <t>Cornichon 0.006| Neur_chan_memb | DUF1574 | ND2 | STKc_MST1_2 | b4GalT | PHA03181 | PRD_Mga | 7TM_GPCR_Sru | Pox_A28 |</t>
  </si>
  <si>
    <t>Posttranslational modification, protein turnover, chaperones, Intracellular trafficking, secretion, and vesicular transport, Signal transduction mechanisms</t>
  </si>
  <si>
    <t>sp|O53563|CP142_MYCTU</t>
  </si>
  <si>
    <t>Mycobacterium tuberculosis</t>
  </si>
  <si>
    <t>O53563 CP142_MYCTU P450 142 CYP142 1</t>
  </si>
  <si>
    <t xml:space="preserve">CYTOCHROME OS MYCOBACTERIUM TUBERCULOSIS GN PE SV </t>
  </si>
  <si>
    <t>GT8_Glycogenin | 2a38 | RecU | PTZ00440 | PRK07085 | ALDH_PsfA-ACA09737 |</t>
  </si>
  <si>
    <t>47213190 CAF95981 1 118398844 XP_001031749 TTHERM_00756340 89286082 EAR84086 222481172 YP_002567408 222454548 ACM58811 94183868 ABF13723 6 94183865 ABF13721 94183934 ABF13767 151336665 ABS00812 94183937 ABF13769 290999423 XP_002682279 284095906 EFC49535 242209396 XP_002470545 220730339 EED84197 15602046 NP_245118 25453257 Q9CP74 2 12720401 AAK02265 338218898 EGP04624 151336662 ABS00810</t>
  </si>
  <si>
    <t xml:space="preserve">UNNAMED PRODUCT HYPOTHETICAL RESTRICTION MODIFICATION ENZYME ATPASE SUBUNIT EXORIBONUCLEASE II RNB_PASMU FULL ALTNAME SHORT RNASE RIBONUCLEASE RNB </t>
  </si>
  <si>
    <t>sp|Q9CP74|RNB_PASMU</t>
  </si>
  <si>
    <t>Q9CP74 2 PM70 3 1 P53918 ESBP6_YEAST ESBP6 204508 S288C A3LPS1 TVP18_PICST TVP18 58785 6054 10063 11545 B8CZG7 168 544 9562 P56953 CR1CB_BACTG CRY1CB Q99LS1 Q6AYQ6 Q04956 ATX1_PLAFA Q9UTA1 YL8J_SCHPO C25B8 19C 38366 972 SPAC25B8 Q9P7M7 P27G11 11C SPAP27G11</t>
  </si>
  <si>
    <t xml:space="preserve">RNB_PASMU EXORIBONUCLEASE OS PASTEURELLA MULTOCIDA STRAIN GN RNB PE SV UNCHARACTERIZED TRANSPORTER SACCHAROMYCES CEREVISIAE ATCC GOLGI APPARATUS MEMBRANE SCHEFFERSOMYCES STIPITIS CBS NBRC NRRL Y VATB_HALOH V TYPE ATP SYNTHASE BETA CHAIN HALOTHERMOTHRIX ORENII H OCM DSM ATPB PESTICIDAL CRYSTAL BACILLUS THURINGIENSIS SUBSP GALLERIAE MMAD_MOUSE METHYLMALONIC ACIDURIA HOMOCYSTINURIA D HOMOLOG MITOCHONDRIAL MUS MUSCULUS MMADHC MMAD_RAT RATTUS NORVEGICUS PROBABLE CATION TRANSPORTING ATPASE PLASMODIUM FALCIPARUM ZINC FINGER SCHIZOSACCHAROMYCES POMBE YIOB_SCHPO </t>
  </si>
  <si>
    <t>Sp38 | PRK10352 | PHA02980 | NPR2 | ALK1 | Bunya_G2 | Lipoxygenase | NrfA | PRK04201 | AgrB |</t>
  </si>
  <si>
    <t>328782034 XP_396057 4 1 340719920 XP_003398392 2 340719918 XP_003398391 340719922 XP_003398393 3 340719924 XP_003398394 332030568 EGI70256 307207781 EFN85399 307165845 EFN60208 332030569 EGI70257 242025596 XP_002433210 212518751 EEB20472</t>
  </si>
  <si>
    <t xml:space="preserve">POLYADENYLATE BINDING LIKE ISOFORM </t>
  </si>
  <si>
    <t>sp|P29341|PABP1_MOUSE</t>
  </si>
  <si>
    <t>P29341 PABP1_MOUSE 1 PABPC1 2 Q5R8F7 PABP1_PONAB P11940 PABP1_HUMAN P61286 PABP1_BOVIN Q9EPH8 PABP1_RAT Q13310 PABP4_HUMAN 4 PABPC4 Q6IP09 P20965 3 Q9H361 PABP3_HUMAN PABPC3 P21187</t>
  </si>
  <si>
    <t xml:space="preserve">POLYADENYLATE BINDING OS MUS MUSCULUS GN PE SV PONGO ABELII HOMO SAPIENS BOS TAURUS RATTUS NORVEGICUS PABPB_XENLA B XENOPUS LAEVIS PABPA_XENLA A PABP_DROME DROSOPHILA MELANOGASTER PABP </t>
  </si>
  <si>
    <t>Uncharacterized protein - Gallus gallus - nucleotide binding - RNA binding</t>
  </si>
  <si>
    <t>PABP-1234 1e-035| PABP 7e-034| PolyA 7e-026| PRK07764 4e-011| PRK07003 2e-009| PRK14951 8e-009| PRK12323 8e-007| kgd 3e-006| PRK13875 4e-006| FAP 3e-005|</t>
  </si>
  <si>
    <t>RNA processing and modification, Translation, ribosomal structure and biogenesis</t>
  </si>
  <si>
    <t>Papilio xuthus</t>
  </si>
  <si>
    <t>84095076 BAE66653 1 L3 264667433 ACY71302 112982798 NP_001037126 54609193 AAV34812 18253047 AAL62468 315115447 ADT80696 189240524 XP_971875 2 L3E 270011378 EFA07826 TCASGA2_TC005395 268306352 ACY95297 70909601 CAJ17226 340724650 XP_003400694 60S 332028947 EGI68965</t>
  </si>
  <si>
    <t>sp|O16797|RL3_DROME</t>
  </si>
  <si>
    <t>O16797 RL3_DROME 60S L3 RPL3 2 3 P21531 RL3_RAT 1 P27659 RL3_MOUSE P39023 RL3_HUMAN P39872 RL3_BOVIN Q4R5Q0 RL3_MACFA Q3SZ10 RL3L_BOVIN RPL3L P49149 RL3_TOXCA Q92901 RL3L_HUMAN P50880 RL3_CAEEL</t>
  </si>
  <si>
    <t xml:space="preserve">RIBOSOMAL OS DROSOPHILA MELANOGASTER GN PE SV RATTUS NORVEGICUS MUS MUSCULUS HOMO SAPIENS BOS TAURUS MACACA FASCICULARIS LIKE TOXOCARA CANIS CAENORHABDITIS ELEGANS RPL </t>
  </si>
  <si>
    <t>Ribosomal protein L3 - Drosophila melanogaster - cytosolic large ribosomal subunit - structural constituent of ribosome - translation - cytosolic ribosome - mitotic spindle elongation - mitotic spindle organization</t>
  </si>
  <si>
    <t>PTZ00103 e-145| Ribosomal_L3 7e-057| rpl3p 1e-055| L3_arch 1e-051| RplC 9e-035| rplC 9e-006| L3_bact 4e-005| rpl3 0.002| ND5 0.013| GD_AH_C |</t>
  </si>
  <si>
    <t>Ixodes scapularis</t>
  </si>
  <si>
    <t>241601356 XP_002405290 1 215502516 EEC12010 91095021 XP_970287 11 1669 270015434 EFA11882 TCASGA2_TC004296 260811350 XP_002600385 BRAFLDRAFT_61321 229285672 EEN56397 335291509 XP_003356518 C1ORF185 289741679 ADD19587 47220373 CAF98472 72084978 XP_792344 115970327 XP_001177938 126002611 XP_001382222 GA17182 195172522 XP_002027046 GL18168 54640153 EAL29276 194112824 EDW34867 327271179 XP_003220365 225707002 ACO09347</t>
  </si>
  <si>
    <t xml:space="preserve">RING FINGER MOTIF CONTAINING SIMILAR TO SID HYPOTHETICAL UNCHARACTERIZED HOMOLOG CONSERVED UNNAMED PRODUCT LIKE </t>
  </si>
  <si>
    <t>sp|Q9QYK7|RNF11_MOUSE</t>
  </si>
  <si>
    <t>Q9QYK7 RNF11_MOUSE 11 RNF11 1 Q9Y3C5 RNF11_HUMAN Q08DI6 RNF11_BOVIN 2 Q8EPW3 14371 11309 3954 HTE831 3 Q91740 FN1 Q9VPF8 TM104_DROME 104 CG5262 O31805 4 P61872 P61871 Q28XQ5 ASPG2_DROPS GA18140</t>
  </si>
  <si>
    <t xml:space="preserve">RING FINGER OS MUS MUSCULUS GN PE SV HOMO SAPIENS BOS TAURUS HRCA_OCEIH HEAT INDUCIBLE TRANSCRIPTION REPRESSOR HRCA OCEANOBACILLUS IHEYENSIS STRAIN DSM JCM KCTC FINC_XENLA FIBRONECTIN XENOPUS LAEVIS TRANSMEMBRANE HOMOLOG DROSOPHILA MELANOGASTER YNDA_BACSU UNCHARACTERIZED YNDA BACILLUS SUBTILIS LIP_RHIOR LIPASE RHIZOPUS ORYZAE LIP_RHINI NIVEUS L ASPARAGINASE LIKE PSEUDOOBSCURA </t>
  </si>
  <si>
    <t>Fijivirus_P9-2 | PhnV | PBP1_FmdD_like | PBP1_AmiC | PRK07246 | urea_ABC_UrtA | STKc_CDK7 | SHR3_chaperone | oorB | UP_IIIb |</t>
  </si>
  <si>
    <t>156554298 XP_001602754 1 340713110 XP_003395091 3 48124643 XP_393266 242018686 XP_002429805 212514817 EEB17067 237681130 NP_001153710 332018981 EGI59520 307172935 EFN64102 114052488 NP_001040507 95104529 ABF51211 157278309 NP_001098256 42412381 AAS15570 307207907 EFN85468</t>
  </si>
  <si>
    <t xml:space="preserve">SIMILAR TO ALCOHOL DEHYDROGENASE CLASS LIKE FORMALDEHYDE III CHI SUBUNIT </t>
  </si>
  <si>
    <t>sp|P79896|ADHX_SPAAU</t>
  </si>
  <si>
    <t>Sparus aurata</t>
  </si>
  <si>
    <t>P79896 3 2 1 P80467 P81600 P81601 P86884 P81431 P11766 ADH5 4 O19053 P19854 Q3ZC42</t>
  </si>
  <si>
    <t xml:space="preserve">ADHX_SPAAU ALCOHOL DEHYDROGENASE CLASS OS SPARUS AURATA PE SV ADHX_UROHA UROMASTYX HARDWICKII ADHH_GADMO CHAIN H GADUS MORHUA ADHL_GADMO L ADHX_SCYCA SCYLIORHINUS CANICULA ADHX_OCTVU OCTOPUS VULGARIS ADHX_HUMAN HOMO SAPIENS GN ADHX_RABIT ORYCTOLAGUS CUNICULUS ADHX_HORSE EQUUS CABALLUS ADHX_BOVIN BOS TAURUS </t>
  </si>
  <si>
    <t>alcohol dehydrogenase 5 - Danio rerio - oxidoreductase activity - S-(hydroxymethyl)glutathione dehydrogenase activity - oxidation-reduction process - binding - zinc ion binding - ethanol oxidation - metal ion binding - formaldehyde dehydrogenase activity - response to redox state - fatty acid binding</t>
  </si>
  <si>
    <t>alcohol_DH_class_III e-158| alcohol_DH_class_I_II_IV e-126| adh_III_F_hyde e-121| liver_alcohol_DH_like e-120| Zn_ADH1 e-117| alcohol_DH_plants e-114| AdhC e-106| PLN02740 1e-082| Zn_ADH_class_III 9e-075| PLN02827 7e-074|</t>
  </si>
  <si>
    <t>Bacteroides fragilis NCTC 9343</t>
  </si>
  <si>
    <t>60682916 YP_213060 1 60494350 CAH09146 170050777 XP_001861464 167872266 EDS35649</t>
  </si>
  <si>
    <t xml:space="preserve">LPS BIOSYNTHESIS RELATED GLYCOSYLTRANSFERASE PUGILISTDOMINANT </t>
  </si>
  <si>
    <t>sp|Q54VH7|ZDHC8_DICDI</t>
  </si>
  <si>
    <t>Q54VH7 ZDHC8_DICDI 8 DDB_G0280329 2 1 Q9ES63 UBP29_MOUSE 29 USP29 Q9M0A4 CNGC9_ARATH 9 CNGC9</t>
  </si>
  <si>
    <t xml:space="preserve">ZDHHC TYPE PALMITOYLTRANSFERASE OS DICTYOSTELIUM DISCOIDEUM GN PE SV UBIQUITIN CARBOXYL TERMINAL HYDROLASE MUS MUSCULUS CYCLIC NUCLEOTIDE GATED ION CHANNEL ARABIDOPSIS THALIANA </t>
  </si>
  <si>
    <t>rcsA | ATP6 | 7TM_GPCR_Srh | ND2 | PRK01198 | ATP6 | ND5 | ATP6 | COG4713 | PHA03036 |</t>
  </si>
  <si>
    <t>sp|A5IKI1|GLGC_THEP1</t>
  </si>
  <si>
    <t>Thermotoga petrophila (strain RKU-1 / ATCC BAA-488 / DSM 13995)</t>
  </si>
  <si>
    <t>A5IKI1 GLGC_THEP1 1 488 13995 3 B1L9R3 RQ2 B9K6N9 49049 4359 Q9WY82 Q2PC93 2 Q7LHG5 YI31B_YEAST TY3 204508 S288C TY3B Q99315 YG31B_YEAST Q7RTY8 TMPS7_HUMAN 7 TMPRSS7</t>
  </si>
  <si>
    <t xml:space="preserve">GLUCOSE PHOSPHATE ADENYLYLTRANSFERASE OS THERMOTOGA PETROPHILA STRAIN RKU ATCC BAA DSM GN GLGC PE SV GLGC_THESQ GLGC_THENN NEAPOLITANA NS E GLGC_THEMA MARITIMA SSPO_CHICK SCO SPONDIN GALLUS SSPO TRANSPOSON I GAG POL POLYPROTEIN SACCHAROMYCES CEREVISIAE G TRANSMEMBRANE PROTEASE SERINE HOMO SAPIENS </t>
  </si>
  <si>
    <t>G2F | PRK09297 | DUF241 | PRK09517 | PRK13007 | DUF2713 | PRK06294 | dapE-gram_pos | PLN00116 | truB |</t>
  </si>
  <si>
    <t>91080627 XP_974324 1 8 270005506 EFA01954 TCASGA2_TC007570 340714941 XP_003395980 TIM8 110757341 XP_001122230 158635929 NP_001040216 87248417 ABD36261 312372807 EFR20685 AND_19675 118785374 XP_314568 3 AGAP010606 116128054 EAA09982 321461963 EFX72990 DAPPUDRAFT_58280 156322203 XP_001618310 NEMVEDRAFT_V1G154974 156393880 XP_001636555 156198407 EDO26210 156223659 EDO44492 157112310 XP_001657489 8KD 94468592 ABF18145 108883762 EAT47987 195479408 XP_002100873 GE15929 194188397 EDX01981</t>
  </si>
  <si>
    <t xml:space="preserve">SIMILAR TO TRANSLOCASE INNER MITOCHONDRIAL MEMBRANE HOMOLOG B HYPOTHETICAL IMPORT SUBUNIT LIKE PA </t>
  </si>
  <si>
    <t>sp|Q9Y1A3|TIM8_DROME</t>
  </si>
  <si>
    <t>Q9Y1A3 TIM8_DROME TIM8 1 Q66L32 TIM8A_XENLA TIMM8A 3 Q9Y5J9 TIM8B_HUMAN TIMM8B P62078 TIM8B_RAT 2 P62077 TIM8B_MOUSE Q3SZ93 TIM8B_BOVIN Q6DEM5 TIM8A_DANRE Q90YI5 TIM8A_TAKRU Q9WVA1 TIM8A_RAT Q9WVA2 TIM8A_MOUSE TIMM8A1</t>
  </si>
  <si>
    <t xml:space="preserve">MITOCHONDRIAL IMPORT INNER MEMBRANE TRANSLOCASE SUBUNIT OS DROSOPHILA MELANOGASTER GN PE SV A XENOPUS LAEVIS B HOMO SAPIENS RATTUS NORVEGICUS MUS MUSCULUS BOS TAURUS DANIO RERIO TAKIFUGU RUBRIPES </t>
  </si>
  <si>
    <t>Tim8 - Drosophila melanogaster - mitochondrial inner membrane presequence translocase complex - protein transport - P-P-bond-hydrolysis-driven protein transmembrane transporter activity - protein targeting to mitochondrion - mitochondrial intermembrane space protein transporter complex - protein import into mitochondrial inner membrane</t>
  </si>
  <si>
    <t>zf-Tim10_DDP 2e-008| spore_II_E | PLN00188 | MFS_Mycoplasma | GPH_sucrose | DUF2489 | PRK05722 | Pho86 | PLN03128 | EBP |</t>
  </si>
  <si>
    <t>189235323 XP_975184 2 AGAP012407 270004199 EFA00647 1 TCASGA2_TC003523 148717315 BAF63671 321477893 EFX88851 DAPPUDRAFT_234212 289743047 ADD20271 307207787 EFN85405 241749561 XP_002405832 215505979 EEC15473 312372353 EFR20334 AND_20275 225382096 ACN89260 332030563 EGI70251</t>
  </si>
  <si>
    <t xml:space="preserve">SIMILAR TO PA HYPOTHETICAL DISULFIDE ISOMERASE </t>
  </si>
  <si>
    <t>sp|P54399|PDI_DROME</t>
  </si>
  <si>
    <t>P54399 2 1 P21195 PDIA1_RABIT P4HB P09102 PDIA1_CHICK 3 P07237 PDIA1_HUMAN P05307 PDIA1_BOVIN Q5R5B6 PDIA1_PONAB Q2HWU2 PDIA1_MACFU P04785 PDIA1_RAT Q8R4U2 PDIA1_CRIGR P09103 PDIA1_MOUSE</t>
  </si>
  <si>
    <t xml:space="preserve">PDI_DROME DISULFIDE ISOMERASE OS DROSOPHILA MELANOGASTER GN PDI PE SV ORYCTOLAGUS CUNICULUS GALLUS HOMO SAPIENS BOS TAURUS PONGO ABELII MACACA FUSCATA RATTUS NORVEGICUS CRICETULUS GRISEUS MUS MUSCULUS </t>
  </si>
  <si>
    <t>Protein disulfide isomerase - Drosophila melanogaster - protein folding - protein disulfide isomerase activity - endoplasmic reticulum - endoplasmic reticulum lumen - cell redox homeostasis - electron carrier activity - glycerol ether metabolic process - protein disulfide oxidoreductase activity - lipid particle - nuclear envelope - rough endoplasmic reticulum - cell pole - spindle envelope - cytoplasm - perinuclear region of cytoplasm - neuronal cell body - fusome</t>
  </si>
  <si>
    <t>ER_PDI_fam 5e-055| PDI_a_PDI_a'_C 3e-040| pdi_dom 1e-034| PTZ00102 1e-033| PDI_a_ERp38 8e-033| PDI_a_family 3e-032| Thioredoxin 4e-032| PDI_a_P5 7e-022| PDI_a_PDIR 3e-020| PDI_a_ERp46 5e-020|</t>
  </si>
  <si>
    <t>309267532 XP_003084505 1 LOC100503705 309264270 XP_003086246 210621201 ZP_03292520 CLOHIR_00463 210154883 EEA85889 118397159 XP_001030914 TTHERM_00999030 89285232 EAR83251 313900819 ZP_07834309 312954239 EFR35917 309775111 ZP_07670123 308917066 EFP62794 294155333 YP_003559717 MCRO_0033 291599972 ADE19468 156093550 XP_001612814 148801688 EDL43087 194212181 XP_001490440 2 6C6</t>
  </si>
  <si>
    <t xml:space="preserve">HYPOTHETICAL PARTIAL HYDROLASE TATD FAMILY DEOXYRIBONUCLEASE CONSERVED OLFACTORY RECEPTOR LIKE </t>
  </si>
  <si>
    <t>sp|A4GYX4|YCF1_POPTR</t>
  </si>
  <si>
    <t>Populus trichocarpa</t>
  </si>
  <si>
    <t>A4GYX4 YCF1_POPTR YCF1 3 1 Q14FA0 YCF1_POPAL Q49KU0 YCF1_EUCGG Q5HVP5 RM1221 A1VYN0 23 36 81 176 Q9PHZ3 A7H4M0 1458 RM4099 269 97 A8FKU4 HTPG_CAMJ8 6 81116 11828 Q9NEL2 SSL1_CAEEL 2 4 Q7VFD7</t>
  </si>
  <si>
    <t xml:space="preserve">MEMBRANE OS POPULUS TRICHOCARPA GN A PE SV ALBA EUCALYPTUS GLOBULUS SUBSP HTPG_CAMJR CHAPERONE HTPG CAMPYLOBACTER JEJUNI STRAIN HTPG_CAMJJ SEROTYPE O HTPG_CAMJE HTPG_CAMJD DOYLEI ATCC BAA NCTC HELICASE SSL CAENORHABDITIS ELEGANS HTPG_HELHP HELICOBACTER HEPATICUS </t>
  </si>
  <si>
    <t>ND5 0.007| 7TM_GPCR_Srz 0.009| ND5 0.032| BI-1-like | Dopey_N | ELO | ND2 | 2A0309 | ycf1 | bact_immun_7tm |</t>
  </si>
  <si>
    <t>Monosiga brevicollis MX1</t>
  </si>
  <si>
    <t>167535686 XP_001749516 1 163771908 EDQ85567 52221079 YP_087056 2 51922085 AAU14160 297850648 XP_002893205 297339047 EFH69464 189235480 XP_967613 CG11563 270003065 EEZ99512 TCASGA2_TC000093 297739784 CBI29966 3 225441563 XP_002276633 340502322 EGR29024 C2H2 237741653 ZP_04572134 294785736 ZP_06751024 229429301 EEO39513 294487450 EFG34812 195661164 YP_002117913 5 168806202 ACA28987 142886704 ABO92859</t>
  </si>
  <si>
    <t xml:space="preserve">HYPOTHETICAL NADH DEHYDROGENASE SUBUNIT SIMILAR TO PA UNNAMED PRODUCT ZINC TYPE FAMILY MEMBRANE </t>
  </si>
  <si>
    <t>sp|P33512|NU4LM_ANOQU</t>
  </si>
  <si>
    <t>Anopheles quadrimaculatus</t>
  </si>
  <si>
    <t>P33512 NU4LM_ANOQU 4L ND4L 3 1 Q6CRH6 CCZ1_KLULA CCZ1 8585 2359 70799 1267 1140 WM37 P34858 NU4LM_ANOGA 2 Q58784 Y1389_METJA MJ1389 43067 2661 10045 100440 4</t>
  </si>
  <si>
    <t xml:space="preserve">NADH UBIQUINONE OXIDOREDUCTASE CHAIN OS ANOPHELES QUADRIMACULATUS GN PE SV VACUOLAR FUSION KLUYVEROMYCES LACTIS STRAIN ATCC CBS DSM NBRC NRRL Y GAMBIAE MT UNCHARACTERIZED METHANOCALDOCOCCUS JANNASCHII JAL JCM </t>
  </si>
  <si>
    <t>COX3 0.002| ND2 | ND3 | ND5 | ND6 | bact_immun_7tm | 2A0309 | Trehalose_recp | ND5 | ATP6 |</t>
  </si>
  <si>
    <t>290975377 XP_002670419 1 284083978 EFC37675 79538220 NP_568849 2 8843815 BAA97363 332009468 AED96851 123472633 XP_001319509 121902294 EAY07286 TVAG_223490</t>
  </si>
  <si>
    <t xml:space="preserve">CYCLIN LIKE CLP AMINO TERMINAL DOMAIN CONTAINING UNNAMED PRODUCT HYPOTHETICAL </t>
  </si>
  <si>
    <t>sp|Q6FW61|RIX1_CANGA</t>
  </si>
  <si>
    <t>Candida glabrata (strain ATCC 2001 / CBS 138 / JCM 3761 / NBRC 0622 / NRRL Y-65)</t>
  </si>
  <si>
    <t>Q6FW61 RIX1_CANGA RIX1 2001 138 3761 0622 65 3 1 Q06SF2 RPOC2_STIHE RPOC2 Q9IB86 2 Q8AXU4 Q68EK2 Q0P4Y4 Q7ZXS8 Q63118 Q8WN93 Q9R1W5</t>
  </si>
  <si>
    <t xml:space="preserve">PRE RRNA PROCESSING OS CANDIDA GLABRATA STRAIN ATCC CBS JCM NBRC NRRL Y GN PE SV DNA DIRECTED RNA POLYMERASE SUBUNIT BETA STIGEOCLONIUM HELVETICUM CALRL_PAROL CALCITONIN GENE RELATED TYPE RECEPTOR PARALICHTHYS OLIVACEUS CALCRL CALRL_ONCGO ONCORHYNCHUS GORBUSCHA CALRL_DANRE DANIO RERIO CALCRLA CALRL_XENTR XENOPUS TROPICALIS CALRL_XENLA LAEVIS CALRL_RAT RATTUS NORVEGICUS CALRL_PIG SUS SCROFA CALRL_MOUSE MUS MUSCULUS </t>
  </si>
  <si>
    <t>PI-PLCc_eukaryota | Lipocalin_3 | ND4L | PHA03152 | PRK14124 | dnaE | PHA02827 | PRK03562 | leukotriene_B4_DH_like | ND2 |</t>
  </si>
  <si>
    <t>Eubacterium limosum KIST612</t>
  </si>
  <si>
    <t>310827040 YP_003959397 1 ELI_1448 308738774 ADO36434 116334903 YP_802398 123126218 Q05FY9 116235184 BAF35032 124806309 XP_001350687 23496813 AAN36367 225570865 ZP_03779888 CLOHYLEM_06969 225160327 EEG72946 25057395 NP_739608 4 24762259 AAN64179 158297299 XP_317558 AGAP007924 157015128 EAA12848 333910935 YP_004484668 METIG_1064 333751524 AEF96603 DUF95 312374399 EFR21960 AND_15952 74004956 XP_853616 XP_848523 325118023 CBZ53574 NCLIV_033610</t>
  </si>
  <si>
    <t xml:space="preserve">HYPOTHETICAL TRNA MODIFICATION GTPASE MNME_CARRP FULL MNME CONSERVED PLASMODIUM MEMBRANE NADH DEHYDROGENASE SUBUNIT PA UNKNOWN FUNCTION TRANSMEMBRANE </t>
  </si>
  <si>
    <t>sp|Q05FY9|MNME_CARRP</t>
  </si>
  <si>
    <t>Carsonella ruddii (strain PV)</t>
  </si>
  <si>
    <t>Q05FY9 3 1 O67445 Y1465_AQUAE AQ_1465 4 P53966 KTR5_YEAST KTR5 204508 S288C Q9VW43 CP305_DROME P450 305A1 CYP305A1 2 Q2NW34 Q5U4T9 MBOA7_XENLA 7 MBOAT7 Q92JL9 Y048_RICCN RC0048 613</t>
  </si>
  <si>
    <t xml:space="preserve">MNME_CARRP TRNA MODIFICATION GTPASE MNME OS CARSONELLA RUDDII STRAIN PV GN PE SV UNCHARACTERIZED AQUIFEX AEOLICUS PROBABLE MANNOSYLTRANSFERASE SACCHAROMYCES CEREVISIAE ATCC CYTOCHROME DROSOPHILA MELANOGASTER OBG_SODGM OBG SODALIS GLOSSINIDIUS MORSITANS LYSOPHOSPHOLIPID ACYLTRANSFERASE XENOPUS LAEVIS RICKETTSIA CONORII VR MALISH </t>
  </si>
  <si>
    <t>Baculo_RING | TDT_SSU1 | 7TM_GPCR_Srbc | Nse5 | BC10 | Pox_ser-thr_kin | adrA | Cse1_I-E | PRK13578 | casA_cse1 |</t>
  </si>
  <si>
    <t>307095038 ADN29825 1 307095036 ADN29824 34481604 CAE46445 79 196006559 XP_002113146 TRIADDRAFT_57018 190585187 EDV25256 291244058 XP_002741916 5 241712968 XP_002403568 215505160 EEC14654 312382626 EFR28020 AND_04541 195133152 XP_002011003 GI16302 193906978 EDW05845 196014137 XP_002116928 TRIADDRAFT_31844 190580419 EDV20502 195060065 XP_001995748 GH17923 193896534 EDV95400</t>
  </si>
  <si>
    <t xml:space="preserve">SALIVARY APYRASE PRECURSOR KDA HYPOTHETICAL NUCLEOTIDASE ECTO LIKE </t>
  </si>
  <si>
    <t>sp|P29240|5NTD_DISOM</t>
  </si>
  <si>
    <t>Discopyge ommata</t>
  </si>
  <si>
    <t>P29240 5NTD_DISOM 5 2 1 P21589 5NTD_HUMAN NT5E P21588 5NTD_RAT Q61503 5NTD_MOUSE Q9XZ43 5NTD_LUTLO 5NUC Q05927 5NTD_BOVIN P52307 5NTD_BOOMI Q9P2J8 ZN624_HUMAN 624 ZNF624 3 A3MTB5 4 11548 VA1 Q54Q40 D1039_DICDI DG1039</t>
  </si>
  <si>
    <t xml:space="preserve">NUCLEOTIDASE OS DISCOPYGE OMMATA PE SV HOMO SAPIENS GN RATTUS NORVEGICUS MUS MUSCULUS LUTZOMYIA LONGIPALPIS BOS TAURUS FRAGMENT BOOPHILUS MICROPLUS ZINC FINGER PURP_PYRCJ FORMAMINOIMIDAZOLE CARBOXAMIDE BETA D RIBOFURANOSYL MONOPHOSPHATE SYNTHETASE PYROBACULUM CALIDIFONTIS STRAIN JCM PURP PROBABLE UBIQUITIN THIOLESTERASE DICTYOSTELIUM DISCOIDEUM </t>
  </si>
  <si>
    <t>5_nucleotid_C 0.006| COG3274 | Chs3p | ND1 | 7TM_GPCR_Srx | EXS | ND2 | Sre | TRAM_LAG1_CLN8 | ushA |</t>
  </si>
  <si>
    <t>Nucleotide transport and metabolism</t>
  </si>
  <si>
    <t>156555370 XP_001605066 1 328790895 XP_393215 4 LOC409717 332024411 EGI64609 322802248 EFZ22644 SINV_01034 307200554 EFN80706 340716643 XP_003396805 LOC100644135 2 340716641 XP_003396804 307181772 EFN69224 270003192 EEZ99639 TCASGA2_TC002395 91080107 XP_967072 CG1244</t>
  </si>
  <si>
    <t xml:space="preserve">SIMILAR TO CONSERVED HYPOTHETICAL MOG INTERACTING ECTOPIC P GRANULES ISOFORM PA </t>
  </si>
  <si>
    <t>sp|Q21502|MEP1_CAEEL</t>
  </si>
  <si>
    <t>Q21502 MEP1_CAEEL 1 2 Q61SK8 MEP1_CAEBR 3 Q2M1K9 ZN423_HUMAN 423 ZNF423 Q80TS5 ZN423_MOUSE P08155 H1 Q9VXG1 Q9NQX1 PRDM5_HUMAN 5 PRDM5 Q3U3I9 ZN865_MOUSE 865 ZNF865 Q96GE5 ZN799_HUMAN 799 ZNF799 4 P39933 TF3A_YEAST 204508 S288C PZF1</t>
  </si>
  <si>
    <t xml:space="preserve">MOG INTERACTING ECTOPIC P GRANULES OS CAENORHABDITIS ELEGANS GN MEP PE SV BRIGGSAE ZINC FINGER HOMO SAPIENS MUS MUSCULUS KRUH_DROME KRUEPPEL HOMOLOGOUS DROSOPHILA MELANOGASTER KR HANG_DROME HANGOVER HANG PR DOMAIN TRANSCRIPTION FACTOR IIIA SACCHAROMYCES CEREVISIAE STRAIN ATCC </t>
  </si>
  <si>
    <t>Drosophila melanogaster - zinc ion binding - dendrite morphogenesis - ATPase activity, coupled - NuRD complex - polytene chromosome</t>
  </si>
  <si>
    <t>ND4 0.047| ND5 | ND6 | 7TM_GPCR_Sru | ATP6 | STT3 | ND2 | COG1002 | OH_muco_semi_DH | FlgH |</t>
  </si>
  <si>
    <t>261335085 CBH18079 1 74025134 XP_829133 70834519 EAN80021</t>
  </si>
  <si>
    <t xml:space="preserve">HYPOTHETICAL CONSERVED </t>
  </si>
  <si>
    <t>sp|O59681|YBS1_SCHPO</t>
  </si>
  <si>
    <t>O59681 YBS1_SCHPO C18E5 01 38366 972 SPBC18E5 2 1 Q9Y4G8 RPGF2_HUMAN RAPGEF2 A3KN46 LTMD1_BOVIN LETM1 LETMD1 Q9Z882 PMP16_CHLPN PMP16 P75097 Y016_MYCPN MG012 MPN_016 3 A0JM20 TYRO3_XENTR TYRO3 Q6Y306 MRP9_RAT 9 ABCC12 Q2H454 MET3_CHAGB 6205 148 51 1962 6347 1970 MET3 P50488 DAF4_CAEEL 4 Q9QZS3</t>
  </si>
  <si>
    <t xml:space="preserve">UNCHARACTERIZED OS SCHIZOSACCHAROMYCES POMBE STRAIN ATCC GN PE SV RAP GUANINE NUCLEOTIDE EXCHANGE FACTOR HOMO SAPIENS DOMAIN CONTAINING BOS TAURUS PROBABLE OUTER MEMBRANE CHLAMYDIA PNEUMONIAE HOMOLOG MYCOPLASMA TYROSINE KINASE RECEPTOR XENOPUS TROPICALIS MULTIDRUG RESISTANCE ASSOCIATED RATTUS NORVEGICUS SULFATE ADENYLYLTRANSFERASE CHAETOMIUM GLOBOSUM CBS DSM NBRC NRRL CELL SURFACE DAF CAENORHABDITIS ELEGANS NUMB_MOUSE NUMB MUS MUSCULUS </t>
  </si>
  <si>
    <t>COG5096 | DNA_pol_A_pol_I_C | COG4258 | Transketolase_N | ND2 | PRK05755 | PRK08026 | PRK05899 | CaKB | VPS28 |</t>
  </si>
  <si>
    <t>297689470 XP_002822171 1 51B2 38424824 AAR19638 38424834 AAR19640 38424847 AAR19646 157738623 NP_149420 4 296439490 Q9Y5P1 O51B2_HUMAN HOR5 BETA3 51B1 119589206 EAW68800 51 2 114635828 XP_001162165 109658754 AAI17462 313882852 ADR82912 38424383 AAR19463 15293591 AAK94988 11908208 AAD29425 AF137396_1 5 157939647 YP_001497019 146746363 ABQ43499 146746519 ABQ43654</t>
  </si>
  <si>
    <t xml:space="preserve">OLFACTORY RECEPTOR LIKE FULL ALTNAME ODORANT FAMILY SUBFAMILY B MEMBER HOR EEV MATURATION </t>
  </si>
  <si>
    <t>sp|Q9Y5P1|O51B2_HUMAN</t>
  </si>
  <si>
    <t>Q9Y5P1 O51B2_HUMAN 51B2 OR51B2 2 4 Q8MT36 MES4_DROME 1 Q9LXT9 CALS3_ARATH 3 CALS3 P04830 CDGT1_PAEMA Q8N695 SC5A8_HUMAN SLC5A8 P34852 NU4M_ANOGA ND4 Q8BYF6 SC5A8_MOUSE Q9SL03 CALS2_ARATH CALS2</t>
  </si>
  <si>
    <t xml:space="preserve">OLFACTORY RECEPTOR OS HOMO SAPIENS GN PE SV PROBABLE HISTONE LYSINE N METHYLTRANSFERASE MES DROSOPHILA MELANOGASTER CALLOSE SYNTHASE ARABIDOPSIS THALIANA CYCLOMALTODEXTRIN GLUCANOTRANSFERASE PAENIBACILLUS MACERANS CGTM SODIUM COUPLED MONOCARBOXYLATE TRANSPORTER NADH UBIQUINONE OXIDOREDUCTASE CHAIN ANOPHELES GAMBIAE MT MUS MUSCULUS </t>
  </si>
  <si>
    <t>COG4478 | OAS1_C | ND1 | ND5 | ND4 | M3B_PepF_3 | QoxD | HpnC | COG2100 | M3B_PepF_5 |</t>
  </si>
  <si>
    <t>34421652 AAQ68063 1 TILIPO37 71725068 AAZ38956 307094852 ADN29732 111379889 ABH09424 3 111379927 ABH09443 111379913 ABH09436 307094964 ADN29788 270046226 BAI50843 307094846 ADN29729 4 270046208 BAI50834</t>
  </si>
  <si>
    <t xml:space="preserve">LIPOCALIN LIKE TRIATIN SALIVARY TRIABIN UNNAMED PRODUCT </t>
  </si>
  <si>
    <t>Q9U6R6 1 2 B6YQF1 CFP2 3 P47533 P69_MYCGE P69 Q29KL8 DAAF1_DROPS Q5XNR9 B4GT53 DAAF1_DROPE Q44737 P27206 4 Q8TF62 AT8B4_HUMAN ATP8B4 O74713 HGT1_CANAL HGT1</t>
  </si>
  <si>
    <t xml:space="preserve">PRCLN_TRIPT PROCALIN OS TRIATOMA PROTRACTA PE SV FMT_AZOPC METHIONYL TRNA FORMYLTRANSFERASE AZOBACTEROIDES PSEUDOTRICHONYMPHAE GENOMOVAR GN FMT ABC TRANSPORT SYSTEM PERMEASE MYCOPLASMA GENITALIUM DYNEIN ASSEMBLY FACTOR AXONEMAL HOMOLOG DROSOPHILA PSEUDOOBSCURA DTR LIFR_CANFA LEUKEMIA INHIBITORY RECEPTOR CANIS FAMILIARIS LIFR PERSIMILIS CHEA_BORBU CHEMOTAXIS CHEA BORRELIA BURGDORFERI SRFAA_BACSU SURFACTIN SYNTHASE SUBUNIT BACILLUS SUBTILIS SRFAA PROBABLE PHOSPHOLIPID TRANSPORTING ATPASE IM HOMO SAPIENS HIGH AFFINITY GLUCOSE TRANSPORTER CANDIDA ALBICANS </t>
  </si>
  <si>
    <t>ComEC_N-term | PRP11 | PX_PLD | PigN | PLN00099 | HypF | CLAG | PRK02134 | bcct | DUF1220 |</t>
  </si>
  <si>
    <t>Amino acid transport and metabolism, Coenzyme transport and metabolism</t>
  </si>
  <si>
    <t>307212944 EFN88537 1 NUP160 93211203 ABF01013 217426221 ACK44382 308458355 XP_003091521 CRE_26823 308256611 EFP00564 229588526 YP_002870645 33300914 P59788 31296818 AAP46695 229360392 CAY47249 25151251 NP_497057 2 Y54E2A 21912359 CAB03866 3 21912364 CAA21687 325182252 CCA16706 325187272 CCA21812 313148564 ZP_07810757 313137331 EFR54691 255010757 ZP_05282883 BFRA3_16578 221509165 EEE34734 2C 237837549 XP_002368072 211965736 EEB00932</t>
  </si>
  <si>
    <t xml:space="preserve">NUCLEAR PORE COMPLEX LIKE WBEZ ACETYLTRANSFERASE HYPOTHETICAL ALGINATE BIOSYNTHESIS ALGX_PSEFL FULL ALGX FLAGS PRECURSOR C ELEGANS CONFIRMED BY TRANSCRIPT EVIDENCE CONSERVED PHOSPHATASE </t>
  </si>
  <si>
    <t>sp|P59788|ALGX_PSEFL</t>
  </si>
  <si>
    <t>Pseudomonas fluorescens</t>
  </si>
  <si>
    <t>P59788 3 1 Q7PZ36 U518_ANOGA UPF0518 AGAP011705 4 B3QS77 GCSPB_CHLT3 2 35110 78 Q17AI4 U518_AEDAE AAEL005291 Q9Y7Y5 RT109_SCHPO RTT109 38366 972 Q887Q4 Q6ZIB5 PIN4_ORYSJ PIN4 Q2Y9M7 URE1_NITMU 25196 11849 P26864 RT02_MARPO S2 RPS2 Q8SSE7 MEC1 M1</t>
  </si>
  <si>
    <t xml:space="preserve">ALGX_PSEFL ALGINATE BIOSYNTHESIS ALGX OS PSEUDOMONAS FLUORESCENS GN PE SV ANOPHELES GAMBIAE PROBABLE GLYCINE DEHYDROGENASE SUBUNIT CHLOROHERPETON THALASSIUM STRAIN ATCC GCVPB AEDES AEGYPTI HISTONE ACETYLTRANSFERASE SCHIZOSACCHAROMYCES POMBE ALGX_PSESM SYRINGAE PV TOMATO AUXIN EFFLUX CARRIER COMPONENT ORYZA SATIVA SUBSP JAPONICA UREASE ALPHA NITROSOSPIRA MULTIFORMIS NCIMB UREC RIBOSOMAL MITOCHONDRIAL MARCHANTIA POLYMORPHA ATR_ENCCU SERINE THREONINE KINASE HOMOLOG ENCEPHALITOZOON CUNICULI </t>
  </si>
  <si>
    <t>RPEL 5e-005| zliS | RPEL | MreD | PIN_YEN1 | PLN02289 | PHA03283 | TDT_SLAC1_like | DUF1421 | ROM1 |</t>
  </si>
  <si>
    <t>Clostridium botulinum A3 str. Loch Maree</t>
  </si>
  <si>
    <t>170759045 YP_001787152 1 169406034 ACA54445 226949071 YP_002804162 226841860 ACO84526 170754864 YP_001781378 169120076 ACA43912 168184888 ZP_02619552 182672047 EDT84008 168180404 ZP_02615068 182668801 EDT80779 153941336 YP_001391085 152937232 ABS42730 295319132 ADF99509 148379790 YP_001254331 153933959 YP_001384087 153936361 YP_001387627 148289274 CAL83370 152930003 ABS35503 152932275 ABS37774 322806068 CBZ03635 307171859 EFN63514 295065720 YP_003587660 251765244 ACT15398 237795239 YP_002862791 229260949 ACQ51982</t>
  </si>
  <si>
    <t xml:space="preserve">SENSORY BOX CONTAINING HYDROGENASE PERIPLASMIC MYOSIN XV RNA POLYMERASE BETA SUBUNIT </t>
  </si>
  <si>
    <t>sp|Q1KVQ9|YCF78_SCEOB</t>
  </si>
  <si>
    <t>Scenedesmus obliquus</t>
  </si>
  <si>
    <t>Q1KVQ9 YCF78_SCEOB YCF78 3 1 Q971W7 16993 10545 100140 7 Q54C16 Q27533 YH2M_CAEEL W08D2 5 2 Q698V5 RDRP_ESRV9 905 Q9ZDE8 GCH1_RICPR P21331 4 Q756G2 TOM1_ASHGO E3 TOM1 10895 109 51 9923 1056 Q05021 TAF7_YEAST 204508 S288C TAF7 A5FAE2 URED_FLAJ1 17061 2064 UW101</t>
  </si>
  <si>
    <t xml:space="preserve">UNCHARACTERIZED MEMBRANE OS SCENEDESMUS OBLIQUUS GN PE SV GATE_SULTO GLUTAMYL TRNA GLN AMIDOTRANSFERASE SUBUNIT E SULFOLOBUS TOKODAII STRAIN DSM JCM NBRC GATE SGMB_DICDI SPHINGOMYELIN PHOSPHODIESTERASE B DICTYOSTELIUM DISCOIDEUM SGMB PROBABLE CATION TRANSPORTING ATPASE CAENORHABDITIS ELEGANS RNA DIRECTED POLYMERASE ERIOCHEIR SINENSIS REOVIRUS ISOLATE CHINA GTP CYCLOHYDROLASE RICKETTSIA PROWAZEKII MADRID FOLE GAGJ_DROFU NUCLEIC ACID BINDING FROM MOBILE ELEMENT JOCKEY DROSOPHILA FUNEBRIS GAG UBIQUITIN LIGASE ASHBYA GOSSYPII ATCC CBS FGSC NRRL Y TRANSCRIPTION INITIATION FACTOR TFIID SACCHAROMYCES CEREVISIAE UREASE ACCESSORY URED FLAVOBACTERIUM JOHNSONIAE </t>
  </si>
  <si>
    <t>spore_ytvI | TIGR04086_membr | DUF3792 | TctA | PTZ00383 | 7TM_GPCR_Str | Anoctamin | PLN03211 | TIGR04097 | COG1738 |</t>
  </si>
  <si>
    <t>sp|Q9J559|VP4A_FOWPN</t>
  </si>
  <si>
    <t>Q9J559 VP4A_FOWPN P4A FPV174 3 1 P41470 Y070_NPVAC 34 4 LEF3 IAP2 P24499 ATP6_TRYBB ATP6 2 P81492 HIRM2_HIRMA HM2 Q07558 HIRM1_HIRMA HM1 Q89AB3 EX5B_BUCBP</t>
  </si>
  <si>
    <t xml:space="preserve">MAJOR CORE OS FOWLPOX VIRUS STRAIN NVSL GN PE SV UNCHARACTERIZED KDA IN INTERGENIC REGION AUTOGRAPHA CALIFORNICA NUCLEAR POLYHEDROSIS ATP SYNTHASE SUBUNIT A TRYPANOSOMA BRUCEI HIRUDIN HIRUDINARIA MANILLENSIS EXODEOXYRIBONUCLEASE V BETA CHAIN BUCHNERA APHIDICOLA SUBSP BAIZONGIA PISTACIAE BP RECB </t>
  </si>
  <si>
    <t>Otopetrin | PTZ00314 | PRK12645 | PRK12291 | GH25_LytC-like | 2a6301s01 |</t>
  </si>
  <si>
    <t>71656952 XP_817015 1 70882181 EAN95164 71662035 XP_818030 70883257 EAN96179 322818926 EFZ26200 TCSYLVIO_7630 71745708 XP_827484 70831649 EAN77154 261331688 CBH14682 72548733 XP_843423 323363940 CBZ12946 154344947 XP_001568415 134065752 CAM43526 322503138 CBZ38222 322495564 CBZ30869 146101489 XP_001469128 134073497 CAM72228</t>
  </si>
  <si>
    <t>sp|Q12019|MDN1_YEAST</t>
  </si>
  <si>
    <t>Q12019 MDN1_YEAST 204508 S288C MDN1 1 B3QZZ8 RL16_PHYMT 50S L16 3 Q9NU22 MDN1_HUMAN 2 Q59VP7 ERB1_CANAL ERB1 Q9QYX7 Q4P209 EAF11_USTMA EAF1 521 9021 C3Y431 BRAFLDRAFT_114851 Q7TM96 ZN622_RAT 622 ZNF622 Q5UP58 YR592_MIMIV R592 MIMI_R592 4 Q9JLT0 MYH10_RAT 10 MYH10</t>
  </si>
  <si>
    <t xml:space="preserve">MIDASIN OS SACCHAROMYCES CEREVISIAE STRAIN ATCC GN PE SV RIBOSOMAL PHYTOPLASMA MALI AT RPLP HOMO SAPIENS RIBOSOME BIOGENESIS CANDIDA ALBICANS PCLO_MOUSE PICCOLO MUS MUSCULUS PCLO CHROMATIN MODIFICATION RELATED USTILAGO MAYDIS FGSC DDRGK_BRAFL DDRGK DOMAIN CONTAINING BRANCHIOSTOMA FLORIDAE ZINC FINGER RATTUS NORVEGICUS HELICASE ACANTHAMOEBA POLYPHAGA MIMIVIRUS MYOSIN </t>
  </si>
  <si>
    <t>PLN02245 | Mig-14 | PRK13341 | dnaA | PRK04517 | Herpes_gp2 | ODC_AZ | SNF | CytochromB561_N | DUF1451 |</t>
  </si>
  <si>
    <t>322794495 EFZ17548 1 SINV_02581 332017600 EGI58297 SYF2 91088087 XP_968841 AGAP010515 270012096 EFA08544 TCASGA2_TC006199 340724179 XP_003400461 328786043 XP_394026 2 307170734 EFN62859 156546918 XP_001601642 307202962 EFN82182 156542853 XP_001600215 312380550 EFR26512 AND_07371</t>
  </si>
  <si>
    <t xml:space="preserve">HYPOTHETICAL PRE MRNA SPLICING FACTOR SIMILAR TO PA LIKE CONSERVED </t>
  </si>
  <si>
    <t>sp|Q6DV01|SYF2_GECJA</t>
  </si>
  <si>
    <t>Gecko japonicus</t>
  </si>
  <si>
    <t>Q6DV01 SYF2_GECJA SYF2 2 1 Q4QRB2 SYF2_RAT Q9D198 SYF2_MOUSE O95926 SYF2_HUMAN Q8AVQ6 SYF2_XENLA Q28XK6 SYF2_DROPS 3 Q28G05 SYF2_XENTR Q6DGP2 SYF2_DANRE Q9V5Q4 SYF2_DROME Q612R3 SYF2_CAEBR</t>
  </si>
  <si>
    <t xml:space="preserve">PRE MRNA SPLICING FACTOR OS GECKO JAPONICUS GN PE SV RATTUS NORVEGICUS MUS MUSCULUS HOMO SAPIENS XENOPUS LAEVIS DROSOPHILA PSEUDOOBSCURA TROPICALIS DANIO RERIO MELANOGASTER SYF CAENORHABDITIS BRIGGSAE </t>
  </si>
  <si>
    <t>SYF2 homolog, RNA splicing factor (S. cerevisiae) - Rattus norvegicus - nucleus - spliceosomal complex - mRNA processing - RNA splicing - catalytic step 2 spliceosome</t>
  </si>
  <si>
    <t>SYF2 5e-037| PHA03096 0.081| ND2 0.091| 7TM_GPCR_Srbc | 235kDa-fam | PRK14227 | Peptidase_C1A_CathepsinC | ND2 | ND4 | ND5 |</t>
  </si>
  <si>
    <t>Cell cycle control, cell division, chromosome partitioning, RNA processing and modification</t>
  </si>
  <si>
    <t>Candidatus Sulcia muelleri SMDSEM</t>
  </si>
  <si>
    <t>256370694 YP_003108519 1 256009486 ACU52846 9507359 NP_040452 PIP404_P02 116928 P18015 ORF4 455315 AAA98250 4 167535768 XP_001749557 163771949 EDQ85608 70942915 XP_741566 56520028 CAH74924 257465013 ZP_05629384 AM202_00790 257450673 EEV24716 268568496 XP_002648037 CBG24013 221055041 XP_002258659 193808729 CAQ39431 70951121 XP_744827 56524937 CAH75889 29293589 AAO67726 32490919 NP_871173 WGLP170 25166125 BAC24316</t>
  </si>
  <si>
    <t xml:space="preserve">ANTHRANILATE SYNTHASE COMPONENT I HYPOTHETICAL COP_CLOPE FULL COPY NUMBER ALTNAME ORF CONSERVED IN PLASMODIUM SPECIES DNA GYRASE SUBUNIT B HOLA </t>
  </si>
  <si>
    <t>sp|P18015|COP_CLOPE</t>
  </si>
  <si>
    <t>Clostridium perfringens</t>
  </si>
  <si>
    <t>P18015 4 1 Q24739 2 P12428 Q35522 3 Q3YRB4 Q58478 Y1078_METJA UPF0104 MJ1078 43067 2661 10045 100440 P46566 SRG9_CAEEL 9 Q24270 CAC1D_DROME ALPHA1D P21422 RPOC1_PLAFA RPOC1 Q0I1V9 LSPA_HAES1 129PT</t>
  </si>
  <si>
    <t xml:space="preserve">COP_CLOPE COPY NUMBER OS CLOSTRIDIUM PERFRINGENS GN COP PE SV BROWN_DROVI BROWN DROSOPHILA VIRILIS BW BROWN_DROME MELANOGASTER CYB_PHYME CYTOCHROME B PHYTOPHTHORA MEGASPERMA COB CTAA_EHRCJ HEME A SYNTHASE EHRLICHIA CANIS STRAIN JAKE CTAA MEMBRANE METHANOCALDOCOCCUS JANNASCHII ATCC DSM JAL JCM NBRC SERPENTINE RECEPTOR CLASS GAMMA CAENORHABDITIS ELEGANS SRG VOLTAGE DEPENDENT CALCIUM CHANNEL TYPE D SUBUNIT ALPHA CA DNA DIRECTED RNA POLYMERASE BETA PLASMODIUM FALCIPARUM LIPOPROTEIN SIGNAL PEPTIDASE HAEMOPHILUS SOMNUS LSPA </t>
  </si>
  <si>
    <t>7TM_GPCR_Srz 0.002| ND5 0.003| ND6 0.005| ND6 | MdoB | ND4 | Acyl_transf_3 | ND4 | dnaE | LTA_dltB |</t>
  </si>
  <si>
    <t>118383569 XP_001024939 1 TTHERM_00242160 89306706 EAS04694</t>
  </si>
  <si>
    <t>sp|P55908|YCGA_BACSU</t>
  </si>
  <si>
    <t>P55908 4 3</t>
  </si>
  <si>
    <t xml:space="preserve">YCGA_BACSU UNCHARACTERIZED YCGA OS BACILLUS SUBTILIS GN PE SV </t>
  </si>
  <si>
    <t>PRK12331 | RpoB | CYTB | rpoB | COG5650 | araaP | PRK13300 | ND2 |</t>
  </si>
  <si>
    <t>307095102 ADN29857 1 305377014 BAJ15870 305377018 BAJ15872 40786900 AAR89978 45387425 AAS60203 305377016 BAJ15871 110456552 ABG74723 291461557 BAI83413 242005548 XP_002423626 212506786 EEB10888 328713093 XP_001948740 2 239790363 BAH71747 ACYPI006711 195445920 XP_002070544 GK12116 194166629 EDW81530</t>
  </si>
  <si>
    <t xml:space="preserve">ELONGATION FACTOR ALPHA LIKE </t>
  </si>
  <si>
    <t>sp|P05303|EF1A2_DROME</t>
  </si>
  <si>
    <t>P05303 EF1A2_DROME 1 2 EF1ALPHA100E P19039 EF1A_APIME 3 P02993 EF1A_ARTSA P40911 EF1A_AJECG 26029 G186AR H82 2432 P86933 EF1A_TRYBB TEF1 O42820 EF1A_SCHCO Q9YIC0 EF1A_ORYLA EEF1A P86939 EF1A2_TRYB2 927 4 GUTAT10 TB10 70 5670 P86934 EF1A1_TRYB2 P08736 EF1A1_DROME EF1ALPHA48D</t>
  </si>
  <si>
    <t xml:space="preserve">ELONGATION FACTOR ALPHA OS DROSOPHILA MELANOGASTER GN PE SV APIS MELLIFERA ARTEMIA SALINA AJELLOMYCES CAPSULATA STRAIN ATCC RMSCC TEF TRYPANOSOMA BRUCEI SCHIZOPHYLLUM COMMUNE ORYZIAS LATIPES </t>
  </si>
  <si>
    <t>Elongation factor 1alpha100E - Drosophila melanogaster - translational elongation - translation elongation factor activity - cytoplasm - eukaryotic translation elongation factor 1 complex - translation - GTPase activity - GTP binding - lipid particle</t>
  </si>
  <si>
    <t>PTZ00141 5e-004| PLN00043 0.004| 7TM_GPCR_Srz 0.024| ND4 0.067| PHA02972 | Mtp | ND5 | PRK10618 | PHA03138 | p47 |</t>
  </si>
  <si>
    <t>Anopheles darlingi</t>
  </si>
  <si>
    <t>312383582 EFR28620 1 AND_03253 157119801 XP_001659513 108875166 EAT39391 340725698 XP_003401203 340725700 XP_003401204 2 328783423 XP_392061 3 307184508 EFN70897 332028802 EGI68831 307198448 EFN79390 333469117 EAA09208 4 AGAP004476 328709288 XP_003243921 328709290 XP_001945866 118784508 XP_313775</t>
  </si>
  <si>
    <t xml:space="preserve">HYPOTHETICAL VESICULAR MONOAMINE TRANSPORTER SYNAPTIC AMINE LIKE ISOFORM CHROMAFFIN GRANULE PA </t>
  </si>
  <si>
    <t>sp|P54637|PTP3_DICDI</t>
  </si>
  <si>
    <t>P54637 PTP3_DICDI 3 2 Q54ZI9 DDX20_DICDI DDX20 Q1ZXI5 Y1558_DICDI DDB_G0278845 1 P02381 VAR1 204508 S288C Q55G45 P18160 PYK1_DICDI PYK1 Q86HG9 Y9871_DICDI DDB_G0271682 Q54PZ6 Y5897_DICDI DDB_G0284213 4 Q7M3S9 Q555I8 KIF9_DICDI 9 KIF9</t>
  </si>
  <si>
    <t xml:space="preserve">TYROSINE PHOSPHATASE OS DICTYOSTELIUM DISCOIDEUM GN PTPC PE SV PROBABLE ATP DEPENDENT RNA HELICASE SERINE THREONINE KINASE RMAR_YEAST RIBOSOMAL MITOCHONDRIAL SACCHAROMYCES CEREVISIAE STRAIN ATCC GEMA_DICDI RHO GTPASE GEMA DUAL SPECIFICITY SPLA UNCHARACTERIZED RNGB_DICDI RING FINGER B RNGB KINESIN RELATED </t>
  </si>
  <si>
    <t>ND5 0.007| ND2 0.010| DUF443 0.027| ND5 0.046| DUF70 0.066| PRK12651 0.097| ycf1 | ND5 | ND5 | ND4 |</t>
  </si>
  <si>
    <t>Dyadobacter fermentans DSM 18053</t>
  </si>
  <si>
    <t>255036363 YP_003086984 1 254949119 ACT93819</t>
  </si>
  <si>
    <t xml:space="preserve">TONB DEPENDENT RECEPTOR PLUG </t>
  </si>
  <si>
    <t>sp|P0AAW4|YBHP_SHIFL</t>
  </si>
  <si>
    <t>Shigella flexneri</t>
  </si>
  <si>
    <t>P0AAW4 4 1 P0AAW1 K12 P0AAW2 YBHP_ECOL6 O6 P0AAW3 YBHP_ECO57 O157 H7 Q69L87 HAK22_ORYSJ 22 HAK22 2 P36079 YKI3_YEAST YKL083W 204508 S288C 5 B8GFQ9 1556 19958 E1 9C 3 P0CR72 SPT6_CRYNJ SPT6 JEC21 P0CR73 SPT6_CRYNB 3501A C3KVP5 RS3_CLOB6 30S S3 657 BA4</t>
  </si>
  <si>
    <t xml:space="preserve">YBHP_SHIFL UNCHARACTERIZED YBHP OS SHIGELLA FLEXNERI GN PE SV YBHP_ECOLI ESCHERICHIA COLI STRAIN POTASSIUM TRANSPORTER ORYZA SATIVA SUBSP JAPONICA SACCHAROMYCES CEREVISIAE ATCC VATF_METPE V TYPE ATP SYNTHASE SUBUNIT F METHANOSPHAERULA PALUSTRIS BAA DSM ATPF TRANSCRIPTION ELONGATION FACTOR CRYPTOCOCCUS NEOFORMANS VAR SEROTYPE D B RIBOSOMAL CLOSTRIDIUM BOTULINUM RPSC </t>
  </si>
  <si>
    <t>PRK02228 | PRK09814 | Cpn60_TCP1 | flhB | ND2 | Brr6_like_C_C | gltA | CaCS_like | Pox_polyA_pol_N | ND5 |</t>
  </si>
  <si>
    <t>255036363 YP_003086984 1 254949119 ACT93819 322800797 EFZ21673 SINV_07037 166240269 XP_636538 2 165988514 EAL63029</t>
  </si>
  <si>
    <t xml:space="preserve">TONB DEPENDENT RECEPTOR PLUG HYPOTHETICAL EGF LIKE DOMAIN CONTAINING </t>
  </si>
  <si>
    <t>P0AAW4 4 1 P0AAW1 K12 P0AAW2 YBHP_ECOL6 O6 P0AAW3 YBHP_ECO57 O157 H7 Q69L87 HAK22_ORYSJ 22 HAK22 2 P36079 YKI3_YEAST YKL083W 204508 S288C 5 C3KVP5 RS3_CLOB6 30S S3 657 BA4 3 B8GFQ9 1556 19958 E1 9C P0CR72 SPT6_CRYNJ SPT6 JEC21 P0CR73 SPT6_CRYNB 3501A</t>
  </si>
  <si>
    <t xml:space="preserve">YBHP_SHIFL UNCHARACTERIZED YBHP OS SHIGELLA FLEXNERI GN PE SV YBHP_ECOLI ESCHERICHIA COLI STRAIN POTASSIUM TRANSPORTER ORYZA SATIVA SUBSP JAPONICA SACCHAROMYCES CEREVISIAE ATCC RIBOSOMAL CLOSTRIDIUM BOTULINUM TYPE RPSC VATF_METPE V ATP SYNTHASE SUBUNIT F METHANOSPHAERULA PALUSTRIS BAA DSM ATPF TRANSCRIPTION ELONGATION FACTOR CRYPTOCOCCUS NEOFORMANS VAR SEROTYPE D B </t>
  </si>
  <si>
    <t>PRK02228 | PTZ00449 | YfhO | Cpn60_TCP1 | rbgA | ND2 | Brr6_like_C_C | gltA | CaCS_like | DUF2754 |</t>
  </si>
  <si>
    <t>116515071 YP_802700 1 E1 116256925 ABJ90607 28210660 NP_781604 28203098 AAO35541 118356271 XP_001011394 TTHERM_00433690 89293161 EAR91149 150019318 YP_001311572 149905783 ABR36616 312095471 XP_003148367 LOAG_12807 307756468 EFO15702 146162393 XP_001009387 2 TTHERM_00576970 146146439 EAR89142 150019839 YP_001312093 54 149906304 ABR37137</t>
  </si>
  <si>
    <t xml:space="preserve">PYRUVATE DEHYDROGENASE SUBUNIT COMPONENT SENSOR HISTIDINE KINASE VIRS HYPOTHETICAL FAD DEPENDENT PYRIDINE NUCLEOTIDE DISULFIDE OXIDOREDUCTASE DISULPHIDE SIGMA FACTOR INTERACTION DOMAIN CONTAINING </t>
  </si>
  <si>
    <t>sp|Q6GZN0|095R_FRG3G</t>
  </si>
  <si>
    <t>Frog virus 3 (isolate Goorha)</t>
  </si>
  <si>
    <t>Q6GZN0 095R_FRG3G RAD2 095R 3 FV3 1 O42182 FBLN1_DANRE FBLN1 2 Q8SSC9 M1 TCP1 Q09828 38366 972 SPAC4G8 09 P0CAK5 VF79_ASFWA D79L WART80 1980 114 P0CAK4 VF79_ASFP4 PR4 1996 116 Q65219 VF79_ASFM2 20 1983 112 P0CAK3 VF79_ASFK5 50 1950 Q89675 VF79_ASFB7 1971 BA71V 104 Q8IBP1 YPF16_PLAF7 PF07_0086 3D7 4</t>
  </si>
  <si>
    <t xml:space="preserve">LIKE ENDONUCLEASE OS FROG VIRUS ISOLATE GOORHA GN PE SV FIBULIN DANIO RERIO TCPA_ENCCU T COMPLEX SUBUNIT ALPHA ENCEPHALITOZOON CUNICULI STRAIN SYLM_SCHPO LEUCYL TRNA SYNTHETASE MITOCHONDRIAL SCHIZOSACCHAROMYCES POMBE ATCC UNCHARACTERIZED AFRICAN SWINE FEVER WARTHOG NAMIBIA WAR TICK SOUTH AFRICA PRETORIUSKOP PRET MALAWI LIL MAL PIG KENYA KEN BADAJOZ VERO ADAPTED PLASMODIUM FALCIPARUM </t>
  </si>
  <si>
    <t>7TM_GPCR_Srz | BphC1-RGP6_C_like | matK | FtsW | ND2 | ATP6 | Intg_mem_TP0381 | CYTB | MatK_N | ATP6 |</t>
  </si>
  <si>
    <t>71657910 XP_817463 1 70882656 EAN95612 TC00 1047053506227 190 322815400 EFZ24061 TCSYLVIO_9821 302537172 ZP_07289514 302446067 EFL17883 47209416 CAF89653 89113996 ABD61591 1A 86158106 YP_464891 85774617 ABC81454 302534470 ZP_07286812 302443365 EFL15181 147919122 YP_687145 RRC34 110622541 CAJ37819 323456001 EGB11868 AURANDRAFT_70670 307105907 EFN54154 CHLNCDRAFT_135558</t>
  </si>
  <si>
    <t xml:space="preserve">HYPOTHETICAL UNNAMED PRODUCT FIBROIN PE PGRS FAMILY LOW QUALITY ATP BINDING </t>
  </si>
  <si>
    <t>sp|Q3KSS4|EBNA1_EBVG</t>
  </si>
  <si>
    <t>Epstein-Barr virus (strain GD1)</t>
  </si>
  <si>
    <t>Q3KSS4 EBNA1_EBVG 1 GD1 EBNA1 Q54GV8 Y8625_DICDI DDB_G0289901 4 P19837 SPD1_NEPCL 3 P05790 Q66H38 FA71B_RAT FAM71B 2 P03211 EBNA1_EBVB9 B95 8 Q1HVF7 EBNA1_EBVA8 AG876 O60346 PHLP1_HUMAN PHLPP1 P08674 A6NIX2</t>
  </si>
  <si>
    <t xml:space="preserve">EPSTEIN BARR NUCLEAR ANTIGEN OS VIRUS STRAIN GN PE SV UNCHARACTERIZED TRANSMEMBRANE DICTYOSTELIUM DISCOIDEUM SPIDROIN FRAGMENT NEPHILA CLAVIPES FIBH_BOMMO FIBROIN HEAVY CHAIN BOMBYX MORI FIBH RATTUS NORVEGICUS PH DOMAIN LEUCINE RICH REPEAT CONTAINING PHOSPHATASE HOMO SAPIENS CSP_PLACG CIRCUMSPOROZOITE PLASMODIUM CYNOMOLGI GOMBAK WTIP_HUMAN WILMS TUMOR INTERACTING WTIP </t>
  </si>
  <si>
    <t>PHA03247 7e-009| PHA03307 3e-008| PRK12323 5e-007| PHA03378 7e-007| PRK07003 1e-006| PRK07764 1e-006| PRK13875 2e-006| PRK14951 3e-006| DUF2486 3e-006| Herpes_gp2 2e-004|</t>
  </si>
  <si>
    <t>56756781 AAW26562 1 SJCHGC09076 172051224 ACB70387 308495572 XP_003109974 CRE_06355 308244811 EFO88763 171682106 XP_001905996 170941012 CAP66662 260826279 XP_002608093 BRAFLDRAFT_91429 229293443 EEN64103 193216844 YP_002000086 193002167 ACF07382 260826295 XP_002608101 BRAFLDRAFT_91421 229293451 EEN64111 118087983 XP_419476 2 RP1 278E11 325191394 CCA26172 ALNC14C353G10930 221112111 XP_002157462 HCG1811743</t>
  </si>
  <si>
    <t xml:space="preserve">HYPOTHETICAL UNNAMED PRODUCT VIRULENCE ASSOCIATED LIPOPROTEIN MIA SIMILAR TO PARTIAL </t>
  </si>
  <si>
    <t>sp|Q8R105|VP37C_MOUSE</t>
  </si>
  <si>
    <t>Q8R105 VP37C_MOUSE 37C VPS37C 2 1 Q80WV7 SRRM3_MOUSE 3 SRRM3 Q89AZ6 Q4V7D7 RBM22_RAT RBM22 Q5RAY5 RBM22_PONAB Q8BHS3 RBM22_MOUSE Q4R4J1 RBM22_MACFA Q9NW64 RBM22_HUMAN Q3B7L8 RBM22_BOVIN Q7Z429</t>
  </si>
  <si>
    <t xml:space="preserve">VACUOLAR SORTING ASSOCIATED OS MUS MUSCULUS GN PE SV SERINE ARGININE REPETITIVE MATRIX FLIJ_BUCBP FLAGELLAR FLIJ BUCHNERA APHIDICOLA SUBSP BAIZONGIA PISTACIAE STRAIN BP PRE MRNA SPLICING FACTOR RATTUS NORVEGICUS PONGO ABELII MACACA FASCICULARIS HOMO SAPIENS BOS TAURUS GRINA_HUMAN GLUTAMATE RECEPTOR GRINA </t>
  </si>
  <si>
    <t>DUF1980 6e-004| SMN | xerD | DUF390 | 7TM_GPCR_Srz | 4hydrxCoA_A | ND2 | Dsh_C | ELO | Plasmodium_Vir |</t>
  </si>
  <si>
    <t>Replication, recombination and repair, Transcription, General function prediction only</t>
  </si>
  <si>
    <t>Vibrio cholerae Mex1</t>
  </si>
  <si>
    <t>259156534 ACV96478 1 197286292 YP_002152164 194683779 CAR44831 153802347 ZP_01956933 124122120 EAY40863 20095149 AAM08015 120597977 YP_962551 120558070 ABM23997 153821423 ZP_01974090 229509089 ZP_04398576 229608761 YP_002879409 254850966 ZP_05240316 21885303 AAL59709 126521023 EAZ78246 172051595 CAQ34990 229353846 EEO18781 229371416 ACQ61839 254846671 EET25085 259156361 ACV96307 259156637 ACV96580 66799901 XP_628876 DDB_G0293924 60462234 EAL60461 255743763 ZP_05417721 255738624 EET94011 259156254 ACV96201 259156376 ACV96321 340042847 EGR03810 340043140 EGR04100 325300029 YP_004259946 324319582 ADY37473 259156111 ACV96059</t>
  </si>
  <si>
    <t xml:space="preserve">YQAJ VIRAL RECOMBINASE FAMILY PLASMID RELATED PHAGE TYPE ENDONUCLEASE DOMAIN HYPOTHETICAL LIKE DNA RECOMBINATION CONSERVED UNKNOWN GLIDING MOTILITY ASSOCIATED GLDE </t>
  </si>
  <si>
    <t>sp|Q5KSV0|GTAK_DICDI</t>
  </si>
  <si>
    <t>Q5KSV0 11 2 1 Q8SSY6 NEDD4 E3 DDB_G0276527 3 Q55CC5 ATG6A Q86KS1 DCR1_DICDI DCLRE1 B0G0Y5 Q54TU3 Y5626_DICDI DDB_G0281497 4 Q54YN3 TM111_DICDI 111 TMEM111 Q557I1 Q54GH2 Q54GT9 ATG5_DICDI 5 ATG5</t>
  </si>
  <si>
    <t xml:space="preserve">GTAK_DICDI GATA ZINC FINGER DOMAIN CONTAINING OS DICTYOSTELIUM DISCOIDEUM GN GTAK PE SV SPKUL_DICDI BIFUNCTIONAL SERINE THREONINE KINASE LIKE UBIQUITIN LIGASE BECNA_DICDI BECLIN A DNA CROSS LINK REPAIR MYBAA_DICDI MYB AA MYBAA UNCHARACTERIZED TRANSMEMBRANE HOMOLOG NFYC_DICDI NUCLEAR TRANSCRIPTION FACTOR Y SUBUNIT GAMMA NFYC BZPR_DICDI PROBABLE BASIC LEUCINE ZIPPER R BZPR AUTOPHAGY </t>
  </si>
  <si>
    <t>MnmC_Cterm | ubiA | GH43_7 | PTZ00413 | EB_dh | ATP-synt_8 | PTZ00160 | 2A060601 | STKc_NAK1_like | KpsC |</t>
  </si>
  <si>
    <t>Intracellular trafficking, secretion, and vesicular transport, Nuclear structure</t>
  </si>
  <si>
    <t>Weeksella virosa DSM 16922</t>
  </si>
  <si>
    <t>325955417 YP_004239077 1 WEEVI_1809 323438035 ADX68499 DUF893 328859734 EGG08842</t>
  </si>
  <si>
    <t xml:space="preserve">HYPOTHETICAL UNKNOWN FUNCTION YCCS YHFK OLIGOPEPTIDE TRANSPORTER </t>
  </si>
  <si>
    <t>sp|Q8NXT2|MNHA2_STAAW</t>
  </si>
  <si>
    <t>Staphylococcus aureus (strain MW2)</t>
  </si>
  <si>
    <t>Q8NXT2 MNHA2_STAAW MNHA2 MW2 3 1 Q0Q2K0 MNHA2_STAAU A8Z144 MNHA2_STAAT USA300 TCH1516 Q6GBK7 MNHA2_STAAS MSSA476 A6QET3 MNHA2_STAAE Q5HI45 MNHA2_STAAC Q2YST2 MNHA2_STAAB RF122 ET3 Q2G2U8 MNHA2_STAA8 8325 Q2FJ15 MNHA2_STAA3 Q68WQ5 AMPG1_RICTY 144 AMPG1</t>
  </si>
  <si>
    <t xml:space="preserve">ANTIPORTER SUBUNIT OS STAPHYLOCOCCUS AUREUS STRAIN GN PE SV NEWMAN COL BOVINE NCTC TRANSPORTER AMPG RICKETTSIA TYPHI ATCC VR WILMINGTON </t>
  </si>
  <si>
    <t>COG4587 | LIGANc | PTZ00344 | PLN02510 | TAF8_C | HpaX | PRK12646 | dnlj | pckA | PRK05192 |</t>
  </si>
  <si>
    <t>149689198 ABR27967 1 91077040 XP_967879 270001745 EEZ98192 TCASGA2_TC000621 194747645 XP_001956262 GF25121 190623544 EDV39068 24659997 NP_477135 2 19 85700155 P49963 SRP19_DROME SRP19 7295253 AAF50575 19528625 AAL90427 RH65975P 220949426 ACL87256 220958640 ACL91863 1016766 AAA79181 197260662 ACH56831 328778273 XP_001123181 195588442 XP_002083967 GD13067 194195976 EDX09552 195338145 XP_002035686 GM13769 194128779 EDW50822 156549036 XP_001607942</t>
  </si>
  <si>
    <t xml:space="preserve">SIGNAL RECOGNITION PARTICLE SIMILAR TO HYPOTHETICAL FULL KDA SHORT PA </t>
  </si>
  <si>
    <t>sp|P49963|SRP19_DROME</t>
  </si>
  <si>
    <t>P49963 SRP19_DROME 19 SRP19 2 Q3ZBG7 SRP19_BOVIN 1 Q5RBR1 SRP19_PONAB P09132 SRP19_HUMAN 3 Q9D7A6 SRP19_MOUSE P49964 SRP19_ORYSJ O61749 SRP19_CAEEL F37F2 Q943Z6 SRP19_ARATH P20824 NUC1_NEUCR 24698 74 OR23 1A 708 71 1257 987 4 Q9Y2X9 ZN281_HUMAN 281 ZNF281</t>
  </si>
  <si>
    <t xml:space="preserve">SIGNAL RECOGNITION PARTICLE KDA OS DROSOPHILA MELANOGASTER GN PE SV BOS TAURUS PONGO ABELII HOMO SAPIENS MUS MUSCULUS ORYZA SATIVA SUBSP JAPONICA PROBABLE CAENORHABDITIS ELEGANS ARABIDOPSIS THALIANA PHOSPHORUS ACQUISITION CONTROLLING NEUROSPORA CRASSA STRAIN ATCC CBS DSM FGSC NUC ZINC FINGER </t>
  </si>
  <si>
    <t>Signal recognition particle protein 19 - Drosophila melanogaster - SRP-dependent cotranslational protein targeting to membrane - signal recognition particle, endoplasmic reticulum targeting - 7S RNA binding</t>
  </si>
  <si>
    <t>SRP19 1e-004| Rer1 0.001| III 0.005| PTZ00146 0.023| PRK06958 0.032| PRP8 0.063| PTZ00303 0.086| COG4907 | GRP | PRK06341 |</t>
  </si>
  <si>
    <t>Mycobacterium tuberculosis H37Rv</t>
  </si>
  <si>
    <t>5305335 AAD41594 1 AF071081_1 148233886 NP_001084891 LOC431942 82185209 Q6NRE4 FA59A_XENLA FAM59A 47123161 AAH70811 MGC83885 145522999 XP_001447338 124414849 CAK79941 56756781 AAW26562 SJCHGC09076 315050764 XP_003174756 MGYG_02286 311340071 EFQ99273 302815019 XP_002989192 SELMODRAFT_427792 300143092 EFJ09786 258566181 XP_002583835 237907536 EEP81937 338724464 XP_001504706 3 198474182 XP_001356581 2 GA10211 198138283 EAL33645 195147708 XP_002014817 GL18745 194106770 EDW28813</t>
  </si>
  <si>
    <t xml:space="preserve">PROLINE RICH MUCIN HOMOLOG HYPOTHETICAL FULL UNNAMED PRODUCT FAS ACTIVATED SERINE THREONINE KINASE ISOFORM </t>
  </si>
  <si>
    <t>sp|Q6NRE4|FA59A_XENLA</t>
  </si>
  <si>
    <t>Q6NRE4 FA59A_XENLA FAM59A 2 1 Q6MG48 PRC2A_RAT PRRC2A Q14296 Q90584 COHA1_CHICK COL17A1 O43151 TET3_HUMAN TET3 3 P21260 4 Q9QJ21 UL92_HHV6Z U63 6B Z29 P24440 UL92_HHV6U 6A 1102 Q752Q2 BST1_ASHGO 10895 109 51 9923 1056 BST1 P48634 PRC2A_HUMAN</t>
  </si>
  <si>
    <t xml:space="preserve">OS XENOPUS LAEVIS GN PE SV RATTUS NORVEGICUS FASTK_HUMAN FAS ACTIVATED SERINE THREONINE KINASE HOMO SAPIENS FASTK COLLAGEN ALPHA XVII CHAIN GALLUS METHYLCYTOSINE DIOXYGENASE YPRO_OWEFU UNCHARACTERIZED PROLINE RICH FRAGMENT OWENIA FUSIFORMIS HUMAN HERPESVIRUS STRAIN UGANDA GPI INOSITOL DEACYLASE ASHBYA GOSSYPII ATCC CBS FGSC NRRL Y </t>
  </si>
  <si>
    <t>COG0733 | L-Ser-dehyd | SMN | wecD_rffC | PRK15102 | torA | PTZ00361 | DUF1294 | Transferrin | DUF2668 |</t>
  </si>
  <si>
    <t>sp|B2KAZ5|Y125_ELUMP</t>
  </si>
  <si>
    <t>Elusimicrobium minutum (strain Pei191)</t>
  </si>
  <si>
    <t>B2KAZ5 Y125_ELUMP UPF0042 EMIN_0125 PEI191 3 1 P27414 33909 639 8929 15157 11770</t>
  </si>
  <si>
    <t xml:space="preserve">NUCLEOTIDE BINDING OS ELUSIMICROBIUM MINUTUM STRAIN GN PE SV DOCK_SULAC PROBABLE SIGNAL RECOGNITION PARTICLE SULFOLOBUS ACIDOCALDARIUS ATCC DSM JCM NBRC NCIMB DPA </t>
  </si>
  <si>
    <t>PI-PLCc_beta1 | EcsB | secA | SecA_DEAD | secA2 | odv-e66 | RPE65 | DUF1420 | PRK09200 | ND5 |</t>
  </si>
  <si>
    <t>Grosmannia clavigera kw1407</t>
  </si>
  <si>
    <t>320590155 EFX02598 1 268534484 XP_002632373 CBG00393 187039085 CAP21849 CBG_00393 83033083 XP_729322 23486756 EAA20887 327272528 XP_003221036 P300</t>
  </si>
  <si>
    <t xml:space="preserve">MULTIDRUG RESISTANCE GENES TRANSCRIPTIONAL ACTIVATOR HYPOTHETICAL HISTONE ACETYLTRANSFERASE LIKE </t>
  </si>
  <si>
    <t>sp|P24713|HSP1_ORCOR</t>
  </si>
  <si>
    <t>Orcinus orca</t>
  </si>
  <si>
    <t>P24713 HSP1_ORCOR P1 PRM1 2 P58917 CO16A_CONCT 1 Q99MV5 M10L1_MOUSE MOV10L1 P0CY66 CO8_CONBU BU8 P28881 CO16B_CONST P05484 CO17A_CONMA Q9BXT6 M10L1_HUMAN</t>
  </si>
  <si>
    <t xml:space="preserve">SPERM PROTAMINE OS ORCINUS ORCA GN PE SV OMEGA CONOTOXIN CVIA CONUS CATUS HELICASE MUS MUSCULUS LIKE FRAGMENT BULLATUS SVIB STRIATUS MVIIA MAGUS HOMO SAPIENS </t>
  </si>
  <si>
    <t>Mga | Peptidase_C19E | DUF2197 | PRK15487 | PRK02888 | GH31_xylosidase_XylS | PBP1_iGluR_AMPA_Like | FimP | CENP-K | Sre |</t>
  </si>
  <si>
    <t>307094972 ADN29792 1 307094974 ADN29793 307094970 ADN29791 149898863 ABR27919 149689172 ABR27943 18920644 AAL82381 AF427487_1 146199197 ABQ09358 18920642 AAL82380 AF427486_1 307094978 ADN29795 3242984 AAC23865</t>
  </si>
  <si>
    <t xml:space="preserve">TRIALYSIN PRECURSOR ALLELE R MEROZOITE CAPPING </t>
  </si>
  <si>
    <t>sp|Q01033|VG48_SHV21</t>
  </si>
  <si>
    <t>Saimiriine herpesvirus 2 (strain 11)</t>
  </si>
  <si>
    <t>Q01033 VG48_SHV21 48 2 11 3 1 P0CM77 CLP1_CRYNB CLP1 3501A Q9US05 BFR2_SCHPO BFR2 38366 972 P0CM76 CLP1_CRYNJ JEC21 A1DM87 RT106_NEOFI RTT106 1020 3700 A1164 181 Q9ULD4 BRPF3_HUMAN BRPF3 B2GUV7 IF2P_RAT 5B EIF5B B4F721 P07199 O51568</t>
  </si>
  <si>
    <t xml:space="preserve">UNCHARACTERIZED GENE OS SAIMIRIINE HERPESVIRUS STRAIN GN PE SV CRYPTOCOCCUS NEOFORMANS VAR SEROTYPE D B SCHIZOSACCHAROMYCES POMBE ATCC HISTONE CHAPERONE NEOSARTORYA FISCHERI DSM FGSC NRRL BROMODOMAIN PHD FINGER CONTAINING HOMO SAPIENS EUKARYOTIC TRANSLATION INITIATION FACTOR RATTUS NORVEGICUS NFL_XENTR NEUROFILAMENT LIGHT POLYPEPTIDE XENOPUS TROPICALIS NEFL CENPB_HUMAN MAJOR CENTROMERE AUTOANTIGEN CENPB MFD_BORBU TRANSCRIPTION REPAIR COUPLING BORRELIA BURGDORFERI MFD </t>
  </si>
  <si>
    <t>PHA02732 0.009| ND2 0.032| ND5 0.045| ND6 0.059| ATP6 0.064| ND4 0.075| PLN02217 | ND5 | ND3 | PLN02258 |</t>
  </si>
  <si>
    <t>239791051 BAH72041 1 ACYPI007931 193676359 XP_001952377 4 328699135 XP_003240836 157134135 XP_001663163 108881415 EAT45640 195454020 XP_002074049 GK12818 194170134 EDW85035 312374285 EFR21868 AND_16225 195158473 XP_002020110 GL13810 198450116 XP_002137032 GA26807 194116879 EDW38922 198130900 EDY67590 195108859 XP_001999010 GI24279 193915604 EDW14471 194746323 XP_001955630 GF16146 190628667 EDV44191 195502634 XP_002098310 GE10311 194184411 EDW98022</t>
  </si>
  <si>
    <t xml:space="preserve">ELONGATION VERY LONG CHAIN FATTY ACIDS LIKE ELONGASE HYPOTHETICAL </t>
  </si>
  <si>
    <t>sp|A1L3X0|ELOV7_HUMAN</t>
  </si>
  <si>
    <t>A1L3X0 ELOV7_HUMAN 7 ELOVL7 2 1 Q9D2Y9 ELOV7_MOUSE Q3S8M4 ELOV4_MACMU 4 ELOVL4 3 Q95K73 ELOV4_MACFA Q9GZR5 ELOV4_HUMAN Q1HRV8 ELVL1_AEDAE AAEL008004 A0JNC4 ELOV7_BOVIN Q9EQC4 ELOV4_MOUSE Q9JLJ5 ELOV1_MOUSE ELOVL1 Q9BW60 ELOV1_HUMAN</t>
  </si>
  <si>
    <t xml:space="preserve">ELONGATION VERY LONG CHAIN FATTY ACIDS OS HOMO SAPIENS GN PE SV MUS MUSCULUS MACACA MULATTA FASCICULARIS AEDES AEGYPTI BOS TAURUS </t>
  </si>
  <si>
    <t>Drosophila melanogaster - fatty acid biosynthetic process - very long-chain fatty acid metabolic process - integral to membrane</t>
  </si>
  <si>
    <t>ELO 5e-060| PTZ00251 1e-012| Frag1 0.005| MgtA 0.023| Reticulon 0.027| spoVE 0.034| TDT_Mae1_like | PTPLA | STT3 | YfhO |</t>
  </si>
  <si>
    <t>Streptomyces clavuligerus ATCC 27064</t>
  </si>
  <si>
    <t>294814758 ZP_06773401 1 294327357 EFG09000 254390199 ZP_05005418 SSCG_02665 197703905 EDY49717 326443137 ZP_08217871 SCLAA2_18828 125564259 EAZ09639 OSI_31923 308051197 YP_003914763 307633387 ADN77689 238485142 XP_002373809 220698688 EED55027 115479977 NP_001063582 OS09G0501600 113631815 BAF25496 125606227 EAZ45263 OSJ_29905 215765178 BAG86875 73969250 XP_851035 332023686 EGI63910 F38B2 4 296161220 ZP_06844029 295888561 EFG68370</t>
  </si>
  <si>
    <t xml:space="preserve">SECRETED HYPOTHETICAL AMINOTRANSFERASE CLASS V OLIGOPEPTIDE TRANSPORTER UNNAMED PRODUCT SIMILAR TO DEATH INDUCING ADENYLATE KINASE ISOENZYME CONSERVED </t>
  </si>
  <si>
    <t>sp|Q9JWJ7|RSMI_NEIMA</t>
  </si>
  <si>
    <t>Neisseria meningitidis serogroup A</t>
  </si>
  <si>
    <t>Q9JWJ7 3 1 Q24742 P20659 4 Q9H6W3 NO66_HUMAN NO66 2 A5PK74 NO66_BOVIN Q9RYH5 Q9V969 GR57A_DROME 57A GR57A Q10080 YAO1_SCHPO UPF0654 C11D3 01C 38366 972 SPAC11D3 Q6BR77 TAH18_DEBHA TAH18 36239 767 1990 0083 2968 P49782 SP3AE_BACSU</t>
  </si>
  <si>
    <t xml:space="preserve">RSMI_NEIMA RIBOSOMAL RNA SMALL SUBUNIT METHYLTRANSFERASE I OS NEISSERIA MENINGITIDIS SEROGROUP A GN RSMI PE SV TRX_DROVI HISTONE LYSINE N TRITHORAX DROSOPHILA VIRILIS TRX TRX_DROME MELANOGASTER SPECIFIC DEMETHYLASE HOMO SAPIENS BOS TAURUS KYNU_DEIRA KYNURENINASE DEINOCOCCUS RADIODURANS KYNU GUSTATORY RECEPTOR SCHIZOSACCHAROMYCES POMBE STRAIN ATCC PROBABLE NADPH REDUCTASE DEBARYOMYCES HANSENII CBS JCM NBRC IGC STAGE III SPORULATION AE BACILLUS SUBTILIS SPOIIIAE </t>
  </si>
  <si>
    <t>PRK03356 | PRK11465 | ChaA | RhoGAP_fMSB1 | PRK06370 | Aminotran_1_2 | Thioesterase_II_repeat1 | Mrp | MGS1 | Intg_mem_TP0381 |</t>
  </si>
  <si>
    <t>322824896 EFZ30157 1 TCSYLVIO_3558 71653891 XP_815575 70880640 EAN93724 71663086 XP_818540 70883798 EAN96689 261329100 CBH12079 72390792 XP_845690 62176189 AAX70306 70802226 AAZ12131 340054401 CCC48696 154339341 XP_001562362 134062945 CAM39393 322499941 CBZ35015 157871167 XP_001684133 68127201 CAJ05201 146089771 XP_001470469 134070502 CAM68845</t>
  </si>
  <si>
    <t>sp|Q54CS7|JMJCE_DICDI</t>
  </si>
  <si>
    <t>Q54CS7 4 2 Q1HVF7 EBNA1_EBVA8 1 AG876 EBNA1 3 P03211 EBNA1_EBVB9 B95 8 Q3KSS4 EBNA1_EBVG GD1 Q0DBU3 P2C56_ORYSJ 2C 56 OS06G0526800 P0C870 JMJD7_HUMAN 7 JMJD7 P0C872 JMJD7_MOUSE O94606 JMJ4_SCHPO 38366 972 JMJ4 P39881 CUX1_CANFA CUX1 P05790</t>
  </si>
  <si>
    <t xml:space="preserve">JMJCE_DICDI JMJC DOMAIN CONTAINING E OS DICTYOSTELIUM DISCOIDEUM GN JCDE PE SV EPSTEIN BARR NUCLEAR ANTIGEN VIRUS STRAIN PROBABLE PHOSPHATASE ORYZA SATIVA SUBSP JAPONICA HOMO SAPIENS MUS MUSCULUS SCHIZOSACCHAROMYCES POMBE ATCC HOMEOBOX CUT LIKE FRAGMENT CANIS FAMILIARIS FIBH_BOMMO FIBROIN HEAVY CHAIN BOMBYX MORI FIBH </t>
  </si>
  <si>
    <t>transcription factor jumonji, jmjC domain-containing protein - Dictyostelium discoideum - molecular_function - cellular_component - biological_process</t>
  </si>
  <si>
    <t>PHA03378 4e-005| PRK12323 4e-004| DUF2486 4e-004| PRK07764 8e-004| PHA03247 0.001| PHA03321 0.002| PRK07003 0.003| PRK14965 0.004| PRK13875 0.019| PRK14951 0.021|</t>
  </si>
  <si>
    <t>255036950 YP_003087571 1 254949706 ACT94406 288818812 YP_003433160 288788212 BAI69959 308752398 ADO45881 340509009 EGR34589 IMG5_006340 118362390 XP_001014422 89296189 EAR94177 328872605 EGG20972 DFA_00841 167377891 XP_001734576 165903837 EDR29262 55978845 AAV68884 AT5G41380 225554836 EEH03130 170759221 YP_001785943 CLK_3807 169406210 ACA54621</t>
  </si>
  <si>
    <t xml:space="preserve">TONB DEPENDENT RECEPTOR PLUG HEAVY METAL EFFLUX PUMP CZCA FAMILY HYPOTHETICAL ABC TRANSPORTER CONSERVED </t>
  </si>
  <si>
    <t>sp|P33537|DPOM_NEUCR</t>
  </si>
  <si>
    <t>Neurospora crassa (strain ATCC 24698 / 74-OR23-1A / CBS 708.71 / DSM 1257 / FGSC 987)</t>
  </si>
  <si>
    <t>P33537 24698 74 OR23 1A 708 71 1257 987 3 1 Q54FS1 Y0639_DICDI DDB_G0290639 4 P81305 Y22B_METJA MJ0226 2 43067 2661 10045 100440 Q8VIH8 CST14_RAT 14 CST14 Q8VII3 CST14_MOUSE Q8RAE6 5 Q5RAL8 OX2G_PONAB CD200</t>
  </si>
  <si>
    <t xml:space="preserve">DPOM_NEUCR PROBABLE DNA POLYMERASE OS NEUROSPORA CRASSA STRAIN ATCC CBS DSM FGSC PE SV FNIP REPEAT CONTAINING DICTYOSTELIUM DISCOIDEUM GN UNCHARACTERIZED METHANOCALDOCOCCUS JANNASCHII JAL JCM NBRC CYSTATIN RATTUS NORVEGICUS MUS MUSCULUS PROB_THETN GLUTAMATE KINASE THERMOANAEROBACTER TENGCONGENSIS PROB OX MEMBRANE GLYCOPROTEIN PONGO ABELII </t>
  </si>
  <si>
    <t>ND2 | 2A0302 | COG3889 | PRK09568 | 7TM_GPCR_Srz | MreD | MSP7_C | ND5 | DUF3381 | PRK09970 |</t>
  </si>
  <si>
    <t>332023857 EGI64081 1 25 322785340 EFZ12014 SINV_04027 242005635 XP_002423669 RBM25 212506838 EEB10931 156543116 XP_001605486 ENSANGP00000011728 340709878 XP_003393527 LOC100646974 2 340709876 XP_003393526 307191889 EFN75308 307171168 EFN63155 193636625 XP_001947291 LOC100162888 270003846 EFA00294 TCASGA2_TC003127</t>
  </si>
  <si>
    <t xml:space="preserve">RNA BINDING HYPOTHETICAL SIMILAR TO ISOFORM PROBABLE </t>
  </si>
  <si>
    <t>sp|B2RY56|RBM25_MOUSE</t>
  </si>
  <si>
    <t>B2RY56 RBM25_MOUSE 25 RBM25 1 P49756 RBM25_HUMAN 3 Q8WZK0 C839 10 38366 972 SPBC839 2 P53207 SNU71_YEAST U1 SNU71 204508 S288C A6ZV04 SNU71_YEAS7 YJM789 Q6CST6 SNU71_KLULA 8585 2359 70799 1267 1140 WM37 Q5R5F1 PRPF3_PONAB U4 U6 PRP3 PRPF3 Q922U1 PRPF3_MOUSE O43395 PRPF3_HUMAN Q5ZJ85 PRPF3_CHICK</t>
  </si>
  <si>
    <t xml:space="preserve">RNA BINDING OS MUS MUSCULUS GN PE SV HOMO SAPIENS YHRA_SCHPO UNCHARACTERIZED SCHIZOSACCHAROMYCES POMBE STRAIN ATCC SMALL NUCLEAR RIBONUCLEOPROTEIN COMPONENT SACCHAROMYCES CEREVISIAE KLUYVEROMYCES LACTIS CBS DSM NBRC NRRL Y PONGO ABELII GALLUS </t>
  </si>
  <si>
    <t>Uncharacterized protein - Gallus gallus - nucleotide binding - nucleic acid binding - mRNA processing</t>
  </si>
  <si>
    <t>PWI 1e-024| PWI 7e-019| 7TM_GPCR_Srz | nagA | Polysacc_synt | PRK07233 | PHA02792 | Tetraspannin | Phage_connect_1 | PHA03074 |</t>
  </si>
  <si>
    <t>Thiobacillus denitrificans ATCC 25259</t>
  </si>
  <si>
    <t>74318781 YP_316521 1 74058276 AAZ98716 224538131 ZP_03678670 BACCELL_03022 224520259 EEF89364</t>
  </si>
  <si>
    <t xml:space="preserve">OXIDOREDUCTASE FAD BINDING HYPOTHETICAL </t>
  </si>
  <si>
    <t>sp|P44811|GLPX_HAEIN</t>
  </si>
  <si>
    <t>Haemophilus influenzae (strain ATCC 51907 / DSM 11121 / KW20 / Rd)</t>
  </si>
  <si>
    <t>P44811 1 6 2 51907 11121 KW20 3 Q86I85 Y8566_DICDI DDB_G0271896 4 Q86JI5 PKS5_DICDI 5 PKS5 Q9H501 ESF1_HUMAN ESF1</t>
  </si>
  <si>
    <t xml:space="preserve">GLPX_HAEIN FRUCTOSE BISPHOSPHATASE CLASS OS HAEMOPHILUS INFLUENZAE STRAIN ATCC DSM RD GN GLPX PE SV UNCHARACTERIZED DICTYOSTELIUM DISCOIDEUM PROBABLE POLYKETIDE SYNTHASE HOMOLOG HOMO SAPIENS </t>
  </si>
  <si>
    <t>ND3 0.026| DUF2418 | ATP6 | ND4 | PRK15403 | HTH_CadR-PbrR | PRK05297 | PRK09116 | glnD | HlyIII |</t>
  </si>
  <si>
    <t>Posttranslational modification, protein turnover, chaperones, Transcription, Lipid transport and metabolism, Signal transduction mechanisms</t>
  </si>
  <si>
    <t>270046166 BAI50813 1 270046168 BAI50814 270046164 BAI50812 270046170 BAI50815 270046244 BAI50852 270046158 BAI50809 270046178 BAI50819 270046162 BAI50811 270046160 BAI50810 270046156 BAI50808</t>
  </si>
  <si>
    <t>Q9U6R6 1 2 P41263 RET4_CHICK 4 RBP4 Q5ECE3 P23593 P51910 P51909 P37153 Q32KY0 P34498 MOG1_CAEEL Q8SPI0</t>
  </si>
  <si>
    <t xml:space="preserve">PRCLN_TRIPT PROCALIN OS TRIATOMA PROTRACTA PE SV RETINOL BINDING GALLUS GN LOPAP_LONON LOPAP LONOMIA OBLIQUA APOD_RAT APOLIPOPROTEIN D RATTUS NORVEGICUS APOD APOD_MOUSE MUS MUSCULUS APOD_CAVPO CAVIA PORCELLUS APOD_RABIT ORYCTOLAGUS CUNICULUS APOD_BOVIN BOS TAURUS PROBABLE PRE MRNA SPLICING FACTOR ATP DEPENDENT RNA HELICASE MOG CAENORHABDITIS ELEGANS APOD_MACFA MACACA FASCICULARIS </t>
  </si>
  <si>
    <t>Triabin 2e-006| Lipocalin 0.077| antithrombin-III_like | 7TMR-DISM_7TM | K_trans | PHA02774 | PPV_E1_C | PRK12723 | COG5521 | PRK14508 |</t>
  </si>
  <si>
    <t>Xanthomonas campestris pv. campestris str. 8004</t>
  </si>
  <si>
    <t>21232480 NP_638397 1 66767436 YP_242198 21114266 AAM42321 66572768 AAY48178 188990541 YP_001902551 167732301 CAP50493 302151400 ADK97627 3 289667142 ZP_06488217 289663326 ZP_06484907 257455719 ZP_05620947 FTR1 257446847 EEV21862 256053349 XP_002570148 227287550 CAY17897 SMP_177310 145523676 XP_001447671 124415193 CAK80274 70942039 XP_741234 56519484 CAH86855 PC405053 00 0 335286688 XP_003355159</t>
  </si>
  <si>
    <t xml:space="preserve">CITRATE DEPENDENT IRON TRANSPORTER TONB OUTER MEMBRANE SIDEROPHORE RECEPTOR PRECURSOR CYTOCHROME OXIDASE SUBUNIT PERMEASE FAMILY HYPOTHETICAL UNNAMED PRODUCT C REACTIVE LIKE ISOFORM </t>
  </si>
  <si>
    <t>sp|O19062|CRP_PIG</t>
  </si>
  <si>
    <t>O19062 2 1 Q0D2K0 NIPA4_HUMAN NIPA4 NIPAL4 3 P52701 MSH6_HUMAN MSH6 Q8EUL6 Q7VQV3 Q8CFC1 Q8CD15 P42840 YN60_YEAST YNL320W 204508 S288C Q5R673 Q8IUF8</t>
  </si>
  <si>
    <t xml:space="preserve">CRP_PIG C REACTIVE OS SUS SCROFA GN CRP PE SV MAGNESIUM TRANSPORTER HOMO SAPIENS DNA MISMATCH REPAIR RSGA_MYCPE RIBOSOME BIOGENESIS GTPASE RSGA MYCOPLASMA PENETRANS MNME_BLOFL TRNA MODIFICATION MNME BLOCHMANNIA FLORIDANUS MINA_RAT MYC INDUCED NUCLEAR ANTIGEN RATTUS NORVEGICUS MINA MINA_MOUSE MUS MUSCULUS UNCHARACTERIZED MEMBRANE SACCHAROMYCES CEREVISIAE STRAIN ATCC MINA_PONAB PONGO ABELII MINA_HUMAN </t>
  </si>
  <si>
    <t>ND5 0.021| cdc6 | ND6 | PHA03072 | Tyr-DNA_phospho | TcdB_N | bacteriophage_lambda_lysozyme | wnt | Pox_LP_H2 | lef-8 |</t>
  </si>
  <si>
    <t>Aeromonas veronii B565</t>
  </si>
  <si>
    <t>330829573 YP_004392525 1 328804709 AEB49908 225734441 ACO25209 228861299 YP_002854322 148793095 ABR12624 194307579 ACF42309 49237382 YP_031663 LCDV1 81941480 Q6GZP1 084R_FRG3G 084R 47060200 AAT09744 82800127 ABB92338 50251247 BAD28027 50252177 BAD28172 47223906 CAG06083</t>
  </si>
  <si>
    <t xml:space="preserve">KAP FAMILY P LOOP DOMAIN CONTAINING PROLIFERATING CELL NUCLEAR ANTIGEN LIKE FULL UNCHARACTERIZED HYPOTHETICAL UNNAMED PRODUCT </t>
  </si>
  <si>
    <t>sp|Q6GZP1|084R_FRG3G</t>
  </si>
  <si>
    <t>Q6GZP1 084R_FRG3G 084R 3 FV3 4 1 A2BXZ8 MNMA_PROM5 2 9515 Q09716 YA3B_SCHPO C18B11 11 38366 972 SPAC18B11 Q9SH42 CRR6_ARATH 6 CRRSP6 Q99KN1 ARRD1_MOUSE ARRDC1 Q8N5I2 ARRD1_HUMAN P30957 RYR2_RABIT RYR2 Q8HUG9 RPC1A_CHLRE RPOC1A Q39YJ0 15 53774 7210 P0C6F8 R1A_BCHK3 1A HKU3</t>
  </si>
  <si>
    <t xml:space="preserve">UNCHARACTERIZED OS FROG VIRUS ISOLATE GOORHA GN PE SV TRNA SPECIFIC THIOURIDYLASE MNMA PROCHLOROCOCCUS MARINUS STRAIN MIT SCHIZOSACCHAROMYCES POMBE ATCC PROBABLE CYSTEINE RICH REPEAT SECRETORY ARABIDOPSIS THALIANA ARRESTIN DOMAIN CONTAINING MUS MUSCULUS HOMO SAPIENS RYANODINE RECEPTOR ORYCTOLAGUS CUNICULUS DNA DIRECTED RNA POLYMERASE SUBUNIT BETA N TERMINAL SECTION CHLAMYDOMONAS REINHARDTII FLIW_GEOMG FLAGELLAR ASSEMBLY FACTOR FLIW GEOBACTER METALLIREDUCENS GS DSM REPLICASE POLYPROTEIN BAT CORONAVIRUS </t>
  </si>
  <si>
    <t>Spore_III_AB | Rad9 | PRK11161 | DUF2974 | PRK10568 | QueT | SerH | Rab3 | Vezatin | Stk19 |</t>
  </si>
  <si>
    <t>Deferribacter desulfuricans SSM1</t>
  </si>
  <si>
    <t>291278796 YP_003495631 1 DEFDS_0381 290753498 BAI79875 322807070 CBZ04644 307266765 ZP_07548290 306918207 EFN48456 237796195 YP_002863747 229260863 ACQ51896 226950172 YP_002805263 226842326 ACO84992 224071283 XP_002191259 10 187778667 ZP_02995140 CLOSPO_02262 187772292 EDU36094 170759049 YP_001788076 169406038 ACA54449 170755903 YP_001782366 169121115 ACA44951 168183176 ZP_02617840 182673633 EDT85594</t>
  </si>
  <si>
    <t xml:space="preserve">HYPOTHETICAL CONSERVED PYRUVATE FLAVODOXIN OXIDOREDUCTASE FERREDOXIN SIMILAR TO ACYL COENZYME A DEHYDROGENASE FAMILY MEMBER </t>
  </si>
  <si>
    <t>sp|P19543|NIFJ_ENTAG</t>
  </si>
  <si>
    <t>Enterobacter agglomerans</t>
  </si>
  <si>
    <t>P19543 3 Q9UUG9 TSC2_SCHPO 2 38366 972 TSC2 1 A0M284 HIS4_GRAFK 5 4 KT0803 Q9LIB6 COBL8_ARATH 8 COBL8 Q1MPY2 MN1 00 P48338 YCX6_EUGGR 32 Q57838 Y395_METJA UPF0218 MJ0395 43067 2661 10045 100440 P03833 Q9WAB2 LMBD1_REOVL Q9WAB1 LMBD1_REOVJ D5</t>
  </si>
  <si>
    <t xml:space="preserve">NIFJ_ENTAG PYRUVATE FLAVODOXIN OXIDOREDUCTASE OS ENTEROBACTER AGGLOMERANS GN NIFJ PE SV TUBEROUS SCLEROSIS HOMOLOG SCHIZOSACCHAROMYCES POMBE STRAIN ATCC PHOSPHORIBOSYL IMIDAZOLE CARBOXAMIDE ISOMERASE GRAMELLA FORSETII HISA COBRA LIKE ARABIDOPSIS THALIANA RLMH_LAWIP RIBOSOMAL RNA LARGE SUBUNIT METHYLTRANSFERASE H LAWSONIA INTRACELLULARIS PHE RLMH UNCHARACTERIZED KDA IN RBCL ATPE INTERGENIC REGION EUGLENA GRACILIS METHANOCALDOCOCCUS JANNASCHII DSM JAL JCM NBRC NIFJ_KLEPN KLEBSIELLA PNEUMONIAE INNER CAPSID LAMBDA REOVIRUS TYPE LANG JONES </t>
  </si>
  <si>
    <t>Nckap1 | PRK11663 | PNPH-PUNA-XAPA | PHA00727 | PRK11068 | pyruv_ox_red | DUF2709 | PRK00955 | pepsin_A_like_plant | PRK14961 |</t>
  </si>
  <si>
    <t>Vitis vinifera</t>
  </si>
  <si>
    <t>297742744 CBI35378 3 225438271 XP_002271965 1 147789894 CAN76132 VITISV_022809 147775218 CAN68112 VITISV_040983 147844970 CAN83329 VITISV_034016 147834187 CAN73158 VITISV_017219 147787523 CAN68902 VITISV_031323 147827596 CAN61978 VITISV_038568 125557660 EAZ03196 OSI_25347 147865236 CAN81954 VITISV_014020</t>
  </si>
  <si>
    <t>sp|O29624|Y631_ARCFU</t>
  </si>
  <si>
    <t>Archaeoglobus fulgidus (strain ATCC 49558 / VC-16 / DSM 4304 / JCM 9628 / NBRC 100126)</t>
  </si>
  <si>
    <t>O29624 Y631_ARCFU AF_0631 49558 16 4304 9628 100126 4 1 A5GRE3 MQO_SYNR3 RCC307 3 Q7Y211 PP285_ARATH AT3G57430 H81 2 Q45733 CR9CA_BACTO CRY9CA A3DJK8 27405 1237 Q1LT72 HIS6_BAUCH Q64541 AT1A4_RAT ATP1A4 Q8MZR6 HYEP1_CTEFE EH1 B6YR05 CFP2</t>
  </si>
  <si>
    <t xml:space="preserve">UNCHARACTERIZED OS ARCHAEOGLOBUS FULGIDUS STRAIN ATCC VC DSM JCM NBRC GN PE SV PROBABLE MALATE QUINONE OXIDOREDUCTASE SYNECHOCOCCUS MQO PENTATRICOPEPTIDE REPEAT CONTAINING CHLOROPLASTIC ARABIDOPSIS THALIANA PCMP PESTICIDAL CRYSTAL BACILLUS THURINGIENSIS SUBSP TOLWORTHI TRUA_CLOTH TRNA PSEUDOURIDINE SYNTHASE A CLOSTRIDIUM THERMOCELLUM TRUA IMIDAZOLE GLYCEROL PHOSPHATE SUBUNIT HISF BAUMANNIA CICADELLINICOLA HOMALODISCA COAGULATA SODIUM POTASSIUM TRANSPORTING ATPASE ALPHA RATTUS NORVEGICUS JUVENILE HORMONE EPOXIDE HYDROLASE CTENOCEPHALIDES FELIS ATPG_AZOPC ATP GAMMA CHAIN AZOBACTEROIDES PSEUDOTRICHONYMPHAE GENOMOVAR ATPG </t>
  </si>
  <si>
    <t>Cytochrome_b_N 0.059| PRK13737 | CYTB | PRK15323 | tatC | Noggin | PPV_E2_N | PRK06860 | DUF2919 | lipid_A_htrB |</t>
  </si>
  <si>
    <t>Signal transduction mechanisms, Defense mechanisms</t>
  </si>
  <si>
    <t>Tetrahymena paravorax</t>
  </si>
  <si>
    <t>114329887 YP_740790 1 YMF77 114150120 ABI51699 11466282 NP_049597 ORF1386 5306158 AAD41942 AF160864_30 260910835 ZP_05917481 HMPREF6745_1436 260635044 EEX53088 114329835 YP_740739 114150068 ABI51648 60596104 AAX24602 340505592 EGR31909 IMG5_100600 221055619 XP_002258948 193809018 CAQ39721 70950920 XP_744742 56524821 CAH76971 340503261 EGR29867 IMG5_147100 194219894 XP_001918210 2</t>
  </si>
  <si>
    <t xml:space="preserve">HYPOTHETICAL HEME MATURASE UNKNOWN CONSERVED IN PLASMODIUM SPECIES KINASE LOW QUALITY POLYCYSTIC KIDNEY DISEASE LIKE </t>
  </si>
  <si>
    <t>sp|Q88920|RDRP_TVCV</t>
  </si>
  <si>
    <t>Turnip vein-clearing virus</t>
  </si>
  <si>
    <t>Q88920 3 1 C3L357 ADD_CLOB6 657 BA4 P47427 Y181_MYCGE MG181 Q05634 Q32KT5 CF136_BOVIN C6ORF136 2 Q54K74 DDB_G0287543 Q50292 Y195_MYCPN MPN_195 P48915 NU4M_CHOCR 4 ND4 B1KY93 A3 A7GC28 10281</t>
  </si>
  <si>
    <t xml:space="preserve">RDRP_TVCV REPLICASE LARGE SUBUNIT OS TURNIP VEIN CLEARING VIRUS PE SV ADENOSINE DEAMINASE CLOSTRIDIUM BOTULINUM STRAIN TYPE GN ADD UNCHARACTERIZED MYCOPLASMA GENITALIUM FASC_STRPU FASCIN STRONGYLOCENTROTUS PURPURATUS HOMOLOG BOS TAURUS YETL_DICDI ENDOPLASMIC RETICULUM TRANSMEMBRANE YET LIKE DICTYOSTELIUM DISCOIDEUM PNEUMONIAE NADH UBIQUINONE OXIDOREDUCTASE CHAIN CHONDRUS CRISPUS ADD_CLOBM LOCH MAREE ADD_CLOBL LANGELAND NCTC F </t>
  </si>
  <si>
    <t>ND6 3e-004| ND5 0.010| PHA02929 0.013| DUF2972 0.016| ND4 0.017| ND5 0.022| TIGR03766 0.027| ND2 0.038| ND4 0.092| 7TM_GPCR_Srz |</t>
  </si>
  <si>
    <t>145482137 XP_001427091 1 124394170 CAK59693 241953107 XP_002419275 223642615 CAX42865 124802231 XP_001347410 23494989 AAN35323 307190868 EFN74705 EAG_02898 68076051 XP_679945 56500805 CAH96202 PB103271 00 0 26553674 NP_757608 26453680 BAC44012 328697433 XP_001945528 2 LOC100163713 340509332 EGR34882 IMG5_001110 340500135 EGR27033 IMG5_202710 331244621 XP_003334950 AKL28 309313940 EFP90531</t>
  </si>
  <si>
    <t xml:space="preserve">HYPOTHETICAL UNNAMED PRODUCT NUCLEAR CONTROL ATPASE CONSERVED PLASMODIUM ABC TRANSPORTER ATP BINDING </t>
  </si>
  <si>
    <t>sp|Q00158|VG54_ICHVA</t>
  </si>
  <si>
    <t>Ictalurid herpesvirus 1 (strain Auburn)</t>
  </si>
  <si>
    <t>Q00158 VG54_ICHVA ORF54 1 4 Q12387 NAA25_YEAST MDM20 204508 S288C Q5UP50 YR588_MIMIV R588 MIMI_R588 Q758T7 MDM10_ASHGO 10 10895 109 51 9923 1056 MDM10 3 P18160 PYK1_DICDI PYK1</t>
  </si>
  <si>
    <t xml:space="preserve">UNCHARACTERIZED OS ICTALURID HERPESVIRUS STRAIN AUBURN GN PE SV N TERMINAL ACETYLTRANSFERASE B COMPLEX SUBUNIT SACCHAROMYCES CEREVISIAE ATCC ACANTHAMOEBA POLYPHAGA MIMIVIRUS MITOCHONDRIAL DISTRIBUTION MORPHOLOGY ASHBYA GOSSYPII CBS FGSC NRRL Y DUAL SPECIFICITY KINASE DICTYOSTELIUM DISCOIDEUM SPLA </t>
  </si>
  <si>
    <t>NDH_I_N 0.091| 7TM_GPCR_Srz | ND5 | MopB_Res-Cmplx1_Nad11-M | ND4 | spore_V_B | ND6 | ABC_membrane_2 | DUF2422 | NTF2 |</t>
  </si>
  <si>
    <t>307095114 ADN29863 1 6 322787068 EFZ13292 SINV_14495 307194528 EFN76820 332024947 EGI65134 307177334 EFN66507 156544544 XP_001607854 340709809 XP_003393493 170030742 XP_001843247 167867923 EDS31306 157124531 XP_001654091 108873937 EAT38162 91077062 XP_968655 270001738 EEZ98185 TCASGA2_TC000614</t>
  </si>
  <si>
    <t xml:space="preserve">PROTEASOME SUBUNIT ALPHA TYPE HYPOTHETICAL SIMILAR TO LIKE </t>
  </si>
  <si>
    <t>sp|P60901|PSA6_RAT</t>
  </si>
  <si>
    <t>P60901 PSA6_RAT 6 PSMA6 1 P60900 PSA6_HUMAN Q2YDE4 PSA6_BOVIN Q9QUM9 PSA6_MOUSE Q9XZJ4 PSA6_DROME PROSALPHA1 2 O81147 PSA6B_ARATH PAA2 O81146 PSA6A_ARATH PAA1 Q9XG77 PSA6_TOBAC O17586 PSA6_CAEEL O48551 PSA6_SOYBN</t>
  </si>
  <si>
    <t xml:space="preserve">PROTEASOME SUBUNIT ALPHA TYPE OS RATTUS NORVEGICUS GN PE SV HOMO SAPIENS BOS TAURUS MUS MUSCULUS DROSOPHILA MELANOGASTER B ARABIDOPSIS THALIANA A NICOTIANA TABACUM CAENORHABDITIS ELEGANS PAS GLYCINE MAX </t>
  </si>
  <si>
    <t>Proteasome subunit alpha type - Gallus gallus - threonine-type endopeptidase activity - nucleus - cytoplasm - ubiquitin-dependent protein catabolic process - peptidase activity - proteasome core complex, alpha-subunit complex - proteolysis involved in cellular protein catabolic process</t>
  </si>
  <si>
    <t>proteasome_alpha_type_6 2e-089| proteasome_alpha 1e-069| proteasome_protease_HslV 1e-043| Proteasome 4e-043| PRE1 2e-037| PRK03996 2e-036| proteasome_alpha_type_2 6e-034| arc_protsome_A 7e-034| proteasome_alpha_archeal 4e-033| proteasome_alpha_type_1 2e-030|</t>
  </si>
  <si>
    <t>156547281 XP_001605570 1 321476991 EFX87950 DAPPUDRAFT_305622 224101523 XP_002312315 222852135 EEE89682 241999468 XP_002434377 215497707 EEC07201 12850403 BAB28704 6755110 NP_036092 2 5 3 25008937 Q9R0E1 PLOD3_MOUSE LH3 5880317 AAD54618 AF046783_1 15145782 AAK00576 26329015 BAC28246 26354078 BAC40669 28175483 AAH43047 32493408 AAH54734 148687344 EDL19291 326926684 XP_003209528 91079260 XP_971902 AGAP005012 270004305 EFA00753 TCASGA2_TC003637 71895613 NP_001025728 53127049 CAG31006 RCJMB04_1I18 128485638 NP_835202 81883555 Q5U367 PLOD3_RAT 55250563 AAH85683 149062975 EDM13298</t>
  </si>
  <si>
    <t xml:space="preserve">SIMILAR TO GALACTOSE KINASE ISS HYPOTHETICAL GALACTOKINASE UNNAMED PRODUCT PROCOLLAGEN LYSINE OXOGLUTARATE DIOXYGENASE PRECURSOR FULL ALTNAME LYSYL HYDROXYLASE SHORT FLAGS N ACETYLGALACTOSAMINE LIKE PA </t>
  </si>
  <si>
    <t>sp|Q9R0E1|PLOD3_MOUSE</t>
  </si>
  <si>
    <t>Q9R0E1 PLOD3_MOUSE 2 5 3 PLOD3 1 Q5U367 PLOD3_RAT Q9SEE5 GALK1_ARATH GAL1 Q85431 PC1 4 Q5R6K5 PLOD3_PONAB O60568 PLOD3_HUMAN P24802 PLOD1_CHICK PLOD1 A5WDG8 Q8KA52</t>
  </si>
  <si>
    <t xml:space="preserve">PROCOLLAGEN LYSINE OXOGLUTARATE DIOXYGENASE OS MUS MUSCULUS GN PE SV RATTUS NORVEGICUS GALACTOKINASE ARABIDOPSIS THALIANA RDRP_RSVT RNA DEPENDENT POLYMERASE RICE STRIPE VIRUS ISOLATE T PONGO ABELII HOMO SAPIENS GALLUS ACCD_PSYWF ACETYL COENZYME A CARBOXYLASE CARBOXYL TRANSFERASE SUBUNIT BETA PSYCHROBACTER STRAIN PRWF ACCD UPPP_BUCAP UNDECAPRENYL DIPHOSPHATASE BUCHNERA APHIDICOLA SUBSP SCHIZAPHIS GRAMINUM UPPP </t>
  </si>
  <si>
    <t>PLN02521 0.077| ND2 | PHA02817 | ArsC_Yffb | 7TM_GPCR_Srz | ATP8 | TDT_C4-dicarb_trans | PRK13402 | PHA03014 | DUF1430 |</t>
  </si>
  <si>
    <t>296005161 XP_002808914 1 225631798 CAX64195 332523628 ZP_08399880 332314892 EGJ27877 156100241 XP_001615848 148804722 EDL46121 308070913 YP_003872518 PPE_04200 305860192 ADM71980 290580171 YP_003484563 SMUNN2025_0645 254997070 BAH87671 1813344 BAA11246 ORF4 257887123 ZP_05666776 257823177 EEV50109 118356597 XP_001011554 TTHERM_00734060 89293321 EAR91309 145524763 XP_001448209 124415742 CAK80812 340770981 EGR93496</t>
  </si>
  <si>
    <t xml:space="preserve">CYSTEINE REPEAT MODULAR DINUCLEAR METAL CENTER YBGI FAMILY HYPOTHETICAL CONSERVED UNNAMED PRODUCT </t>
  </si>
  <si>
    <t>sp|Q6BML9|ARP6_DEBHA</t>
  </si>
  <si>
    <t>Q6BML9 ARP6_DEBHA ARP6 36239 767 1990 0083 2968 3 2 O13977 JMJ1_SCHPO 1 38366 972 JMJ1 B9EKX1 CF138_MOUSE C6ORF138 A6Q1M3 SB155 Q8MIQ9 OCA2 P0CM82 COQ4_CRYNJ COQ4 JEC21 P0CM83 COQ4_CRYNB 3501A Q6FY30 SBE2_CANGA SBE2 2001 138 3761 0622 65 Q05FH8 Q8T0S6</t>
  </si>
  <si>
    <t xml:space="preserve">ACTIN LIKE OS DEBARYOMYCES HANSENII STRAIN ATCC CBS JCM NBRC IGC GN PE SV JMJC DOMAIN CONTAINING SCHIZOSACCHAROMYCES POMBE PATCHED HOMOLOG MUS MUSCULUS RPOB_NITSB DNA DIRECTED RNA POLYMERASE SUBUNIT BETA NITRATIRUPTOR RPOB P_PIG P SUS SCROFA UBIQUINONE BIOSYNTHESIS MITOCHONDRIAL CRYPTOCOCCUS NEOFORMANS VAR SEROTYPE D B CANDIDA GLABRATA NRRL Y RPOB_CARRP CARSONELLA RUDDII PV HIPPO_DROME SERINE THREONINE KINASE HIPPO DROSOPHILA MELANOGASTER HPO </t>
  </si>
  <si>
    <t>ND4 0.020| ND4 | PRK04841 | DUF3169 | TAF8_C | tatC | MH2 | eno | Herpes_UL95 | PHA03047 |</t>
  </si>
  <si>
    <t>Chromatin structure and dynamics, Cell cycle control, cell division, chromosome partitioning, Replication, recombination and repair</t>
  </si>
  <si>
    <t>149689168 ABR27939 1 225571109 ZP_03780126 CLOHYLEM_07215 225160190 EEG72809 255721201 XP_002545535 CTRG_00316 240136024 EER35577 166030769 ZP_02233598 DORFOR_00443 166029351 EDR48108 320195984 EFW70608</t>
  </si>
  <si>
    <t xml:space="preserve">HHH MOTIF CONTAINING SECRETED HYPOTHETICAL MOLYBDATE METABOLISM REGULATOR </t>
  </si>
  <si>
    <t>sp|A7H2A2|TRMB_CAMJD</t>
  </si>
  <si>
    <t>Campylobacter jejuni subsp. doylei (strain ATCC BAA-1458 / RM4099 / 269.97)</t>
  </si>
  <si>
    <t>A7H2A2 7 1458 RM4099 269 97 3 1 C3K9Q0 GLO2_PSEFS SBW25 P21228 2 Q7V4V8 9313 O97239 DOP1_PLAF7 PFC0245C 3D7 Q04906 BMP6_RAT 6 BMP6 P20722 BMP6_MOUSE P22004 BMP6_HUMAN A2CAW2 MEND_PROM3 5 9303 Q5HTI5 RM1221</t>
  </si>
  <si>
    <t xml:space="preserve">TRMB_CAMJD TRNA GUANINE N METHYLTRANSFERASE OS CAMPYLOBACTER JEJUNI SUBSP DOYLEI STRAIN ATCC BAA GN TRMB PE SV HYDROXYACYLGLUTATHIONE HYDROLASE PSEUDOMONAS FLUORESCENS GLOB ALCR_EMENI REGULATORY ALCR EMERICELLA NIDULANS RNPH_PROMM RIBONUCLEASE PH PROCHLOROCOCCUS MARINUS MIT RPH DOPEY HOMOLOG PLASMODIUM FALCIPARUM ISOLATE BONE MORPHOGENETIC RATTUS NORVEGICUS MUS MUSCULUS HOMO SAPIENS SUCCINYL ENOLPYRUVYL HYDROXY CYCLOHEXENE CARBOXYLATE SYNTHASE MEND TRMB_CAMJR </t>
  </si>
  <si>
    <t>TOPRIM_TopoIA_TopoIII | Cohesin_load | PRK14226 | DUF1109 | PRK11251 | DUF3537 | PLN02707 | PRK10841 | Herpes_UL92 | MPP_CG11883_N |</t>
  </si>
  <si>
    <t>263173291 ACY69902 1 L10 239799146 BAH70506 ACYPI007451 209915545 NP_001129594 268306444 ACY95343 242009032 XP_002425297 60S 212509062 EEB12559 315115483 ADT80714 160947858 ABX54738 14010642 AAK52067 AF368032_1 301051599 ADK54937 121543685 ABM55536</t>
  </si>
  <si>
    <t xml:space="preserve">RIBOSOMAL QM </t>
  </si>
  <si>
    <t>sp|O96647|RL10_BOMMA</t>
  </si>
  <si>
    <t>Bombyx mandarina</t>
  </si>
  <si>
    <t>O96647 RL10_BOMMA 60S L10 RPL10 2 1 O61231 RL10_DROME Q4R4D3 RL10L_MACFA RPL10L Q5R931 RL10_PONAB 3 A8D8X1 RL10_SHEEP Q6PDV7 RL10_RAT Q29195 RL10_PIG A9CB60 RL10_PAPAN Q6ZWV3 RL10_MOUSE Q4R7Y2 RL10_MACFA</t>
  </si>
  <si>
    <t xml:space="preserve">RIBOSOMAL OS BOMBYX MANDARINA GN PE SV DROSOPHILA MELANOGASTER QM LIKE MACACA FASCICULARIS PONGO ABELII OVIS ARIES RATTUS NORVEGICUS SUS SCROFA PAPIO ANUBIS MUS MUSCULUS </t>
  </si>
  <si>
    <t>Ribosomal protein L10 - Drosophila melanogaster - translation - cytosolic large ribosomal subunit - structural constituent of ribosome - ribosome - lipid particle - mitotic spindle organization - mitotic spindle elongation - cytoplasm - neuronal cell body</t>
  </si>
  <si>
    <t>PTZ00173 2e-063| L10e 5e-031| rpl10e 1e-024| Ribosomal_L16_L10e 2e-017| Ribosomal_L16 2e-015| RplP 6e-013| PIF | COPIIcoated_ERV | AmoA | tonB_Cterm |</t>
  </si>
  <si>
    <t>17136570 NP_476776 1 L40 58390190 XP_317555 2 AGAP007927 125986696 XP_001357111 GA15543 157113624 XP_001652028 170032305 XP_001844022 194758697 XP_001961598 GF15052 194855956 XP_001968650 GG24988 195035911 XP_001989415 GH10063 195114034 XP_002001572 GI16482 195160144 XP_002020936 GL13989 195401058 XP_002059131 GJ16220 195437464 XP_002066660 GK24609 195471224 XP_002087905 RPL40 195550845 XP_002076117 GD12014 302393715 P18101 RL40_DROME 60S CEP52 16118870 AAL14636 AF418984_1 52 8779 CAA37227 8785 CAA42568 7295730 AAF51034 16074119 CAC94469 18447400 AAL68264 RE10554P 38047797 AAR09801 38048585 AAR10195 54645438 EAL34177 55237763 EAA12215 56417572 AAV90727 108877674 EAT41899 114864908 ABI83782 167872308 EDS35691 190615295 EDV30819 190660517 EDV57709 193905415 EDW04282 193912147 EDW11014 194117886 EDW39929 194156005 EDW71189 194162745 EDW77646 194174006 EDW87617 194201766 EDX15342 208657505 ACI30049 220947932 ACL86509 220957162 ACL91124 255710365 ACU31002 270211317 ACZ64922 312374067</t>
  </si>
  <si>
    <t xml:space="preserve">RIBOSOMAL PA ANOPHELES STEPHENSI UBIQUITIN FULL ALTNAME CONTAINS FLAGS PRECURSOR AMINO ACID FUSION UNNAMED PRODUCT EXTENSION SIMILAR TO DROSOPHILA MELANOGASTER HYPOTHETICAL ISOFORM UBQ LIKE </t>
  </si>
  <si>
    <t>sp|P18101|RL40_DROME</t>
  </si>
  <si>
    <t>P18101 RL40_DROME 60S L40 RPL40 1 2 P0C276 RL40_SHEEP UBA52 P62986 RL40_RAT P0C275 RL40_PONPY P63053 RL40_PIG P68205 RL40_OPHHA P62984 RL40_MOUSE P0C273 RL40_MACFA P62987 RL40_HUMAN P63052 RL40_FELCA</t>
  </si>
  <si>
    <t xml:space="preserve">UBIQUITIN RIBOSOMAL OS DROSOPHILA MELANOGASTER GN PE SV OVIS ARIES RATTUS NORVEGICUS PONGO PYGMAEUS SUS SCROFA OPHIOPHAGUS HANNAH MUS MUSCULUS MACACA FASCICULARIS HOMO SAPIENS FELIS CATUS </t>
  </si>
  <si>
    <t>Ribosomal protein L40 - Drosophila melanogaster - translation - structural constituent of ribosome - protein modification process - ubiquitin-dependent protein catabolic process - cytosolic large ribosomal subunit - ribosome - ribosome biogenesis - cytoplasm - regulation of transcription, DNA-dependent - nucleus - response to stress - proteolysis - chromatin organization - lipid particle - microtubule associated complex</t>
  </si>
  <si>
    <t>Ubiquitin 3e-035| ubiquitin 5e-027| Ribosomal_L40e 2e-024| UBL 7e-022| Nedd8 2e-021| UBQ 1e-019| PTZ00044 4e-017| Rad60-SLD 2e-014| Scythe_N 7e-013| RAD23_N 2e-012|</t>
  </si>
  <si>
    <t>Paramecium caudatum</t>
  </si>
  <si>
    <t>299830290 YP_003734454 1 299507849 CAZ66833 302151381 ADK97610 2 297799676 XP_002867722 297313558 EFH43981 242043636 XP_002459689 SORBIDRAFT_02G008855 241923066 EER96210 340503691 EGR30229 IMG5_137410 269120148 YP_003308325 STERM_1535 268614026 ACZ08394 169334046 ZP_02861239 ANASTE_00439 169258763 EDS72729 302151401 ADK97628 4 217070636 ACJ83678 254780708 YP_003065121 254040385 ACT57181</t>
  </si>
  <si>
    <t xml:space="preserve">HEME MATURASE NADH DEHYDROGENASE SUBUNIT HYPOTHETICAL UNKNOWN INTRACELLULAR SEPTATION A </t>
  </si>
  <si>
    <t>sp|P07709|NU6M_DROYA</t>
  </si>
  <si>
    <t>P07709 NU6M_DROYA 6 ND6 3 2 B8D7H2 TUC7 1 P57363 B8D968 ISPZ_BUCA5 5A P42397 Q8HEC1 NU2M_CAEBR ND2 Q54UX2 Y8253_DICDI DDB_G0280807 4 Q057W3 Q0PA12 P04540 NU5M_TRYBB 5 ND5</t>
  </si>
  <si>
    <t xml:space="preserve">NADH UBIQUINONE OXIDOREDUCTASE CHAIN OS DROSOPHILA YAKUBA GN MT PE SV ISPZ_BUCAT PROBABLE INTRACELLULAR SEPTATION BUCHNERA APHIDICOLA SUBSP ACYRTHOSIPHON PISUM STRAIN ISPZ ISPZ_BUCAI ISPZ_BUCAP SCHIZAPHIS GRAMINUM CAENORHABDITIS BRIGGSAE UNCHARACTERIZED TRANSMEMBRANE DICTYOSTELIUM DISCOIDEUM NUON_BUCCC QUINONE SUBUNIT N CINARA CEDRI NUON FTSK_CAMJE DNA TRANSLOCASE FTSK CAMPYLOBACTER JEJUNI TRYPANOSOMA BRUCEI </t>
  </si>
  <si>
    <t>TIGR03766 4e-004| ND5 0.003| 7TM_GPCR_Srz 0.003| DUF443 0.006| YfhO 0.009| MopB_Res-Cmplx1_Nad11-M 0.042| Ninjurin 0.047| yajC 0.052| ND2 0.071| ND2 0.091|</t>
  </si>
  <si>
    <t>307095134 ADN29873 1 P450 91081161 XP_975572 270006370 EFA02818 6BQ4 91081165 XP_975576 CYP6BK17 270006369 EFA02817 6BQ2 91081157 XP_975569 270006372 EFA02820 6BQ6 57158231 BAD84176 328720616 XP_001945100 2 6A14 328712333 XP_001943630 6A13 170063838 XP_001867277 6B5 167881328 EDS44711 270016185 EFA12633 6BK5 282847465 NP_001164281 161344971 ABX64450</t>
  </si>
  <si>
    <t xml:space="preserve">CYTOCHROME LIKE SIMILAR TO PROBABLE </t>
  </si>
  <si>
    <t>sp|Q9V4U9|C6A13_DROME</t>
  </si>
  <si>
    <t>Q9V4U9 C6A13_DROME P450 6A13 CYP6A13 1 P82711 C6A19_DROME 6A19 CYP6A19 Q9V4U7 C6A14_DROME 6A14 CYP6A14 3 2 Q9V770 C6A17_DROME 6A17 CYP6A17 Q9V771 C6A23_DROME 6A23 CYP6A23 Q9V773 C6A20_DROME 6A20 CYP6A20 Q964T2 CP9E2_BLAGE 9E2 CYP9E2 Q27902 CP6B4_PAPGL 6B4 CYP6B4 Q9GQM9 CP6L1_BLAGE 6L1 CYP6L1 P33270 CP6A2_DROME 6A2 CYP6A2</t>
  </si>
  <si>
    <t xml:space="preserve">PROBABLE CYTOCHROME OS DROSOPHILA MELANOGASTER GN PE SV BLATTELLA GERMANICA PAPILIO GLAUCUS </t>
  </si>
  <si>
    <t>p450 2e-049| PTZ00404 9e-021| CypX 3e-020| PLN02290 4e-020| PLN02302 3e-017| PLN02936 4e-017| PLN02183 1e-015| PLN02655 4e-015| PLN02394 7e-015| PLN02738 3e-014|</t>
  </si>
  <si>
    <t>Corynebacterium ammoniagenes DSM 20306</t>
  </si>
  <si>
    <t>296118962 ZP_06837535 1 295968060 EFG81312 242237642 YP_002985823 242129699 ACS84001 333367428 ZP_08459693 332978710 EGK15404 340716578 XP_003396774 LOC100649883 2 340716576 XP_003396773 15606488 NP_213868 6014736 O67304 2983694 AAC07258 313144269 ZP_07806462 313129300 EFR46917 224437821 ZP_03658768 332795996 YP_004457496 AHOS_0307 332693731 AEE93198 327479040 AEA82350</t>
  </si>
  <si>
    <t xml:space="preserve">CARBON STARVATION REGULATORY CARBOXYLATE AMINO ACID AMINE TRANSPORTER CSTA HYPOTHETICAL ISOFORM A CSTA_AQUAE FULL HOMOLOG INNER MEMBRANE </t>
  </si>
  <si>
    <t>sp|O67304|CSTA_AQUAE</t>
  </si>
  <si>
    <t>Aquifex aeolicus</t>
  </si>
  <si>
    <t>O67304 3 1 Q8BPM6 RIC3_MOUSE RIC3 2 Q7Z5B4 RIC3_HUMAN C5M545 M28P1_CANTT CTRG_02023 3404 T1 Q2SS60 27343 10154 B9WCV6 M28P1_CANDC CD36_24500 CD36 7987 3949 17841 P48583 ERD2_CAEEL</t>
  </si>
  <si>
    <t xml:space="preserve">CSTA_AQUAE CARBON STARVATION A HOMOLOG OS AQUIFEX AEOLICUS GN CSTA PE SV RIC MUS MUSCULUS HOMO SAPIENS PROBABLE ZINC METALLOPROTEASE CANDIDA TROPICALIS STRAIN ATCC MYA RUVA_MYCCT HOLLIDAY JUNCTION ATP DEPENDENT DNA HELICASE RUVA MYCOPLASMA CAPRICOLUM SUBSP CALIFORNIA KID NCTC DUBLINIENSIS CBS NCPF NRRL Y ER LUMEN RETAINING RECEPTOR CAENORHABDITIS ELEGANS ERD </t>
  </si>
  <si>
    <t>ICE2 | SQR_TypeA_SdhC_like | CstA | FeoB | ND1 | DUF2304 | ND6 | PLN02810 | 8TM_EpsH | Cyt_b561_CYB561 |</t>
  </si>
  <si>
    <t>307095102 ADN29857 1 305377014 BAJ15870 305377018 BAJ15872 305377016 BAJ15871 40786900 AAR89978 45387425 AAS60203 170047706 XP_001851353 167870036 EDS33419 195109510 XP_001999327 GI23129 193915921 EDW14788 91094797 XP_966355 270006580 EFA03028 TCASGA2_TC010452 110456552 ABG74723 328713093 XP_001948740 2 312371895 EFR19964 AND_20869</t>
  </si>
  <si>
    <t xml:space="preserve">ELONGATION FACTOR ALPHA CONSERVED HYPOTHETICAL SIMILAR TO ISOFORM LIKE </t>
  </si>
  <si>
    <t>P05303 EF1A2_DROME 1 2 EF1ALPHA100E P19039 EF1A_APIME 3 P08736 EF1A1_DROME EF1ALPHA48D P02993 EF1A_ARTSA P29520 EF1A_BOMMO P27634 EF1A_RHYAM O42820 EF1A_SCHCO TEF1 P40911 EF1A_AJECG 26029 G186AR H82 2432 Q9HDF6 EF1A_PIRIN O59949 EF1A_YARLI 122 150</t>
  </si>
  <si>
    <t xml:space="preserve">ELONGATION FACTOR ALPHA OS DROSOPHILA MELANOGASTER GN PE SV APIS MELLIFERA ARTEMIA SALINA BOMBYX MORI FRAGMENT RHYNCHOSCIARA AMERICANA SCHIZOPHYLLUM COMMUNE AJELLOMYCES CAPSULATA STRAIN ATCC RMSCC TEF PIRIFORMOSPORA INDICA YARROWIA LIPOLYTICA CLIB E </t>
  </si>
  <si>
    <t>PTZ00141 2e-026| PLN00043 6e-021| EF1_alpha_III 2e-018| PRK12317 2e-018| EF-1_alpha 2e-017| TEF1 1e-013| GTP_EFTU_D3 2e-013| Translation_factor_III 4e-009| eRF3c_III 6e-008| HBS1_C 3e-004|</t>
  </si>
  <si>
    <t>242007348 XP_002424503 1 212507921 EEB11765 322796731 EFZ19164 SINV_11049 307214020 EFN89227 156547279 XP_001605527 91092834 XP_966347 270003076 EEZ99523 TCASGA2_TC000104 66512104 XP_623269 LOC550875 332019509 EGI59988 307170453 EFN62723 340716633 XP_003396800 157119744 XP_001659485 94468910 ABF18304 MBF1 108875201 EAT39426</t>
  </si>
  <si>
    <t xml:space="preserve">CONSERVED HYPOTHETICAL ENDOTHELIAL DIFFERENTIATION RELATED FACTOR LIKE SIMILAR TO MULTIPROTEIN BRIDGING ISOFORM HOMOLOG TRANSCRIPTION </t>
  </si>
  <si>
    <t>sp|Q6GPQ6|EDF1_XENLA</t>
  </si>
  <si>
    <t>Q6GPQ6 EDF1_XENLA 1 EDF1 2 O94700 MBF1_SCHPO 38366 972 MBF1 Q6CIP4 MBF1_KLULA 8585 2359 70799 1267 1140 WM37 3 Q8TG23 MBF1_YARLI 122 150 Q5ZMC0 EDF1_CHICK O60869 EDF1_HUMAN Q3T0V7 EDF1_BOVIN P69736 EDF1_RAT Q9JMG1 EDF1_MOUSE Q752P7 MBF1_ASHGO 10895 109 51 9923 1056</t>
  </si>
  <si>
    <t xml:space="preserve">ENDOTHELIAL DIFFERENTIATION RELATED FACTOR HOMOLOG OS XENOPUS LAEVIS GN PE SV MULTIPROTEIN BRIDGING SCHIZOSACCHAROMYCES POMBE STRAIN ATCC KLUYVEROMYCES LACTIS CBS DSM NBRC NRRL Y MULTI BINDING YARROWIA LIPOLYTICA CLIB E GALLUS HOMO SAPIENS BOS TAURUS RATTUS NORVEGICUS MUS MUSCULUS ASHBYA GOSSYPII FGSC </t>
  </si>
  <si>
    <t>transcriptional coactivator, multiprotein bridging factor Mbf1 - Schizosaccharomyces pombe - nucleus - DNA binding - transcription coactivator activity - positive regulation of transcription from RNA polymerase II promoter - nucleolus - cytosol - sequence-specific DNA binding</t>
  </si>
  <si>
    <t>COG1813 5e-014| HTH_3 1e-009| HTH_XRE 2e-009| TIGR00270 4e-008| HTH_XRE 5e-008| HipB 4e-004| PRK06424 0.001| COG1709 0.008| PHA01976 0.018| HTH_19 0.028|</t>
  </si>
  <si>
    <t>Saccharomyces cerevisiae</t>
  </si>
  <si>
    <t>1334436 CAA24062 1 COX1 OXI3 3 260174469 ZP_05760881 315922735 ZP_07918975 313696610 EFS33445 228962888 ZP_04124130 BTHUR0005_61310 228796789 EEM44157 227810110 ZP_03989023 226904690 EEH90608 12249144 NP_066195 2 12248308 AAG13135 300706044 XP_002995334 NCER_101811 239604367 EEQ81663 324328371 ADY23631 324323989 ADY25032 324324629 ADY19889 95102488 ABF51180 218669810 ACL00382 218669812 ACL00383</t>
  </si>
  <si>
    <t xml:space="preserve">INTRON GLYCOSYL TRANSFERASE GROUP HYPOTHETICAL MAJOR FACILITATOR TRANSPORTER CYTOCHROME C OXIDASE SUBUNIT III TRANSPOSASE POLYPROTEIN </t>
  </si>
  <si>
    <t>sp|P03303|POLG_HRV14</t>
  </si>
  <si>
    <t>Human rhinovirus 14</t>
  </si>
  <si>
    <t>P03303 POLG_HRV14 14 1 3 Q80W93 2 Q8CPB5 12228 4 Q5HPH6 35984 RP62A Q6N021 TET2_HUMAN TET2 Q25802 RPOC2_PLAFA RPOC2 B3L4S4 COQ4_PLAKH COQ4 PKH_090950 P29533 VCAM1_MOUSE VCAM1 Q82081 POLG_HRV3 B9W7S3 CD36 7987 3949 17841 ARG2</t>
  </si>
  <si>
    <t xml:space="preserve">GENOME POLYPROTEIN OS HUMAN RHINOVIRUS PE SV HYDIN_MOUSE HYDROCEPHALUS INDUCING MUS MUSCULUS GN HYDIN TYRA_STAES PREPHENATE DEHYDROGENASE STAPHYLOCOCCUS EPIDERMIDIS STRAIN ATCC TYRA TYRA_STAEQ METHYLCYTOSINE DIOXYGENASE HOMO SAPIENS DNA DIRECTED RNA POLYMERASE SUBUNIT BETA PLASMODIUM FALCIPARUM UBIQUINONE BIOSYNTHESIS HOMOLOG MITOCHONDRIAL KNOWLESI H VASCULAR CELL ADHESION FRAGMENT NAGS_CANDC AMINO ACID ACETYLTRANSFERASE CANDIDA DUBLINIENSIS CBS NCPF NRRL Y </t>
  </si>
  <si>
    <t>PRK07165 | MviN | PRK07691 | COG4296 | PRK15407 | PLDc_DNaseII_alpha_1 | rpl4 | tpt | recB | PLN02748 |</t>
  </si>
  <si>
    <t>118372037 XP_001019216 1 89300983 EAR98971 328777036 XP_395812 4 129 66358552 XP_626454 46227828 EAK88748 CGD2_2520 34762897 ZP_00143879 27887424 EAA24512 313673417 YP_004051528 312940173 ADR19365 157737534 YP_001490217 157699388 ABV67548 301353221 YP_003795218 S4 290573169 ADD46356 298383908 ZP_06993469 298263512 EFI06375 123438677 XP_001310118 121891874 EAX97188 29349644 NP_813147 29341554 AAO79341</t>
  </si>
  <si>
    <t xml:space="preserve">LEUCINE RICH REPEAT FAMILY TRANSMEMBRANE LIKE HYPOTHETICAL TRANSCRIPTIONAL REGULATOR TETR FLAGELLAR HOOK CAPPING TWO COMPONENT REGULATORY SENSOR KINASE KDPD RIBOSOMAL SYSTEM HISTIDINE RESPONSE HYBRID ONE VIRAL A TYPE INCLUSION </t>
  </si>
  <si>
    <t>sp|Q7VBZ5|SYL_PROMA</t>
  </si>
  <si>
    <t>Prochlorococcus marinus</t>
  </si>
  <si>
    <t>Q7VBZ5 3 1 Q06SJ3 RR4_STIHE 30S S4 RPS4 Q9ZDS0 Y255_RICPR RP255 4 Q54FK5 RABN1_DICDI RABN1 Q9QB92 MCES_YMTV5 VR587 89L B8HMS3 KAD_CYAP4 7425 29141 Q8IC19 YPF13_PLAF7 PF07_0021 3D7 P12222 YCF1_TOBAC YCF1 2 Q3C1P6 YCF1_NICSY Q8D3J6</t>
  </si>
  <si>
    <t xml:space="preserve">SYL_PROMA LEUCYL TRNA SYNTHETASE OS PROCHLOROCOCCUS MARINUS GN LEUS PE SV RIBOSOMAL CHLOROPLASTIC STIGEOCLONIUM HELVETICUM UNCHARACTERIZED RICKETTSIA PROWAZEKII STRAIN MADRID E RAS RELATED DICTYOSTELIUM DISCOIDEUM MRNA CAPPING ENZYME SMALL SUBUNIT YABA MONKEY TUMOR VIRUS ADENYLATE KINASE CYANOTHECE PCC ATCC ADK PLASMODIUM FALCIPARUM ISOLATE MEMBRANE NICOTIANA TABACUM SYLVESTRIS A ATPD_WIGBR ATP SYNTHASE DELTA WIGGLESWORTHIA GLOSSINIDIA BREVIPALPIS ATPH </t>
  </si>
  <si>
    <t>COG5409 | COG5329 | K_tetra | COG2194 | PLN03140 | ND2 | COX3 | TEL1 | alcohol_DH_class_I_II_IV | PHA03156 |</t>
  </si>
  <si>
    <t>160331811 XP_001712612 1 HAN_3G485 159766061 ABW98287 162606450 XP_001713255 90 12580721 CAC27039 116334993 YP_802488 3 116235274 BAF35122 261332097 CBH15090 160331759 XP_001712586 HAN_3G459 159766035 ABW98261 160331681 XP_001712547 HAN_3G412 159765996 ABW98222 68067815 XP_675840 56495251 CAH98207 269862705 XP_002650943 EBI_25757 220065379 EED43115 70913751 XP_731621 56501657 CAH82433 PC400006 00 0 223931100 YP_002586964 SYRUC_P073 219562314 ACL27645</t>
  </si>
  <si>
    <t xml:space="preserve">HYPOTHETICAL TATA BOX BINDING ASSOCIATED FACTOR CHAIN TAFII TRANSLATION INITIATION IF UNLIKELY CONSERVED </t>
  </si>
  <si>
    <t>sp|Q89B37|GYRB_BUCBP</t>
  </si>
  <si>
    <t>Q89B37 3 1 A1D0A3 1020 3700 A1164 181 Q6PFT9 AB1IP_DANRE A4 APBB1IP 2 Q54MI8 Y5861_DICDI DDB_G0285949 4 O31886 SPBC2 Q86AD2 SMN1_DICDI GEMIN1 A5IZG5 PG2 P41695 BUB1_YEAST BUB1 204508 S288C Q58615 Y1218_METJA MJ1218 43067 2661 10045 100440 O51769</t>
  </si>
  <si>
    <t xml:space="preserve">GYRB_BUCBP DNA GYRASE SUBUNIT B OS BUCHNERA APHIDICOLA SUBSP BAIZONGIA PISTACIAE STRAIN BP GN GYRB PE SV AGALB_NEOFI PROBABLE ALPHA GALACTOSIDASE NEOSARTORYA FISCHERI ATCC DSM FGSC NRRL AGLB AMYLOID BETA PRECURSOR BINDING FAMILY MEMBER INTERACTING DANIO RERIO UNCHARACTERIZED TRANSMEMBRANE DICTYOSTELIUM DISCOIDEUM YOSC_BACSU PROPHAGE DERIVED YOSC BACILLUS SUBTILIS COMPONENT GEMS DER_MYCAP GTPASE DER MYCOPLASMA AGALACTIAE CHECKPOINT SERINE THREONINE KINASE SACCHAROMYCES CEREVISIAE METHANOCALDOCOCCUS JANNASCHII JAL JCM NBRC SBCD_BORBU NUCLEASE SBCCD D BORRELIA BURGDORFERI SBCD </t>
  </si>
  <si>
    <t>malE 0.004| ndhF 0.006| ND6 0.036| ND5 0.051| COPI_assoc 0.057| ND5 0.067| Methylase_S 0.090| Oxidored_q4 | NS3_envE | ycf1 |</t>
  </si>
  <si>
    <t>Plasmodium knowlesi strain H</t>
  </si>
  <si>
    <t>221061751 XP_002262445 1 193811595 CAQ42323 329116721 ZP_08245438 326907126 EGE54040 189464555 ZP_03013340 BACINT_00898 189438345 EDV07330 333904659 YP_004478530 333119924 AEF24858 290580816 YP_003485208 254997715 BAH88316 24379180 NP_721135 47605487 Q8DV10 24377089 AAN58441 AE014914_3 11465866 NP_066415 5 10505199 AAG18381 AF287134_6 118363686 XP_001015067 TTHERM_00717450 89296834 EAR94822 332523059 ZP_08399311 332314323 EGJ27308 313889916 ZP_07823556 313121682 EFR44781</t>
  </si>
  <si>
    <t xml:space="preserve">HYPOTHETICAL CONSERVED IN APICOMPLEXAN SPECIES PHOSPHOENOLPYRUVATE CARBOXYLASE CAPP_STRMU FULL SHORT PEPC PEPCASE NADH DEHYDROGENASE SUBUNIT CARBOXYKINASE GTP </t>
  </si>
  <si>
    <t>sp|Q8DV10|CAPP_STRMU</t>
  </si>
  <si>
    <t>Streptococcus mutans</t>
  </si>
  <si>
    <t>Q8DV10 3 1 P0DC99 M3 A2RFQ7 M5 Q8P1W7 CAPP_STRP8 M18 Q5XD52 CAPP_STRP6 M6 2 P0DC98 CAPP_STRP3 Q9A0U7 CAPP_STRP1 M1 A3CP10 SK36 A8AW99 35105 CH1 DL1 V288 Q8E0H2 CAPP_STRA5</t>
  </si>
  <si>
    <t xml:space="preserve">CAPP_STRMU PHOSPHOENOLPYRUVATE CARBOXYLASE OS STREPTOCOCCUS MUTANS GN PPC PE SV CAPP_STRPQ PYOGENES SEROTYPE STRAIN SSI CAPP_STRPG MANFREDO CAPP_STRSV SANGUINIS CAPP_STRGC GORDONII CHALLIS ATCC AGALACTIAE V </t>
  </si>
  <si>
    <t>COG4906 | MSG | TAS2R | Pat_PNPLA3 | PTZ00399 | SO | COX1 | Borrelia_orfA | NAD_Gly3P_dh_N | NPR2 |</t>
  </si>
  <si>
    <t>Nosema ceranae BRL01</t>
  </si>
  <si>
    <t>300708250 XP_002996308 1 NCER_100615 239605599 EEQ82637 257467779 ZP_05631875 FULCA4_00507 317062071 ZP_07926556 313687747 EFS24582 116335081 YP_802576 116235362 BAF35210 68066264 XP_675113 56494104 CAH97219 82595664 XP_725942 23481140 EAA17507 209892867 ACI95298 70953045 XP_745649 56526039 CAH88029 68074413 XP_679122 56499790 CAH98796 258537820 XP_002585389 5 254688458 ACT79305 61807138 AAX55736</t>
  </si>
  <si>
    <t xml:space="preserve">HYPOTHETICAL GLYCYL TRNA SYNTHETASE ALPHA SUBUNIT CONSERVED CYTOCHROME OXIDASE II MEROZOITE SURFACE </t>
  </si>
  <si>
    <t>sp|P20375|COX2_APILI</t>
  </si>
  <si>
    <t>Apis mellifera ligustica</t>
  </si>
  <si>
    <t>P20375 COX2_APILI 2 3 1 Q8BH70 FBXL4_MOUSE 4 FBXL4 Q58541 Y1141_METJA MJ1141 43067 2661 10045 100440 P34847 NU1M_APILI ND1 Q58460 Y1060_METJA MJ1060 A1E9R5 RPOC1_SORBI RPOC1 Q6ENX2 RPOC1_SACOF Q6L3A6 RPOC1_SACHY Q8NG75 OR5T1_HUMAN 5T1 OR5T1 Q6KI95</t>
  </si>
  <si>
    <t xml:space="preserve">CYTOCHROME C OXIDASE SUBUNIT OS APIS MELLIFERA LIGUSTICA GN COII PE SV F BOX LRR REPEAT MUS MUSCULUS UNCHARACTERIZED METHANOCALDOCOCCUS JANNASCHII STRAIN ATCC DSM JAL JCM NBRC NADH UBIQUINONE OXIDOREDUCTASE CHAIN DNA DIRECTED RNA POLYMERASE BETA SORGHUM BICOLOR SACCHARUM OFFICINARUM HYBRID OLFACTORY RECEPTOR HOMO SAPIENS DNLJ_MYCMO LIGASE MYCOPLASMA MOBILE LIGA </t>
  </si>
  <si>
    <t>ND2 3e-004| ND4 0.041| Pox_polyA_pol_N 0.045| CD47 0.084| ND6 | ND4 | PRK14382 | ND5 | ND4 | ND5 |</t>
  </si>
  <si>
    <t>307202798 EFN82081 1 EAI_01038 8777580 BAA97098 307209185 EFN86296 EAI_03492 307199133 EFN79843 EAI_11049 268578395 XP_002644180 CBG17156 187025967 CAP34960 CBG_17156 325920580 ZP_08182500 XGA_1478 325548939 EGD19873 70945447 XP_742542 56521584 CAH81944 115625739 XP_800750 2 115924140 XP_001187574 340507677 EGR33602 IMG5_048190 307205113 EFN83578 EAI_05327</t>
  </si>
  <si>
    <t xml:space="preserve">HYPOTHETICAL UNNAMED PRODUCT CONSERVED </t>
  </si>
  <si>
    <t>sp|B1MTK1|THOC2_CALMO</t>
  </si>
  <si>
    <t>Callicebus moloch</t>
  </si>
  <si>
    <t>B1MTK1 THOC2_CALMO 2 THOC2 3 1 B0KWH8 THOC2_CALJA Q13061 4 A5E4P1 PXR1_LODEL PXR1 11503 2605 1781 1676 4239 Q6UB99 ANR11_HUMAN 11 ANKRD11 Q6BUE3 PXR1_DEBHA 36239 767 1990 0083 2968 Q8NI27 THOC2_HUMAN B2KI97 THOC2_RHIFE P02256 H1_PARAN H1 Q8IUX7 AEBP1_HUMAN AEBP1</t>
  </si>
  <si>
    <t xml:space="preserve">THO COMPLEX SUBUNIT OS CALLICEBUS MOLOCH GN PE SV CALLITHRIX JACCHUS TRDN_HUMAN TRIADIN HOMO SAPIENS TRDN LODDEROMYCES ELONGISPORUS STRAIN ATCC CBS JCM NBRC NRRL YB ANKYRIN REPEAT DOMAIN CONTAINING DEBARYOMYCES HANSENII IGC RHINOLOPHUS FERRUMEQUINUM HISTONE GONADAL PARECHINUS ANGULOSUS ADIPOCYTE ENHANCER BINDING </t>
  </si>
  <si>
    <t>7TMR-DISM_7TM 5e-009| ND2 5e-008| ND5 3e-007| CTP_transf_1 7e-006| MFS 1e-005| Acyl_transf_3 1e-005| ND2 2e-005| ComEC 6e-005| Glyco_transf_22 2e-004| COG1835 2e-004|</t>
  </si>
  <si>
    <t>Plasmodium chabaudi chabaudi</t>
  </si>
  <si>
    <t>70931439 XP_737403 1 56512764 CAH76640</t>
  </si>
  <si>
    <t>sp|P80255|HEMT2_HEDDI</t>
  </si>
  <si>
    <t>Hediste diversicolor</t>
  </si>
  <si>
    <t>P80255 HEMT2_HEDDI 1 2 Q4R372 FBX25_MACFA 25 FBXO25 Q8TCJ0 FBX25_HUMAN 3 O54759 CM55 O54760 O54758 O54761 GS55</t>
  </si>
  <si>
    <t xml:space="preserve">HEMERYTHRIN OS HEDISTE DIVERSICOLOR PE SV F BOX ONLY MACACA FASCICULARIS GN HOMO SAPIENS ALST_TAMSI ALPHA ANTITRYPSIN LIKE ST TAMIAS SIBIRICUS ALSI_TAMSI SI ALMS_TAMSI MS ALMS_SPETR SPERMOPHILUS TRIDECEMLINEATUS </t>
  </si>
  <si>
    <t>Neur_chan_LBD | 7TM_GPCR_Srx | RNase_HI_prokaryote_like | PRK09824 | nifH | TMPIT | DUF2479 | GT8_GNT1 |</t>
  </si>
  <si>
    <t>333467021 EAA06273 4 AGAP000434 170060593 XP_001865872 1 167878986 EDS42369 157105169 XP_001648748 108880169 EAT44394 58380617 XP_310665 2 270006562 EFA03010 TCASGA2_TC010433 242005536 XP_002423620 STT3A 212506780 EEB10882 260824800 XP_002607355 BRAFLDRAFT_113908 229292702 EEN63365 321474003 EFX84969 DAPPUDRAFT_300830 327282056 XP_003225760 311264292 XP_003130094</t>
  </si>
  <si>
    <t xml:space="preserve">PA OLIGOSACCHARYL TRANSFERASE HYPOTHETICAL DOLICHYL DIPHOSPHOOLIGOSACCHARIDE GLYCOSYLTRANSFERASE SUBUNIT LIKE </t>
  </si>
  <si>
    <t>sp|Q5RCE2|STT3A_PONAB</t>
  </si>
  <si>
    <t>Q5RCE2 STT3A_PONAB STT3A 2 1 P46978 STT3A_MOUSE P46977 STT3A_HUMAN Q2KJI2 STT3A_BOVIN Q8TCJ2 STT3B_HUMAN STT3B Q3TDQ1 STT3B_MOUSE Q54NM9 STT3_DICDI STT3 3 P46975 STT3_CAEEL T12A2 O94335 STT3_SCHPO 38366 972 P39007 STT3_YEAST 204508 S288C</t>
  </si>
  <si>
    <t xml:space="preserve">DOLICHYL DIPHOSPHOOLIGOSACCHARIDE GLYCOSYLTRANSFERASE SUBUNIT OS PONGO ABELII GN PE SV MUS MUSCULUS HOMO SAPIENS BOS TAURUS DICTYOSTELIUM DISCOIDEUM OLIGOSACCHARYL TRANSFERASE HOMOLOG CAENORHABDITIS ELEGANS SCHIZOSACCHAROMYCES POMBE STRAIN ATCC SACCHAROMYCES CEREVISIAE </t>
  </si>
  <si>
    <t>integral membrane protein 1 - Danio rerio - protein glycosylation - membrane - oligosaccharyl transferase activity - protein N-linked glycosylation via asparagine - oligosaccharyltransferase complex</t>
  </si>
  <si>
    <t>ND5 0.002| Baculo_ODV-E27 0.021| ATP6 0.026| ND4 0.055| bact_immun_7tm 0.080| ABC2_membrane_4 | Glyco_transf_22 | ND6 | ND4 | ND1 |</t>
  </si>
  <si>
    <t>sp|P40847|SAP1_SCHPO</t>
  </si>
  <si>
    <t>P40847 SAP1_SCHPO 1 38366 972 SAP1 2 P33051 NTP2_VAR67 IND3 1967 NPH2 3 P12927 NTP2_VACCW Q9JFC3 NTP2_VACCT P20502 NTP2_VACCC O57193 NTP2_VACCA C0LGW6 ERL1_ARATH ERL1 Q9C6P5 RAVL2_ARATH AP2 B3 AT1G50680 Q54JE8 U522A_DICDI UPF0522 DDB_G0288095 Q9C688 RAVL3_ARATH AT1G51120</t>
  </si>
  <si>
    <t xml:space="preserve">SWITCH ACTIVATING OS SCHIZOSACCHAROMYCES POMBE STRAIN ATCC GN PE SV NUCLEOSIDE TRIPHOSPHATASE II VARIOLA VIRUS ISOLATE HUMAN INDIA VACCINIA WESTERN RESERVE TIAN TAN COPENHAGEN ANKARA LRR RECEPTOR LIKE SERINE THREONINE KINASE ARABIDOPSIS THALIANA ERF DOMAIN CONTAINING TRANSCRIPTION FACTOR A DICTYOSTELIUM DISCOIDEUM </t>
  </si>
  <si>
    <t>ND4 | PRK10614 | ND3 | PRK09263 | PHA01886 | PRK10963 | PRK09564 | COG3876 | PRK13883 | Strumpellin |</t>
  </si>
  <si>
    <t>Clostridium beijerinckii NCIMB 8052</t>
  </si>
  <si>
    <t>150015705 YP_001307959 1 REC2 149902170 ABR33003 302510885 XP_003017394 291180965 EFE36749 308183248 YP_003927375 HPPC_05565 308065433 ADO07325 260939678 XP_002614139 238852033 EEQ41497 146164633 XP_001471295 TTHERM_00423339 146145694 EDK31810 145532150 XP_001451836 124419502 CAK84439 146175702 XP_001019695 2 TTHERM_00136140 146144711 EAR99450 221058190 XP_002261603 194247608 CAQ41008 261328123 CBH11100 167392789 XP_001740299 165895656 EDR23294 EDI_227960</t>
  </si>
  <si>
    <t xml:space="preserve">COMEC LIKE RELATED HYPOTHETICAL PUTATIVELY TO MEIOSIS CONSERVED UNNAMED PRODUCT ZINC FINGER UNLIKELY </t>
  </si>
  <si>
    <t>sp|P14546|COX3_LEITA</t>
  </si>
  <si>
    <t>Leishmania tarentolae</t>
  </si>
  <si>
    <t>P14546 COX3_LEITA 3 1 Q06J19 RPOC2_BIGNA RPOC2 P04540 NU5M_TRYBB 5 ND5 Q9TC94 YMF16_NEPOL YMF16 Q54J88 MMS19_DICDI MMS19 2 O77680 DRD1_MACMU 1A DRD1 P21728 DRD1_HUMAN P0C9U0 5056R_ASFP4 505 6R PR4 1996 042 P0C6U7 R1A_CVHOC OC43 P0C6X6 R1AB_CVHOC 1AB</t>
  </si>
  <si>
    <t xml:space="preserve">CYTOCHROME C OXIDASE SUBUNIT OS LEISHMANIA TARENTOLAE PE SV DNA DIRECTED RNA POLYMERASE BETA BIGELOWIELLA NATANS GN NADH UBIQUINONE OXIDOREDUCTASE CHAIN TRYPANOSOMA BRUCEI UNCHARACTERIZED TATC LIKE NEPHROSELMIS OLIVACEA NUCLEOTIDE EXCISION REPAIR HOMOLOG DICTYOSTELIUM DISCOIDEUM D DOPAMINE RECEPTOR MACACA MULATTA HOMO SAPIENS MGF AFRICAN SWINE FEVER VIRUS ISOLATE TICK SOUTH AFRICA PRETORIUSKOP PRET REPLICASE POLYPROTEIN HUMAN CORONAVIRUS REP </t>
  </si>
  <si>
    <t>7TM_GPCR_Srd 0.002| Srg 0.032| Fijivirus_P9-2 | ND1 | ND4 | ND1 | ND2 | COX2 | 7tm_7 | ND4 |</t>
  </si>
  <si>
    <t>270046192 BAI50826 1 149898852 ABR27902 149689120 ABR27906 2 149689178 ABR27952 3 307094992 ADN29802 307094994 ADN29803 329764822 ZP_08256414 329138689 EGG42933 289551554 YP_003472458 289181085 ADC88330 116624078 YP_826234 116227240 ABJ85949 325119420 CBZ54973</t>
  </si>
  <si>
    <t xml:space="preserve">UNNAMED PRODUCT HEMOLYSIN LIKE SECRETED SALIVARY GLYCOSYL TRANSFERASE FAMILY PHAGE TAIL LENGTH TAPE MEASURE OUTER MEMBRANE EFFLUX CONSERVED HYPOTHETICAL </t>
  </si>
  <si>
    <t>sp|Q291A0|RM41_DROPS</t>
  </si>
  <si>
    <t>Q291A0 RM41_DROPS 39S L41 MRPL41 3 1 Q9NXD2 10 MTMR10 Q7JZM8 RM41_DROME O88281 MEGF6_RAT 6 MEGF6 Q80V70 MEGF6_MOUSE 2 Q04896 HME1A_DANRE 1A ENG1A P30545 ADA2B_MOUSE 2B ADRA2B O60158 C19C7 38366 972 SPBC19C7 Q54RV9 Q569E4 CA056_MOUSE C1ORF56 GM128</t>
  </si>
  <si>
    <t xml:space="preserve">RIBOSOMAL MITOCHONDRIAL OS DROSOPHILA PSEUDOOBSCURA GN PE SV MTMRA_HUMAN MYOTUBULARIN RELATED HOMO SAPIENS MELANOGASTER MULTIPLE EPIDERMAL GROWTH FACTOR LIKE DOMAINS RATTUS NORVEGICUS MUS MUSCULUS HOMEOBOX ENGRAILED DANIO RERIO ALPHA ADRENERGIC RECEPTOR YHYA_SCHPO HTH APSES TYPE DNA BINDING DOMAIN CONTAINING SCHIZOSACCHAROMYCES POMBE STRAIN ATCC SGPL_DICDI SPHINGOSINE PHOSPHATE LYASE DICTYOSTELIUM DISCOIDEUM SGLA UNCHARACTERIZED HOMOLOG </t>
  </si>
  <si>
    <t>Paramyxo_ncap | PRKCSH-like | DUF531 | PtsG | PRK06228 | ATP8 | Soli_cterm | drrB | PRK06249 | PTZ00147 |</t>
  </si>
  <si>
    <t>P20375 COX2_APILI 2 3 1 Q8BH70 FBXL4_MOUSE 4 FBXL4 Q58541 Y1141_METJA MJ1141 43067 2661 10045 100440 P34847 NU1M_APILI ND1 Q58460 Y1060_METJA MJ1060 Q8NG75 OR5T1_HUMAN 5T1 OR5T1 Q6KI95 P16917 K12 P16916 Q9UKA2 FBXL4_HUMAN</t>
  </si>
  <si>
    <t xml:space="preserve">CYTOCHROME C OXIDASE SUBUNIT OS APIS MELLIFERA LIGUSTICA GN COII PE SV F BOX LRR REPEAT MUS MUSCULUS UNCHARACTERIZED METHANOCALDOCOCCUS JANNASCHII STRAIN ATCC DSM JAL JCM NBRC NADH UBIQUINONE OXIDOREDUCTASE CHAIN OLFACTORY RECEPTOR HOMO SAPIENS DNLJ_MYCMO DNA LIGASE MYCOPLASMA MOBILE LIGA RHSB_ECOLI RHSB ESCHERICHIA COLI RHSA_ECOLI RHSA </t>
  </si>
  <si>
    <t>ND2 3e-004| ND4 0.043| Pox_polyA_pol_N 0.048| CD47 0.089| ND6 | ND4 | PRK14382 | ND5 | ND4 | ND5 |</t>
  </si>
  <si>
    <t>34421652 AAQ68063 1 TILIPO37 111379913 ABH09436 71725068 AAZ38956 149689052 ABR27841 111379921 ABH09440 116267183 ABJ96346 111379927 ABH09443 111379901 ABH09430 5 111379881 ABH09420 2 111379883 ABH09421</t>
  </si>
  <si>
    <t xml:space="preserve">LIPOCALIN LIKE SALIVARY TRIATIN </t>
  </si>
  <si>
    <t>Q27049 1 Q9U6R6 2 P80029 CRC1_HOMGA C1 P58989 CRA1_HOMGA A1 Q3ZJ93 3 B5Y863 35245 5265 Q2LCP5 NDUS1_DICCI 75 NAD11 P80007 CRA2_HOMGA A2 P05489 COX1_PARTE Q54UX2 Y8253_DICDI DDB_G0280807 4</t>
  </si>
  <si>
    <t xml:space="preserve">TRIA_TRIPA TRIABIN OS TRIATOMA PALLIDIPENNIS PE SV PRCLN_TRIPT PROCALIN PROTRACTA CRUSTACYANIN SUBUNIT HOMARUS GAMMARUS RPOB_PSEAK DNA DIRECTED RNA POLYMERASE BETA PSEUDENDOCLONIUM AKINETUM GN RPOB PANC_COPPD PANTOTHENATE SYNTHETASE COPROTHERMOBACTER PROTEOLYTICUS STRAIN ATCC DSM BT PANC NADH UBIQUINONE OXIDOREDUCTASE KDA DICTYOSTELIUM CITRINUM CYTOCHROME C OXIDASE PARAMECIUM TETRAURELIA COI UNCHARACTERIZED TRANSMEMBRANE DISCOIDEUM </t>
  </si>
  <si>
    <t>Triabin 9e-006| AgrB 0.090| 7TM_GPCR_Sru | DUF2165 | PTZ00228 | ND5 | TatC | PRK13057 | ND6 | AgrB |</t>
  </si>
  <si>
    <t>340505261 EGR31610 1 146297564 YP_001181335 CSAC_2571 145411140 ABP68144 167378680 XP_001734884 165903367 EDR28941 167380991 XP_001735527 165902437 EDR28269 167382351 XP_001736064 165901638 EDR27708 167384915 XP_001737139 165900189 EDR26593 9964348 NP_064816 AMV034 9944557 AAG02740 AF250284_34 124808566 XP_001348348 74864292 Q8ILR9 YPF17_PLAF7 PF14_0175 23497240 AAN36787 332819986 XP_003310467 LOC100608845 296226448 XP_002758936 LOC100405432</t>
  </si>
  <si>
    <t xml:space="preserve">THYROID ADENOMA ASSOCIATED HYPOTHETICAL CONSERVED PLASMODIUM UNKNOWN FUNCTION FULL PARTIAL </t>
  </si>
  <si>
    <t>sp|Q8ILR9|YPF17_PLAF7</t>
  </si>
  <si>
    <t>Q8ILR9 YPF17_PLAF7 PF14_0175 3D7 4 1 Q8IIG1 YK213_PLAF7 PF11_0213 2 Q54W19 ABCD1_DICDI ABCD1 3 Q9BX97 Q5DUY0 NU5H_NYCOV 5 NAD5 Q54W20 ABCD3_DICDI ABCD3 Q876N4 ATG9_PICPA 9 ATG9 Q4UL85 1525 URRWXCAL2 C9SXB4 M28P1_VERA1 VDBG_09414 102 Q89AA7</t>
  </si>
  <si>
    <t xml:space="preserve">OS PLASMODIUM FALCIPARUM ISOLATE GN PE SV UNCHARACTERIZED ABC TRANSPORTER D FAMILY MEMBER DICTYOSTELIUM DISCOIDEUM PLVAP_HUMAN PLASMALEMMA VESICLE ASSOCIATED HOMO SAPIENS PLVAP NADH UBIQUINONE OXIDOREDUCTASE CHAIN NYCTOTHERUS OVALIS AUTOPHAGY RELATED PICHIA PASTORIS TLCC_RICFE ADP ATP CARRIER RICKETTSIA FELIS STRAIN ATCC VR TLCC PROBABLE ZINC METALLOPROTEASE VERTICILLIUM ALBO ATRUM VAMS CYOE_BUCBP PROTOHEME IX FARNESYLTRANSFERASE BUCHNERA APHIDICOLA SUBSP BAIZONGIA PISTACIAE BP CYOE </t>
  </si>
  <si>
    <t>bact_immun_7tm 0.065| PER1 0.090| ND5 0.095| 7TM_GPCR_Srd | YMF19 | Sre | PalH | Cir_Bir_Yir | COG3274 | ND6 |</t>
  </si>
  <si>
    <t>118381997 XP_001024158 1 PEX2 PEX12 89305925 EAS03913 19553586 NP_601588 62391230 YP_226632 23813853 Q8NN26 21325158 BAB99780 41326570 CAF21052 301611837 XP_002935437 LOC100497106 253572895 ZP_04850293 251837527 EES65620 145296354 YP_001139175 166214773 A4QGA7 140846274 BAF55273 256420877 YP_003121530 256035785 ACU59329 218960833 YP_001740608 CLOAM0504 167729490 CAO80401 150025968 YP_001296794 FP1926 149772509 CAL43992 241955221 XP_002420331 223643673 CAX41406 254518956 ZP_05131012 226912705 EEH97906</t>
  </si>
  <si>
    <t xml:space="preserve">AMINO TERMINAL REGION FAMILY ATP DEPENDENT PROTEASE BINDING SUBUNIT CLPX CLPX_CORGL FULL CLP ATPASE PROBABLE SPECIFICITY HYPOTHETICAL CLPX_CORGB ALKYL HYDROPEROXIDE REDUCTASE THIOL SPECIFIC ANTIOXIDANT MAL ALLERGEN UNKNOWN FUNCTION ALPHA GLUCOSIDASE II CATALYTIC INTEGRAL MEMBRANE </t>
  </si>
  <si>
    <t>sp|Q8NN26|CLPX_CORGL</t>
  </si>
  <si>
    <t>Corynebacterium glutamicum</t>
  </si>
  <si>
    <t>Q8NN26 3 1 A4QGA7 A6MMI0 NU5C_CHLSC 5 Q8FN57 Q70XW6 NU5C_AMBTC Q7YJT6 NU5C_CALFG Q12219 YORA4_YEAST YOR114W 204508 S288C 2 P46241 Q9U943 Q8IXU6 S35F2_HUMAN 35 F2 SLC35F2</t>
  </si>
  <si>
    <t xml:space="preserve">CLPX_CORGL ATP DEPENDENT CLP PROTEASE BINDING SUBUNIT CLPX OS CORYNEBACTERIUM GLUTAMICUM GN PE SV CLPX_CORGB STRAIN R NAD P H QUINONE OXIDOREDUCTASE CHLOROPLASTIC CHLORANTHUS SPICATUS NDHF CLPX_COREF EFFICIENS AMBORELLA TRICHOPODA CALYCANTHUS FLORIDUS VAR GLAUCUS UNCHARACTERIZED SACCHAROMYCES CEREVISIAE ATCC SYC_BUCAP CYSTEINYL TRNA SYNTHETASE BUCHNERA APHIDICOLA SUBSP SCHIZAPHIS GRAMINUM CYSS APLP_LOCMI APOLIPOPHORINS LOCUSTA MIGRATORIA SOLUTE CARRIER FAMILY MEMBER HOMO SAPIENS </t>
  </si>
  <si>
    <t>TIGR00367 | 46 | DUF1368 | FMT_core_like_4 | NR_LBD_TR | Cas_Cas5d | 2A1904 | liver_ADH_like1 | PRK07132 | PHA03247 |</t>
  </si>
  <si>
    <t>124365239 ABN09648 1 2 157111492 XP_001651590 108878359 EAT42584 240849007 NP_001155630 239799486 BAH70661 ACYPI005521 289742573 ADD20034 CA2 198454574 XP_002137905 GA27481 198132856 EDY68463 195156916 XP_002019342 GL12353 194115933 EDW37976 114051846 NP_001040187 87248317 ABD36211 189236562 XP_975592 170045138 XP_001850177 167868150 EDS31533 270005276 EFA01724 TCASGA2_TC007304</t>
  </si>
  <si>
    <t xml:space="preserve">APOPTOSIS LINKED PROGRAMMED CELL DEATH LIKE BINDING SIMILAR TO SORCIN HYPOTHETICAL </t>
  </si>
  <si>
    <t>sp|P12815|PDCD6_MOUSE</t>
  </si>
  <si>
    <t>P12815 PDCD6_MOUSE 6 PDCD6 1 2 O75340 PDCD6_HUMAN Q94743 Q5R4U9 P30626 Q6P069 Q6DC93 PEF1_DANRE PEF1 Q9FYE4 CML50_ARATH CML50 P05044 Q8VC88</t>
  </si>
  <si>
    <t xml:space="preserve">PROGRAMMED CELL DEATH OS MUS MUSCULUS GN PE SV HOMO SAPIENS SORCN_SCHJA SORCIN SCHISTOSOMA JAPONICUM SORCN_PONAB PONGO ABELII SRI SORCN_HUMAN SORCN_MOUSE PEFLIN DANIO RERIO PROBABLE CALCIUM BINDING ARABIDOPSIS THALIANA SORCN_CRIGR CRICETULUS GRISEUS GRAN_MOUSE GRANCALCIN GCA </t>
  </si>
  <si>
    <t>Uncharacterized protein - Gallus gallus - calcium ion binding</t>
  </si>
  <si>
    <t>FRQ1 9e-005| EFh 0.001| PTZ00183 0.013| TIGR03607 0.034| efhand 0.053| EFh | S-100 | 7tm_6 | PTZ00184 | PDI_a_ERdj5_N |</t>
  </si>
  <si>
    <t>307200206 EFN80500 1 60S L31 70909845 CAJ17409 L31E 340726630 XP_003401658 340726632 XP_003401659 2 340726634 XP_003401660 3 340726636 XP_003401661 4 307176321 EFN65940 242006003 XP_002423848 212507070 EEB11110 268306418 ACY95330 62083385 AAX62417 48142237 XP_397314 328788691 XP_003251167 264667407 ACY71289 156551942 XP_001607790</t>
  </si>
  <si>
    <t xml:space="preserve">RIBOSOMAL LIKE ISOFORM A SIMILAR TO </t>
  </si>
  <si>
    <t>sp|Q7KF90|RL31_SPOFR</t>
  </si>
  <si>
    <t>Q7KF90 RL31_SPOFR 60S L31 RPL31 2 1 Q9GP16 RL31_HELVI P62902 RL31_RAT Q5RBR9 RL31_PONAB P62901 RL31_PIG P62900 RL31_MOUSE Q1KSC7 RL31_MARMO P62899 RL31_HUMAN Q56JX3 RL31_BOVIN Q9IA76 RL31_PAROL</t>
  </si>
  <si>
    <t xml:space="preserve">RIBOSOMAL OS SPODOPTERA FRUGIPERDA GN PE SV HELIOTHIS VIRESCENS RATTUS NORVEGICUS PONGO ABELII SUS SCROFA MUS MUSCULUS MARMOTA MONAX HOMO SAPIENS BOS TAURUS PARALICHTHYS OLIVACEUS </t>
  </si>
  <si>
    <t>ribosomal protein L31 - Rattus norvegicus - structural constituent of ribosome - intracellular - cytosol - ribosome - translation - translational elongation</t>
  </si>
  <si>
    <t>Ribosomal_L31e 2e-042| PTZ00193 5e-024| RPL31A 4e-020| PRK01192 1e-014| rSAM_fuse_unch | PRK12268 | cydB | EscT | Peptidase_M14-like_5 | 2a6301s03 |</t>
  </si>
  <si>
    <t>322822192 EFZ28317 1 6 71422938 XP_812288 70877052 EAN90437 71411196 XP_807857 70871946 EAN86006 74026336 XP_829734 70835120 EAN80622 261335777 CBH18771 340059897 CCC54294 322501990 CBZ37074 146097045 XP_001468020 134072386 CAM71094 322494424 CBZ29726 154343521 XP_001567706 134065038 CAM43150 157874337 XP_001685652</t>
  </si>
  <si>
    <t xml:space="preserve">GLUCOSAMINE PHOSPHATE ISOMERASE UNNAMED PRODUCT DEAMINASE </t>
  </si>
  <si>
    <t>sp|C6C0A2|NAGB_DESAD</t>
  </si>
  <si>
    <t>Desulfovibrio salexigens (strain ATCC 14822 / DSM 2638 / NCIB 8403 / VKM B-1763)</t>
  </si>
  <si>
    <t>C6C0A2 6 14822 2638 8403 1763 3 1 Q9XVJ2 T03F6 Q9CMF4 PM70 Q7VR99 B8F877 5 SH0165 Q7MB61 TT01 B0UUN2 NAGB_HAES2 2336 Q0I4B9 NAGB_HAES1 129PT C5BGA6 NAGB_EDWI9 93 146 Q29NT9 GNPDA1</t>
  </si>
  <si>
    <t xml:space="preserve">NAGB_DESAD GLUCOSAMINE PHOSPHATE DEAMINASE OS DESULFOVIBRIO SALEXIGENS STRAIN ATCC DSM NCIB VKM B GN NAGB PE SV GNPI_CAEEL PROBABLE ISOMERASE CAENORHABDITIS ELEGANS NAGB_PASMU PASTEURELLA MULTOCIDA NAGB_BLOFL BLOCHMANNIA FLORIDANUS NAGB_HAEPS HAEMOPHILUS PARASUIS SEROVAR NAGB_PHOLL PHOTORHABDUS LUMINESCENS SUBSP LAUMONDII SOMNUS EDWARDSIELLA ICTALURI GNPI_DROPS DROSOPHILA PSEUDOOBSCURA </t>
  </si>
  <si>
    <t>Probable glucosamine-6-phosphate isomerase - Caenorhabditis elegans - protein binding</t>
  </si>
  <si>
    <t>PTZ00285 1e-020| nagB 4e-019| nagB 1e-015| GlcN6P_deaminase 8e-012| NagB 2e-008| PRK02122 3e-008| PRK12358 5e-006| PRK03427 0.010| PHA03247 0.010| PHA03307 0.011|</t>
  </si>
  <si>
    <t>Entamoeba dispar SAW760</t>
  </si>
  <si>
    <t>167391587 XP_001739848 1 165896305 EDR23760 EDI_075200 4731116 AAD28358 AF079967_2 MURF1 11467606 NP_050068 LETAOMP15 896286 AAA96601 NH2 114329881 YP_740784 114150114 ABI51693 298289309 ADI75236 2 238855123 ZP_04645449 282934264 ZP_06339539 313472496 ZP_07812986 238832263 EEQ24574 239529930 EEQ68931 281301673 EFA93942 213492207 ACJ47212 84040 E22845 4 260664955 ZP_05865806 260561438 EEX27411 145478055 XP_001425050 124392118 CAK57652</t>
  </si>
  <si>
    <t xml:space="preserve">HYPOTHETICAL TERMINUS UNCERTAIN HEME MATURASE NADH DEHYDROGENASE SUBUNIT BACTERIAL MEMBRANE FLANKED DOMAIN SUPERFAMILY TRYPANOSOMA BRUCEI MITOCHONDRION CONSERVED UNNAMED PRODUCT </t>
  </si>
  <si>
    <t>sp|Q37376|NU2M_ACACA</t>
  </si>
  <si>
    <t>Q37376 NU2M_ACACA 2 ND2 3 1 Q75G41 VAR1 10895 109 51 9923 1056 P24896 NU5M_CAEEL 5 ND5 Q6YXQ6 NU5C_PHYPA O78421 YCX2_GUITH 8 4 Q05FH9 O31651 Q5PQM0 TM168_RAT 168 TMEM168 Q54UV9 Y0787_DICDI UPF0746 DDB_G0280787 O74349 LTN1_SCHPO E3 38366 972 SPBC21D10 09C</t>
  </si>
  <si>
    <t xml:space="preserve">NADH UBIQUINONE OXIDOREDUCTASE CHAIN OS ACANTHAMOEBA CASTELLANII GN PE SV RMAR_ASHGO RIBOSOMAL MITOCHONDRIAL ASHBYA GOSSYPII STRAIN ATCC CBS FGSC NRRL Y CAENORHABDITIS ELEGANS NAD P H QUINONE SUBUNIT CHLOROPLASTIC PHYSCOMITRELLA PATENS SUBSP NDHF UNCHARACTERIZED KDA GUILLARDIA THETA RPOC_CARRP DNA DIRECTED RNA POLYMERASE BETA CARSONELLA RUDDII PV RPOC YJDJ_BACSU YJDJ BACILLUS SUBTILIS TRANSMEMBRANE RATTUS NORVEGICUS DICTYOSTELIUM DISCOIDEUM UBIQUITIN LIGASE LISTERIN SCHIZOSACCHAROMYCES POMBE </t>
  </si>
  <si>
    <t>ND5 8e-007| ND3 0.004| ND6 0.005| ND5 0.014| Anoctamin 0.027| 7tm_7 0.060| 7TM_GPCR_Srz 0.061| ND6 0.069| MopB_Res-Cmplx1_Nad11-M 0.081| ND2 |</t>
  </si>
  <si>
    <t>Mycoplasma hyopneumoniae 168</t>
  </si>
  <si>
    <t>312601566 ADQ90821 1 PR1 311068374 YP_003973297 3 310868891 ADP32366 144227730 AAZ44708 2 71893973 YP_279419 308173785 YP_003920490 307606649 CBI43020 328553290 AEB23782 328911923 AEB63519 296331023 ZP_06873498 305674541 YP_003866213 296152028 EFG92902 305412785 ADM37904 296005183 XP_002808924 225631809 CAX64205 144575560 AAZ53986 72080951 YP_288009 54020279 YP_116151 53987452 AAV27653</t>
  </si>
  <si>
    <t xml:space="preserve">ABC TRANSPORTER ATP BINDING GLYCEROL PHOSPHATE ACYLTRANSFERASE PLSY CONSERVED PLASMODIUM MEMBRANE UNKNOWN FUNCTION MULTIDRUG RESISTANCE </t>
  </si>
  <si>
    <t>sp|A7Z575|PLSY_BACA2</t>
  </si>
  <si>
    <t>Bacillus amyloliquefaciens (strain FZB42)</t>
  </si>
  <si>
    <t>A7Z575 PLSY_BACA2 3 FZB42 1 Q45064 Q8ILR9 YPF17_PLAF7 PF14_0175 3D7 4 B1IDY6 Y809_CLOBK UPF0182 CLD_0809 B1 A7G9C1 Y022_CLOBL CLI_0022 10281 C1FPI3 Y018_CLOBJ CLM_0018 A2 A7FQ49 Y018_CLOB1 CLB_0018 19397 A5HXQ7 Y011_CLOBH CBO0011 CLC_0020 3502 13319 P48935 C560_CYACA B560 SDH3 B1L1L6 Y3152_CLOBM CLK_3152 A3</t>
  </si>
  <si>
    <t xml:space="preserve">GLYCEROL PHOSPHATE ACYLTRANSFERASE OS BACILLUS AMYLOLIQUEFACIENS STRAIN GN PLSY PE SV PLSY_BACSU SUBTILIS PLASMODIUM FALCIPARUM ISOLATE CLOSTRIDIUM BOTULINUM OKRA TYPE LANGELAND NCTC F KYOTO ATCC A HALL SUCCINATE DEHYDROGENASE CYTOCHROME SUBUNIT CYANIDIUM CALDARIUM LOCH MAREE </t>
  </si>
  <si>
    <t>ND5 4e-004| ND4 0.011| DUF3671 0.013| 7TM_GPCR_Srbc 0.044| ND2 0.045| p47 0.087| Polysacc_synt 0.090| TIGR00023 | ATP8 | ND4 |</t>
  </si>
  <si>
    <t>270009128 EFA05576 1 TCASGA2_TC015765 149243127 2PG1 149243128 149243129 149243130 237640495 3DVT PAK1 LC8 237640496 237640497 237640498 237640499 237640500 124495014 ABN13588 17933574 NP_525075 24639734 NP_726942 24639736 NP_726943 24639738 NP_726944 299782477 NP_001177683 193687024 XP_001947701 194888380 XP_001976907 GG18720 195034398 XP_001988887 GH11410 195114680 XP_002001895 GI14563 195340767 XP_002036984 GM12359 195386040 XP_002051712 GJ17036 195433849 XP_002064919 GK15188 195477050 XP_002100074 198469256 XP_002134258 GA25980 328725966 XP_003248689 2494223 Q24117 DYL1_DROME 8 159162939 1RHW 165760946 2P2T 123 138 IC74 196049978 3E2B 215794595 3BRI 258588291 3FM7 1LC8 258588292 258588319 3GLW 1209059 AAB04148 4097197 AAD00072 8KD 4097201 AAD00074 7290522 AAF45975 22831697 AAN09126 22831698 AAN09127 22831699 AAN09128 38048413 AAR10109 121543715 ABM55544 190648556 EDV45834 193904887 EDW03754 193912470 EDW11337 194131100 EDW53143 194148169 EDW63867 194161004 EDW75905 194187598</t>
  </si>
  <si>
    <t xml:space="preserve">HYPOTHETICAL PDB A CHAIN STRUCTURAL ANALYSIS CYTOPLASMIC DYNEIN LIGHT INTERMEDIATE COMPLEX B C D BIOCHEMICAL CHARACTERIZATION INTERACTION E F CUT UP ISOFORM LIKE CTP FULL ALTNAME KDA SOLUTION STRUCTURE PH INDUCED MONOMER FROM DROSOPHILA CRYSTAL BOUND TO RESIDUES IN WITH DERIVED SWALLOW APO QUATERNARY MELANOGASTER ICTCTEX ALLOSTERIC INTERACTIONS CHAINS SIMILAR PA LOCALISATION THEIR PRO APOPTOTIC LIGANDS </t>
  </si>
  <si>
    <t>sp|Q24117|DYL1_DROME</t>
  </si>
  <si>
    <t>Q24117 DYL1_DROME 1 O96860 DYL2_DROME 2 CDLC2 Q78P75 DYL2_RAT DYNLL2 Q9D0M5 DYL2_MOUSE Q96FJ2 DYL2_HUMAN Q3MHR3 DYL2_BOVIN 3 Q22799 DYL1_CAEEL P63170 DYL1_RAT DYNLL1 P63169 DYL1_RABIT P63168 DYL1_MOUSE</t>
  </si>
  <si>
    <t xml:space="preserve">DYNEIN LIGHT CHAIN CYTOPLASMIC OS DROSOPHILA MELANOGASTER GN CTP PE SV RATTUS NORVEGICUS MUS MUSCULUS HOMO SAPIENS BOS TAURUS CAENORHABDITIS ELEGANS DLC ORYCTOLAGUS CUNICULUS </t>
  </si>
  <si>
    <t>cut up - Drosophila melanogaster - cytoskeleton - cytoplasmic dynein complex - microtubule motor activity - microtubule-based movement - dynein complex - ATPase activity, coupled - microtubule-based process - imaginal disc-derived wing morphogenesis - spermatogenesis - bristle morphogenesis - sperm individualization - spermatid nucleus elongation - actin filament bundle assembly - protein binding - dynein intermediate chain binding - protein homodimerization activity - autophagy - salivary gland cell autophagic cell death</t>
  </si>
  <si>
    <t>PTZ00059 3e-055| Dynein_light 3e-050| PLN03058 1e-016| 7TM_GPCR_Srz 0.011| Fijivirus_P9-2 0.031| PalH 0.032| PIG-U 0.094| PAP2_containing_1_like 0.098| ABC2_membrane_4 | ND4 |</t>
  </si>
  <si>
    <t>Q8I3Z1 MLRR1_PLAF7 PFE0570W 3D7 2 1 Q9C093 SPEF2_HUMAN SPEF2</t>
  </si>
  <si>
    <t xml:space="preserve">MATH LRR DOMAIN CONTAINING OS PLASMODIUM FALCIPARUM ISOLATE GN PE SV SPERM FLAGELLAR HOMO SAPIENS </t>
  </si>
  <si>
    <t>ND2 3e-004| ND5 0.004| 7TM_GPCR_Srz 0.005| 7TM_GPCR_Sri 0.012| ND4L 0.013| ND5 0.015| ND4 0.023| COX3 0.031| ATP6 0.054| ND4 0.056|</t>
  </si>
  <si>
    <t>242014473 XP_002427914 1 212512398 EEB15176 115292116 AAI22434 ES1 169154396 CAQ13297 18858639 NP_571114 2498341 Q90257 ES1_DANRE 499130 AAC60261 313212480 CBY36452 115953721 XP_001178110 72014098 XP_787091 115934169 XP_001180678 149633873 XP_001512318 225708622 ACO10157 62955301 NP_001017662 62202645 AAH93174 112056 182889144 AAI64698 338720743 XP_001490621 2</t>
  </si>
  <si>
    <t xml:space="preserve">CONSERVED HYPOTHETICAL MITOCHONDRIAL PRECURSOR FULL FLAGS UNNAMED PRODUCT PARTIAL SIMILAR TO KNP IA HOMOLOG ZGC LIKE </t>
  </si>
  <si>
    <t>sp|Q90257|ES1_DANRE</t>
  </si>
  <si>
    <t>Q90257 ES1_DANRE ES1 2 1 P56571 ES1_RAT P30042 ES1_HUMAN C21ORF33 3 Q9D172 ES1_MOUSE D10JHU81E Q7M7K0 DGTL1_VIBVY YJ016 VV1112 Q8CWL9 DGTL1_VIBVU VV1_0014 A7MZR6 DGTL1_VIBHB 1116 BB120 VIBHAR_01425 Q87R73 DGTL1_VIBPA VP0925 Q6CTB6 YME2_KLULA 8585 2359 70799 1267 1140 WM37 YME2 Q5UQE6 TOP2_MIMIV TOP2</t>
  </si>
  <si>
    <t xml:space="preserve">MITOCHONDRIAL OS DANIO RERIO GN PE SV HOMOLOG RATTUS NORVEGICUS HOMO SAPIENS MUS MUSCULUS DEOXYGUANOSINETRIPHOSPHATE TRIPHOSPHOHYDROLASE LIKE VIBRIO VULNIFICUS STRAIN HARVEYI ATCC BAA PARAHAEMOLYTICUS ESCAPE KLUYVEROMYCES LACTIS CBS DSM NBRC NRRL Y DNA TOPOISOMERASE ACANTHAMOEBA POLYPHAGA MIMIVIRUS </t>
  </si>
  <si>
    <t>es1 protein - Danio rerio - mitochondrion</t>
  </si>
  <si>
    <t>GATase1_ES1 4e-008| PRK11780 3e-005| DltB | DUF973 | MauG | 7TM_GPCR_Srz | PRK12507 | ND4 | EXS | PHA03100 |</t>
  </si>
  <si>
    <t>82794425 XP_728432 1 23484783 EAA19997 290992857 XP_002679050 284092665 EFC46306 83317803 XP_731319 23491318 EAA22884</t>
  </si>
  <si>
    <t xml:space="preserve">HYPOTHETICAL RASGEF DOMAIN CONTAINING </t>
  </si>
  <si>
    <t>sp|Q24NA9|SELD_DESHY</t>
  </si>
  <si>
    <t>Desulfitobacterium hafniense (strain Y51)</t>
  </si>
  <si>
    <t>Q24NA9 Y51 3 1 B8FWU2 2 10664 A1AXP6 7</t>
  </si>
  <si>
    <t xml:space="preserve">SELD_DESHY SELENIDE WATER DIKINASE OS DESULFITOBACTERIUM HAFNIENSE STRAIN GN SELD PE SV SELD_DESHD DCB DSM TRMB_RUTMC TRNA GUANINE N METHYLTRANSFERASE RUTHIA MAGNIFICA SUBSP CALYPTOGENA TRMB </t>
  </si>
  <si>
    <t>ND2 | DUF1430 | ND2 | VAR1 | Oxidored_q4 | PHA03042 | CD47 | 7TM_GPCR_Srx | ND4L | ND6 |</t>
  </si>
  <si>
    <t>156540318 XP_001600981 1 AA1 156540942 XP_001599975 339022664 ZP_08646584 338750319 GAA09888 324499510 ADY39790 209965606 YP_002298521 209959072 ACI99708 149247283 XP_001528054 146448008 EDK42396 304282470 YP_003853319 3C 302403427 ADL38962 304282460 YP_003853287 302403425 ADL38961 298695037 ADI98259</t>
  </si>
  <si>
    <t xml:space="preserve">SIMILAR TO LIAN RETROTRANSPOSON INTEGRAL MEMBRANE TERC MICROTUBULE ACTIN CROSS LINKING FACTOR FAMILY CONSERVED HYPOTHETICAL POLYPROTEIN </t>
  </si>
  <si>
    <t>sp|Q73NX5|RNC_TREDE</t>
  </si>
  <si>
    <t>Treponema denticola (strain ATCC 35405 / CIP 103919 / DSM 14222)</t>
  </si>
  <si>
    <t>Q73NX5 3 35405 103919 14222 1 Q17851 C09B9 2 C5MCD3 SEY1_CANTT SEY1 3404 T1 O76074 PDE5A_HUMAN 5 PDE5A O77746 PDE5A_CANFA A0R665 ETHA_MYCS2 700084 155 C4YS65 SEY1_CANAW Q9C0L9 SEY1_CANAL O54735 PDE5A_RAT Q8CG03 PDE5A_MOUSE</t>
  </si>
  <si>
    <t xml:space="preserve">RNC_TREDE RIBONUCLEASE OS TREPONEMA DENTICOLA STRAIN ATCC CIP DSM GN RNC PE SV YAVK_CAEEL UNCHARACTERIZED CAENORHABDITIS ELEGANS CANDIDA TROPICALIS MYA CGMP SPECIFIC CYCLIC PHOSPHODIESTERASE HOMO SAPIENS CANIS FAMILIARIS FAD CONTAINING MONOOXYGENASE ETHA MYCOBACTERIUM SMEGMATIS MC ALBICANS WO RATTUS NORVEGICUS MUS MUSCULUS </t>
  </si>
  <si>
    <t>Oxidored_q3 | PHA03163 | PTZ00230 | COG4485 | PTZ00112 | COG5395 | PRK11139 | DUF679 | PRK02507 | secA2 |</t>
  </si>
  <si>
    <t>Saccoglossus kowalevskii</t>
  </si>
  <si>
    <t>291225003 XP_002732487 1 L30 225710338 ACO11015 60S 321453211 EFX64469 DAPPUDRAFT_304893 168003323 XP_001754362 168015295 XP_001760186 162688566 EDQ74942 162694464 EDQ80812 160552255 ABX44833 RPL30 72005286 XP_783150 115929548 XP_001177043 260815307 XP_002602415 BRAFLDRAFT_259607 229287724 EEN58427 22758848 AAN05584 17368245 P58374 RL30_BRABE 15825505 AAL09707 AF420432_1 28200299 AAO31781 225711896 ACO11794</t>
  </si>
  <si>
    <t xml:space="preserve">RIBOSOMAL LIKE HYPOTHETICAL SIMILAR TO FULL </t>
  </si>
  <si>
    <t>sp|P58374|RL30_BRABE</t>
  </si>
  <si>
    <t>Branchiostoma belcheri</t>
  </si>
  <si>
    <t>P58374 RL30_BRABE 60S L30 RPL30 3 1 P62890 RL30_RAT 2 P62889 RL30_MOUSE Q76KA2 RL30_MACFA P62888 RL30_HUMAN Q3T0D5 RL30_BOVIN P67884 RL30_OPHHA P58372 RL30_ICTPU P67883 RL30_CHICK P58375 RL30_SPOFR</t>
  </si>
  <si>
    <t xml:space="preserve">RIBOSOMAL OS BRANCHIOSTOMA BELCHERI GN PE SV RATTUS NORVEGICUS MUS MUSCULUS MACACA FASCICULARIS HOMO SAPIENS BOS TAURUS OPHIOPHAGUS HANNAH ICTALURUS PUNCTATUS GALLUS SPODOPTERA FRUGIPERDA </t>
  </si>
  <si>
    <t>ribosomal protein L30 - Rattus norvegicus - structural constituent of ribosome - intracellular - cytoplasm - cytosol - ribosome - translation - translational elongation</t>
  </si>
  <si>
    <t>PTZ00106 2e-015| RPL30 7e-009| PRK01018 4e-007| Ribosomal_L7Ae 4e-005| RPL8A | PLDc_EcPPK1_C2_like | YmdA_YtgF | PTZ00358 | poly_P_kin | PRK12704 |</t>
  </si>
  <si>
    <t>156548458 XP_001605165 1 2290213 AAB65093 AA1 336466665 EGO54830 NEUTE1DRAFT_141109 156540552 XP_001601944 156541172 XP_001599048 331242414 XP_003333853 PGTG_15276 309312843 EFP89434 156540059 XP_001599613 212545112 XP_002152710 210065679 EEA19773 331236443 XP_003330880 PGTG_12417 309309870 EFP86461 212539053 XP_002149682 210069424 EEA23515</t>
  </si>
  <si>
    <t xml:space="preserve">SIMILAR TO MYOSIN RHOGAP MYR LIAN RETROTRANSPOSON HYPOTHETICAL POL LIKE CAT EYE SYNDROME CRITICAL REGION PARTIAL CONSERVED ZINC KNUCKLE DOMAIN </t>
  </si>
  <si>
    <t>sp|Q1MKH6|RNH_RHIL3</t>
  </si>
  <si>
    <t>Rhizobium leguminosarum bv. viciae (strain 3841)</t>
  </si>
  <si>
    <t>Q1MKH6 RNH_RHIL3 3841 3 1 Q8UHA7 RNH_AGRT5 C58 33970 Q502I9 FCHO2_DANRE 2 FCHO2 Q160K9 Y4144_ROSDO UPF0753 RD1_4144 33942 114 Q28SY7 Y1258_JANSC JANN_1258 CCS1 Q6GQ70 S35B1_XENLA 35 B1 SLC35B1 Q2KBL2 42 51251 Q0C3M1 15444 Q08885 A6U6V5 WSM419</t>
  </si>
  <si>
    <t xml:space="preserve">RIBONUCLEASE H OS RHIZOBIUM LEGUMINOSARUM BV VICIAE STRAIN GN RNHA PE SV AGROBACTERIUM TUMEFACIENS ATCC FCH DOMAIN ONLY DANIO RERIO ROSEOBACTER DENITRIFICANS OCH JANNASCHIA SOLUTE CARRIER FAMILY MEMBER XENOPUS LAEVIS RNH_RHIEC ETLI CFN RNH_HYPNA HYPHOMONAS NEPTUNIUM RNH_BUCAP BUCHNERA APHIDICOLA SUBSP SCHIZAPHIS GRAMINUM RNH_SINMW SINORHIZOBIUM MEDICAE </t>
  </si>
  <si>
    <t>Rnase_HI_RT_non_LTR 9e-004| RnhA | IndA | RNase_H | MopB_ydeP | RNase_HI_eukaryote_like | DUF3444 | Utp8 | rnhA | NifQ |</t>
  </si>
  <si>
    <t>Novosphingobium sp. PP1Y</t>
  </si>
  <si>
    <t>334145280 YP_004538490 1 333937164 CCA90523 301106114 XP_002902140 262098760 EEY56812 281210376 EFA84542 PPL_01531 297728383 NP_001176555 OS11G0502200 255680115 BAH95283 125577229 EAZ18451 OSJ_33978 108864413 ABA93844 2 332025236 EGI65410 224047402 XP_002198952 172035269 YP_001801770 CCE_0353 171696723 ACB49704 308808712 XP_003081666 40 116060131 CAL56190</t>
  </si>
  <si>
    <t xml:space="preserve">SULFATASE CONSERVED HYPOTHETICAL RETROTRANSPOSON UNCLASSIFIED SERINE PROTEINASE STUBBLE BETA TRANSDUCIN FAMILY WD REPEAT ISS </t>
  </si>
  <si>
    <t>sp|Q96PY0|K1908_HUMAN</t>
  </si>
  <si>
    <t>Q96PY0 K1908_HUMAN KIAA1908 2 A4IX64 WY96 3418 3 1 Q5NGM4 Q0BL37 OSU18 A0Q766 U112 B2SGS8 FSC147 Q2A2I7 A7NDC0 FTNF002 00 Q14I26 MURG_FRAT1 198 C1F697 IF2_ACIC5 51196 11244 7670</t>
  </si>
  <si>
    <t xml:space="preserve">UNCHARACTERIZED OS HOMO SAPIENS GN PE SV MURG_FRATW UDP N ACETYLGLUCOSAMINE ACETYLMURAMYL PENTAPEPTIDE PYROPHOSPHORYL UNDECAPRENOL TRANSFERASE FRANCISELLA TULARENSIS SUBSP STRAIN MURG MURG_FRATT MURG_FRATO HOLARCTICA MURG_FRATN NOVICIDA MURG_FRATM MEDIASIATICA MURG_FRATH LVS MURG_FRATF FTA FSC TRANSLATION INITIATION FACTOR IF ACIDOBACTERIUM CAPSULATUM ATCC DSM JCM INFB </t>
  </si>
  <si>
    <t>RplO | ThiP | PBP2_NhaR | DUF1853 | Matrix | PHA03103 | Glyco_transf_6 | TRM | COG1379 | PRK05761 |</t>
  </si>
  <si>
    <t>Lacinutrix sp. 5H-3-7-4</t>
  </si>
  <si>
    <t>336173945 YP_004581083 1 LACAL_2816 334728517 AEH02655 DUF457 13186346 AAK15387 149738945 XP_001493474 13186338 AAK15381 67592191 XP_665620 54656395 EAL35390 50061 306814137 ZP_07448305 ECNC101_18881 305852502 EFM52952 294491034 ADE89790 307627511 ADN71815 UM146_12230 301784605 XP_002927715 281350444 EFB26028 PANDA_017524 118395377 XP_001030039 89284325 EAR82376 315124224 YP_004066228 ICDCCJ07001_659 313116396 ADR32204 315017946 ADT66039</t>
  </si>
  <si>
    <t xml:space="preserve">HYPOTHETICAL UNKNOWN FUNCTION TRANSMEMBRANE VALYL TRNA SYNTHETASE FUKUTIN CHRO CONSERVED DOMAIN LIKE ZINC FINGER </t>
  </si>
  <si>
    <t>sp|Q60HG0|FKTN_MACFA</t>
  </si>
  <si>
    <t>Q60HG0 2 1 O75072 A4XGE5 MURC_CALS8 43494 8903 3 Q8R507 Q7XA39 RGA4_SOLBU RGA4 Q54LH5 INT4_DICDI 4 INTS4 P32586 PYP2_SCHPO 38366 972 PYP2 P03554 Q00962 NY8153 Q02964</t>
  </si>
  <si>
    <t xml:space="preserve">FKTN_MACFA FUKUTIN OS MACACA FASCICULARIS GN FKTN PE SV FKTN_HUMAN HOMO SAPIENS UDP N ACETYLMURAMATE L ALANINE LIGASE CALDICELLULOSIRUPTOR SACCHAROLYTICUS STRAIN ATCC DSM MURC FKTN_MOUSE MUS MUSCULUS DISEASE RESISTANCE SOLANUM BULBOCASTANUM INTEGRATOR COMPLEX SUBUNIT HOMOLOG DICTYOSTELIUM DISCOIDEUM TYROSINE PHOSPHATASE SCHIZOSACCHAROMYCES POMBE POL_CAMVS ENZYMATIC POLYPROTEIN CAULIFLOWER MOSAIC VIRUS STRASBOURG ORF V POL_CAMVN POL_CAMVE BBC </t>
  </si>
  <si>
    <t>DUF3278 | GPDPase_memb | 7TM_GPCR_Srz | ND5 | PIG-U | DUF1430 | 2A0309 | ND4L | ND6 | DUF3112 |</t>
  </si>
  <si>
    <t>291001159 XP_002683146 1 284096775 EFC50402 41209138 AAR99618 BALPHA8 149623166 XP_001517912 MGC108372 70949844 XP_744296 56524191 CAH78218 70943409 XP_741754 56520334 CAH84583 PC301123 00 0 297294177 XP_001084072 2 109077049 XP_001084428 4 15226468 NP_179710 4803929 AAD29802 26449760 BAC42003 30017301 AAP12884 AT2G21140 330252033 AEC07127 296194736 XP_002745076 332029538 EGI69427 MLL5</t>
  </si>
  <si>
    <t xml:space="preserve">MATING PHEROMONE RECEPTOR SIMILAR TO PARTIAL HYPOTHETICAL CONSERVED FYN BINDING ISOFORM PROLINE RICH HISTONE LYSINE N METHYLTRANSFERASE </t>
  </si>
  <si>
    <t>sp|Q9PKW2|APBE_CHLMU</t>
  </si>
  <si>
    <t>Chlamydia muridarum</t>
  </si>
  <si>
    <t>Q9PKW2 3 2 Q69566 U88_HHV6U U88 6A 1102 4 1 Q9Y6X0 SETBP1 O15117 P46494 Y656A_HAEIN HI_0656 51907 11121 KW20 P06599 O65530 PEK14_ARATH PERK14 P14582 RECA_SYNP2 27264 7002 6 Q8NC74 CT151_HUMAN C20ORF151 Q9Z180</t>
  </si>
  <si>
    <t xml:space="preserve">APBE_CHLMU THIAMINE BIOSYNTHESIS LIPOPROTEIN APBE OS CHLAMYDIA MURIDARUM GN PE SV UNCHARACTERIZED HUMAN HERPESVIRUS STRAIN UGANDA SETBP_HUMAN SET BINDING HOMO SAPIENS FYB_HUMAN FYN FYB HAEMOPHILUS INFLUENZAE ATCC DSM RD EXTN_DAUCA EXTENSIN DAUCUS CAROTA PROLINE RICH RECEPTOR LIKE KINASE ARABIDOPSIS THALIANA RECA SYNECHOCOCCUS PCC PR SETBP_MOUSE MUS MUSCULUS </t>
  </si>
  <si>
    <t>ND5 | MTH1 | PAE | 2A0309 | PreSET | COG1373 | delta_endotoxin_C | PTZ00372 | Lon_rel_chp | ATP8 |</t>
  </si>
  <si>
    <t>VI_chp_6 | DUF879 | PRK08659 | PLN02560 |</t>
  </si>
  <si>
    <t>Energy production and conversion, Amino acid transport and metabolism</t>
  </si>
  <si>
    <t>47228117 CAF97746 1 307193689 EFN76372 EAI_02845 195330135 XP_002031763 GM23870 194120706 EDW42749 195997901 XP_002108819 TRIADDRAFT_52194 190589595 EDV29617 123282371 XP_001290146 121862226 EAX77216 TVAG_322400 123239690 XP_001287665 121855500 EAX74735 TVAG_294310 123157806 XP_001278738 121826361 EAX65808 TVAG_364860 328872085 EGG20455 DFA_07579 327265532 XP_003217562 FAM13B 123188052 XP_001281757 121837232 EAX68827 TVAG_023700</t>
  </si>
  <si>
    <t xml:space="preserve">UNNAMED PRODUCT HYPOTHETICAL LIKE </t>
  </si>
  <si>
    <t>sp|P38229|GIP1_YEAST</t>
  </si>
  <si>
    <t>P38229 GIP1_YEAST GLC7 1 204508 S288C GIP1 2 P29539 RIF1_YEAST RIF1 3 P41910 MAF1_YEAST MAF1 Q5T7N2 LITD1_HUMAN L1TD1 Q6C7D0 TFB3_YARLI 122 150 TFB3 Q9PK87 Q5RJP9 SR1IP_RAT SREK1IP1 O84308 B0BBT7 L2B Q3KM56 13 571B</t>
  </si>
  <si>
    <t xml:space="preserve">INTERACTING OS SACCHAROMYCES CEREVISIAE STRAIN ATCC GN PE SV TELOMERE LENGTH REGULATOR REPRESSOR RNA POLYMERASE III TRANSCRIPTION LINE TYPE TRANSPOSASE DOMAIN CONTAINING HOMO SAPIENS II FACTOR B SUBUNIT YARROWIA LIPOLYTICA CLIB E VATD_CHLMU V ATP SYNTHASE D CHLAMYDIA MURIDARUM ATPD RATTUS NORVEGICUS VATD_CHLTR TRACHOMATIS VATD_CHLTB SEROVAR UCH PROCTITIS VATD_CHLTA A HAR VR </t>
  </si>
  <si>
    <t>CDC27 1e-005| TIGR00046 0.089| EXS | COX2 | ND2 | PLN03164 | ATP6 | Srg | HEPPP_synt_1 | PRK07908 |</t>
  </si>
  <si>
    <t>156545944 XP_001603380 1 157133375 XP_001656227 108881564 EAT45789 307193513 EFN76290 W07G4 4 124487946 ABN12056 91091270 XP_969358 CB283 270014120 EFA10568 TCASGA2_TC012824 47226639 CAG07798 198419842 XP_002127883 CG9285 169158275 CAQ13327 45709356 AAH67619 81097694 AAI09449</t>
  </si>
  <si>
    <t xml:space="preserve">HYPOTHETICAL LEUCYL AMINOPEPTIDASE LIKE SIMILAR TO SB UNNAMED PRODUCT DIPEPTIDASE B PA NOVEL </t>
  </si>
  <si>
    <t>sp|Q27245|YH24_CAEEL</t>
  </si>
  <si>
    <t>Q27245 YH24_CAEEL W07G4 4 1 Q0VSA5 SK2 700651 11573 3 O74846 SEC6_SCHPO SEC6 38366 972 2 A8MA86 Y169_CALMQ UPF0095 CMAQ_0169 13496 167 Q5QD05 TAA8C_MOUSE 8C TAAR8C Q5QD06 TAA8B_MOUSE 8B TAAR8B Q5QD07 TAA8A_MOUSE 8A TAAR8A P28477 P20128 P10358</t>
  </si>
  <si>
    <t xml:space="preserve">AMINOPEPTIDASE OS CAENORHABDITIS ELEGANS GN PE SV AMPA_ALCBS PROBABLE CYTOSOL ALCANIVORAX BORKUMENSIS STRAIN ATCC DSM PEPA EXOCYST COMPLEX COMPONENT SCHIZOSACCHAROMYCES POMBE CALDIVIRGA MAQUILINGENSIS DSMZ IC TRACE AMINE ASSOCIATED RECEPTOR MUS MUSCULUS POLR_TYMVC RNA REPLICASE POLYPROTEIN TURNIP YELLOW MOSAIC VIRUS ISOLATE TYMC POLR_TYMVA AUSTRALIA POLR_TYMV </t>
  </si>
  <si>
    <t>zgc:152830 - Danio rerio - aminopeptidase activity - cytoplasm - metalloexopeptidase activity - protein metabolic process - proteolysis - manganese ion binding - intracellular</t>
  </si>
  <si>
    <t>Peptidase_M17 5e-007| DUF2359 0.020| Peptidase_M17 | Binary_toxB | FUSC-like | PRK08965 | PRK00913 | PRK09059 | PRK06213 | PRK13900 |</t>
  </si>
  <si>
    <t>83032800 XP_729198 1 23486287 EAA20763 281208091 EFA82269 PPL_04692 340503895 EGR30402 IMG5_133010 145502373 XP_001437165 124404313 CAK69768 258597734 XP_001348436 2 255528819 AAN36875 118381483 XP_001023902 89305669 EAS03657 237751008 ZP_04581488 229373453 EEO23844 301608648 XP_002933890 3 281200723 EFA74941 5B 296109554 YP_003616503 295434368 ADG13539</t>
  </si>
  <si>
    <t xml:space="preserve">HYPOTHETICAL UNNAMED PRODUCT PROBABLE UNKNOWN FUNCTION KINASE DOMAIN CONTAINING CONSERVED TRANSCRIPTION ELONGATION FACTOR B POLYPEPTIDE MYOSIN DNA TOPOISOMERASE VI SUBUNIT </t>
  </si>
  <si>
    <t>sp|Q8C4M7|CENPU_MOUSE</t>
  </si>
  <si>
    <t>Q8C4M7 MLF1IP 2 A9L9E2 YCF1_LEMMI YCF1 3 1 Q81WH6 Q17VP5 Q757D9 BRE1_ASHGO E3 BRE1 10895 109 51 9923 1056 Q4Z015 FEN1_PLABE FEN1 B2A3C0 S12 1301 18059 A6QNM3 ORC2_BOVIN ORC2 P59599 Y2212_CHLTE CT2212 Q54QP0 U614_DICDI UPF0614 DDB_G0283719</t>
  </si>
  <si>
    <t xml:space="preserve">CENPU_MOUSE CENTROMERE U OS MUS MUSCULUS GN PE SV MEMBRANE LEMNA MINOR PRKC_BACAN SERINE THREONINE KINASE PRKC BACILLUS ANTHRACIS SYH_HELAH HISTIDYL TRNA SYNTHETASE HELICOBACTER ACINONYCHIS STRAIN SHEEBA HISS UBIQUITIN LIGASE ASHBYA GOSSYPII ATCC CBS FGSC NRRL Y FLAP ENDONUCLEASE PLASMODIUM BERGHEI RIMO_NATTJ RIBOSOMAL METHYLTHIOTRANSFERASE RIMO NATRANAEROBIUS THERMOPHILUS BAA DSM JW NM WN LF ORIGIN RECOGNITION COMPLEX SUBUNIT BOS TAURUS UNCHARACTERIZED N ACETYLTRANSFERASE CHLOROBIUM TEPIDUM DICTYOSTELIUM DISCOIDEUM </t>
  </si>
  <si>
    <t>ND5 3e-004| ND4 8e-004| HlyIII 0.001| ND5 0.012| Srg 0.014| 7tm_7 0.029| ND4 0.059| Acyl_transf_3 0.078| Frag1 0.083| ND1 0.089|</t>
  </si>
  <si>
    <t>Aspergillus oryzae RIB40</t>
  </si>
  <si>
    <t>83775621 BAE65741 1 66275545 AAY44032 256427309 YP_003127072 NAD5P 255761606 ACU32842 123977219 XP_001330782 121912593 EAY17413 TVAG_320080 326927596 XP_003209977 3 255089142 XP_002506493 226521765 ACO67751 291405284 XP_002718901 1A</t>
  </si>
  <si>
    <t xml:space="preserve">UNNAMED PRODUCT MATURASE K HYPOTHETICAL ZINC FINGER HOMEOBOX LIKE PARTIAL MYB BINDING </t>
  </si>
  <si>
    <t>sp|O22795|RK28_ARATH</t>
  </si>
  <si>
    <t>O22795 RK28_ARATH 50S L28 RPL28 2 Q6CNA8 YFH7_KLULA YFH7 8585 2359 70799 1267 1140 WM37 3 1 Q9NJN5 P30956 RK28_TOBAC P34427 LIN36_CAEEL 36 Q00388 4 P22211 NPR1_YEAST 204508 S288C NPR1 Q61329 ZFHX3_MOUSE ZFHX3 Q15911 ZFHX3_HUMAN</t>
  </si>
  <si>
    <t xml:space="preserve">RIBOSOMAL CHLOROPLASTIC OS ARABIDOPSIS THALIANA GN PE SV ATP DEPENDENT KINASE KLUYVEROMYCES LACTIS STRAIN ATCC CBS DSM NBRC NRRL Y RPOB_NEOCA DNA DIRECTED RNA POLYMERASE SUBUNIT BETA NEOSPORA CANINUM RPOB NICOTIANA TABACUM LIN CAENORHABDITIS ELEGANS VHUB_METVO POLYFERREDOXIN VHUB METHANOCOCCUS VOLTAE NITROGEN PERMEASE REACTIVATOR SACCHAROMYCES CEREVISIAE ZINC FINGER HOMEOBOX MUS MUSCULUS HOMO SAPIENS </t>
  </si>
  <si>
    <t>recf | DUF63 | CBF | PTZ00164 | ND2 | PTZ00352 | COG2342 | FlhA | Glucan_synthase | Intg_mem_TP0381 |</t>
  </si>
  <si>
    <t>332029109 EGI69122 1 307204441 EFN83148 307169364 EFN62085 156553292 XP_001599496 ENSANGP00000031634 340715586 XP_003396292 328789247 XP_003251251 242007895 XP_002424753 212508256 EEB12015 157118318 XP_001653168 108883291 EAT47516 270003787 EFA00235 TCASGA2_TC003063 189235151 XP_968430 2 AGAP006107</t>
  </si>
  <si>
    <t xml:space="preserve">TRIPLE FUNCTIONAL DOMAIN KALIRIN SIMILAR TO LIKE HUNTINGTIN ASSOCIATED INTERACTING TRIO HYPOTHETICAL PB </t>
  </si>
  <si>
    <t>sp|A0R4R3|KSHA_MYCS2</t>
  </si>
  <si>
    <t>Mycobacterium smegmatis (strain ATCC 700084 / mc(2)155)</t>
  </si>
  <si>
    <t>A0R4R3 KSHA_MYCS2 3 9 700084 2 155 1 B6IN07 51521 Q28V32 CCS1 Q9UWW6 35092 1617 11322 P2 C3NEU3 57 14 #1 C3NGV1 15 51 #2 C3MW93 25 C3MQL5 C4KHV0 16 4 #3 C3N6D5 27</t>
  </si>
  <si>
    <t xml:space="preserve">KETOSTEROID ALPHA HYDROXYLASE OXYGENASE SUBUNIT OS MYCOBACTERIUM SMEGMATIS STRAIN ATCC MC GN KSHA PE SV RPOZ_RHOCS DNA DIRECTED RNA POLYMERASE OMEGA RHODOSPIRILLUM CENTENUM SW RPOZ RPOZ_JANSC JANNASCHIA VATA_SULSO V TYPE ATP SYNTHASE CHAIN SULFOLOBUS SOLFATARICUS DSM JCM ATPA VATA_SULIY ISLANDICUS Y G YELLOWSTONE VATA_SULIN N VATA_SULIM M KAMCHATKA VATA_SULIL L S LASSEN VATA_SULIK VATA_SULIA </t>
  </si>
  <si>
    <t>DUF2463 0.012| ND2 | PLN00033 | CirA | PRK06589 | PRK06930 | ND2 | PLN02366 | PHA03418 | CrcB |</t>
  </si>
  <si>
    <t>307189530 EFN73907 1 UPF0511 C2ORF56 332024460 EGI64658 328789699 XP_623890 2 340728646 XP_003402630 241568973 XP_002402617 215500058 EEC09552 322790659 EFZ15443 SINV_14205 72013976 XP_781178 115958909 XP_001182552 332813010 XP_003309028 311252817 XP_003125279 335285637 XP_003354911 211826135 AAH12374</t>
  </si>
  <si>
    <t xml:space="preserve">LIKE MITOCHONDRIAL MIDA HOMOLOG CONSERVED HYPOTHETICAL ISOFORM </t>
  </si>
  <si>
    <t>sp|Q7L592|MIDA_HUMAN</t>
  </si>
  <si>
    <t>Q7L592 C2ORF56 1 Q6GQ37 2 Q5BKM6 TEGG135J01 Q9CWG8 4 Q2KHV5 Q5XI79 Q08BY0 153989 Q9VGR2 CG17726 Q09644 ZK1128 Q54S83</t>
  </si>
  <si>
    <t xml:space="preserve">MIDA_HUMAN MIDA HOMOLOG MITOCHONDRIAL OS HOMO SAPIENS GN PE SV MIDA_XENLA XENOPUS LAEVIS MIDA_XENTR TROPICALIS MIDA_MOUSE MUS MUSCULUS MIDA_BOVIN BOS TAURUS MIDA_RAT RATTUS NORVEGICUS MIDA_DANRE DANIO RERIO ZGC MIDA_DROME DROSOPHILA MELANOGASTER MIDA_CAEEL CAENORHABDITIS ELEGANS MIDA_DICDI DICTYOSTELIUM DISCOIDEUM </t>
  </si>
  <si>
    <t>Uncharacterized protein - Sus scrofa - mitochondrion - enzyme binding - mitochondrial respiratory chain complex I assembly</t>
  </si>
  <si>
    <t>COG1565 1e-015| DUF185 5e-013| adjacent_YSIRK | PRK12481 | ccoG_rdxA_fixG | Lrp | DUF3414 | PRK08993 | UPF0259 | Viral_Hsp90 |</t>
  </si>
  <si>
    <t>242017040 XP_002429001 1 212513847 EEB16263 189235790 XP_969937 2 270004924 EFA01372 TCASGA2_TC010362 283046726 NP_001164309 270004922 EFA01370 TCASGA2_TC010355 112983348 NP_001036999 71003492 BAE07196 239788286 BAH70830 ACYPI38240 33306813 AAQ02888 AF394234_1 157118770 XP_001653252 157118772 XP_001653253 108875591 EAT39816 108875592 EAT39817 295842195 NP_001171492 295842197 NP_001171493 33089112 AAP93585 340709008 XP_003393108</t>
  </si>
  <si>
    <t xml:space="preserve">PHOSPHOLIPID HYDROPEROXIDE GLUTATHIONE PEROXIDASE SIMILAR TO HYPOTHETICAL LIKE THIOREDOXIN PERXIDASE PROBABLE ISOFORM </t>
  </si>
  <si>
    <t>sp|Q00277|GPX1_SCHMA</t>
  </si>
  <si>
    <t>Q00277 GPX1_SCHMA GPX1 1 2 Q9LEF0 GPX4_MESCR GPXMC1 Q32QL6 GPX4_CALJA GPX4 Q4AEG9 GPX4_CEBAP O23814 GPX4_SPIOL Q4AEH2 GPX4_PONPY P36969 GPX4_HUMAN 3 Q9FXS3 GPX4_TOBAC P30708 GPX4_NICSY O24031 GPX4_SOLLC</t>
  </si>
  <si>
    <t xml:space="preserve">GLUTATHIONE PEROXIDASE OS SCHISTOSOMA MANSONI GN PE SV PROBABLE PHOSPHOLIPID HYDROPEROXIDE MESEMBRYANTHEMUM CRYSTALLINUM MITOCHONDRIAL CALLITHRIX JACCHUS CEBUS APELLA SPINACIA OLERACEA PONGO PYGMAEUS HOMO SAPIENS NICOTIANA TABACUM SYLVESTRIS SOLANUM LYCOPERSICUM GPXLE </t>
  </si>
  <si>
    <t>glutathione peroxidase 4b - Danio rerio - oxidation-reduction process - response to oxidative stress - glutathione peroxidase activity - oxidoreductase activity - peroxidase activity</t>
  </si>
  <si>
    <t>GSH_Peroxidase 5e-040| BtuE 3e-035| PLN02412 1e-030| PLN02399 7e-030| PTZ00256 8e-025| btuE 2e-020| GSHPx 5e-020| PTZ00056 9e-020| gpx7 7e-017| ND2 |</t>
  </si>
  <si>
    <t>74026416 XP_829774 1 70835160 EAN80662 170071839 XP_001870024 167867815 EDS31198 242010104 XP_002425816 212509749 EEB13078 209522066 ZP_03270720 209497494 EDZ97695 195134520 XP_002011685 GI11167 193906808 EDW05675 325114234 CBZ49791 340515875 EGR46126 302677773 XP_003028569 SCHCODRAFT_59812 300102258 EFI93666 198468042 XP_001354596 2 GA10802 198146225 EAL31650 195165457 XP_002023555 GL19863 194105689 EDW27732</t>
  </si>
  <si>
    <t xml:space="preserve">HYPOTHETICAL UNLIKELY XYLOSYLTRANSFERASE OXT WD REPEAT FYVE DOMAIN CONTAINING MAOC DEHYDRATASE CONSERVED BASIC LEUCINE ZIPPER TRANSCRIPTION FACTOR </t>
  </si>
  <si>
    <t>sp|P36099|YKD0_YEAST</t>
  </si>
  <si>
    <t>P36099 YKD0_YEAST YKL030W 204508 S288C 5 1 P36355 MATRX_PI1HA A1426 86 315 62M 753 3 Q9W517 A6H6W9 SDS3_BOVIN SIN3 SDS3 SUDS3 2 Q01427 MATRX_PI1HC C39 Q8ZKC3 Q8Z1A8 Q5PIQ0 Q57GQ5 O35930 GP1BA_MOUSE GP1BA</t>
  </si>
  <si>
    <t xml:space="preserve">UNCHARACTERIZED OS SACCHAROMYCES CEREVISIAE STRAIN ATCC GN PE SV MATRIX HUMAN PARAINFLUENZA VIRUS STRAINS M WAPL_DROME WINGS APART LIKE DROSOPHILA MELANOGASTER WAPL HISTONE DEACETYLASE COREPRESSOR COMPLEX COMPONENT BOS TAURUS DSBD_SALTY THIOL DISULFIDE INTERCHANGE DSBD SALMONELLA TYPHIMURIUM DSBD_SALTI TYPHI DSBD_SALPA PARATYPHI A DSBD_SALCH CHOLERAESUIS PLATELET GLYCOPROTEIN IB ALPHA CHAIN MUS MUSCULUS </t>
  </si>
  <si>
    <t>Ribosomal_L19e 0.041| Ribosomal_L19e 0.057| Tymo_45kd_70kd | rpl19e | RPL19A | Ribosomal_L19e_E | DUF2300 | DmsC | Ribosomal_L19e_A | TT_ORF1 |</t>
  </si>
  <si>
    <t>340710988 XP_003394064 1 340710990 XP_003394065 2 91086953 XP_972928 AGAP005282 270009658 EFA06106 TCASGA2_TC008948 328784372 XP_001123002 307206500 EFN84526 156544794 XP_001606359 332016282 EGI57195 307185591 EFN71545 307173884 EFN64634 194898372 XP_001978787 GG11774 190650490 EDV47745 195036288 XP_001989603 GH18889 193893799 EDV92665</t>
  </si>
  <si>
    <t xml:space="preserve">GUANINE DEAMINASE LIKE ISOFORM SIMILAR TO PA HYPOTHETICAL </t>
  </si>
  <si>
    <t>sp|Q86AW9|GUAD_DICDI</t>
  </si>
  <si>
    <t>Q86AW9 1 Q9R111 Q9WTT6 Q5RAV9 2 Q9Y2T3 O14057 38366 972 SPCC1672 03C Q07729 204508 S288C GUD1 P76641 K12 Q9RYX4 3 Q2RJW1 5 39073</t>
  </si>
  <si>
    <t xml:space="preserve">GUAD_DICDI GUANINE DEAMINASE OS DICTYOSTELIUM DISCOIDEUM GN GUAD PE SV GUAD_MOUSE MUS MUSCULUS GDA GUAD_RAT RATTUS NORVEGICUS GUAD_PONAB PONGO ABELII GUAD_HUMAN HOMO SAPIENS GUAD_SCHPO PROBABLE SCHIZOSACCHAROMYCES POMBE STRAIN ATCC GUAD_YEAST SACCHAROMYCES CEREVISIAE GUAD_ECOLI ESCHERICHIA COLI GUAD_DEIRA DEINOCOCCUS RADIODURANS MTAD_MOOTA METHYLTHIOADENOSINE S ADENOSYLHOMOCYSTEINE MOORELLA THERMOACETICA MTAD </t>
  </si>
  <si>
    <t>Dihydropterin deaminase - Drosophila melanogaster - dihydropteridine metabolic process - dihydropterin deaminase activity - guanine deaminase activity - zinc ion binding - guanine metabolic process - eye pigment biosynthetic process</t>
  </si>
  <si>
    <t>GDEase 5e-056| guan_deamin 2e-046| PRK09228 5e-038| SsnA 3e-029| ATZ_TRZ_like 1e-023| PRK09045 4e-023| PRK08393 2e-020| PRK07228 1e-019| PRK06038 2e-017| Met_dep_hydrolase_D 3e-014|</t>
  </si>
  <si>
    <t>Nucleotide transport and metabolism, Secondary metabolites biosynthesis, transport and catabolism</t>
  </si>
  <si>
    <t>Lachancea thermotolerans</t>
  </si>
  <si>
    <t>255711868 XP_002552217 1 KLTH0B09900P 238933595 CAR21779 297746028 CBI16084 3 225434851 XP_002280607 260807685 XP_002598639 BRAFLDRAFT_113722 229283912 EEN54651 313230194 CBY07898 156551057 XP_001606022 CG8241 339906116 YP_004732913 WIV_GP130 308051987 ADO00474 326438129 EGD83699 PTSG_04304 320168597 EFW45496 PRP4 320165917 EFW42816</t>
  </si>
  <si>
    <t xml:space="preserve">UNNAMED PRODUCT HYPOTHETICAL SIMILAR TO PA SERINE THREONINE KINASE </t>
  </si>
  <si>
    <t>sp|Q09511|RSP4_CAEEL</t>
  </si>
  <si>
    <t>Q09511 RSP4_CAEEL 4 2 1 Q8BTI8 SRRM2_MOUSE SRRM2 3 Q9UQ35 SRRM2_HUMAN Q10021 RSP5_CAEEL 5 Q5UPC0 YL041_MIMIV L41 MIMI_L41 Q9QX47 P18583 Q61136 PRP4B_MOUSE PRP4 PRPF4B Q5RKH1 PRP4B_RAT Q5R814 PRP4B_PONAB</t>
  </si>
  <si>
    <t xml:space="preserve">PROBABLE SPLICING FACTOR ARGININE SERINE RICH OS CAENORHABDITIS ELEGANS GN RSP PE SV REPETITIVE MATRIX MUS MUSCULUS HOMO SAPIENS UNCHARACTERIZED ACANTHAMOEBA POLYPHAGA MIMIVIRUS SON_MOUSE SON SON_HUMAN THREONINE KINASE HOMOLOG RATTUS NORVEGICUS PONGO ABELII </t>
  </si>
  <si>
    <t>Probable splicing factor, arginine/serine-rich 4 - Caenorhabditis elegans - nuclear mRNA splicing, via spliceosome - RNA binding - nucleus</t>
  </si>
  <si>
    <t>Hepatitis_core 9e-007| DUF1777 6e-006| Adeno_PV 1e-004| Transformer 3e-004| DUF2457 4e-004| TT_ORF1 6e-004| PHA03307 0.001| SF-CC1 0.002| NESP55 0.002| PHA03328 0.007|</t>
  </si>
  <si>
    <t>Bacteroides clarus YIT 12056</t>
  </si>
  <si>
    <t>329956969 ZP_08297537 1 HMPREF9445_02412 328523726 EGF50818 15899676 NP_344281 SSO2966 13816346 AAK43071 330813916 YP_004358155 327487011 AEA81416 195589433 XP_002084456 GD14285 194196465 EDX10041 195493340 XP_002094374 GE21790 194180475 EDW94086 195441606 XP_002068596 GK20335 194164681 EDW79582 195326710 XP_002030068 GM25251 194119011 EDW41054 195020437 XP_001985194 GH16926 193898676 EDV97542 194868875 XP_001972348 GG15480 190654131 EDV51374 194748112 XP_001956493 GF25243 190623775 EDV39299</t>
  </si>
  <si>
    <t xml:space="preserve">HYPOTHETICAL PERMEASE YJGP YJGQ FAMILY </t>
  </si>
  <si>
    <t>sp|O25537|LPXB_HELPY</t>
  </si>
  <si>
    <t>Helicobacter pylori</t>
  </si>
  <si>
    <t>O25537 3 1 Q54GV3 Y6140_DICDI DDB_G0289959 4 Q89AL6 5 B8ZKL1 700669 23F C1C7W3 MECA_STRP7 70585 B5E5F8 MECA_STRP4 19F G54 C1CQZ3 TAIWAN19F 14 C1CL71 P1031 C1CEV1 Q8DPE0 MECA_STRR6 255 R6</t>
  </si>
  <si>
    <t xml:space="preserve">LPXB_HELPY LIPID A DISACCHARIDE SYNTHASE OS HELICOBACTER PYLORI GN LPXB PE SV UNCHARACTERIZED TRANSMEMBRANE DICTYOSTELIUM DISCOIDEUM PYRF_BUCBP OROTIDINE PHOSPHATE DECARBOXYLASE BUCHNERA APHIDICOLA SUBSP BAIZONGIA PISTACIAE STRAIN BP PYRF MECA_STRPJ ADAPTER MECA STREPTOCOCCUS PNEUMONIAE ATCC SPAIN SEROTYPE MECA_STRZT MECA_STRZP MECA_STRZJ JJA BAA </t>
  </si>
  <si>
    <t>intg_mem_TP0381 0.005| PRK10834 | SPP-like | COG5366 | PRK05218 | HpaX | DUF3810 | dnaE | N1221 | NuoH |</t>
  </si>
  <si>
    <t>307202429 EFN81849 1 2 332023870 EGI64094 307177064 EFN66332 328778168 XP_003249455 LOC100577707 91085385 XP_966386 AGAP001208 270009149 EFA05597 TCASGA2_TC015801 340717603 XP_003397270 LOC100651205 193695280 XP_001951783 LOC100166599 156544558 XP_001602498 170050061 XP_001870988 167871651 EDS35034 157125304 XP_001654281 AAEL_AAEL010165 108873656 EAT37881</t>
  </si>
  <si>
    <t xml:space="preserve">ARGININE SERINE RICH COILED COIL HYPOTHETICAL SIMILAR TO PA CONSERVED PROV </t>
  </si>
  <si>
    <t>sp|Q5XHJ5|RSRC2_XENTR</t>
  </si>
  <si>
    <t>Q5XHJ5 RSRC2_XENTR 2 RSRC2 1 Q7ZYR8 RSRC2_XENLA Q5PQR4 RSRC2_RAT Q5R8J6 RSRC2_PONAB A2RTL5 RSRC2_MOUSE Q7L4I2 RSRC2_HUMAN A6QLS2 RSRC2_BOVIN Q6NWI1 RSRC2_DANRE P34594 YOD2_CAEEL ZC262 O42912 TAD1_SCHPO 38366 972 SPBC16A3 06</t>
  </si>
  <si>
    <t xml:space="preserve">ARGININE SERINE RICH COILED COIL OS XENOPUS TROPICALIS GN PE SV LAEVIS RATTUS NORVEGICUS PONGO ABELII MUS MUSCULUS HOMO SAPIENS BOS TAURUS DANIO RERIO UNCHARACTERIZED CAENORHABDITIS ELEGANS TRNA SPECIFIC ADENOSINE DEAMINASE SCHIZOSACCHAROMYCES POMBE STRAIN ATCC </t>
  </si>
  <si>
    <t>arginine/serine-rich coiled-coil 2 - Mus musculus - cellular_component - molecular_function - biological_process</t>
  </si>
  <si>
    <t>s48_45 0.038| ND2 0.073| NnaC_like | ND4L | Pox_VERT_large | PHA03028 | PHA03016 | PRANC | DUF2972 | ND4L |</t>
  </si>
  <si>
    <t>Nuclear structure</t>
  </si>
  <si>
    <t>332019851 EGI60312 1 60S L18 322791128 EFZ15690 SINV_04174 242004652 XP_002423194 212506159 EEB10456 70909735 CAJ17293 L18E 70909737 CAJ17294 263173297 ACY69904 307181211 EFN68908 91079322 XP_968042 270004338 EFA00786 TCASGA2_TC003672 70909733 CAJ17292 340709984 XP_003393579 LOC100643724</t>
  </si>
  <si>
    <t xml:space="preserve">RIBOSOMAL HYPOTHETICAL SIMILAR TO </t>
  </si>
  <si>
    <t>sp|Q56FG8|RL18_LYSTE</t>
  </si>
  <si>
    <t>Lysiphlebus testaceipes</t>
  </si>
  <si>
    <t>Q56FG8 RL18_LYSTE 60S L18 RPL18 2 1 Q4GXG7 RL18_TIMBA Q2M0G4 RL18_DROPS 3 Q9VS34 RL18_DROME P69091 RL18_ORENI P69090 RL18_OREMO O65729 RL18_CICAR P12001 RL18_RAT P35980 RL18_MOUSE Q4R5H8 RL18_MACFA</t>
  </si>
  <si>
    <t xml:space="preserve">RIBOSOMAL OS LYSIPHLEBUS TESTACEIPES GN PE SV TIMARCHA BALEARICA DROSOPHILA PSEUDOOBSCURA MELANOGASTER OREOCHROMIS NILOTICUS MOSSAMBICUS FRAGMENT CICER ARIETINUM RATTUS NORVEGICUS MUS MUSCULUS MACACA FASCICULARIS </t>
  </si>
  <si>
    <t>60S ribosomal protein L18 - Drosophila pseudoobscura pseudoobscura - molecular_function - cellular_component - biological_process</t>
  </si>
  <si>
    <t>PTZ00469 6e-014| PTZ00195 3e-006| A | A | Ribosomal_L15e | topA_arch | Strumpellin | 7TM_GPCR_Str | purA | PRK13878 |</t>
  </si>
  <si>
    <t>Hister sp. APV-2005</t>
  </si>
  <si>
    <t>70909939 CAJ17456 1 L44E 91080271 XP_973623 70909929 CAJ17451 70909933 CAJ17453 270005697 EFA02145 TCASGA2_TC007795 70909931 CAJ17452 264667399 ACY71285 L36A 70909943 CAJ17458 70909941 CAJ17457 70909935 CAJ17454 307181094 EFN68839 60S L44 328787740 XP_394987 4 2 328787742 XP_003250994 340728172 XP_003402402 340728174 XP_003402403 70909937 CAJ17455</t>
  </si>
  <si>
    <t xml:space="preserve">RIBOSOMAL SIMILAR TO HYPOTHETICAL ISOFORM LIKE </t>
  </si>
  <si>
    <t>sp|Q9NB33|RL44_AEDTR</t>
  </si>
  <si>
    <t>Q9NB33 RL44_AEDTR 60S L44 RPL44 3 P90702 RL44_BRUMA 44 P48166 RL44_CAEEL 41 2 P61486 RL36A_TAKRU L36A RPL36A P61487 RL36A_ICTPU P61485 RL36A_DANRE Q969Q0 RL36L_HUMAN RPL36AL 1 P83883 RL36A_RAT P83884 RL36A_PIG P83882 RL36A_MOUSE</t>
  </si>
  <si>
    <t xml:space="preserve">RIBOSOMAL OS AEDES TRISERIATUS GN PE SV BRUGIA MALAYI RPL CAENORHABDITIS ELEGANS TAKIFUGU RUBRIPES ICTALURUS PUNCTATUS DANIO RERIO LIKE HOMO SAPIENS RATTUS NORVEGICUS SUS SCROFA MUS MUSCULUS </t>
  </si>
  <si>
    <t>Ribosomal protein L36A - Drosophila melanogaster - cytosolic large ribosomal subunit - structural constituent of ribosome - translation - mitotic spindle organization - mitotic spindle elongation</t>
  </si>
  <si>
    <t>PTZ00157 2e-043| Ribosomal_L44 5e-038| RPL42A 3e-032| rpl44e 1e-023| Protamine_P2 | NR_DBD_ERR | COG1967 | COG2389 | valS | COG5524 |</t>
  </si>
  <si>
    <t>Enterocytozoon bieneusi H348</t>
  </si>
  <si>
    <t>269861553 XP_002650479 1 EBI_27034 220066062 EED43574 160331711 XP_001712562 HAN_3G432 159766011 ABW98237 153816664 ZP_01969332 RUMTOR_02920 145846003 EDK22921 260890517 ZP_05901780 GCWU000323_01695 260859759 EEX74259 340505947 EGR32207 IMG5_092110 257126925 YP_003165039 257050864 ACV40048 66806249 XP_636847 DDB_G0288215 60465244 EAL63338 301164729 CBW24288 302804638 XP_002984071 SELMODRAFT_423260 300148423 EFJ15083 265767760 ZP_06095292 336412009 ZP_08592468 HMPREF1018_04486 263252432 EEZ23960 335940031 EGN01902</t>
  </si>
  <si>
    <t xml:space="preserve">HYPOTHETICAL FIBRONECTIN BINDING A DOMAIN CONTAINING EXPORTED CONSERVED </t>
  </si>
  <si>
    <t>sp|Q9ZD15|SODF_RICPR</t>
  </si>
  <si>
    <t>Rickettsia prowazekii (strain Madrid E)</t>
  </si>
  <si>
    <t>Q9ZD15 3 1 Q68WK0 144 Q06SH2 YCF78_STIHE YCF78 P07298 B19 NS1 O13633 YNF5_SCHPO C17A3 05C 38366 972 SPBC17A3 Q4ULI1 1525 URRWXCAL2 2 Q92HJ3 613 7 Q1RH88 RML369 Q55GE6 ROCO7_DICDI ROCO7 Q5VWX1 KHDR2_HUMAN KHDRBS2</t>
  </si>
  <si>
    <t xml:space="preserve">SODF_RICPR SUPEROXIDE DISMUTASE OS RICKETTSIA PROWAZEKII STRAIN MADRID E GN SODB PE SV SODF_RICTY TYPHI ATCC VR WILMINGTON UNCHARACTERIZED MEMBRANE STIGEOCLONIUM HELVETICUM VNCS_PAVHU NON CAPSID NS HUMAN PARVOVIRUS ISOLATE AU J DOMAIN CONTAINING SCHIZOSACCHAROMYCES POMBE SODF_RICFE FELIS SODF_RICCN CONORII MALISH SODF_RICBR BELLII C PROBABLE SERINE THREONINE KINASE DICTYOSTELIUM DISCOIDEUM KH RNA BINDING SIGNAL TRANSDUCTION ASSOCIATED HOMO SAPIENS </t>
  </si>
  <si>
    <t>PRK08418 0.092| TLD | DUF567 | cyt_nit_nrfE | NolL | Spore_permease | spore_II_GA | PBP2_OppA | DUF443 | PtsG |</t>
  </si>
  <si>
    <t>Cell wall/membrane/envelope biogenesis, Posttranslational modification, protein turnover, chaperones</t>
  </si>
  <si>
    <t>321461703 EFX72733 1 DAPPUDRAFT_110446 145485550 XP_001428783 124395871 CAK61385 126290654 XP_001376044 23 281206554 EFA80740 PPL_06326 326928796 XP_003210560 170066438 XP_001868167 167862844 EDS26227 157115247 XP_001658163 108876970 EAT41195 327265691 XP_003217641 147903791 NP_001079890 33417160 AAH56107 MGC69122 148227180 NP_001080376 CDC23 27503445 AAH42346</t>
  </si>
  <si>
    <t xml:space="preserve">HYPOTHETICAL UNNAMED PRODUCT CELL DIVISION CYCLE HOMOLOG VOLTAGE GATED POTASSIUM CHANNEL YEAST PROV </t>
  </si>
  <si>
    <t>sp|Q9UJX2|CDC23_HUMAN</t>
  </si>
  <si>
    <t>Q9UJX2 CDC23_HUMAN 23 CDC23 1 3 A1A4R8 CDC23_BOVIN 2 Q6M1A3 TRUD1_METMP S2 TRUD1 Q4KL97 ANKR1_XENLA ANKRD1 P39860 4 Q885Z7 Q39112 GAOX3_ARATH 20 20OX3 Q8L3Z8 FZR2_ARATH FZR2 Q32NP8 FXC1B_XENLA C1 FOXC1 Q9PVZ3 FXC1A_XENLA</t>
  </si>
  <si>
    <t xml:space="preserve">CELL DIVISION CYCLE HOMOLOG OS HOMO SAPIENS GN PE SV BOS TAURUS PROBABLE TRNA PSEUDOURIDINE SYNTHASE D METHANOCOCCUS MARIPALUDIS STRAIN LL ANKYRIN REPEAT DOMAIN CONTAINING XENOPUS LAEVIS CAPK_STAAU CAPK STAPHYLOCOCCUS AUREUS TTCA_PSESM THIOCYTIDINE BIOSYNTHESIS TTCA PSEUDOMONAS SYRINGAE PV TOMATO GIBBERELLIN OXIDASE ARABIDOPSIS THALIANA FIZZY RELATED FORKHEAD BOX B A </t>
  </si>
  <si>
    <t>7TM_GPCR_Sru | HORMA | tRNA_synt_2f | PRK08517 | PRK15213 | PHA02942 | glyS | secY | SidE | ileS |</t>
  </si>
  <si>
    <t>sp|B2UR52|ILVD_AKKM8</t>
  </si>
  <si>
    <t>Akkermansia muciniphila (strain ATCC BAA-835)</t>
  </si>
  <si>
    <t>B2UR52 ILVD_AKKM8 835 3 1 Q5WKF5 K16 Q07IE7 ILVD_RHOP5 BISA53 Q4JUN3 K411 P03301 POLG_POL1S P03300 POLG_POL1M Q3A3A5 2380 A7IBD6 ILVD_XANP2 1158 PY2 A6UD23 WSM419 C3MIR3 NGR234</t>
  </si>
  <si>
    <t xml:space="preserve">DIHYDROXY ACID DEHYDRATASE OS AKKERMANSIA MUCINIPHILA STRAIN ATCC BAA GN ILVD PE SV CYSH_BACSK PHOSPHOADENOSINE PHOSPHOSULFATE REDUCTASE BACILLUS CLAUSII KSM CYSH RHODOPSEUDOMONAS PALUSTRIS ILVD_CORJK CORYNEBACTERIUM JEIKEIUM GENOME POLYPROTEIN POLIOVIRUS TYPE SABIN MAHONEY ILVD_PELCD PELOBACTER CARBINOLICUS DSM GRA BD XANTHOBACTER AUTOTROPHICUS ILVD_SINMW SINORHIZOBIUM MEDICAE ILVD_RHISN RHIZOBIUM </t>
  </si>
  <si>
    <t>liver_ADH_like1 | TIGR00052 | GBV-C_env | PRK05035 | ELO | ORC2 | Pico_P2A | UPF0565 | 6PTHBS | PLN02833 |</t>
  </si>
  <si>
    <t>194383570 BAG64756 1 157817133 NP_001102278 4E 2 149016379 EDL75625 148708234 EDL40181 74206151 BAE23544 327281586 XP_003225528 242022061 XP_002431460 212516748 EEB18722 147899334 NP_001089612 LOC734669 71051384 AAH99252 MGC116437 52346110 NP_001005099 MGC89871 50369167 AAH77031 89272849 CAJ82134 334325030 XP_003340592 332251324 XP_003274796 332251326 XP_003274797</t>
  </si>
  <si>
    <t xml:space="preserve">UNNAMED PRODUCT EUKARYOTIC TRANSLATION INITIATION FACTOR TYPE MEMBER ISOFORM CRA_B CRA_F LIKE HYPOTHETICAL </t>
  </si>
  <si>
    <t>sp|Q8BMB3|IF4E2_MOUSE</t>
  </si>
  <si>
    <t>Q8BMB3 IF4E2_MOUSE 4E 2 EIF4E2 1 O60573 IF4E2_HUMAN Q22888 IF4E4_CAEEL 4 Q9FK59 IF4E3_ARATH 3 AT5G18110 O61955 IF4E3_CAEEL O81481 IF4E1_MAIZE P29557 IF4E1_WHEAT A6NMX2 I4E1B_HUMAN 1B EIF4E1B P48599 IF4E1_ORYSJ OS01G0970400 Q03389 IF4E2_WHEAT</t>
  </si>
  <si>
    <t xml:space="preserve">EUKARYOTIC TRANSLATION INITIATION FACTOR TYPE OS MUS MUSCULUS GN PE SV HOMO SAPIENS CAENORHABDITIS ELEGANS IFE ARABIDOPSIS THALIANA ZEA MAYS TRITICUM AESTIVUM ORYZA SATIVA SUBSP JAPONICA </t>
  </si>
  <si>
    <t>Uncharacterized protein - Homo sapiens - RNA binding - translation initiation factor activity - cytoplasm</t>
  </si>
  <si>
    <t>IF4E 8e-026| CDC33 3e-005| 7TM_GPCR_Srbc | DNA_pol_B_2 | PRK09169 | C2_SRC2_like | PRK14648 | 7TM_GPCR_Srt | TROVE | 7TM_GPCR_Srx |</t>
  </si>
  <si>
    <t>269862229 XP_002650755 1 EBI_26875 220065663 EED43299 194207745 XP_001503817 2 146286038 Q505B7 ZBTB8OS 73949962 XP_535326 8 146286036 Q2YDE7 335290946 XP_003356341 332254611 XP_003276423 291408869 XP_002720754 114555367 XP_001163575 4 297665649 XP_002811154 63100438 AAH94629 148698253 EDL30200 MCG19026</t>
  </si>
  <si>
    <t xml:space="preserve">HYPOTHETICAL ARCHEASE LIKE ARCH_MOUSE FULL ALTNAME SIMILAR TO ZINC FINGER BTB DOMAIN CONTAINING OPPOSITE STRAND ISOFORM ARCH_BOVIN CRA_A </t>
  </si>
  <si>
    <t>sp|Q505B7|ARCH_MOUSE</t>
  </si>
  <si>
    <t>Q505B7 ZBTB8OS 2 Q2YDE7 Q8IWT0 1 Q2EGP9 Q9VD92 CG6353 Q8D243 3 A0AIC6 IF2_LISW6 6B 35897 20650 SLCC5334 Q92C29 IF2_LISIN A6SDR8 GAR1_BOTFB B05 10 GAR1 P50579 AMPM2_HUMAN METAP2</t>
  </si>
  <si>
    <t xml:space="preserve">ARCH_MOUSE ARCHEASE OS MUS MUSCULUS GN PE SV ARCH_BOVIN BOS TAURUS ARCH_HUMAN HOMO SAPIENS ARCH_ICTPU ICTALURUS PUNCTATUS ARCH_DROME LIKE DROSOPHILA MELANOGASTER MURB_WIGBR UDP N ACETYLENOLPYRUVOYLGLUCOSAMINE REDUCTASE WIGGLESWORTHIA GLOSSINIDIA BREVIPALPIS MURB TRANSLATION INITIATION FACTOR IF LISTERIA WELSHIMERI SEROVAR STRAIN ATCC DSM INFB INNOCUA H ACA RIBONUCLEOPROTEIN COMPLEX SUBUNIT BOTRYOTINIA FUCKELIANA METHIONINE AMINOPEPTIDASE </t>
  </si>
  <si>
    <t>ND5 0.002| ND4 0.005| COG0398 0.054| HP_OMP 0.058| COX3 | ATP6 | SP | VanZ | PRK14552 | LicD |</t>
  </si>
  <si>
    <t>Bacteroides sp. 1_1_14</t>
  </si>
  <si>
    <t>298385347 ZP_06994905 1 298261488 EFI04354 253568546 ZP_04845957 251842619 EES70699 29346044 NP_809547 81445336 Q8AA31 29337938 AAO75741 256083247 XP_002577859 238663195 CAZ34097 332685628 YP_004455402 MPTP_0094 332369637 BAK20593 82593847 XP_725175 23480083 EAA16740 307708732 ZP_07645195 SM12261_1530 307615306 EFN94516 157311111 YP_001469106 GP107 108861451 ABG21650</t>
  </si>
  <si>
    <t xml:space="preserve">NA H ANTIPORTER NHAA NHAA_BACTN FULL ALTNAME SODIUM PROTON SUPPRESSOR ACTIN SAC RELATED HYPOTHETICAL GYF DOMAIN </t>
  </si>
  <si>
    <t>sp|Q8AA31|NHAA_BACTN</t>
  </si>
  <si>
    <t>Q8AA31 3 1 Q5U5R9 HECD2_HUMAN E3 HECTD2 2 Q8ILR9 YPF17_PLAF7 PF14_0175 3D7 4 Q5RD78 HECD2_PONAB Q5UQA7 YR542_MIMIV R542 MIMI_R542 Q8CDU6 HECD2_MOUSE C4ZBJ4 SYFA_EUBR3 33656 0990 P42900 SLS1_YEAST 204508 S288C SLS1 Q96M32 KAD7_HUMAN 7 AK7 Q5UPM1 YL149_MIMIV L149 MIMI_L149</t>
  </si>
  <si>
    <t xml:space="preserve">NHAA_BACTN NA H ANTIPORTER NHAA OS BACTEROIDES THETAIOTAOMICRON GN PE SV PROBABLE UBIQUITIN LIGASE HOMO SAPIENS PLASMODIUM FALCIPARUM ISOLATE PONGO ABELII F BOX LRR REPEAT ACANTHAMOEBA POLYPHAGA MIMIVIRUS MUS MUSCULUS PHENYLALANYL TRNA SYNTHETASE ALPHA CHAIN EUBACTERIUM RECTALE STRAIN ATCC VPI PHES SIGMA LIKE SEQUENCE MITOCHONDRIAL SACCHAROMYCES CEREVISIAE ADENYLATE KINASE UNCHARACTERIZED </t>
  </si>
  <si>
    <t>DUF226 | Mycoplas_LppA | RecU | tatC | PRESAC | Adeno_E1B_55K | PRK00968 | Herpes_UL92 | PRK02913 | EcoRII_N |</t>
  </si>
  <si>
    <t>103015 B34751 T1 2 159644 AAA29367 1 45658825 YP_002911 45602070 AAS71548 294827677 NP_710753 293385520 AAN47771 291279516 YP_003496351 DEFDS_1126 290754218 BAI80595 302340705 YP_003805911 301637890 ADK83317 312601437 ADQ90692 MHP168_496 291225656 XP_002732822 144575481 AAZ53852 MHP7448_0486 144227657 AAZ44569 MHJ_0483 72080817 YP_287875</t>
  </si>
  <si>
    <t xml:space="preserve">HYPOTHETICAL AFRICAN MALARIA MOSQUITO TRANSPOSON FRAGMENT UNKNOWN TONB DEPENDENT OUTER MEMBRANE RECEPTOR POLYSACCHARIDE BIOSYNTHESIS ORGANIC SOLUTE TRANSPORTER SUBUNIT ALPHA LIKE </t>
  </si>
  <si>
    <t>sp|Q6AXS0|NCKX6_RAT</t>
  </si>
  <si>
    <t>Q6AXS0 NCKX6_RAT 6 SLC24A6 1 Q925Q3 NCKX6_MOUSE 2 Q4UMH6 Y381_RICFE RF_0381 1525 URRWXCAL2 4 P59852 P30315 DPOD1_PLAFK K1 POLD1 3 Q0WPN8 CRR60_ARATH 60 CRRSP60 Q96CC6 RHDF1_HUMAN RHBDF1 B0VX73 RHDF1_CALJA Q9BYZ6 RHBT2_HUMAN RHOBTB2 Q28C60 LPCT4_XENTR LPCAT4</t>
  </si>
  <si>
    <t xml:space="preserve">SODIUM POTASSIUM CALCIUM EXCHANGER OS RATTUS NORVEGICUS GN PE SV MUS MUSCULUS ANKYRIN REPEAT RICKETTSIA FELIS STRAIN ATCC VR LAGD_LACLA LACTOCOCCIN G PROCESSING TRANSPORT ATP BINDING LAGD LACTOCOCCUS LACTIS SUBSP DNA POLYMERASE DELTA CATALYTIC SUBUNIT PLASMODIUM FALCIPARUM ISOLATE THAILAND CYSTEINE RICH SECRETORY ARABIDOPSIS THALIANA INACTIVE RHOMBOID HOMO SAPIENS CALLITHRIX JACCHUS RHO RELATED BTB DOMAIN CONTAINING LYSOPHOSPHOLIPID ACYLTRANSFERASE XENOPUS TROPICALIS </t>
  </si>
  <si>
    <t>P21_Cbot 0.021| PHA02835 0.072| Indigoidine_A | PRK03170 | ndhF | Oxidored_q1_C | barnase | DHDPS | ND4 | ND3 |</t>
  </si>
  <si>
    <t>68466765 XP_722578 1 46444563 EAL03837 238882016 EEQ45654 68467048 XP_722439 46444415 EAL03690 315122513 YP_004063002 313495915 ADR52514 257468998 ZP_05633092 3 317063246 ZP_07927731 313688922 EFS25757 269119730 YP_003307907 268613608 ACZ07976 336413229 ZP_08593581 HMPREF1017_00689 335938273 EGN00163 260174939 ZP_05761351 BACD2_23990 315923178 ZP_07919418 313697053 EFS33888 195570273 XP_002103133 GD20264 194199060 EDX12636 330841647 XP_003292805 DICPUDRAFT_157565 325076907 EGC30656</t>
  </si>
  <si>
    <t xml:space="preserve">POTENTIAL ZINC IRON PERMEASE CONSERVED HYPOTHETICAL DIPHOSPHOMEVALONATE DECARBOXYLASE ISOPENTENYL DIPHOSPHATE DELTA ISOMERASE DEOXY D MANNO OCTULOSONIC ACID TRANSFERASE METHYLATED DNA CYSTEINE METHYLTRANSFERASE </t>
  </si>
  <si>
    <t>sp|B1YGU5|RS12_EXIS2</t>
  </si>
  <si>
    <t>Exiguobacterium sibiricum (strain DSM 17290 / JCM 13490 / 255-15)</t>
  </si>
  <si>
    <t>B1YGU5 RS12_EXIS2 30S S12 17290 13490 255 15 3 1 B1KY08 A3 O96160 YPF14_PLAF7 PFB0315W 3D7 4 2 O22769 NDUV2_ARATH AT4G02580 Q03172 ZEP1_MOUSE 40 HIVEP1 P15822 ZEP1_HUMAN P21825 SEC62_YEAST SEC62 204508 S288C P43897 Q96L12 CALR3_HUMAN CALR3 P45926</t>
  </si>
  <si>
    <t xml:space="preserve">RIBOSOMAL OS EXIGUOBACTERIUM SIBIRICUM STRAIN DSM JCM GN RPSL PE SV COBQ_CLOBM COBYRIC ACID SYNTHASE CLOSTRIDIUM BOTULINUM LOCH MAREE TYPE COBQ UNCHARACTERIZED PLASMODIUM FALCIPARUM ISOLATE NADH DEHYDROGENASE FLAVOPROTEIN MITOCHONDRIAL ARABIDOPSIS THALIANA ZINC FINGER MUS MUSCULUS HOMO SAPIENS TRANSLOCATION SACCHAROMYCES CEREVISIAE ATCC EFTS_HUMAN ELONGATION FACTOR TS TSFM CALRETICULIN YQBJ_BACSU YQBJ BACILLUS SUBTILIS </t>
  </si>
  <si>
    <t>ND5 6e-004| ND6 | tdt | COG5578 | 7TM_GPCR_Sri | ND4 | COG3274 | spore_II_GA | Fungal_trans | UgpA |</t>
  </si>
  <si>
    <t>Methanobacterium sp. AL-21</t>
  </si>
  <si>
    <t>325958643 YP_004290109 1 325330075 ADZ09137 307178353 EFN67104 EAG_10538 312120202 XP_003151771 LOAG_16236 307753064 EFO12298 295658885 XP_002790002 226282085 EEH37651 225678938 EEH17222 282878539 ZP_06287320 281299330 EFA91718 239993944 ZP_04714468 54124967 AAV30235 226287941 EEH43454 255652379 ZP_05399281 CDIFQCD_19521</t>
  </si>
  <si>
    <t xml:space="preserve">GROUP GLYCOSYL TRANSFERASE HYPOTHETICAL PUMILIO DOMAIN CONTAINING RNA BINDING CHLORIDE TRANSPORTER CLC FAMILY MEMBRANE LOCATED CELL SURFACE SACCHARIDE ACETYLASE AOPB </t>
  </si>
  <si>
    <t>sp|Q17YZ0|SYL_HELAH</t>
  </si>
  <si>
    <t>Helicobacter acinonychis (strain Sheeba)</t>
  </si>
  <si>
    <t>Q17YZ0 3 1 Q9ZJ63 J99 Q1CR59 HPAG1 Q8BFY0 B3MN57 CTU2_DROAN 2 GF15629 Q00706 Q9Y753 122 150 SQS1 O32084 P56457 B4RS87 ATP6_ALTMD 17117</t>
  </si>
  <si>
    <t xml:space="preserve">SYL_HELAH LEUCYL TRNA SYNTHETASE OS HELICOBACTER ACINONYCHIS STRAIN SHEEBA GN LEUS PE SV SYL_HELPJ PYLORI SYL_HELPH PIRT_MOUSE PHOSPHOINOSITIDE INTERACTING MUS MUSCULUS PIRT CYTOPLASMIC THIOLATION DROSOPHILA ANANASSAE STCK_EMENI STERIGMATOCYSTIN BIOSYNTHESIS FATTY ACID SYNTHASE SUBUNIT BETA EMERICELLA NIDULANS STCK FDFT_YARLI SQUALENE YARROWIA LIPOLYTICA CLIB E YUBD_BACSU UNCHARACTERIZED MFS TYPE TRANSPORTER YUBD BACILLUS SUBTILIS SYL_HELPY ATP A ALTEROMONAS MACLEODII DSM DEEP ECOTYPE ATPB </t>
  </si>
  <si>
    <t>COG5542 | Spc97_Spc98 | COX2 | DUF423 | GpcrRhopsn4 | PRK11619 | PHA03007 | bcsA | AzlC | Peptidase_S32 |</t>
  </si>
  <si>
    <t>281209547 EFA83715 1 PPL_02782 145540515 XP_001455947 124423756 CAK88550 296004444 XP_002808664 4 225631648 CAX51867 340502260 EGR28965 IMG5_165610 194700706 ACF84437 194703976 ACF86072 194704886 ACF86527 223947631 ACN27899 223948319 ACN28243 224031337 ACN34744 162463359 NP_001105258 LOC542166 45549453 AAS67644 71032841 XP_766062 68353019 EAN33779 TP01_0542 312082244 XP_003143364 LOAG_07784 307761473 EFO20707 340505257 EGR31607 IMG5_106200 319757978 ADV69920</t>
  </si>
  <si>
    <t xml:space="preserve">HYPOTHETICAL UNNAMED PRODUCT PHOSPHATIDYLINOSITOL KINASE UNKNOWN COUMARATE COENZYME A LIGASE PERMEASE </t>
  </si>
  <si>
    <t>sp|Q9S725|4CL2_ARATH</t>
  </si>
  <si>
    <t>Q9S725 4CL2_ARATH 4 2 4CL2 1 Q6ETN3 4CL3_ORYSJ 3 4CL3 Q9WZ49 P91679 PEPT1_DROME Q5QD25 TAAR2_RAT TAAR2 Q4R335 S41A2_MACFA 41 SLC41A2 A8FCD2 METE_BACP2 5 032 Q5ZHX6 S41A2_CHICK Q05A13 S16C6_MOUSE 16C 6 SDR16C6 Q3EAQ5 PTR36_ARATH AT3G43790 ZIFL2</t>
  </si>
  <si>
    <t xml:space="preserve">COUMARATE COA LIGASE OS ARABIDOPSIS THALIANA GN PE SV PROBABLE ORYZA SATIVA SUBSP JAPONICA FTSH_THEMA ATP DEPENDENT ZINC METALLOPROTEASE FTSH THERMOTOGA MARITIMA TRANSPORTER FAMILY DROSOPHILA MELANOGASTER YIN TRACE AMINE ASSOCIATED RECEPTOR RATTUS NORVEGICUS SOLUTE CARRIER MEMBER MACACA FASCICULARIS METHYLTETRAHYDROPTEROYLTRIGLUTAMATE HOMOCYSTEINE METHYLTRANSFERASE BACILLUS PUMILUS STRAIN SAFR METE GALLUS SHORT CHAIN DEHYDROGENASE REDUCTASE MUS MUSCULUS NITRATE </t>
  </si>
  <si>
    <t>7TM_GPCR_Srz 0.019| 7tm_7 0.050| ND4 | PHA03042 | AgrB | UPF0259 | 7TM_GPCR_Srh | DUF1430 | QoxD | DUF3671 |</t>
  </si>
  <si>
    <t>Ornithodoros parkeri</t>
  </si>
  <si>
    <t>114153284 ABI52808 1 40S S23 149287132 ABR23465 242025351 XP_002433088 242025355 XP_002433090 212518615 EEB20350 212518617 EEB20352 242247238 NP_001156067 239793514 BAH72869 ACYPI000819 164608822 ABY62742 S23E 158187724 ABW23151 RPS23 121543841 ABM55585 110671450 ABG81976 90820006 ABD98760 54039492 Q86FP7 RS23_DERVA 30025641 AAP04351 157133230 XP_001656190 S12 170030017 XP_001842887 56417542 AAV90712 94468506 ABF18102 108870895 EAT35120 167865347 EDS28730 194462970 ACF72879 255710083 ACU30861 312375237 EFR22651 AND_28981 333470195 EGK97544 AGAP012990</t>
  </si>
  <si>
    <t xml:space="preserve">RIBOSOMAL LIKE FULL HYPOTHETICAL PA </t>
  </si>
  <si>
    <t>sp|Q86FP7|RS23_DERVA</t>
  </si>
  <si>
    <t>Dermacentor variabilis</t>
  </si>
  <si>
    <t>Q86FP7 RS23_DERVA 40S S23 RPS23 2 1 Q962Q7 RS23_SPOFR Q6EV23 RS23_PAPDA Q9GRJ3 RS23_LUMRU P62268 RS23_RAT 3 Q6SA96 RS23_PIG P62267 RS23_MOUSE Q90YQ1 RS23_ICTPU P62266 RS23_HUMAN P62298 RS23_CHILA</t>
  </si>
  <si>
    <t xml:space="preserve">RIBOSOMAL OS DERMACENTOR VARIABILIS GN PE SV SPODOPTERA FRUGIPERDA PAPILIO DARDANUS LUMBRICUS RUBELLUS RATTUS NORVEGICUS SUS SCROFA MUS MUSCULUS ICTALURUS PUNCTATUS HOMO SAPIENS CHINCHILLA LANIGERA </t>
  </si>
  <si>
    <t>ribosomal protein S23 - Danio rerio - structural constituent of ribosome - translation - intracellular - ribosome - small ribosomal subunit - ribonucleoprotein complex - cytosolic small ribosomal subunit</t>
  </si>
  <si>
    <t>PTZ00067 3e-047| Ribosomal_S23 6e-042| rps12P 6e-035| S23_S12_E_A 1e-029| Ribosomal_S12 6e-024| RpsL 3e-022| Ribosomal_S12_like 8e-020| rps12 1e-007| Ribosomal_S12 1e-007| rpsL_bact 1e-005|</t>
  </si>
  <si>
    <t>149898887 ABR27945 1 6 11182468 NP_068646 F0 11139106 AAG31613 AF301594_6 240266429 YP_002970765 215789122 ACJ69577 215788942 ACJ69410 242543733 YP_002995745 192335115 ACF04096 226463989 YP_002791228 166897725 ABZ01973 226464106 YP_002735074 166897879 ABZ02116 215788954 ACJ69421 226464132 YP_002735100 166897907 ABZ02142 226463846 YP_002727940 166897837 ABZ02077</t>
  </si>
  <si>
    <t>sp|P00851|ATP6_DROYA</t>
  </si>
  <si>
    <t>P00851 ATP6_DROYA ATPASE6 3 1 P50269 ATP6_DROSI P00850 ATP6_DROME 2 Q7IV55 ATP6_DROMA Q7IV45 ATP6_DROSE Q1HRS5 ATP6_AEDAE P33507 ATP6_ANOQU ATP6 P34834 ATP6_ANOGA Q5JCK5 ATP6_AEDAL P14569 ATP6_LOCMI</t>
  </si>
  <si>
    <t xml:space="preserve">ATP SYNTHASE SUBUNIT A OS DROSOPHILA YAKUBA GN MT PE SV SIMULANS MELANOGASTER MAURITIANA SECHELLIA AEDES AEGYPTI ANOPHELES QUADRIMACULATUS GAMBIAE ALBOPICTUS LOCUSTA MIGRATORIA </t>
  </si>
  <si>
    <t>ATP6 5e-097| ATP_synt_6_or_A 1e-059| ATP6 2e-051| ATP-synt_A 4e-050| ATP6 9e-046| ATP6 9e-046| ATP6 2e-042| ATP6 3e-040| ATP6 2e-039| ATP6 2e-036|</t>
  </si>
  <si>
    <t>167535686 XP_001749516 1 163771908 EDQ85567 124513254 XP_001349983 23615400 CAD52391 124505855 XP_001351041 23510684 CAD49069 71892285 YP_278019 71796391 AAZ41142 70946391 XP_742915 56522155 CAH79819 PC000542 03 0 66475232 XP_627432 46228906 EAK89755 70943626 XP_741836 56520469 CAH74880 PC000389 00 50401419 Q35905 VAR1 1236921 AAA96260 VAR1P 268638022 XP_641853 2 DDB_G0279157 263432164 Q54X75 MED16_DICDI 16 256012976 EAL67878 296005064 XP_002808869 225632266 CAX64147</t>
  </si>
  <si>
    <t xml:space="preserve">HYPOTHETICAL CONSERVED PLASMODIUM MEMBRANE UNKNOWN FUNCTION REPLICATION FACTOR C TRANSALDOLASE A ASSOCIATED HD SUPERFAMILY CYCLIC NUCLEOTIDE PHOSPHODIESTERASE DOMAIN CONTAINING RMAR_SACDO FULL RIBOSOMAL MITOCHONDRIAL MEDIATOR RNA POLYMERASE II TRANSCRIPTION SUBUNIT ALTNAME COMPLEX </t>
  </si>
  <si>
    <t>sp|Q35905|RMAR_SACDO</t>
  </si>
  <si>
    <t>Saccharomyces douglasii</t>
  </si>
  <si>
    <t>Q35905 VAR1 3 1 Q54X75 MED16_DICDI 16 MED16 2 Q54EG9 Y1516_DICDI DDB_G0291516 Q8M355 Q60287 Y3528_METJA MJECL28 43067 2661 10045 100440 4 P02381 204508 S288C A6VP95 55618 130Z Q85WU2 YCF1_PINKO YCF1 Q54JL0 NDOR1_DICDI Q8ILR9 YPF17_PLAF7 PF14_0175 3D7</t>
  </si>
  <si>
    <t xml:space="preserve">RMAR_SACDO RIBOSOMAL MITOCHONDRIAL OS SACCHAROMYCES DOUGLASII GN PE SV MEDIATOR RNA POLYMERASE II TRANSCRIPTION SUBUNIT DICTYOSTELIUM DISCOIDEUM PROBABLE SERINE THREONINE KINASE RMAR_SACCA CASTELLII UNCHARACTERIZED METHANOCALDOCOCCUS JANNASCHII STRAIN ATCC DSM JAL JCM NBRC RMAR_YEAST CEREVISIAE KDSA_ACTSZ DEHYDRO DEOXYPHOSPHOOCTONATE ALDOLASE ACTINOBACILLUS SUCCINOGENES KDSA PINUS KORAIENSIS NADPH DEPENDENT DIFLAVIN OXIDOREDUCTASE REDC PLASMODIUM FALCIPARUM ISOLATE </t>
  </si>
  <si>
    <t>ND5 5e-004| ND5 0.002| 7tm_7 0.021| ND5 0.029| ND4 0.039| Polysacc_synt 0.059| ND2 0.063| 2A0309 0.071| bact_immun_7tm | antiport_nhaC |</t>
  </si>
  <si>
    <t>156551942 XP_001607790 1 L31E 242006003 XP_002423848 60S L31 212507070 EEB11110 307200206 EFN80500 264667407 ACY71289 48142237 XP_397314 2 328788691 XP_003251167 70909845 CAJ17409 289722576 ADD18222 289740171 ADD18833 340726630 XP_003401658 340726632 XP_003401659 340726634 XP_003401660 3 340726636 XP_003401661 4 307176321 EFN65940 118429551 ABK91823</t>
  </si>
  <si>
    <t xml:space="preserve">SIMILAR TO RIBOSOMAL ISOFORM LIKE </t>
  </si>
  <si>
    <t>Q7KF90 RL31_SPOFR 60S L31 RPL31 2 1 Q9GP16 RL31_HELVI Q9V597 RL31_DROME P62902 RL31_RAT Q5RBR9 RL31_PONAB P62901 RL31_PIG P62900 RL31_MOUSE Q1KSC7 RL31_MARMO P62899 RL31_HUMAN Q56JX3 RL31_BOVIN</t>
  </si>
  <si>
    <t xml:space="preserve">RIBOSOMAL OS SPODOPTERA FRUGIPERDA GN PE SV HELIOTHIS VIRESCENS DROSOPHILA MELANOGASTER RATTUS NORVEGICUS PONGO ABELII SUS SCROFA MUS MUSCULUS MARMOTA MONAX HOMO SAPIENS BOS TAURUS </t>
  </si>
  <si>
    <t>Ribosomal protein L31 - Drosophila melanogaster - structural constituent of ribosome - cytosolic large ribosomal subunit - translation - mitotic spindle organization - mitotic spindle elongation</t>
  </si>
  <si>
    <t>Ribosomal_L31e 2e-010| PTZ00193 1e-008| PRK12268 | tRNA-synt_1g | YfhB_g-proteo | RPL31A | PRK11131 | MetG | COG5026 | Centaurin_gamma |</t>
  </si>
  <si>
    <t>156545944 XP_001603380 1 198419842 XP_002127883 CG9285 91091270 XP_969358 CB283 270014120 EFA10568 TCASGA2_TC012824 307193513 EFN76290 W07G4 4 45709356 AAH67619 81097694 AAI09449 115495185 NP_001070088 LOC767682 115313303 AAI24146 152830 115971224 XP_001176597 72107886 XP_795581 47226639 CAG07798</t>
  </si>
  <si>
    <t xml:space="preserve">HYPOTHETICAL SIMILAR TO DIPEPTIDASE B PA SB AMINOPEPTIDASE ZGC PARTIAL UNNAMED PRODUCT </t>
  </si>
  <si>
    <t>Q27245 YH24_CAEEL W07G4 4 1 C0QSL9 14350 H1 3 A1WUV1 244 SL1 B7HUR5 AMPA_BACC7 AH187 Q632E1 E33L B9J3C5 Q1 Q72YG1 AMPA_BACC1 10987 Q6HBY2 Q816E3 14579 31 B7HBG1 AMPA_BACC4 B4264</t>
  </si>
  <si>
    <t xml:space="preserve">AMINOPEPTIDASE OS CAENORHABDITIS ELEGANS GN PE SV AMPA_PERMH PROBABLE CYTOSOL PERSEPHONELLA MARINA STRAIN DSM EX PEPA AMPA_HALHL HALORHODOSPIRA HALOPHILA BACILLUS CEREUS AMPA_BACCZ ZK AMPA_BACCQ ATCC AMPA_BACHK THURINGIENSIS SUBSP KONKUKIAN AMPA_BACCR </t>
  </si>
  <si>
    <t>Peptidase_M17 4e-028| Peptidase_M17 7e-013| PepB 3e-012| PRK00913 2e-008| PTZ00412 2e-007| PRK05015 2e-005| EOS1 0.018| Oxidored_q5_N 0.022| ND4 | Oxidored_q3 |</t>
  </si>
  <si>
    <t>Ruminococcus torques ATCC 27756</t>
  </si>
  <si>
    <t>153816664 ZP_01969332 1 RUMTOR_02920 145846003 EDK22921 269861607 XP_002650503 EBI_26338 220066036 EED43554 269862229 XP_002650755 EBI_26875 220065663 EED43299 144897106 CAM73970 MGR_0151 269861553 XP_002650479 EBI_27034 220066062 EED43574 70929998 XP_736975 56511972 CAH87342 PC405608 00 0 294996847 ZP_06802538 MTUB2_20673 269861699 XP_002650542 EBI_26814 220065982 EED43514 294993873 ZP_06799564 MTUB2_04996 160331057 XP_001712236 TBL3 159765683 ABW97911</t>
  </si>
  <si>
    <t>sp|Q06SF4|RPOB2_STIHE</t>
  </si>
  <si>
    <t>Stigeoclonium helveticum</t>
  </si>
  <si>
    <t>Q06SF4 RPOB2_STIHE RPOB2 3 1 Q5A044 FCJ1_CANAL FCJ1 Q601U7 TRUB_MYCH2 232 Q9AIN8 RL3_CARRU 50S L3 B9WLF1 FCJ1_CANDC CD36 7987 3949 17841 Q54MI8 Y5861_DICDI DDB_G0285949 4 Q1KVT3 RPOC1_SCEOB RPOC1 C4YLH0 FCJ1_CANAW Q9LV48 PERK1_ARATH PERK1 B2X1Z4 RPOC2_OEDCA RPOC2</t>
  </si>
  <si>
    <t xml:space="preserve">DNA DIRECTED RNA POLYMERASE SUBUNIT BETA C TERMINAL SECTION OS STIGEOCLONIUM HELVETICUM GN PE SV FORMATION CRISTA JUNCTIONS CANDIDA ALBICANS TRNA PSEUDOURIDINE SYNTHASE B MYCOPLASMA HYOPNEUMONIAE STRAIN TRUB RIBOSOMAL CARSONELLA RUDDII RPLC DUBLINIENSIS CBS NCPF NRRL Y UNCHARACTERIZED TRANSMEMBRANE DICTYOSTELIUM DISCOIDEUM SCENEDESMUS OBLIQUUS WO PROLINE RICH RECEPTOR LIKE KINASE ARABIDOPSIS THALIANA OEDOGONIUM CARDIACUM </t>
  </si>
  <si>
    <t>AA_permease 0.063| Ycf1 0.083| PRK14552 | fliL | DUF226 | PRK07132 | N_Pac_NP60 | 4 | PRP3 | PTZ00128 |</t>
  </si>
  <si>
    <t>Glossina morsitans morsitans</t>
  </si>
  <si>
    <t>289740351 ADD18923 1 26S RPT2 170051679 XP_001861875 4 167872831 EDS36214 336455143 NP_001229616 157131453 XP_001655853 94468994 ABF18346 108871524 EAT35749 91086399 XP_974859 270010293 EFA06741 TCASGA2_TC009675 195390229 XP_002053771 GJ24070 194151857 EDW67291 158291405 XP_312923 AGAP003215 158291407 XP_312924 AGAP003216 157017759 EAA08386 157017760 EAA08387 242022643 XP_002431748 212517073 EEB19010 195112656 XP_002000888 GI22277 193917482 EDW16349 195053572 XP_001993700 GH19692 193895570 EDV94436</t>
  </si>
  <si>
    <t xml:space="preserve">PROTEASOME REGULATORY COMPLEX ATPASE PROTEASE SUBUNIT LIKE CHAIN SIMILAR TO HYPOTHETICAL PA </t>
  </si>
  <si>
    <t>sp|P48601|PRS4_DROME</t>
  </si>
  <si>
    <t>P48601 PRS4_DROME 26S 4 PROS26 1 2 P62193 PRS4_RAT PSMC1 P62192 PRS4_MOUSE P62191 PRS4_HUMAN Q90732 PRS4_CHICK Q9SZD4 PRS4A_ARATH RPT2A P46466 PRS4_ORYSJ TBP2 Q9SL67 PRS4B_ARATH RPT2B Q55BV5 PRS4_DICDI O16368 PRS4_CAEEL</t>
  </si>
  <si>
    <t xml:space="preserve">PROTEASE REGULATORY SUBUNIT OS DROSOPHILA MELANOGASTER GN PE SV RATTUS NORVEGICUS MUS MUSCULUS HOMO SAPIENS GALLUS PROTEASOME HOMOLOG A ARABIDOPSIS THALIANA ORYZA SATIVA SUBSP JAPONICA B DICTYOSTELIUM DISCOIDEUM PROBABLE CAENORHABDITIS ELEGANS RPT </t>
  </si>
  <si>
    <t>Proteasome 26S subunit subunit 4 ATPase - Drosophila melanogaster - ubiquitin-dependent protein catabolic process - proteasome complex - ATPase activity - proteolysis - proteasome regulatory particle - proteasome regulatory particle, base subcomplex - endopeptidase activity - ATP binding - cytoplasm - protein catabolic process - cellular process - mitotic spindle elongation - cell proliferation - mitotic spindle organization - response to DNA damage stimulus</t>
  </si>
  <si>
    <t>PTZ00361 1e-011| PRK03992 2e-006| RPT1 6e-006| 26Sp45 3e-004| CDC48 0.004| GpcrRhopsn4 0.011| 2A0309 0.014| PTZ00454 0.029| COG5438 | DUF1461 |</t>
  </si>
  <si>
    <t>polC | PRK13570 | PHA03368 |</t>
  </si>
  <si>
    <t>Aedes albopictus</t>
  </si>
  <si>
    <t>70906311 AAZ14891 1 S3 121511934 ABM55418 40S 255710087 ACU30863 157118131 XP_001659023 108875828 EAT40053 157118129 XP_001659022 70906313 AAZ14892 108875827 EAT40052 312380148 EFR26232 AND_07881 215260017 ACJ64493 215260015 ACJ64492 170057463 XP_001864493 167876891 EDS40274 269115422 ACZ26288</t>
  </si>
  <si>
    <t>ribosomal protein S3 - Danio rerio - RNA binding - structural constituent of ribosome - intracellular - ribosome - translation - small ribosomal subunit - ribonucleoprotein complex - activation of caspase activity - protein kinase binding - NF-kappaB binding - cytoplasm - induction of apoptosis - negative regulation of DNA repair - negative regulation of NF-kappaB transcription factor activity - endonuclease activity - mRNA binding - nucleus - cytosolic small ribosomal subunit - ruffle membrane - damaged DNA binding - DNA-(apurinic or apyrimidinic site) lyase activity - embryo development</t>
  </si>
  <si>
    <t>PTZ00084 8e-019| rpsC_E_A 5e-004| RpsC 0.004| Ribosomal_S3_C 0.031| rps3p | PA_CoA_ligase | PRK12475 | PLN02663 | HHV6-IE | PRK05952 |</t>
  </si>
  <si>
    <t>Krokinobacter sp. 4H-3-7-5</t>
  </si>
  <si>
    <t>332292031 YP_004430640 1 KRODI_1389 332170117 AEE19372 338722981 XP_001494143 3 114 229596270 XP_001012083 2 TTHERM_00988290 225565504 EAR91838 145551677 XP_001461515 124429350 CAK94142 335289338 XP_003355854 311257219 XP_003127014 308069345 YP_003870950 PPE_02584 305858624 ADM70412 238789343 ZP_04633129 238722486 EEQ14140 296278231 NP_001171709 5 189054468 BAG37241</t>
  </si>
  <si>
    <t xml:space="preserve">HYPOTHETICAL PROBABLE G COUPLED RECEPTOR UNNAMED PRODUCT PARTIAL LIKE PROTEASE SUBUNIT ATP DEPENDENT CLP NADPH OXIDASE ISOFORM </t>
  </si>
  <si>
    <t>sp|Q96PH1|NOX5_HUMAN</t>
  </si>
  <si>
    <t>Q96PH1 NOX5_HUMAN 5 NOX5 1 Q8IZF4 GP114_HUMAN 114 GPR114 2 3 Q9TVB8 RPE65_CANFA RPE65 Q6R7A3 Y123_OSHVF ORF123 4 Q931E4 6 MU50 700699 O82595 NGA4_ARATH B3 NGA4 Q5AG31 MED14_CANAL 14 RGR1 A6Q4R8 SB155</t>
  </si>
  <si>
    <t xml:space="preserve">NADPH OXIDASE OS HOMO SAPIENS GN PE SV PROBABLE G COUPLED RECEPTOR RETINOID ISOMEROHYDROLASE CANIS FAMILIARIS UNCHARACTERIZED OSTREID HERPESVIRUS ISOLATE FRANCE ICAC_STAAM POLY BETA N ACETYL D GLUCOSAMINE EXPORT STAPHYLOCOCCUS AUREUS STRAIN ATCC ICAC DOMAIN CONTAINING TRANSCRIPTION FACTOR ARABIDOPSIS THALIANA MEDIATOR RNA POLYMERASE II SUBUNIT CANDIDA ALBICANS DER_NITSB GTPASE DER NITRATIRUPTOR </t>
  </si>
  <si>
    <t>DUF70 | PLN02851 | ATP8 | Ycf1 | ATP6 | PHA03083 | syfB | PRK15043 | GGTase-II | Recep_L_domain |</t>
  </si>
  <si>
    <t>307095134 ADN29873 1 P450 157120798 XP_001653676 108874808 EAT39033 9739177 AAF97938 CYP6N3V3 170063838 XP_001867277 6B5 167881328 EDS44711 9801565 AAF97941 2 CYP6N3V4 9739173 AAF97936 CYP6N3V1 170049288 XP_001855204 9B2 167871119 EDS34502 157120792 XP_001653673 108874805 EAT39030 9739175 AAF97937 CYP6N3V2 170063842 XP_001867279 167881330 EDS44713</t>
  </si>
  <si>
    <t xml:space="preserve">CYTOCHROME LIKE </t>
  </si>
  <si>
    <t>sp|P82711|C6A19_DROME</t>
  </si>
  <si>
    <t>P82711 C6A19_DROME P450 6A19 CYP6A19 1 Q9V771 C6A23_DROME 6A23 CYP6A23 2 Q9V4U7 C6A14_DROME 6A14 CYP6A14 3 Q9V770 C6A17_DROME 6A17 CYP6A17 P13527 CP6A1_MUSDO 6A1 CYP6A1 Q9V4U9 C6A13_DROME 6A13 CYP6A13 Q27520 C13A1_CAEEL CYP13A1 13A1 Q9VG82 CP9F2_DROME 9F2 CYP9F2 Q9V774 C6A21_DROME 6A21 CYP6A21 Q27518 C13A2_CAEEL CYP13A2 13A2</t>
  </si>
  <si>
    <t xml:space="preserve">PROBABLE CYTOCHROME OS DROSOPHILA MELANOGASTER GN PE SV MUSCA DOMESTICA CAENORHABDITIS ELEGANS CYP </t>
  </si>
  <si>
    <t>p450 0.001| PLN02560 | rumA | DUF914 | PSN | 2A0105 | CYTB | lacZ | CH4_NH3mon_ox_B | PRK11160 |</t>
  </si>
  <si>
    <t>156548458 XP_001605165 1 321475287 EFX86250 DAPPUDRAFT_222252 298204570 CBI23845 3 225448038 XP_002272335 147821210 CAN66450 VITISV_043084 254884976 ZP_05257686 254837769 EET18078 317141366 XP_001818504 2 317138875 XP_003189096 298204569 CBI23844 260890098 ZP_05901361 GCWU000323_01260 260860121 EEX74621</t>
  </si>
  <si>
    <t xml:space="preserve">SIMILAR TO MYOSIN RHOGAP MYR HYPOTHETICAL UNNAMED PRODUCT CONSERVED GAG POL POLYPROTEIN </t>
  </si>
  <si>
    <t>sp|A0T0V8|SECA_THAPS</t>
  </si>
  <si>
    <t>Thalassiosira pseudonana</t>
  </si>
  <si>
    <t>A0T0V8 3 1 B0BT84 Y350_ACTPJ UPF0042 APJL_0350 JL03 B3H0H9 Y339_ACTP7 APP7_0339 7 AP76 A3MZ52 Y334_ACTP2 APL_0334 5B L20 Q13042 CDC16_HUMAN 16 CDC16 2 P46939 O77751 TM109_RABIT 109 TMEM109 Q01538 MYT1_HUMAN MYT1 Q9UL68 MYT1L_HUMAN MYT1L P71079</t>
  </si>
  <si>
    <t xml:space="preserve">SECA_THAPS TRANSLOCASE SUBUNIT SECA OS THALASSIOSIRA PSEUDONANA GN PE SV NUCLEOTIDE BINDING ACTINOBACILLUS PLEUROPNEUMONIAE SEROTYPE STRAIN CELL DIVISION CYCLE HOMOLOG HOMO SAPIENS UTRO_HUMAN UTROPHIN UTRN TRANSMEMBRANE ORYCTOLAGUS CUNICULUS MYELIN TRANSCRIPTION FACTOR LIKE FABL_BACSU ENOYL REDUCTASE FABL BACILLUS SUBTILIS </t>
  </si>
  <si>
    <t>DGOK | RNAP_D | PHA03247 | ND3 | Pec_lyase | PRK06330 | JIP | sfuA | PRK14185 | NapH |</t>
  </si>
  <si>
    <t>Signal transduction mechanisms, Chromatin structure and dynamics, Replication, recombination and repair, Cell cycle control, cell division, chromosome partitioning</t>
  </si>
  <si>
    <t>299473753 NP_001177389 1 9 187609584 A8MXZ3 KRA91_HUMAN 239946026 ZP_04697963 SROSN15_33876 239992495 ZP_04713159 SROSN1_34693 291449477 ZP_06588867 291352424 EFE79328 332847640 XP_003315494 149600653 XP_001520659 126314696 XP_001375490 10 8 325191702 CCA25737 ALNC14C317G10552 297275989 XP_001097964 2 3 326774797 ZP_08234062 SACT1_0586 326655130 EGE39976 149600645 XP_001514185 310132383 XP_003120927 LOC100505724 119581127 EAW60723 HCG2043361</t>
  </si>
  <si>
    <t xml:space="preserve">KERATIN ASSOCIATED FULL HYPOTHETICAL LIKE PARTIAL FIBRILLIN </t>
  </si>
  <si>
    <t>sp|A8MXZ3|KRA91_HUMAN</t>
  </si>
  <si>
    <t>A8MXZ3 KRA91_HUMAN 9 1 KRTAP9 3 A8MTY7 KRA97_HUMAN 7 Q9BYQ7 KRA41_HUMAN 4 KRTAP4 2 A8MVA2 KRA96_HUMAN 6 Q2NYU0 311018 Q64507 KRA51_MOUSE 5 KRTAP5 Q9BYQ4 KRA92_HUMAN Q80T14 FRAS1_MOUSE FRAS1 Q62220 KRA54_MOUSE Q9BYQ5 KRA46_HUMAN</t>
  </si>
  <si>
    <t xml:space="preserve">KERATIN ASSOCIATED OS HOMO SAPIENS GN PE SV OPGH_XANOM GLUCANS BIOSYNTHESIS GLUCOSYLTRANSFERASE H XANTHOMONAS ORYZAE PV STRAIN MAFF OPGH MUS MUSCULUS EXTRACELLULAR MATRIX </t>
  </si>
  <si>
    <t>7tm_3 0.053| ND6 0.070| NRPS_term_dom 0.085| AmoA | Alpha_E1_glycop | rpl32 | DUF571 | DUF2094 | APC_basic | CYSTM |</t>
  </si>
  <si>
    <t>57970204 XP_563989 1 AGAP010933 55244375 EAL41466 240849235 NP_001155432 S19E 239789924 BAH71557 ACYPI001643 47117237 Q8ITC3 RS19_AEQIR 40S S19 22758852 AAN05586 264667371 ACY71271 70909579 CAJ17210 166952371 ABZ04268 RPS19 270006521 EFA02969 TCASGA2_TC030674 215259479 ACJ64231 91080345 XP_974694 70909581 CAJ17211</t>
  </si>
  <si>
    <t xml:space="preserve">PA RIBOSOMAL LIKE FULL HYPOTHETICAL SIMILAR TO </t>
  </si>
  <si>
    <t>sp|Q8ITC3|RS19_AEQIR</t>
  </si>
  <si>
    <t>Aequipecten irradians</t>
  </si>
  <si>
    <t>Q8ITC3 RS19_AEQIR 40S S19 RPS19 2 1 Q8T5Z4 RS19_BRABE Q7KS38 RS19B_DROME S19B RPS19B 3 P17074 RS19_RAT Q5R8M9 RS19_PONAB Q9CZX8 RS19_MOUSE P39019 RS19_HUMAN Q32PD5 RS19_BOVIN P39018 RS19A_DROME S19A RPS19A P61155 RS19_PAGMA</t>
  </si>
  <si>
    <t xml:space="preserve">RIBOSOMAL OS AEQUIPECTEN IRRADIANS GN PE SV BRANCHIOSTOMA BELCHERI DROSOPHILA MELANOGASTER RATTUS NORVEGICUS PONGO ABELII MUS MUSCULUS HOMO SAPIENS BOS TAURUS PAGRUS MAJOR </t>
  </si>
  <si>
    <t>Ribosomal_S19e 8e-004| DUF3260 | PE | KISc | Kinesin | Glyco_hydro_26 | KISc_C_terminal | PRK04375 | thyX | RPS19A |</t>
  </si>
  <si>
    <t>149689148 ABR27926 1 307094996 ADN29804 254255386 ZP_04948702 124901123 EAY71873 255282872 ZP_05347427 P60 255266646 EET59851 170697343 ZP_02888436 170137797 EDT06032 303230047 ZP_07316820 302515285 EFL57254 218663717 ZP_03519647 RETLI_32870 241763661 ZP_04761711 241367136 EER61502 255072461 XP_002499905 MICPUN_56450 226515167 ACO61163 157377492 YP_001476092 189037344 A8G1J1 157319866 ABV38964</t>
  </si>
  <si>
    <t xml:space="preserve">SALIVARY SECRETED HEMOLYSIN LIKE AUTOTRANSPORTER ADHESIN NLPC FAMILY YADA DOMAIN HEP HAG REPEAT HYPOTHETICAL FLAGELLIN PHOSPHOENOLPYRUVATE CARBOXYKINASE PCKA_SHESH FULL SHORT PEP PEPCK ALTNAME CARBOXYLASE ATP </t>
  </si>
  <si>
    <t>sp|A8G1J1|PCKA_SHESH</t>
  </si>
  <si>
    <t>Shewanella sediminis (strain HAW-EB3)</t>
  </si>
  <si>
    <t>A8G1J1 EB3 3 1 Q2M146 ST7_DROPS ST7 GA17575 2 Q754V0 RMD9_ASHGO RMD9 10895 109 51 9923 1056 Q5U2Z2 Q91XC0 Q96IF1 Q3A0V2 CH60_PELCD 60 2380 Q03490 MI43_MYCIT 27 MI43 4 Q5RD34 F1711_PONAB FAM171A1 Q5VUB5 F1711_HUMAN</t>
  </si>
  <si>
    <t xml:space="preserve">PCKA_SHESH PHOSPHOENOLPYRUVATE CARBOXYKINASE OS SHEWANELLA SEDIMINIS STRAIN HAW GN PCKA PE SV HOMOLOG DROSOPHILA PSEUDOOBSCURA MITOCHONDRIAL ASHBYA GOSSYPII ATCC CBS FGSC NRRL Y JUB_RAT AJUBA RATTUS NORVEGICUS JUB JUB_MOUSE MUS MUSCULUS JUB_HUMAN HOMO SAPIENS KDA CHAPERONIN PELOBACTER CARBINOLICUS DSM GRA BD GROL LIPOPROTEIN ANTIGEN MYCOBACTERIUM INTRACELLULARE PONGO ABELII </t>
  </si>
  <si>
    <t>PRK06076 0.007| PBP2_Nac 0.046| NuoH 0.080| LIM1_Ajuba_like 0.094| PRK13367 | LIM2_SF3 | LIM_Mical_like_1 | LIM_Mical_like | LIM2_Ajuba_like | PRK12282 |</t>
  </si>
  <si>
    <t>124801252 XP_001349644 1 3845235 AAC71915 294155791 YP_003560175 291600051 ADE19547 283782781 YP_003373535 HMPREF0424_0279 298253050 ZP_06976842 GV51_0229 283441390 ADB13856 297532445 EFH71331 242041725 XP_002468257 SORBIDRAFT_01G042550 241922111 EER95255 340717370 XP_003397157 LOC100647341 328791777 XP_003251633 LOC100577521 196002005 XP_002110870 TRIADDRAFT_54234 190586821 EDV26874 170076900 YP_001733538 169884569 ACA98282 304413274 ZP_07394747 REG_0297 304284117 EFL92510 196018965 XP_002118902 TRIADDRAFT_62891 190577804 EDV18613</t>
  </si>
  <si>
    <t xml:space="preserve">CONSERVED PLASMODIUM DEPHOSPHO COA KINASE HYPOTHETICAL RNA BINDING </t>
  </si>
  <si>
    <t>sp|Q00402|NUM1_YEAST</t>
  </si>
  <si>
    <t>Q00402 NUM1_YEAST NUM1 204508 S288C 1 2 P32206 VC13_SWPVK C13 C13L 3 Q83262 2A ORF2A Q3YSC4 Q68Y56 TLR4_PIG 4 TLR4 Q83265 Q96711 P16490 O27743 O40977 NT9</t>
  </si>
  <si>
    <t xml:space="preserve">NUCLEAR MIGRATION OS SACCHAROMYCES CEREVISIAE STRAIN ATCC GN PE SV SWINEPOX VIRUS KASZA RDRP_CMVII RNA DIRECTED POLYMERASE CUCUMBER MOSAIC IIZUKA PNP_EHRCJ POLYRIBONUCLEOTIDE NUCLEOTIDYLTRANSFERASE EHRLICHIA CANIS JAKE PNP TOLL LIKE RECEPTOR SUS SCROFA RDRP_CMVY Y RDRP_CMVKO KOR RDRP_CMVFN FNY ACDA_METTH ACETYL COA DECARBONYLASE SYNTHASE COMPLEX SUBUNIT ALPHA METHANOBACTERIUM THERMOAUTOTROPHICUM DELTA H CDHA RDRP_CMVNT </t>
  </si>
  <si>
    <t>7TM_GPCR_Srbc 0.027| 3a01205 0.061| 7TM_GPCR_Srd | PTZ00440 | ABC2_membrane_4 | INPP5c_INPP5J-like | ND4L | COG1162 | ND5 | Transmemb_17 |</t>
  </si>
  <si>
    <t>Culex quinquefasciatus</t>
  </si>
  <si>
    <t>170070405 XP_001869568 1 167866304 EDS29687 157133716 XP_001662979 AAEL_AAEL003019 108881484 EAT45709 307204503 EFN83183 UPF0105 C14ORF124 340718118 XP_003397519 SDR39U1 328781070 XP_395737 3 307185039 EFN71268 189235583 XP_001807381 CG8768 270004377 EFA00825 TCASGA2_TC003713 312383781 EFR28723 AND_02945 333467426 EAA06778 5 AGAP000649 118780928 XP_311172</t>
  </si>
  <si>
    <t xml:space="preserve">CONSERVED HYPOTHETICAL LIKE EPIMERASE FAMILY SIMILAR TO PA </t>
  </si>
  <si>
    <t>sp|Q5M8N4|D39U1_MOUSE</t>
  </si>
  <si>
    <t>Q5M8N4 D39U1_MOUSE SDR39U1 1 Q17QH8 D39U1_BOVIN 2 Q9NRG7 D39U1_HUMAN O32960 Y860_MYCLE ML0860 3 P77775 K12 P67233 Y2239_MYCBO MB2239 P67232 Y2216_MYCTU RV2216 MT2273 P71373 Y1208_HAEIN HI_1208 51907 11121 KW20 P73467 Y1223_SYNY3 SLR1223 27184 6803 Q6GIM1 Y825_STAAR SAR0825 MRSA252</t>
  </si>
  <si>
    <t xml:space="preserve">EPIMERASE FAMILY OS MUS MUSCULUS GN PE SV BOS TAURUS HOMO SAPIENS MYCOBACTERIUM LEPRAE YFCH_ECOLI YFCH ESCHERICHIA COLI STRAIN BOVIS TUBERCULOSIS HAEMOPHILUS INFLUENZAE ATCC DSM RD SYNECHOCYSTIS PCC N STAPHYLOCOCCUS AUREUS </t>
  </si>
  <si>
    <t>Drosophila melanogaster - catalytic activity - cellular metabolic process - coenzyme binding</t>
  </si>
  <si>
    <t>SDR_a8 1e-018| yfcH 9e-016| COG1090 8e-014| DUF1731 2e-009| DUF2363 0.033| DUF63 | PRK06015 | PHA03013 | ycf2 | PRK07586 |</t>
  </si>
  <si>
    <t>242014048 XP_002427710 1 212512145 EEB14972 340382861 XP_003389936 302315762 ADL14588 195129721 XP_002009303 GI11318 193920912 EDW19779 305689815 ADM64337 99109616 ABF67505 170041661 XP_001848573 167865233 EDS28616 148366752 ABQ60044 195440426 XP_002068043 GK12121 194164128 EDW79029 195494497 XP_002094865 GE19975 194180966 EDW94577</t>
  </si>
  <si>
    <t xml:space="preserve">CATALASE LIKE </t>
  </si>
  <si>
    <t>sp|P17336|CATA_DROME</t>
  </si>
  <si>
    <t>P17336 1 2 Q64405 4 O62839 Q5RF10 3 P04040 P00432 Q9PWF7 P04762 Q9PT92 O97492</t>
  </si>
  <si>
    <t xml:space="preserve">CATA_DROME CATALASE OS DROSOPHILA MELANOGASTER GN CAT PE SV CATA_CAVPO CAVIA PORCELLUS CATA_PIG SUS SCROFA CATA_PONAB PONGO ABELII CATA_HUMAN HOMO SAPIENS CATA_BOVIN BOS TAURUS CATA_GLARU GLANDIRANA RUGOSA CATA_RAT RATTUS NORVEGICUS CATA_DANRE DANIO RERIO CATA_CANFA CANIS FAMILIARIS </t>
  </si>
  <si>
    <t>Catalase - Sus scrofa - response to reactive oxygen species - aminoacylase activity - catalase activity - mitochondrion - peroxisome - peroxisomal membrane - triglyceride metabolic process - cholesterol metabolic process - aerobic respiration - UV protection - positive regulation of phosphatidylinositol 3-kinase cascade - hemoglobin metabolic process - heme binding - negative regulation of NF-kappaB transcription factor activity - hydrogen peroxide catabolic process - protein homodimerization activity - negative regulation of apoptosis - metal ion binding - NADP binding - positive regulation of NF-kappaB transcription factor activity - protein tetramerization</t>
  </si>
  <si>
    <t>catalase_clade_3 e-108| Catalase 4e-085| catalase_fungal 1e-084| KatE 2e-077| catalase 2e-076| catalase_clade_1 4e-074| PLN02609 3e-069| catalase_clade_2 2e-051| katE 1e-048| catalase_like 2e-009|</t>
  </si>
  <si>
    <t>Chloroflexus sp. Y-400-fl</t>
  </si>
  <si>
    <t>163848114 YP_001636158 1 222526014 YP_002570485 163669403 ABY35769 222449893 ACM54159 170724983 YP_001759009 169810330 ACA84914 282851370 ZP_06260735 282557338 EFB62935</t>
  </si>
  <si>
    <t xml:space="preserve">COBYRINIC ACID A C DIAMIDE SYNTHASE DIGUANYLATE CYCLASE PHOSPHODIESTERASE CONSERVED DOMAIN </t>
  </si>
  <si>
    <t>sp|Q9C2M6|DOPP_NEUCR</t>
  </si>
  <si>
    <t>Q9C2M6 24698 74 OR23 1A 708 71 1257 987 17E5 220 3 1 Q46836 K12 2 O36408 VG58_ALHV1 58 C500 Q217M1 KUP1_RHOPB BISB18 KUP1 P54282 CAC1A_RAT CACNA1A P27884 CAC1A_RABIT P97445 CAC1A_MOUSE O00555 CAC1A_HUMAN Q9ESR9 ABCA2_RAT ABCA2 P41234 ABCA2_MOUSE 4</t>
  </si>
  <si>
    <t xml:space="preserve">DOPP_NEUCR DOLICHYLDIPHOSPHATASE OS NEUROSPORA CRASSA STRAIN ATCC CBS DSM FGSC GN PE SV PPPA_ECOLI LEADER PEPTIDASE PPPA ESCHERICHIA COLI GENE ALCELAPHINE HERPESVIRUS PROBABLE POTASSIUM TRANSPORT SYSTEM KUP RHODOPSEUDOMONAS PALUSTRIS VOLTAGE DEPENDENT P Q TYPE CALCIUM CHANNEL SUBUNIT ALPHA RATTUS NORVEGICUS ORYCTOLAGUS CUNICULUS MUS MUSCULUS HOMO SAPIENS ATP BINDING CASSETTE SUB FAMILY A MEMBER </t>
  </si>
  <si>
    <t>Hmp | DUF155 | Peptidase_M76 | chaperone_DMP | DUF82 | PRK08841 | COG5604 | PRK01077 | marine_sort_HK | PRK07568 |</t>
  </si>
  <si>
    <t>167391587 XP_001739848 1 165896305 EDR23760 EDI_075200 4731116 AAD28358 AF079967_2 MURF1 11467606 NP_050068 LETAOMP15 896286 AAA96601 NH2 114329881 YP_740784 114150114 ABI51693 298289309 ADI75236 2 238855123 ZP_04645449 282934264 ZP_06339539 313472496 ZP_07812986 238832263 EEQ24574 239529930 EEQ68931 281301673 EFA93942 213492207 ACJ47212 225441175 XP_002265930 84040 E22845 4 260664955 ZP_05865806 260561438 EEX27411</t>
  </si>
  <si>
    <t xml:space="preserve">HYPOTHETICAL TERMINUS UNCERTAIN HEME MATURASE NADH DEHYDROGENASE SUBUNIT BACTERIAL MEMBRANE FLANKED DOMAIN SUPERFAMILY TRYPANOSOMA BRUCEI MITOCHONDRION CONSERVED </t>
  </si>
  <si>
    <t>sp|Q8I1F4|FBRL_DROER</t>
  </si>
  <si>
    <t>Drosophila erecta</t>
  </si>
  <si>
    <t>Q8I1F4 2 3 1 Q5A4E2 DED1_CANAL DED1 Q54G21 FKBP5_DICDI FK506 5 FKBP5 Q1IUD3 ELLIN345 Q37376 NU2M_ACACA ND2 Q75G41 VAR1 10895 109 51 9923 1056 Q61545 EWSR1 Q54VI5 Y6510_DICDI DDB_G0280315 4 Q552X2 MED26_DICDI 26 MED26 Q9W1V3</t>
  </si>
  <si>
    <t xml:space="preserve">FBRL_DROER RRNA O METHYLTRANSFERASE FIBRILLARIN OS DROSOPHILA ERECTA GN FIB PE SV ATP DEPENDENT RNA HELICASE CANDIDA ALBICANS BINDING DICTYOSTELIUM DISCOIDEUM ATKC_ACIBL POTASSIUM TRANSPORTING ATPASE C CHAIN ACIDOBACTERIA BACTERIUM STRAIN KDPC NADH UBIQUINONE OXIDOREDUCTASE ACANTHAMOEBA CASTELLANII RMAR_ASHGO RIBOSOMAL MITOCHONDRIAL ASHBYA GOSSYPII ATCC CBS FGSC NRRL Y EWS_MOUSE EWS MUS MUSCULUS UNCHARACTERIZED MEDIATOR POLYMERASE II TRANSCRIPTION SUBUNIT FBRL_DROME MELANOGASTER </t>
  </si>
  <si>
    <t>ND5 1e-006| ND3 0.006| ND6 0.006| ND5 0.019| Anoctamin 0.036| 7tm_7 0.081| 7TM_GPCR_Srz 0.082| ND6 0.093| MopB_Res-Cmplx1_Nad11-M | ND2 |</t>
  </si>
  <si>
    <t>Serpula lacrymans var. lacrymans S7.9</t>
  </si>
  <si>
    <t>336380456 EGO21609 1 SERLADRAFT_451630 336367745 EGN96089 SERLA73DRAFT_94063 215274225 Q5VST9 3 148833506 NP_001092093 122890189 CAH71670 2 123290083 CAM27610 119590275 EAW69869 HCG62652 119590276 EAW69870 89143259 CAJ76912 89199564 ABD63255 71891703 BAB13465 KIAA1639 330820426 YP_004349288 327372421 AEA63776</t>
  </si>
  <si>
    <t xml:space="preserve">HYPOTHETICAL OBSCN_HUMAN FULL OBSCURIN ALTNAME RHOGEF MYOSIN LIGHT CHAIN KINASE SHORT MLCK ISOFORM B CYTOSKELETAL CALMODULIN TITIN INTERACTING CRA_A CRA_B PROLYL AMINOPEPTIDASE </t>
  </si>
  <si>
    <t>sp|Q5VST9|OBSCN_HUMAN</t>
  </si>
  <si>
    <t>Q5VST9 1 3 Q68EI3 CBPC5_DANRE 5 AGBL5 2 A1AWN8 Q122S7 KUP2_POLSJ JS666 500 KUP2 O70554 SPR2B_MOUSE 2B SPRR2B</t>
  </si>
  <si>
    <t xml:space="preserve">OBSCN_HUMAN OBSCURIN OS HOMO SAPIENS GN OBSCN PE SV CYTOSOLIC CARBOXYPEPTIDASE LIKE DANIO RERIO SYK_RUTMC LYSYL TRNA SYNTHETASE RUTHIA MAGNIFICA SUBSP CALYPTOGENA LYSS PROBABLE POTASSIUM TRANSPORT SYSTEM KUP POLAROMONAS STRAIN ATCC BAA SMALL PROLINE RICH MUS MUSCULUS </t>
  </si>
  <si>
    <t>PBP2_Nitroaromatics_like | PHA02682 | PRK08737 | PRK12608 | SCY | PCAF_N | PRK13504 | rpl22 |</t>
  </si>
  <si>
    <t>91080729 XP_975414 1 CG3224 270005870 EFA02318 TCASGA2_TC007984 307208300 EFN85725 593 110757739 XP_001120173 332026291 EGI66428 156537147 XP_001603641 ENSANGP00000021332 195565468 XP_002106321 GD16185 194203697 EDX17273 195340313 XP_002036758 GM12567 194130874 EDW52917 195047585 XP_001992371 GH24240 193893212 EDV92078 18858117 NP_572335 74949017 Q9W3Y0 ZN593_DROME 10441474 AAG17060 AF188891_1 7290735 AAF46181 17945266 AAL48690 RE14402P 220947904 ACL86495 220957252 ACL91169 225581086 ACN94661 GA16779</t>
  </si>
  <si>
    <t xml:space="preserve">SIMILAR TO PA HYPOTHETICAL ZINC FINGER LIKE HOMOLOG FULL </t>
  </si>
  <si>
    <t>sp|Q9W3Y0|ZN593_DROME</t>
  </si>
  <si>
    <t>Q9W3Y0 ZN593_DROME 593 CG3224 1 B0BLT0 ZN593_XENTR ZNF593 2 O00488 ZN593_HUMAN Q9U239 ZN593_CAEEL Y56A3A 18 Q9DB42 ZN593_MOUSE Q08004 BUD20_YEAST 20 204508 S288C BUD20 Q9P370 BUD20_SCHPO 38366 972 Q553S1 ZN593_DICDI DDB_G0275351 3 Q8SWF6 Z231_ENCCU C2H2 ECU02_0310 M1 Q96NL3 ZN599_HUMAN 599 ZNF599</t>
  </si>
  <si>
    <t xml:space="preserve">ZINC FINGER HOMOLOG OS DROSOPHILA MELANOGASTER GN PE SV XENOPUS TROPICALIS HOMO SAPIENS CAENORHABDITIS ELEGANS MUS MUSCULUS BUD SITE SELECTION SACCHAROMYCES CEREVISIAE STRAIN ATCC SCHIZOSACCHAROMYCES POMBE DICTYOSTELIUM DISCOIDEUM ENCEPHALITOZOON CUNICULI </t>
  </si>
  <si>
    <t>Drosophila melanogaster - biological_process - intracellular - nucleic acid binding - zinc ion binding</t>
  </si>
  <si>
    <t>UFD2 2e-018| zf-C2H2_jaz 5e-008| ZnF_U1 3e-005| rRNA_processing 0.035| zf-met | PRP9 | AAR2 | zf-C2H2_2 | Sre | S1_CSL4 |</t>
  </si>
  <si>
    <t>222613334 EEE51466 1 OSJ_32592 146096884 XP_001467964 134072330 CAM71036 322501934 CBZ37017 125533078 EAY79643 OSI_34787 110289653 AAP55169 2 12039381 AAG46167 AC018727_19 158428911 2J6P 158428912 158428913 158428914 158428915 158428916 157874217 XP_001685597 68128669 CAJ08801 45645041 AAS73185</t>
  </si>
  <si>
    <t xml:space="preserve">HYPOTHETICAL AS SB REDUCTASE UNNAMED PRODUCT PENTATRICOPEPTIDE EXPRESSED UNKNOWN PDB A CHAIN STRUCTURE FROM LEISHMANIA MAJOR B C D E F V </t>
  </si>
  <si>
    <t>sp|A6NMS3|OR5K4_HUMAN</t>
  </si>
  <si>
    <t>A6NMS3 OR5K4_HUMAN 5K4 OR5K4 2 1 Q4FNH4 HTCC1062 3 A6NET4 OR5K3_HUMAN 5K3 OR5K3 P0CAG6 VF421_ASFK5 K421R 50 1950 064 Q03264 NGL2_YEAST NGL2 204508 S288C Q8BZ05 ARAP2_MOUSE ARAP2</t>
  </si>
  <si>
    <t xml:space="preserve">OLFACTORY RECEPTOR OS HOMO SAPIENS GN PE SV SYFB_PELUB PHENYLALANYL TRNA SYNTHETASE BETA CHAIN PELAGIBACTER UBIQUE STRAIN PHET UNCHARACTERIZED AFRICAN SWINE FEVER VIRUS ISOLATE PIG KENYA KEN RNA EXONUCLEASE SACCHAROMYCES CEREVISIAE ATCC ARF GAP WITH RHO DOMAIN ANK REPEAT PH CONTAINING MUS MUSCULUS </t>
  </si>
  <si>
    <t>CLAG | RNase_HII_eukaryota_like | TMX2 | PHA00330 | Tmp39 | PHA02688 | PRK06319 | Pat17_PNPLA8_PNPLA9_like2 | RNase_HII | N2-ase-Ialpha |</t>
  </si>
  <si>
    <t>115920988 XP_783271 2 S30 115978352 XP_001187348 1 307095106 ADN29859 S30E 301756024 XP_002913872 LOC100480406 281344978 EFB20562 PANDA_001691 121543713 ABM55543 17563246 NP_505007 30 1255381 AAB37076 291386441 XP_002709658 268555220 XP_002635598 187023308 CAP37571 242247227 NP_001156223 239793495 BAH72860 ACYPI006769 240848655 NP_001155487 239789080 BAH71187 ACYPI002629</t>
  </si>
  <si>
    <t xml:space="preserve">SIMILAR TO UBIQUITIN LIKE RIBOSOMAL FUSION HYPOTHETICAL SMALL SUBUNIT FAMILY MEMBER RPS CONFIRMED BY TRANSCRIPT EVIDENCE FUBI C BRIGGSAE CBR </t>
  </si>
  <si>
    <t>sp|P49689|RS30_ARATH</t>
  </si>
  <si>
    <t>P49689 RS30_ARATH 40S S30 RPS30A 1 3 P62864 RS30_RAT P0C2F0 RS30_PONAB P62863 RS30_PIG P62867 RS30_MUSSI P62862 RS30_MOUSE P62861 RS30_HUMAN P62860 RS30_CRIGR P62866 RS30_BOVIN Q9W6Y0 RS30_ORYLA 2</t>
  </si>
  <si>
    <t xml:space="preserve">RIBOSOMAL OS ARABIDOPSIS THALIANA GN PE SV RATTUS NORVEGICUS FAU PONGO ABELII SUS SCROFA MUS SPICILEGUS MUSCULUS HOMO SAPIENS CRICETULUS GRISEUS BOS TAURUS ORYZIAS LATIPES </t>
  </si>
  <si>
    <t>Caenorhabditis elegans - structural constituent of ribosome - intracellular - ribosome - translation - positive regulation of growth rate - growth - nematode larval development - reproduction</t>
  </si>
  <si>
    <t>Ribosomal_S30 7e-012| PTZ00467 1e-004| Herpes_UL79 0.060| PRK09336 0.064| PalH 0.099| CYTB | 7TM_GPCR_Srz | PHA03364 | Ribosomal_L19e | rpl19e |</t>
  </si>
  <si>
    <t>Translation, ribosomal structure and biogenesis, Posttranslational modification, protein turnover, chaperones</t>
  </si>
  <si>
    <t>Dictyostelium discoideum AX4</t>
  </si>
  <si>
    <t>66808911 XP_638178 1 DDB_G0285631 60466601 EAL64653 237750232 ZP_04580712 229374126 EEO24517 156408540 XP_001641914 156229055 EDO49851 194246608 YP_002004247 193806965 CAP18397 328867496 EGG15878 DFA_09547 256073745 XP_002573189 238658363 CAZ29421 229491061 ZP_04384892 229322042 EEN87832 328868304 EGG16682 DFA_07660 293608074 ZP_06690377 292828647 EFF87009 70951876 XP_745144 56525375 CAH77941</t>
  </si>
  <si>
    <t xml:space="preserve">HYPOTHETICAL METALLO BETA LACTAMASE FAMILY RNA POLYMERASE II CTD PHOSPHATASE CONSERVED </t>
  </si>
  <si>
    <t>sp|Q9JMS3|YUAQ_ECOLI</t>
  </si>
  <si>
    <t>Escherichia coli (strain K12)</t>
  </si>
  <si>
    <t>Q9JMS3 K12 4 1 Q6WB95 CAN97 83 3 Q7Z404 TMC4_HUMAN TMC4 2 Q9M051 U76F2_ARATH 76F2 UGT76F2 Q9WUD9 P05480 P12931 P37091 SCNN1G Q28738 Q9WU39</t>
  </si>
  <si>
    <t xml:space="preserve">YUAQ_ECOLI UNCHARACTERIZED YUAQ OS ESCHERICHIA COLI STRAIN GN PE SV SH_HMPVC SMALL HYDROPHOBIC HUMAN METAPNEUMOVIRUS SH TRANSMEMBRANE CHANNEL LIKE HOMO SAPIENS UDP GLYCOSYLTRANSFERASE ARABIDOPSIS THALIANA SRC_RAT PROTO ONCOGENE TYROSINE KINASE SRC RATTUS NORVEGICUS SRC_MOUSE NEURONAL MUS MUSCULUS SRC_HUMAN SCNNG_RAT AMILORIDE SENSITIVE SODIUM SUBUNIT GAMMA SCNNG_RABIT ORYCTOLAGUS CUNICULUS SCNNG_MOUSE </t>
  </si>
  <si>
    <t>ND4L | Poxvirus_B22R | PRK06155 | DUF3131 | SSM4 | PRK10958 | Ceramidase | PRK12367 | DUF1864 | CBF |</t>
  </si>
  <si>
    <t>312381013 EFR26864 1 AND_25847 170036255 XP_001845980 CPIPJ_CPIJ004394 167878857 EDS42240 157109480 XP_001650690 157138015 XP_001664120 108869586 EAT33811 108879020 EAT43245 158297855 XP_001689080 AGAP004790 158297859 XP_001689082 AGAP004788 157014527 EDO63497 157014529 EDO63499 241717139 XP_002413568 215507384 EEC16876 195401817 XP_002059507 GJ14804 194147214 EDW62929 1326450 AAB36093 23505740 AAN28923 195432615 XP_002064312 GK19768 194160397 EDW75298 21358399 NP_652548 195481923 XP_002101834 GE17844 195554694 XP_002076943 GD24782 7291156 AAF46590 17945725 AAL48911 RE31692P 17946655 AAL49358 RH45340P 38048497 AAR10151 CG15304 194189358 EDX02942 194202961 EDX16537 220950768 ACL87927</t>
  </si>
  <si>
    <t xml:space="preserve">HYPOTHETICAL STRETCH REGULATED SKELETAL MUSCLE PA CAMP PROTEINRATING PRECURSOR NEB CGP GENERATING SIMILAR TO DROSOPHILA MELANOGASTER </t>
  </si>
  <si>
    <t>sp|Q9JJW3|USMG5_RAT</t>
  </si>
  <si>
    <t>Q9JJW3 USMG5_RAT 5 USMG5 2 1 Q78IK2 USMG5_MOUSE Q96IX5 USMG5_HUMAN Q3ZBI7 USMG5_BOVIN Q9VR93 RL33_DROME 60S L33 CG15458 Q85QA4 2001 138 3761 0622 65 3 Q9R157 ADA18_MOUSE 18 ADAM18 P81381 8585 2359 70799 1267 1140 WM37 P62513 10895 109 51 9923 1056 Q13PQ0 LB400</t>
  </si>
  <si>
    <t xml:space="preserve">UP REGULATED DURING SKELETAL MUSCLE GROWTH OS RATTUS NORVEGICUS GN PE SV MUS MUSCULUS HOMO SAPIENS BOS TAURUS RIBOSOMAL DROSOPHILA MELANOGASTER CYB_CANGA CYTOCHROME B CANDIDA GLABRATA STRAIN ATCC CBS JCM NBRC NRRL Y COB DISINTEGRIN METALLOPROTEINASE DOMAIN CONTAINING CYB_KLULA KLUYVEROMYCES LACTIS DSM CYB_ASHGO ASHBYA GOSSYPII FGSC HUTG_BURXL FORMIMIDOYLGLUTAMASE BURKHOLDERIA XENOVORANS HUTG </t>
  </si>
  <si>
    <t>up-regulated during skeletal muscle growth 5 homolog (mouse) - Rattus norvegicus - mitochondrion - mitochondrial inner membrane - membrane - integral to membrane - mitochondrial membrane</t>
  </si>
  <si>
    <t>PRK05844 0.059| CYTB | recQ_fam | 2a38euk | DUF1600 | Flu_B_NS1 | CYTB | Ig2_PTK7 | GerA | Bac_Flav_CT_M |</t>
  </si>
  <si>
    <t>332025107 EGI65288 1 242016676 XP_002428876 PHUM_PHUM407130 212513640 EEB16138 145516925 XP_001444351 124411762 CAK76954 124808975 XP_001348456 23497350 AAN36895 340504929 EGR31320 IMG5_112910 146185814 XP_001032542 2 146143149 EAR84879</t>
  </si>
  <si>
    <t xml:space="preserve">AFADIN HYPOTHETICAL UNNAMED PRODUCT CONSERVED UNKNOWN FUNCTION PCI DOMAIN CONTAINING </t>
  </si>
  <si>
    <t>sp|Q54IX3|PKS26_DICDI</t>
  </si>
  <si>
    <t>Q54IX3 PKS26_DICDI 26 PKS26 3 1 D4AQG0 SUB10_ARTBC 10 112371 SUB10 2 P0C6Y4 R1AB_PEDV7 1AB CV777 P36119 YK03_YEAST YKR023W 204508 S288C A2BTM1 AS9601 P0C6X5 R1AB_CVHNL NL63 Q8VYJ1 AAE14 Q68RU8 YCF1_PANGI YCF1 A6YGB1 RR7_LEPTE 30S S7 RPS7 P06730 IF4E_HUMAN 4E EIF4E</t>
  </si>
  <si>
    <t xml:space="preserve">PROBABLE POLYKETIDE SYNTHASE OS DICTYOSTELIUM DISCOIDEUM GN PE SV SUBTILISIN LIKE PROTEASE ARTHRODERMA BENHAMIAE STRAIN CBS REPLICASE POLYPROTEIN PORCINE EPIDEMIC DIARRHEA VIRUS REP UNCHARACTERIZED SACCHAROMYCES CEREVISIAE ATCC SECA_PROMS TRANSLOCASE SUBUNIT SECA PROCHLOROCOCCUS MARINUS HUMAN CORONAVIRUS MENE_ARATH SUCCINYLBENZOATE COA LIGASE CHLOROPLASTIC PEROXISOMAL ARABIDOPSIS THALIANA MEMBRANE PANAX GINSENG RIBOSOMAL LEPTOSIRA TERRESTRIS EUKARYOTIC TRANSLATION INITIATION FACTOR HOMO SAPIENS </t>
  </si>
  <si>
    <t>Peptidase_U4 0.033| Got1 0.079| COX3 | COX3 | ND4 | COX3 | COX3 | BI-1-like | Intg_mem_TP0381 | PRK02975 |</t>
  </si>
  <si>
    <t>Haemophilus influenzae PittEE</t>
  </si>
  <si>
    <t>148826362 YP_001291115 1 148716522 ABQ98732 118396449 XP_001030564 89284872 EAR82901 333898040 YP_004471914 DUF820 333113305 AEF18242 326676977 XP_003200722 LOC100331267 269115083 YP_003302846 MHO_3080 268322708 CAX37443 170084381 XP_001873414 164650966 EDR15206 168003666 XP_001754533 162694154 EDQ80503 170050799 XP_001861474 167872276 EDS35659 126314760 XP_001364109 13 328876241 EGG24604 DFA_02847</t>
  </si>
  <si>
    <t xml:space="preserve">RECOMBINATION F CONSERVED HYPOTHETICAL UNKNOWN FUNCTION YTH DOMAIN MITOGEN ACTIVATED KINASE </t>
  </si>
  <si>
    <t>sp|Q92212|STE20_CANAL</t>
  </si>
  <si>
    <t>Candida albicans</t>
  </si>
  <si>
    <t>Q92212 STE20_CANAL CST20 3 2 B0BM24 F161A_XENTR FAM161A 1 Q70E73 RAPH1_HUMAN RAPH1 Q6C842 BUR1_YARLI BUR1 122 150 O14497 ARI1A_HUMAN 1A ARID1A A4T069 RL25_POLSQ 50S L25 P1DMWA B1XS65 RL25_POLNS STIR1 Q6UDM4 ICP27_PSHV1 ICP27 97 0001 1997 UL54 Q8R508 FAT3_RAT FAT3 Q8BNA6 FAT3_MOUSE</t>
  </si>
  <si>
    <t xml:space="preserve">SERINE THREONINE KINASE OS CANDIDA ALBICANS GN PE SV XENOPUS TROPICALIS RAS ASSOCIATED PLECKSTRIN HOMOLOGY DOMAINS CONTAINING HOMO SAPIENS YARROWIA LIPOLYTICA STRAIN CLIB E AT RICH INTERACTIVE DOMAIN RIBOSOMAL POLYNUCLEOBACTER QLW RPLY NECESSARIUS TRANSCRIPTIONAL REGULATOR PSITTACID HERPESVIRUS ISOLATE AMAZON PARROT PROTOCADHERIN FAT RATTUS NORVEGICUS MUS MUSCULUS </t>
  </si>
  <si>
    <t>PI-PLCc_beta | PI-PLCc_eukaryota | Borrelia_orfA | PRK15065 | PTZ00441 | fliR_like_III | DUF3413 | Prog_receptor | DUF599 | PRK15349 |</t>
  </si>
  <si>
    <t>149689088 ABR27879 1 40S S8 263173260 ACY69893 S8E 332022267 EGI62582 307203914 EFN82821 340717891 XP_003397407 307177476 EFN66603 70909505 CAJ17177 91084049 XP_967339 270008005 EFA04453 TCASGA2_TC014757 70909497 CAJ17173 70909501 CAJ17175</t>
  </si>
  <si>
    <t xml:space="preserve">RIBOSOMAL LIKE SIMILAR TO HYPOTHETICAL </t>
  </si>
  <si>
    <t>sp|O76756|RS8_APIME</t>
  </si>
  <si>
    <t>O76756 RS8_APIME 40S S8 RPS8 2 Q8WQI5 RS8_SPOFR 1 Q7SYU0 RS8_XENLA 3 P62243 RS8_RAT P62242 RS8_MOUSE Q4R6P8 RS8_MACFA P62241 RS8_HUMAN Q5E958 RS8_BOVIN P62247 RS8_DANRE Q90YR6 RS8_ICTPU</t>
  </si>
  <si>
    <t xml:space="preserve">RIBOSOMAL OS APIS MELLIFERA GN PE SV SPODOPTERA FRUGIPERDA XENOPUS LAEVIS RATTUS NORVEGICUS MUS MUSCULUS MACACA FASCICULARIS HOMO SAPIENS BOS TAURUS DANIO RERIO ICTALURUS PUNCTATUS </t>
  </si>
  <si>
    <t>ribosomal protein S8 - Rattus norvegicus - maturation of SSU-rRNA from tricistronic rRNA transcript (SSU-rRNA, 5.8S rRNA, LSU-rRNA) - molecular_function - structural constituent of ribosome - intracellular - cytoplasm - cytosol - ribosome - translational elongation - biological_process - cytosolic small ribosomal subunit - ribonucleoprotein complex</t>
  </si>
  <si>
    <t>PTZ00148 4e-028| Ribosomal_S8e 8e-005| S8e 0.002| nhaB 0.017| PRK10674 | RPS8A | NhaB | PRT_C | NhaB | 7TM_GPCR_Srd |</t>
  </si>
  <si>
    <t>Zea mays</t>
  </si>
  <si>
    <t>226498730 NP_001142835 1 LOC100275225 195610368 ACG27014 78059907 YP_366482 77964457 ABB05838 MFS_1 125571978 EAZ13493 OSJ_03409 57899963 BAD87899 LRK1 115439867 NP_001044213 OS01G0742400 57899962 BAD87898 113533744 BAF06127 338534067 YP_004667401 337260163 AEI66323 330890017 EGH22678 298486246 ZP_07004309 298159253 EFI00311 289628068 ZP_06461022 289651310 ZP_06482653 330868395 EGH03104 89056406 YP_511857 JANN_3915 88865955 ABD56832</t>
  </si>
  <si>
    <t xml:space="preserve">HYPOTHETICAL MAJOR FACILITATOR TRANSPORTER SUPERFAMILY FAMILY XYLULOKINASE ARAC TRANSCRIPTIONAL REGULATOR </t>
  </si>
  <si>
    <t>sp|O59133|GATE_PYRHO</t>
  </si>
  <si>
    <t>Pyrococcus horikoshii (strain ATCC 700860 / DSM 12428 / JCM 9974 / NBRC 100139 / OT-3)</t>
  </si>
  <si>
    <t>O59133 700860 12428 9974 100139 3 1 Q9V0U0 GE5 Q8VEC3 GP110_MOUSE 110 GPR110 2 B8G619 Y2891_CHLAD UPF0753 CAGG_2891 66 9485 O10312 Y054_NPVOP 42 5 ORF58 4 A3KN95 T151B_XENTR 151B TMEM151B Q06686 CTR3_YEAST CTR3 204508 S288C Q1QSC4 ATP6_CHRSD 3043 138 13768 B2GI63 9341 348 103217 DC2201 O89042 POLA1</t>
  </si>
  <si>
    <t xml:space="preserve">GATE_PYRHO GLUTAMYL TRNA GLN AMIDOTRANSFERASE SUBUNIT E OS PYROCOCCUS HORIKOSHII STRAIN ATCC DSM JCM NBRC OT GN GATE PE SV GATE_PYRAB ABYSSI ORSAY G COUPLED RECEPTOR MUS MUSCULUS CHLOROFLEXUS AGGREGANS MD UNCHARACTERIZED KDA ORGYIA PSEUDOTSUGATA MULTICAPSID POLYHEDROSIS VIRUS TRANSMEMBRANE XENOPUS TROPICALIS COPPER TRANSPORT SACCHAROMYCES CEREVISIAE ATP SYNTHASE A CHROMOHALOBACTER SALEXIGENS BAA NCIMB ATPB MSHD_KOCRD MYCOTHIOL ACETYLTRANSFERASE KOCURIA RHIZOPHILA MSHD DPOLA_RAT DNA POLYMERASE ALPHA CATALYTIC FRAGMENT RATTUS NORVEGICUS </t>
  </si>
  <si>
    <t>COG3380 | PIN_Rrp44 | WND | COG1231 | ruvB | RTN4I1 | VWA_CoxE | PRK11590 | PRP8 | DUF3671 |</t>
  </si>
  <si>
    <t>242013092 XP_002427249 1 212511582 EEB14511 91076160 XP_966582 270014726 EFA11174 TCASGA2_TC004781 324497809 ADY39553 307214968 EFN89813 321470476 EFX81452 DAPPUDRAFT_224315 170061787 XP_001866388 167879885 EDS43268 340715311 XP_003396159 2 340715309 XP_003396158 124487699 ABN11937 322800385 EFZ21389 SINV_06667</t>
  </si>
  <si>
    <t xml:space="preserve">UBIQUILIN SIMILAR TO ISOFORM HYPOTHETICAL LIKE </t>
  </si>
  <si>
    <t>sp|Q9UHD9|UBQL2_HUMAN</t>
  </si>
  <si>
    <t>Q9UHD9 UBQL2_HUMAN 2 UBQLN2 1 Q8R317 UBQL1_MOUSE UBQLN1 Q9UMX0 UBQL1_HUMAN Q5R684 UBQL1_PONAB Q9JJP9 UBQL1_RAT Q9NRR5 UBQL4_HUMAN 4 UBQLN4 Q9QZM0 UBQL2_MOUSE Q99NB8 UBQL4_MOUSE Q9H347 UBQL3_HUMAN 3 UBQLN3 Q8C5U9 UBQL3_MOUSE</t>
  </si>
  <si>
    <t xml:space="preserve">UBIQUILIN OS HOMO SAPIENS GN PE SV MUS MUSCULUS PONGO ABELII RATTUS NORVEGICUS </t>
  </si>
  <si>
    <t>Ubiquilin - Drosophila melanogaster - amyloid precursor protein metabolic process</t>
  </si>
  <si>
    <t>UBA 4e-006| UBA 4e-006| UBA 6e-005| TMR_SDR_a | rad23 | ND2 | GT1_wcfI_like | PRK14298 | CUE | PLN02305 |</t>
  </si>
  <si>
    <t>Posttranslational modification, protein turnover, chaperones, General function prediction only</t>
  </si>
  <si>
    <t>Phoradendron serotinum</t>
  </si>
  <si>
    <t>290489054 ADD30911 1 RF1</t>
  </si>
  <si>
    <t>sp|Q89AA9|Y411_BUCBP</t>
  </si>
  <si>
    <t>Q89AA9 Y411_BUCBP BBP_411 3 1 Q8CQ77 2 4 12228 Q5HRJ7 35984 RP62A P11156 RIR2_BPT4 T4 Q6Q760</t>
  </si>
  <si>
    <t xml:space="preserve">UNCHARACTERIZED TRANSPORTER OS BUCHNERA APHIDICOLA SUBSP BAIZONGIA PISTACIAE STRAIN BP GN PE SV ISPD_STAES C METHYL D ERYTHRITOL PHOSPHATE CYTIDYLYLTRANSFERASE STAPHYLOCOCCUS EPIDERMIDIS ATCC ISPD ISPD_STAEQ RIBONUCLEOSIDE DIPHOSPHATE REDUCTASE SUBUNIT BETA ENTEROBACTERIA PHAGE NRDB NALCN_RAT SODIUM LEAK CHANNEL NON SELECTIVE RATTUS NORVEGICUS NALCN </t>
  </si>
  <si>
    <t>RNRR2 | PRK00329 | NifU_clost | Ycf1 | Spc97_Spc98 | NrdF | BioC | spoVFB | traB | ycf1 |</t>
  </si>
  <si>
    <t>Litopenaeus vannamei</t>
  </si>
  <si>
    <t>339892262 AEK21539 1 332030549 EGI70237 339236011 XP_003379560 316977743 EFV60806 307206446 EFN84484 307181039 EFN68813 254939725 ACT88125 AT15141P 195381281 XP_002049382 GJ20779 260836493 XP_002613240 BRAFLDRAFT_57361 194144179 EDW60575 229298625 EEN69249 170044287 XP_001849785 167867496 EDS30879 122063215 P11121 2 122063213 P02595</t>
  </si>
  <si>
    <t xml:space="preserve">CALMODULIN A HYPOTHETICAL CALM_PYUSP FULL SHORT CAM CALM_PATSP </t>
  </si>
  <si>
    <t>sp|Q8STF0|CALM_STRIE</t>
  </si>
  <si>
    <t>Strongylocentrotus intermedius</t>
  </si>
  <si>
    <t>Q8STF0 2 3 P21251 1 P11121 P02595 P62154 P62152 P62145 P62153 P62148 CALM1_BRALA P62147 CALM1_BRAFL</t>
  </si>
  <si>
    <t xml:space="preserve">CALM_STRIE CALMODULIN OS STRONGYLOCENTROTUS INTERMEDIUS PE SV CALM_STIJA STICHOPUS JAPONICUS CALM_PYUSP PYURIDAE CALM_PATSP PATINOPECTEN CALM_LOCMI LOCUSTA MIGRATORIA CALM_DROME DROSOPHILA MELANOGASTER GN CAM CALM_APLCA APLYSIA CALIFORNICA CALMA_HALRO A HALOCYNTHIA RORETZI BRANCHIOSTOMA LANCEOLATUM FLORIDAE </t>
  </si>
  <si>
    <t>Calmodulin - Drosophila melanogaster - rhabdomere - cytoplasm - rhodopsin mediated signaling pathway - protein phosphorylation - regulation of light-activated channel activity - metarhodopsin inactivation - detection of calcium ion - deactivation of rhodopsin mediated signaling - adaptation of rhodopsin mediated signaling - calcium ion binding - myosin heavy chain binding - myosin VI complex - myosin VI head/neck binding - mitotic spindle organization - spindle pole - positive regulation of NFAT protein import into nucleus - kinetochore organization - microtubule associated complex - centriole replication - calmodulin binding</t>
  </si>
  <si>
    <t>PTZ00184 2e-016| PTZ00183 2e-009| EFh 7e-009| FRQ1 3e-008| EFh 6e-008| efhand 5e-007| S-100 6e-004| calgranulins 0.011| S-100B 0.012| S-100A1 0.023|</t>
  </si>
  <si>
    <t>270046188 BAI50824 1 270046172 BAI50816 270001730 EEZ98177 TCASGA2_TC000606 261334951 CBH17945 71756195 XP_829012 70834398 EAN79900 340726153 XP_003401426 LOC100646364 270046228 BAI50844 270046176 BAI50818 332023034 EGI63299 328776663 XP_394941 4 LOC411466</t>
  </si>
  <si>
    <t xml:space="preserve">UNNAMED PRODUCT HYPOTHETICAL CONSERVED HISTONE LYSINE N METHYLTRANSFERASE TRR </t>
  </si>
  <si>
    <t>sp|Q30KQ6|DB114_HUMAN</t>
  </si>
  <si>
    <t>Q30KQ6 DB114_HUMAN 114 DEFB114 2 1 Q9H582 ZN644_HUMAN 644 ZNF644 B1H0Q9 RL28_UNCTG 50S L28 D17 3 Q9GYH7 RME6_CAEEL 6 A8WVM4 RME6_CAEBR Q96EP1 E3 Q0P4V4 DNAAF2 O54249 Q36549 P34864</t>
  </si>
  <si>
    <t xml:space="preserve">BETA DEFENSIN OS HOMO SAPIENS GN PE SV ZINC FINGER RIBOSOMAL UNCULTURED TERMITE GROUP BACTERIUM PHYLOTYPE RS RPMB RECEPTOR MEDIATED ENDOCYTOSIS CAENORHABDITIS ELEGANS RME BRIGGSAE CHFR_HUMAN UBIQUITIN LIGASE CHFR KTU_XENTR KINTOUN XENOPUS TROPICALIS FLII_RHIME FLAGELLUM SPECIFIC ATP SYNTHASE RHIZOBIUM MELILOTI FLII CYB_SARSA CYTOCHROME B SARDA MT CYB CYB_SARCH FRAGMENT CHILIENSIS </t>
  </si>
  <si>
    <t>SURF2 | CYTB | CYTB | CYTB | PRK09071 | PTZ00265 | PLDc_PPK1_C2_unchar | Nitrophorin | PLN03218 | PLDc_PaPPK1_C2_like |</t>
  </si>
  <si>
    <t>156540942 XP_001599975 1 AA1 156541724 XP_001600610 156548458 XP_001605165 156545886 XP_001606639 2290213 AAB65093 258570659 XP_002544133 237904403 EEP78804 307178641 EFN67290 EAG_04037 2708267 AAB92394 334883360 BAK38644 270016026 EFA12474 TCASGA2_TC001498</t>
  </si>
  <si>
    <t xml:space="preserve">SIMILAR TO LIAN RETROTRANSPOSON MYOSIN RHOGAP MYR LACHESIN ANTHRANILATE SYNTHASE COMPONENT II HYPOTHETICAL REVERSE TRANSCRIPTASE UNNAMED PRODUCT </t>
  </si>
  <si>
    <t>sp|P0C2F6|RNHX1_ARATH</t>
  </si>
  <si>
    <t>P0C2F6 RNHX1_ARATH AT1G65750 3 1 Q7XUU0 CSLH3_ORYSJ H3 CSLH3 P27585 VNS1_EHDV2 NS1 2 S6 P06531 B0T8F3 K31 O55752 148R_IIV6 MSV199 148R 6 IIV6 4 Q96KV7 WDR90_HUMAN 90 WDR90 Q59069 43067 2661 10045 100440 Q03495 PORF1 ORF1 P09814</t>
  </si>
  <si>
    <t xml:space="preserve">RIBONUCLEASE H OS ARABIDOPSIS THALIANA GN PE SV CELLULOSE SYNTHASE LIKE ORYZA SATIVA SUBSP JAPONICA NON STRUCTURAL EPIZOOTIC HEMORRHAGIC DISEASE VIRUS STRAIN ALBERTA TRPG_EMENI ANTHRANILATE COMPONENT EMERICELLA NIDULANS TRPC AROB_CAUSK DEHYDROQUINATE CAULOBACTER AROB DOMAIN CONTAINING INVERTEBRATE IRIDESCENT WD REPEAT HOMO SAPIENS TRUA_METJA TRNA PSEUDOURIDINE A METHANOCALDOCOCCUS JANNASCHII ATCC DSM JAL JCM NBRC TRUA POLN_HEVME POLYPROTEIN HEPATITIS E GENOTYPE ISOLATE HUMAN MEXICO POLG_TVMV GENOME TOBACCO VEIN MOTTLING </t>
  </si>
  <si>
    <t>PRK08064 | DUF2085 | KatE | PRK10173 | COG3910 | arabinose_DH_like | mycothione_red | TPP_enzyme_M | Zn_ADH5 | VI_IcmF |</t>
  </si>
  <si>
    <t>270003241 EEZ99688 1 TCASGA2_TC002445 91079989 XP_970719 AGAP004877 242023873 XP_002432355 212517778 EEB19617 340714819 XP_003395921 66510482 XP_393281 2 322798805 EFZ20352 SINV_00955 307191730 EFN75172 158293006 XP_001688558 157016899 EDO64035 158293004 XP_314309 4 157016898 EAA09724 229472627 ACQ72828</t>
  </si>
  <si>
    <t xml:space="preserve">HYPOTHETICAL SIMILAR TO PA PARAMYOSIN LONG FORM LIKE SHORT PB MINIPARAMYOSIN </t>
  </si>
  <si>
    <t>sp|P35416|MYSP2_DROME</t>
  </si>
  <si>
    <t>P35416 MYSP2_DROME 2 P35415 MYSP1_DROME 1 Q86RN8 Q9BMM8 Q8MUF6 Q02171 P13392 Q9NJA9 P10567 15 Q01202</t>
  </si>
  <si>
    <t xml:space="preserve">PARAMYOSIN SHORT FORM OS DROSOPHILA MELANOGASTER GN PRM PE SV LONG MYSP_BOOMI BOOPHILUS MICROPLUS MYSP_SARSC SARCOPTES SCABIEI MYSP_BLOTA BLOMIA TROPICALIS MYSP_ONCVO ONCHOCERCA VOLVULUS MYSP_DIRIM FRAGMENT DIROFILARIA IMMITIS MYSP_ANISI ANISAKIS SIMPLEX PARA MYSP_CAEEL CAENORHABDITIS ELEGANS UNC MYSP_BRUMA BRUGIA MALAYI </t>
  </si>
  <si>
    <t>Paramyosin - Drosophila melanogaster - structural constituent of muscle - mesoderm development - motor activity - striated muscle myosin thick filament - myosin complex - myofibril assembly</t>
  </si>
  <si>
    <t>Myosin_tail_1 4e-010| ATP6 | Tropomyosin | 7TM_GPCR_Srbc | prc_long_Delta | outer_NodT | COG2988 | DUF2079 | PRK15455 | PTZ00045 |</t>
  </si>
  <si>
    <t>Thioalkalivibrio sp. K90mix</t>
  </si>
  <si>
    <t>289207502 YP_003459568 1 MN2 288943133 ADC70832 70925321 XP_735371 56508973 CAH75959 PC000191 01 0</t>
  </si>
  <si>
    <t xml:space="preserve">DEPENDENT SERINE THREONINE KINASE HYPOTHETICAL </t>
  </si>
  <si>
    <t>sp|Q5ZM96|QTRD1_CHICK</t>
  </si>
  <si>
    <t>Q5ZM96 QTRD1_CHICK QTRTD1 2 1 P31999 3 C0LGP4 Y3475_ARATH AT3G47570 P89876 POLG_LMV0 0 B9W9T4 CD36 7987 3949 17841 MEF1 Q5R998 QTRD1_PONAB Q9H974 QTRD1_HUMAN Q761Z9 RH18_ORYSJ 18 OS01G0164500 Q9USZ1 38366 972 Q9FE64 OS03G0565500</t>
  </si>
  <si>
    <t xml:space="preserve">QUEUINE TRNA RIBOSYLTRANSFERASE SUBUNIT OS GALLUS GN PE SV POLG_LMVE GENOME POLYPROTEIN LETTUCE MOSAIC VIRUS STRAIN E PROBABLE LRR RECEPTOR LIKE SERINE THREONINE KINASE ARABIDOPSIS THALIANA ISOLATE FRENCH EFGM_CANDC ELONGATION FACTOR G MITOCHONDRIAL CANDIDA DUBLINIENSIS CBS NCPF NRRL Y PONGO ABELII HOMO SAPIENS DEAD BOX ATP DEPENDENT RNA HELICASE ORYZA SATIVA SUBSP JAPONICA EFGM_SCHPO SCHIZOSACCHAROMYCES POMBE ATCC EFGM_ORYSJ </t>
  </si>
  <si>
    <t>ubiA 0.018| ND5 0.084| GerA | ND4 | FUSC | ND5 | ND3 | Glycos_transf_4 | ND3 | CbiQ |</t>
  </si>
  <si>
    <t>170032381 XP_001844060 1 57 167872346 EDS35729 340721816 XP_003399310 U5 40 332027775 EGI67842 307191799 EFN75237 118780497 XP_310190 3 AGAP009506 116131103 EAA05903 321469660 EFX80639 DAPPUDRAFT_303829 312385050 EFR29636 AND_01234 307177159 EFN66392 157116667 XP_001652825 108876348 EAT40573 242006952 XP_002424306 212507706 EEB11568</t>
  </si>
  <si>
    <t xml:space="preserve">WD REPEAT SMALL NUCLEAR RIBONUCLEOPROTEIN KDA LIKE CONTAINING PA HYPOTHETICAL </t>
  </si>
  <si>
    <t>sp|Q96DI7|SNR40_HUMAN</t>
  </si>
  <si>
    <t>Q96DI7 SNR40_HUMAN U5 40 SNRNP40 1 Q2HJH6 SNR40_BOVIN 2 Q6PE01 SNR40_MOUSE Q5RF51 SNR40_PONAB Q55AR8 SNR40_DICDI 3 Q8BG40 KTNB1_MOUSE P80 WD40 B1 KATNB1 Q9BVA0 KTNB1_HUMAN Q5ZIU8 KTNB1_CHICK Q6NVM2 KTNB1_XENTR Q4V7Y7 KTNB1_XENLA</t>
  </si>
  <si>
    <t xml:space="preserve">SMALL NUCLEAR RIBONUCLEOPROTEIN KDA OS HOMO SAPIENS GN PE SV BOS TAURUS MUS MUSCULUS PONGO ABELII DICTYOSTELIUM DISCOIDEUM KATANIN CONTAINING SUBUNIT GALLUS XENOPUS TROPICALIS LAEVIS </t>
  </si>
  <si>
    <t>small nuclear ribonucleoprotein 40 (U5) - Rattus norvegicus - nucleus - cytoplasm - RNA splicing - catalytic step 2 spliceosome - nucleolus</t>
  </si>
  <si>
    <t>WD40 4e-012| COG2319 7e-008| WD40 8e-007| WD40 8e-007| PTZ00420 0.024| PLN00181 | DUF3533 | Rnase_HI_RT_non_LTR | PTZ00287 | ileS |</t>
  </si>
  <si>
    <t>124487958 ABN12062 1 2 242015834 XP_002428552 212513186 EEB15814 332018513 EGI59103 112983010 NP_001037593 103058022 ABF71565 281371488 NP_001163865 122096234 Q1HPK6 EF2_BOMMO 95103088 ABF51485 334855073 AEH16569 156550530 XP_001602460 307170298 EFN62653 195438559 XP_002067204 GK24869 194163289 EDW78190 28627569 AAL83698 307192568 EFN75756</t>
  </si>
  <si>
    <t xml:space="preserve">TRANSLATION ELONGATION FACTOR ISOFORM FULL SHORT EF SIMILAR TO </t>
  </si>
  <si>
    <t>sp|Q1HPK6|EF2_BOMMO</t>
  </si>
  <si>
    <t>Q1HPK6 EF2_BOMMO 2 TEF2 1 P13060 EF2_DROME EF2B 4 Q90705 EF2_CHICK EEF2 3 P05197 EF2_RAT Q5R8Z3 EF2_PONAB P58252 EF2_MOUSE P13639 EF2_HUMAN A0SXL6 EF2_CALJA Q3SYU2 EF2_BOVIN P29691 EF2_CAEEL</t>
  </si>
  <si>
    <t xml:space="preserve">TRANSLATION ELONGATION FACTOR OS BOMBYX MORI GN PE SV DROSOPHILA MELANOGASTER GALLUS RATTUS NORVEGICUS PONGO ABELII MUS MUSCULUS HOMO SAPIENS CALLITHRIX JACCHUS BOS TAURUS CAENORHABDITIS ELEGANS EEF </t>
  </si>
  <si>
    <t>Translation elongation factor 2 - Bombyx mori - molecular_function - cellular_component - biological_process</t>
  </si>
  <si>
    <t>PTZ00416 7e-080| PLN00116 2e-077| eEF2_snRNP_like_C 2e-038| FusA 2e-034| PRK07560 1e-031| eEF2_C_snRNP 4e-027| Elongation_Factor_C 2e-025| EFG_C 4e-024| EFG_C 2e-020| aEF-2 7e-019|</t>
  </si>
  <si>
    <t>312105679 XP_003150557 1 LOAG_15015 307754278 EFO13512 297302693 XP_002806043 LOC100425147 296194950 XP_002745185 LOC100389613 297676974 XP_002816392 LOC100443621 332824668 XP_003311467 LOC100612388 332818067 XP_003310085 LOC100609642 307195411 EFN77297 EAI_14424 326670278 XP_001333514 4 1F 309272726 XP_003085590 LOC100503059 296219077 XP_002755724 LOC100399597</t>
  </si>
  <si>
    <t xml:space="preserve">HYPOTHETICAL PARTIAL VOLTAGE DEPENDENT L TYPE CALCIUM CHANNEL SUBUNIT ALPHA LIKE </t>
  </si>
  <si>
    <t>sp|O60840|CAC1F_HUMAN</t>
  </si>
  <si>
    <t>O60840 CAC1F_HUMAN 1F CACNA1F 1 2 P15381 CAC1C_RABIT 1C CACNA1C Q01815 CAC1C_MOUSE Q13936 CAC1C_HUMAN 4 P24603 Q9JIS7 CAC1F_MOUSE Q13698 CAC1S_HUMAN 1S CACNA1S P07293 CAC1S_RABIT Q02789 CAC1S_MOUSE Q24270 CAC1D_DROME ALPHA1D</t>
  </si>
  <si>
    <t xml:space="preserve">VOLTAGE DEPENDENT L TYPE CALCIUM CHANNEL SUBUNIT ALPHA OS HOMO SAPIENS GN PE SV ORYCTOLAGUS CUNICULUS MUS MUSCULUS OPSD_LOLFO RHODOPSIN LOLIGO FORBESI RHO D DROSOPHILA MELANOGASTER CA </t>
  </si>
  <si>
    <t>Oxidored_q1_C | AgrB | ndhF | PHA03100 | DNA_pol_B_3 | PRK09573 | 7TMR-DISM_7TM | PHA03097 | PHA03036 | DUF788 |</t>
  </si>
  <si>
    <t>Hydrogenivirga sp. 128-5-R1-1</t>
  </si>
  <si>
    <t>163785225 ZP_02179900 1 HG1285_04373 159879506 EDP73335 301353230 YP_003795227 PROLAC_050 290573178 ADD46365 124513672 XP_001350192 23615609 CAD52601 68644496 CAI34757 68642903 CAI33230 68644555 CAI34617 200004057 YP_002221391 S4 198385479 ACH86072 124513690 XP_001350201 23615618 CAD52610 168490728 ZP_02714871 68642957 CAI33282 183574943 EDT95471 68642930 CAI33256 221058739 XP_002260015 193810088 CAQ41282</t>
  </si>
  <si>
    <t xml:space="preserve">HYPOTHETICAL CONSERVED PLASMODIUM UNKNOWN FUNCTION FLIPPASE WZX RIBOSOMAL MEMBRANE IN SPECIES </t>
  </si>
  <si>
    <t>sp|Q6CP76|ATM_KLULA</t>
  </si>
  <si>
    <t>Q6CP76 TEL1 8585 2359 70799 1267 1140 WM37 3 1 Q8D2G3 A4QL68 NU5C_DRANE 5 Q2EEX2 P29467 MEI4_YEAST MEI4 204508 S288C 2 Q641A2 EFR3A_XENLA EFR3 EFR3A Q25802 RPOC2_PLAFA RPOC2 P81230 YC4B_METJA MJ1249 43067 2661 10045 100440 4 Q95DQ5 Q70D38</t>
  </si>
  <si>
    <t xml:space="preserve">ATM_KLULA SERINE THREONINE KINASE OS KLUYVEROMYCES LACTIS STRAIN ATCC CBS DSM NBRC NRRL Y GN PE SV EFTS_WIGBR ELONGATION FACTOR TS WIGGLESWORTHIA GLOSSINIDIA BREVIPALPIS TSF NAD P H QUINONE OXIDOREDUCTASE SUBUNIT CHLOROPLASTIC DRABA NEMOROSA NDHF RPOB_HELSJ DNA DIRECTED RNA POLYMERASE BETA HELICOSPORIDIUM SUBSP SIMULIUM JONESII RPOB MEIOSIS SPECIFIC SACCHAROMYCES CEREVISIAE HOMOLOG A XENOPUS LAEVIS PLASMODIUM FALCIPARUM UNCHARACTERIZED METHANOCALDOCOCCUS JANNASCHII JAL JCM MATK_NICGU MATURASE K NICOTIANA GLUTINOSA MATK MATK_NICAC ACUMINATA </t>
  </si>
  <si>
    <t>ND2 0.009| ATP6 0.085| ND5 | LcnDR2 | COX2 | COX1 | COG4713 | MpPF26 | COX2 | Gpi1 |</t>
  </si>
  <si>
    <t>307184541 EFN70906 1 193704626 XP_001947820 2 340723822 XP_003400287 340723824 XP_003400288 332019259 EGI59768 322792013 EFZ16118 SINV_05747 307196973 EFN78348 156545922 XP_001599003 95102918 ABF51400 6 66522386 XP_391961 53148459 BAD52257</t>
  </si>
  <si>
    <t xml:space="preserve">TROPOMYOSIN LIKE ISOFORM HYPOTHETICAL SIMILAR TO I </t>
  </si>
  <si>
    <t>sp|Q1HPU0|TPM1_BOMMO</t>
  </si>
  <si>
    <t>Q1HPU0 TPM1_BOMMO 1 Q8T380 2 Q9NFZ4 Q23939 O18416 P15846 Q22866 TPM1_CAEEL 11 A1KYZ2 TM1 O61379 Q25456</t>
  </si>
  <si>
    <t xml:space="preserve">TROPOMYOSIN OS BOMBYX MORI PE SV TPM_LEPSA LEPISMA SACCHARINA TPM_LEPDS LEPIDOGLYPHUS DESTRUCTOR TPM_DERFA DERMATOPHAGOIDES FARINAE TPM_DERPT PTERONYSSINUS TPMM_TRICO MUSCLE TRICHOSTRONGYLUS COLUBRIFORMIS ISOFORMS A B D F CAENORHABDITIS ELEGANS GN LEV TPM_PENMO PENAEUS MONODON TPM_PANST PANULIRUS STIMPSONI TPM_METEN METAPENAEUS ENSIS </t>
  </si>
  <si>
    <t>Tropomyosin-1 - Bombyx mori - molecular_function - cellular_component - biological_process</t>
  </si>
  <si>
    <t>Tropomyosin 4e-022| DUF3166 0.004| SMC_prok_A 0.035| PRK03992 0.035| PRK03918 0.042| Smc 0.069| F-BAR_PACSIN 0.071| PRK05658 0.092| PHA03065 0.097| 46 0.099|</t>
  </si>
  <si>
    <t>Arabidopsis lyrata subsp. lyrata</t>
  </si>
  <si>
    <t>297833100 XP_002884432 1 ARALYDRAFT_477682 297330272 EFH60691 6721164 AAF26792 AC016829_16 15982830 AAL09762 AT3G04210 T6K12_17 18396805 NP_566223 23506105 AAN28912 332640532 AEE74053 317487914 ZP_07946506 316913040 EFV34557 219119181 XP_002180357 217408614 EEC48548 227438223 ACP30601 226366590 YP_002784373 226245080 BAH55428 334183667 NP_001185325 332196312 AEE34433 302866940 YP_003835577 302569799 ADL46001</t>
  </si>
  <si>
    <t xml:space="preserve">HYPOTHETICAL DISEASE RESISTANCE TIR NBS CLASS GLYCOSYL TRANSFERASE GROUP ACYL COA DEHYDROGENASE LRR BETA KETOACYL SYNTHASE </t>
  </si>
  <si>
    <t>sp|Q9FL92|WRK16_ARATH</t>
  </si>
  <si>
    <t>Q9FL92 WRK16_ARATH 16 WRKY16 2 1 Q6CRV3 PFA5_KLULA PFA5 8585 2359 70799 1267 1140 WM37 3 P22708 TRAD2_ECOLX 4 O82500 Y4117_ARATH AT4G11170 Q9RXP0 O86132 13 14580 Q03NY9 367 1170 Q93PM7 A4QCW6 Q96255 AT4G35630</t>
  </si>
  <si>
    <t xml:space="preserve">PROBABLE WRKY TRANSCRIPTION FACTOR OS ARABIDOPSIS THALIANA GN PE SV PALMITOYLTRANSFERASE KLUYVEROMYCES LACTIS STRAIN ATCC CBS DSM NBRC NRRL Y TRAD ESCHERICHIA COLI DISEASE RESISTANCE RNZ_DEIRA RIBONUCLEASE Z DEINOCOCCUS RADIODURANS RNZ OTCC_BACLD ORNITHINE CARBAMOYLTRANSFERASE CATABOLIC BACILLUS LICHENIFORMIS ARCB OTC_LACBA LACTOBACILLUS BREVIS JCM GLYA_CORGL SERINE HYDROXYMETHYLTRANSFERASE CORYNEBACTERIUM GLUTAMICUM GLYA GLYA_CORGB R SERC_ARATH PHOSPHOSERINE AMINOTRANSFERASE CHLOROPLASTIC </t>
  </si>
  <si>
    <t>ACT_ACR_2 | PLN02452 | GT1_wbaZ_like | putA | PLN03210 | MATH_TRAF1 | PLN02707 | PRK06456 | GMPK | zf-DNA_Pol |</t>
  </si>
  <si>
    <t>329564877 AEB91977 1 5 329564881 AEB91979 7 329564875 AEB91976 4 307196533 EFN78063 289177006 NP_001165920 S3 329564871 AEB91974 2 322788738 EFZ14331 SINV_80623 289063447 NP_001165918 S2 289177004 NP_001165919 144952780 ABP04044 312382196 EFR27737 AND_05218</t>
  </si>
  <si>
    <t xml:space="preserve">GLUTATHIONE S TRANSFERASE SIGMA HYPOTHETICAL BLA G VARIANT ALLERGEN </t>
  </si>
  <si>
    <t>sp|O18598|GST1_BLAGE</t>
  </si>
  <si>
    <t>O18598 GST1_BLAGE 1 3 P46428 GSTS1 2 4 P91253 GST7_CAEEL 7 P41043 GST1_DROME S1 P91254 GST8_CAEEL 8 P46437 O35543 P46436 GST1_ASCSU GST1 Q9JHF7 Q21743 GST9_CAEEL 9</t>
  </si>
  <si>
    <t xml:space="preserve">GLUTATHIONE S TRANSFERASE OS BLATTELLA GERMANICA PE SV GST_ANOGA ANOPHELES GAMBIAE GN PROBABLE CAENORHABDITIS ELEGANS GST DROSOPHILA MELANOGASTER GST_MUSDO MUSCA DOMESTICA HPGDS_RAT HEMATOPOIETIC PROSTAGLANDIN D SYNTHASE RATTUS NORVEGICUS HPGDS ASCARIS SUUM HPGDS_MOUSE MUS MUSCULUS </t>
  </si>
  <si>
    <t>Probable glutathione S-transferase 7 - Caenorhabditis elegans - protein binding - cellular_component - biological_process</t>
  </si>
  <si>
    <t>GST_N 3e-007| GST_N_Sigma_like 4e-007| GST_N_family 0.001| GST_N_Mu 0.002| PTZ00057 0.004| GST_N_Pi 0.006| GST_N_Phi 0.015| GST_N_GTT1_like 0.058| GST_N_4 0.058| GST_N_Alpha 0.065|</t>
  </si>
  <si>
    <t>124806958 XP_001350874 1 23497003 AAN36554 340507287 EGR33275 118388712 XP_001027452 89309222 EAS07210 66803859 XP_635752 DDB_G0290435 60464071 EAL62233 317470490 ZP_07929878 316902005 EFV23931 167745756 ZP_02417883 ANACAC_00449 167654787 EDR98916 68066994 XP_675468 56494672 CAH96077 14530178 CAC42230 70936631 XP_739234 56516076 CAH81227 262277310 ZP_06055103 262224413 EEY74872</t>
  </si>
  <si>
    <t xml:space="preserve">CONSERVED PLASMODIUM MEMBRANE KINASE DOMAIN CYCLIC NUCLEOTIDE BINDING CONTAINING HYPOTHETICAL PHOSPHOESTERASE KRUEPPEL LIKE PHOSPHOGLYCEROL TRANSFERASE I </t>
  </si>
  <si>
    <t>sp|Q4MY95|RPOB_THEPA</t>
  </si>
  <si>
    <t>Theileria parva</t>
  </si>
  <si>
    <t>Q4MY95 3 1 B0FXQ5 2 B4F7L9 Q6NRC9 LRCC1_XENLA LRRCC1 Q8D2E8 Q54PV9 DJC11_DICDI 11 DNAJC11 Q9PQV5 B1AIH6 RPOC_UREP2 27815 27 11736 Q37381 NU1M_ACACA ND1 O01346 4</t>
  </si>
  <si>
    <t xml:space="preserve">RPOB_THEPA DNA DIRECTED RNA POLYMERASE SUBUNIT BETA OS THEILERIA PARVA GN RPOB PE SV WDY_DROAN WD REPEAT CONTAINING ON Y CHROMOSOME DROSOPHILA ANANASSAE WDY WDY_DROME MELANOGASTER LEUCINE RICH COILED COIL DOMAIN XENOPUS LAEVIS KGUA_WIGBR GUANYLATE KINASE WIGGLESWORTHIA GLOSSINIDIA BREVIPALPIS GMK DNAJ HOMOLOG SUBFAMILY C MEMBER DICTYOSTELIUM DISCOIDEUM RPOC_UREPA UREAPLASMA PARVUM RPOC SEROVAR STRAIN ATCC NCTC NADH UBIQUINONE OXIDOREDUCTASE CHAIN ACANTHAMOEBA CASTELLANII EGH_DROME MANNOSYLTRANSFERASE EGH </t>
  </si>
  <si>
    <t>ND2 0.004| PHA03087 0.023| COG4267 0.029| ND4 0.030| ND5 | ND6 | DUF1157 | 7TM_GPCR_Srx | ULP1 | ndhA |</t>
  </si>
  <si>
    <t>193676548 XP_001948360 1 LOC100169340 340718339 XP_003397626 LOC100645878 48132776 XP_396702 LOC413256 307169788 EFN62330 EAG_15405 322797983 EFZ19827 SINV_00221 332018879 EGI59428 G5I_12415 91079482 XP_968199 AGAP002316 270004412 EFA00860 TCASGA2_TC003763 307197573 EFN78784 EAI_13083 156551800 XP_001603673 242020529 XP_002430705 212515895 EEB17967</t>
  </si>
  <si>
    <t xml:space="preserve">HYPOTHETICAL ISOFORM SIMILAR TO PA CONSERVED </t>
  </si>
  <si>
    <t>sp|C0ZLE1|DNAA_RHOE4</t>
  </si>
  <si>
    <t>Rhodococcus erythropolis (strain PR4 / NBRC 100887)</t>
  </si>
  <si>
    <t>C0ZLE1 DNAA_RHOE4 PR4 100887 3 1 Q9HCK1 ZDBF2_HUMAN DBF4 2 ZDBF2 Q58112 Y701_METJA MJ0701 43067 2661 10045 100440 4 P00471 TYSY_BPT4 T4 A2QAB5 ROK1_ASPNC ROK1 513 88 A1513 Q66PJ3 AR6P4_HUMAN 6 ARL6IP4 C0LGF5 Y1341_ARATH AT1G34110 O15439 MRP4_HUMAN ABCC4 Q80WC3 TNC18_MOUSE 18 TNRC18 A7TH24 NUR1_VANPO 22028 70294 NUR1</t>
  </si>
  <si>
    <t xml:space="preserve">CHROMOSOMAL REPLICATION INITIATOR DNAA OS RHODOCOCCUS ERYTHROPOLIS STRAIN NBRC GN PE SV TYPE ZINC FINGER CONTAINING HOMO SAPIENS UNCHARACTERIZED METHANOCALDOCOCCUS JANNASCHII ATCC DSM JAL JCM THYMIDYLATE SYNTHASE ENTEROBACTERIA PHAGE TD ATP DEPENDENT RNA HELICASE ASPERGILLUS NIGER CBS FGSC ADP RIBOSYLATION FACTOR LIKE INTERACTING PROBABLE LRR RECEPTOR SERINE THREONINE KINASE ARABIDOPSIS THALIANA MULTIDRUG RESISTANCE ASSOCIATED TRINUCLEOTIDE REPEAT GENE MUS MUSCULUS NUCLEAR RIM VANDERWALTOZYMA POLYSPORA </t>
  </si>
  <si>
    <t>neyo - Drosophila melanogaster - regulation of embryonic cell shape</t>
  </si>
  <si>
    <t>SCAMP 0.028| Herpes_glycop | bacteriocin_ABC | ND5 | ND4 | DUF3671 | GpcrRhopsn4 | ND2 | GT1_ALG1_like | LTA_dltB |</t>
  </si>
  <si>
    <t>156548458 XP_001605165 1 156540942 XP_001599975 AA1 156545886 XP_001606639 156541724 XP_001600610 255088395 XP_002506120 226521391 ACO67378 2290213 AAB65093 2708267 AAB92394 156541172 XP_001599048 258570659 XP_002544133 237904403 EEP78804 322501871 CBZ36954</t>
  </si>
  <si>
    <t xml:space="preserve">SIMILAR TO MYOSIN RHOGAP MYR LIAN RETROTRANSPOSON LACHESIN REVERSE TRANSCRIPTASE ANTHRANILATE SYNTHASE COMPONENT II UNNAMED PRODUCT </t>
  </si>
  <si>
    <t>sp|O55233|CER1_MOUSE</t>
  </si>
  <si>
    <t>O55233 CER1_MOUSE CER1 1 Q7XUU0 CSLH3_ORYSJ H3 CSLH3 3 B0T8F3 K31 Q9RRX5 P54760 EPHB4_HUMAN 4 EPHB4 2 Q123D5 BPRO_4470 JS666 500 A6QNX5 K2C78_BOVIN 78 KRT78 Q54KR5 ELOF1_DICDI ELOF1 Q9A434 B8H332 NA1000 CB15N</t>
  </si>
  <si>
    <t xml:space="preserve">CERBERUS OS MUS MUSCULUS GN PE SV CELLULOSE SYNTHASE LIKE ORYZA SATIVA SUBSP JAPONICA AROB_CAUSK DEHYDROQUINATE CAULOBACTER STRAIN AROB SYFB_DEIRA PHENYLALANYL TRNA SYNTHETASE BETA CHAIN DEINOCOCCUS RADIODURANS PHET EPHRIN TYPE B RECEPTOR HOMO SAPIENS CAAL_POLSJ CARBOXYLATE AMINE LIGASE POLAROMONAS ATCC BAA KERATIN II CYTOSKELETAL BOS TAURUS TRANSCRIPTION ELONGATION FACTOR HOMOLOG DICTYOSTELIUM DISCOIDEUM AROB_CAUCR CRESCENTUS AROB_CAUCN </t>
  </si>
  <si>
    <t>arabinose_DH_like | DUF2085 | Polyketide_cyc | BAR_SH3BP1 | Zn_ADH5 | Hanta_G2 | mycothione_red | MtrC | Med12-LCEWAV | flgA |</t>
  </si>
  <si>
    <t>Rickettsia prowazekii Rp22</t>
  </si>
  <si>
    <t>15604470 NP_220988 1 RP621 3861164 CAA15064 292572246 ADE30161 67458807 YP_246431 67004340 AAY61266 256842315 ZP_05547819 256736199 EEU49529 51473801 YP_067558 51460113 AAU04076 341584148 YP_004764639 340808373 AEK74961 239948256 ZP_04700009 239922532 EER22556 238651076 YP_002916934 238625174 ACR47880 165933542 YP_001650331 165908629 ABY72925 122696686 CAL23152 19 163716740 ABY40594 15892887 NP_360601 34581411 ZP_00142891 229586970 YP_002845471 15620076 AAL03502 28262796 EAA26300 228022020 ACP53728</t>
  </si>
  <si>
    <t xml:space="preserve">HYPOTHETICAL UNKNOWN ZINC MANGANESE ABC TRANSPORTER PERMEASE HIGH AFFINITY UPTAKE SYSTEM MEMBRANE GUSTATORY RECEPTOR CANDIDATE </t>
  </si>
  <si>
    <t>sp|Q00275|ATP6_APILI</t>
  </si>
  <si>
    <t>Q00275 ATP6_APILI ATP6 3 1 P24499 ATP6_TRYBB 2 C4K8M7 PLSB_HAMD5 5AT Q4FLQ2 HTCC1062 Q8MA04 Q25802 RPOC2_PLAFA RPOC2 P50641 RRL_HHV7J U28 7 Q32RL3 A1CU77 ATG9_ASPCL 9 1007 513 65 816 3887 ATG9 Q58984 Y1589_METJA MJ1589 43067 2661 10045 100440 4</t>
  </si>
  <si>
    <t xml:space="preserve">ATP SYNTHASE SUBUNIT A OS APIS MELLIFERA LIGUSTICA GN PE SV TRYPANOSOMA BRUCEI GLYCEROL PHOSPHATE ACYLTRANSFERASE HAMILTONELLA DEFENSA SUBSP ACYRTHOSIPHON PISUM STRAIN PLSB PLSY_PELUB PELAGIBACTER UBIQUE PLSY MATK_CHAGL MATURASE K CHAETOSPHAERIDIUM GLOBOSUM MATK DNA DIRECTED RNA POLYMERASE BETA PLASMODIUM FALCIPARUM RIBONUCLEOSIDE DIPHOSPHATE REDUCTASE LARGE LIKE HUMAN HERPESVIRUS JI MATK_ZYGCR ZYGNEMA CIRCUMCARINATUM AUTOPHAGY RELATED ASPERGILLUS CLAVATUS ATCC CBS DSM NCTC NRRL UNCHARACTERIZED METHANOCALDOCOCCUS JANNASCHII JAL JCM NBRC </t>
  </si>
  <si>
    <t>Ion_trans 2e-004| TRAM_LAG1_CLN8 0.006| ND6 0.009| ND5 0.012| ND5 0.023| 7tm_7 0.083| PRK09609 0.084| ND4 | ND4 | ND2 |</t>
  </si>
  <si>
    <t>Arthroderma benhamiae CBS 112371</t>
  </si>
  <si>
    <t>302509272 XP_003016596 1 291180166 EFE35951 332810327 XP_001172794 2 57546919 FAA00004 40795897 AAR91619 57864582 NP_001009931 45476906 Q86YZ3 55665870 CAH70026 340967041 EGS22548 CTHT_0020930 187471178 Q2VIS4 FILA2_MOUSE 84370015 NP_001013826 74096730 AAZ99028 329946861 ZP_08294273 328526672 EGF53685 254281814 ZP_04956782 NOR51B_303 219678017 EED34366</t>
  </si>
  <si>
    <t xml:space="preserve">CONSERVED HYPOTHETICAL HORNERIN ISOFORM TPD TPA PRECURSOR HORN_HUMAN FULL FILAGGRIN SHORT FLG ALTNAME INTERMEDIATE FILAMENT ASSOCIATED DOMAIN </t>
  </si>
  <si>
    <t>sp|Q86YZ3|HORN_HUMAN</t>
  </si>
  <si>
    <t>Q86YZ3 1 2 Q2VIS4 FILA2_MOUSE FLG2 Q6NYV9 LEO1_DANRE LEO1 Q28EG9 ZMAT1_XENTR ZMAT1 A6RY31 DHH1_BOTFB DHH1 B05 10 3 Q8NDV7 TNR6A_HUMAN 6A TNRC6A Q8L7S8 RH3_ARATH RH3 Q15378 RBY1H_HUMAN RBMY1H 5 A6NEQ0 RBY1E_HUMAN RBMY1E P0C7P1 RBY1D_HUMAN RBMY1D</t>
  </si>
  <si>
    <t xml:space="preserve">HORN_HUMAN HORNERIN OS HOMO SAPIENS GN HRNR PE SV FILAGGRIN MUS MUSCULUS RNA POLYMERASE ASSOCIATED DANIO RERIO ZINC FINGER MATRIN TYPE XENOPUS TROPICALIS ATP DEPENDENT HELICASE BOTRYOTINIA FUCKELIANA STRAIN TRINUCLEOTIDE REPEAT CONTAINING GENE DEAD BOX CHLOROPLASTIC ARABIDOPSIS THALIANA BINDING MOTIF Y CHROMOSOME FAMILY MEMBER H E D </t>
  </si>
  <si>
    <t>Tubulin | Peptidase_M44 | PhnE | 7TM_GPCR_Srx | ND5 | flhA | PHA03368 | PTZ00440 | ND4 | PRK07093 |</t>
  </si>
  <si>
    <t>61661397 AAX51290 1 175 327241416 AEA40523 327241412 AEA40521 327241422 AEA40526 327241402 AEA40516 327241400 AEA40515 327241382 AEA40506 224755279 ACN62271 224755265 ACN62264 72004163 AAZ65967 72004137 AAZ65954 72004197 AAZ65984</t>
  </si>
  <si>
    <t xml:space="preserve">EBA ERYTHROCYTE BINDING ANTIGEN </t>
  </si>
  <si>
    <t>sp|P19214|EBA1_PLAFC</t>
  </si>
  <si>
    <t>Plasmodium falciparum (isolate Camp / Malaysia)</t>
  </si>
  <si>
    <t>P19214 EBA1_PLAFC 175 1 2 P80020 FABP6_RAT FABP6 3 Q6P9P6 KIF11_MOUSE KIF11 P51162 FABP6_MOUSE Q8R2V3 ZN445_MOUSE 445 ZNF445 Q28HK1 B9TQX1 Q9VQC4 Q54ZX8 Y7331_DICDI DDB_G0277331 Q6NWB6</t>
  </si>
  <si>
    <t xml:space="preserve">ERYTHROCYTE BINDING ANTIGEN OS PLASMODIUM FALCIPARUM ISOLATE CAMP MALAYSIA PE SV GASTROTROPIN RATTUS NORVEGICUS GN KINESIN LIKE MUS MUSCULUS ZINC FINGER UCMA_XENTR UNIQUE CARTILAGE MATRIX ASSOCIATED XENOPUS TROPICALIS UCMA UCMA_ACINA ACIPENSER NACCARII GLCTK_DROME GLYCERATE KINASE DROSOPHILA MELANOGASTER GLYCTK SET MYND DOMAIN CONTAINING DICTYOSTELIUM DISCOIDEUM UCMA_DANRE DANIO RERIO </t>
  </si>
  <si>
    <t>ND4 8e-004| ND2 0.009| 7TM_GPCR_Srz 0.010| DUF3671 0.017| ND5 0.020| DUF2154 0.036| PRA1 0.044| PIG-U 0.044| NDH_I_N 0.062| DUF975 0.067|</t>
  </si>
  <si>
    <t>Borrelia turicatae 91E135</t>
  </si>
  <si>
    <t>119953320 YP_945529 1 BT0536A 119862091 AAX17859 299831741 ADJ55954 P97 340514422 EGR44685 340507300 EGR33287 IMG5_057100 258597752 XP_001348478 2 255528828 AAN36917 123438841 XP_001310198 121891958 EAX97268 221053153 XP_002257951 193807783 CAQ38488 118384163 XP_001025234 PRP38 89307001 EAS04989 16130284 NP_416853 53 KPLE1 170081967 YP_001731287 238901524 YP_002927320 14195553 P76507 1788693 AAC75411 85675368 BAE76694 169889802 ACB03509 238860657 ACR62655 260448557 ACX38979 ECDH1_1306 315136986 BAJ44145 213409515 XP_002175528 SJAG_04420 212003575 EEB09235</t>
  </si>
  <si>
    <t xml:space="preserve">HYPOTHETICAL LIKE CONSERVED PLASMODIUM UNKNOWN FUNCTION DHHC ZINC FINGER DOMAIN CONTAINING IN SPECIES FAMILY SEROTYPE SPECIFIC GLUCOSYL TRANSFERASE CPS PROPHAGE INNER MEMBRANE YFDI_ECOLI FULL UNCHARACTERIZED YFDI </t>
  </si>
  <si>
    <t>sp|P76507|YFDI_ECOLI</t>
  </si>
  <si>
    <t>P76507 K12 4 1 P30319 3 P58145 Q8IC19 YPF13_PLAF7 PF07_0021 3D7 P48935 C560_CYACA B560 SDH3 Q8DZQ5 PYRB_STRA5 Q8E5F3 PYRB_STRA3 Q3K148 PYRB_STRA1 Q5Y5T1 ZDH20_MOUSE ZDHHC20 2 Q7YS44 FMO3_PANTR FMO3</t>
  </si>
  <si>
    <t xml:space="preserve">YFDI_ECOLI UNCHARACTERIZED YFDI OS ESCHERICHIA COLI STRAIN GN PE SV DPOL_CBEPV DNA POLYMERASE CHORISTONEURA BIENNIS ENTOMOPOXVIRUS POL ROAA_ASTLO RIBOSOMAL OPERON ASSOCIATED A ASTASIA LONGA ROAA PLASMODIUM FALCIPARUM ISOLATE SUCCINATE DEHYDROGENASE CYTOCHROME SUBUNIT CYANIDIUM CALDARIUM ASPARTATE CARBAMOYLTRANSFERASE STREPTOCOCCUS AGALACTIAE SEROTYPE V PYRB III IA PROBABLE PALMITOYLTRANSFERASE MUS MUSCULUS DIMETHYLANILINE MONOOXYGENASE PAN TROGLODYTES </t>
  </si>
  <si>
    <t>polC | ERD2 | urate_oxi | ND2 | FMO-like | COG1565 | WAC_Acf1_DNA_bd | ycf2 | PTKc_Csk_like | PRTP |</t>
  </si>
  <si>
    <t>198453726 XP_001359318 2 GA20032 198132483 EAL28463 195570798 XP_002103391 1 GD20391 194199318 EDX12894 195501476 XP_002097812 GE26420 194183913 EDW97524 195328879 XP_002031139 GM25815 194120082 EDW42125 195152369 XP_002017109 GL21699 194112166 EDW34209 194900882 XP_001979984 GG20979 190651687 EDV48942 194742130 XP_001953559 GF17170 190626596 EDV42120 21357837 NP_650407 S5B 55584099 Q9VFE4 RS5B_DROME 40S 7299942 AAF55116 17945411 AAL48760 RE17836P 220948108 ACL86597 RPS5B 220957354 ACL91220 334349312 XP_001371286 S5 332256476 XP_003277344</t>
  </si>
  <si>
    <t xml:space="preserve">RIBOSOMAL FULL PA LIKE </t>
  </si>
  <si>
    <t>sp|Q9VFE4|RS5B_DROME</t>
  </si>
  <si>
    <t>Q9VFE4 RS5B_DROME 40S S5B RPS5B 2 1 P46782 RS5_HUMAN S5 RPS5 4 Q5E988 RS5_BOVIN 3 Q24186 RS5A_DROME S5A RPS5A P49041 RS5_CAEEL 5 P24050 RS5_RAT P97461 RS5_MOUSE Q08364 RS5_PODCA P51427 RS52_ARATH Q9ZUT9 RS51_ARATH</t>
  </si>
  <si>
    <t xml:space="preserve">RIBOSOMAL OS DROSOPHILA MELANOGASTER GN PE SV HOMO SAPIENS BOS TAURUS CAENORHABDITIS ELEGANS RPS RATTUS NORVEGICUS MUS MUSCULUS PODOCORYNE CARNEA ARABIDOPSIS THALIANA </t>
  </si>
  <si>
    <t>Ribosomal protein S5b - Drosophila melanogaster - cytosolic small ribosomal subunit - translation - structural constituent of ribosome - RNA binding - lipid particle - microtubule associated complex</t>
  </si>
  <si>
    <t>PTZ00091 1e-025| S7_S5_E_A 5e-023| PRK04027 3e-018| Ribosomal_S7 7e-014| RpsG 5e-011| PRK05302 3e-007| rpsG_bact 4e-006| rps7 4e-006| ESP1 0.090| PH_RasGAP_CG5898 |</t>
  </si>
  <si>
    <t>Radopholus similis</t>
  </si>
  <si>
    <t>170791254 ACB38289 1 4 157411571 ABV54447 GHF5 118786534 XP_315481 3 AGAP005479 116126369 EAA11184 327272958 XP_003221251 277 330800301 XP_003288176 DICPUDRAFT_152383 325081806 EGC35309</t>
  </si>
  <si>
    <t xml:space="preserve">BETA ENDOGLUCANASE PRECURSOR ENDO GLUCANASE PA ZINC FINGER LIKE HYPOTHETICAL </t>
  </si>
  <si>
    <t>sp|Q56NH2|BPTA2_BORGA</t>
  </si>
  <si>
    <t>Borrelia garinii</t>
  </si>
  <si>
    <t>Q56NH2 BPTA2_BORGA 3 1 Q7XM31 RDR2_ORYSJ 2 RDR2 Q8DPR7 ADDB_STRR6 255 R6 B2IPX4 CGSP14 Q97QQ0 B8ZQ31 700669 23F B1IBR5 HUNGARY19A 6 B5E4P4 ADDB_STRP4 19F G54 Q04KF9 ADDB_STRP2 D39 7466 Q9NRM2 ZN277_HUMAN 277 ZNF277</t>
  </si>
  <si>
    <t xml:space="preserve">BPTA OS BORRELIA GARINII GN PE SV PROBABLE RNA DEPENDENT POLYMERASE ORYZA SATIVA SUBSP JAPONICA ATP HELICASE DEOXYRIBONUCLEASE SUBUNIT B STREPTOCOCCUS PNEUMONIAE STRAIN ATCC BAA REXB ADDB_STRPS ADDB_STRPN ADDB_STRPJ SPAIN ADDB_STRPI SEROTYPE NCTC ZINC FINGER HOMO SAPIENS </t>
  </si>
  <si>
    <t>BRCA2 | COG5619 | C2B_Synaptotagmin-14_16 | PLN02947 | araD | 17 | COG4353 | HIM1 | RasGAP | PRK12410 |</t>
  </si>
  <si>
    <t>328700383 XP_003241237 1 260809869 XP_002599727 BRAFLDRAFT_247201 229285008 EEN55739 308501188 XP_003112779 CRE_30811 308267347 EFP11300 309361917 CAP29233 2 CBG_09336 268557774 XP_002636877 CBG09336 45382157 NP_990119 417042 P28337 222868 BAA01937 327265707 XP_003217649 17560118 NP_504502 F25B4 1458286 AAB37080 198433859 XP_002125419 291237444 XP_002738645 CG6415</t>
  </si>
  <si>
    <t xml:space="preserve">AMINOMETHYLTRANSFERASE MITOCHONDRIAL LIKE HYPOTHETICAL PRECURSOR GCST_CHICK FULL ALTNAME GLYCINE CLEAVAGE SYSTEM T SHORT GCVT FLAGS SIMILAR TO </t>
  </si>
  <si>
    <t>sp|P28337|GCST_CHICK</t>
  </si>
  <si>
    <t>P28337 2 Q8CFA2 1 P48728 P25285 Q9TSZ7 3 A4FLG1 23338 O14110 38366 972 GCV1 A2C5F7 GCST_PROM1 NATL1A O23936 P49363</t>
  </si>
  <si>
    <t xml:space="preserve">GCST_CHICK AMINOMETHYLTRANSFERASE MITOCHONDRIAL OS GALLUS GN AMT PE SV GCST_MOUSE MUS MUSCULUS GCST_HUMAN HOMO SAPIENS GCST_BOVIN BOS TAURUS GCST_CANFA CANIS FAMILIARIS GCST_SACEN SACCHAROPOLYSPORA ERYTHRAEA STRAIN NRRL GCVT GCST_SCHPO PROBABLE SCHIZOSACCHAROMYCES POMBE ATCC PROCHLOROCOCCUS MARINUS GCST_FLATR FLAVERIA TRINERVIA GDCST GCST_FLAPR PRINGLEI </t>
  </si>
  <si>
    <t>Aminomethyltransferase, mitochondrial - Gallus gallus - aminomethyltransferase activity - cytoplasm - mitochondrion - glycine catabolic process - transaminase activity - transferase activity</t>
  </si>
  <si>
    <t>gcvT 7e-011| GcvT 5e-010| gcvT 2e-009| PLN02319 4e-009| GCV_T_C 9e-009| gcvT 2e-008| CemA 0.016| cemA 0.025| ND2 | TDT_Mae1_like |</t>
  </si>
  <si>
    <t>Candidatus Carsonella ruddii</t>
  </si>
  <si>
    <t>13186346 AAK15387 1 116335011 YP_802506 116235292 BAF35140 330038514 XP_003239618 327206542 AEA38720 219873340 YP_002477481 BGAFAR04_F0034 219694524 ACL35045 340506040 EGR32282 IMG5_089910 307069516 YP_003877993 306482776 ADM89647 160331867 XP_001712640 HAN_3G514 159766089 ABW98315 124805586 XP_001350481 23496604 AAN36161 82753779 XP_727813 23483847 EAA19378 160331055 XP_001712235 HAN_1G65 159765682 ABW97910</t>
  </si>
  <si>
    <t xml:space="preserve">VALYL TRNA SYNTHETASE ALANYL STRUCTURAL MAINTENANCE CHROMOSOMES HYPOTHETICAL EXONUCLEASE I CONSERVED PLASMODIUM </t>
  </si>
  <si>
    <t>sp|O97239|DOP1_PLAF7</t>
  </si>
  <si>
    <t>O97239 DOP1_PLAF7 PFC0245C 3D7 2 1 Q8IBP1 YPF16_PLAF7 PF07_0086 4 P79114 MYO10_BOVIN MYO10 Q3ZJ93 3 Q9HD67 MYO10_HUMAN P36794 VE2_HPV45 E2 45 Q00758 SP5B_BACSU Q6DAM9 Q89AA7 Q54MI8 Y5861_DICDI DDB_G0285949</t>
  </si>
  <si>
    <t xml:space="preserve">DOPEY HOMOLOG OS PLASMODIUM FALCIPARUM ISOLATE GN PE SV UNCHARACTERIZED MYOSIN X BOS TAURUS RPOB_PSEAK DNA DIRECTED RNA POLYMERASE SUBUNIT BETA PSEUDENDOCLONIUM AKINETUM RPOB HOMO SAPIENS REGULATORY HUMAN PAPILLOMAVIRUS TYPE STAGE V SPORULATION B BACILLUS SUBTILIS SPOVB RPOC_ERWCT ERWINIA CAROTOVORA SUBSP ATROSEPTICA RPOC CYOE_BUCBP PROTOHEME IX FARNESYLTRANSFERASE BUCHNERA APHIDICOLA BAIZONGIA PISTACIAE STRAIN BP CYOE TRANSMEMBRANE DICTYOSTELIUM DISCOIDEUM </t>
  </si>
  <si>
    <t>ND5 3e-008| TIGR03766 1e-004| ND2 3e-004| ND5 6e-004| ND5 8e-004| 7TM_GPCR_Srz 0.001| ND2 0.001| ND4 0.002| ND4 0.002| ND5 0.002|</t>
  </si>
  <si>
    <t>58392387 XP_319334 2 AGAP010163 74920963 Q7Q0U1 RL38_ANOGA 60S L38 55236369 EAA13878 332020423 EGI60843 1 307197982 EFN79053 322796963 EFZ19295 SINV_06669 307167472 EFN61045 264667449 ACY71310 213521416 ACJ50594 242013688 XP_002427534 212511936 EEB14796 208657515 ACI30054 194462951 ACF72870 156544536 XP_001607713</t>
  </si>
  <si>
    <t xml:space="preserve">PA FULL RIBOSOMAL HYPOTHETICAL SIMILAR TO </t>
  </si>
  <si>
    <t>sp|Q7Q0U1|RL38_ANOGA</t>
  </si>
  <si>
    <t>Q7Q0U1 RL38_ANOGA 60S L38 RPL38 3 2 Q4GX86 RL38_TIMBA 1 Q962S5 RL38_SPOFR Q6F450 RL38_PLUXY Q56FC8 RL38_LYSTE Q5MGL3 RL38_LONON Q5UAP8 RL38_BOMMO Q1HRT4 RL38_AEDAE A2I469 RL38_MACHI A6N9N3 RL38_ORNPR</t>
  </si>
  <si>
    <t xml:space="preserve">RIBOSOMAL OS ANOPHELES GAMBIAE GN PE SV TIMARCHA BALEARICA SPODOPTERA FRUGIPERDA PLUTELLA XYLOSTELLA LYSIPHLEBUS TESTACEIPES LONOMIA OBLIQUA BOMBYX MORI AEDES AEGYPTI MACONELLICOCCUS HIRSUTUS ORNITHODOROS PARKERI </t>
  </si>
  <si>
    <t>Ribosomal_L38e 0.002| ycf2 | Remorin_C | PRK07377 | FmrO | CTI | rpsP | NT_POLXc | Sas10_Utp3 | DUF2344 |</t>
  </si>
  <si>
    <t>Medicago truncatula</t>
  </si>
  <si>
    <t>87241545 ABD33403 1 MTRDRAFT_AC157777G24V2 304383841 ZP_07366298 HMPREF0658_1754 304334919 EFM01192 241957749 XP_002421594 223644938 CAX40937 325957228 YP_004292640 LAC30SC_07990 325333793 ADZ07701 218264632 ZP_03478404 PRABACTJOHN_04110 218221880 EEC94530 283850928 ZP_06368213 283573574 EFC21549 225464587 XP_002273233 260804809 XP_002597280 BRAFLDRAFT_260896 229282543 EEN53292 145550917 XP_001461136 124428969 CAK93763 327183949 AEA32396 LAB52_07385</t>
  </si>
  <si>
    <t xml:space="preserve">HYPOTHETICAL KARYOPHERIN NUCLEAR PRE TRNA EXPORT PORE CONSERVED UNNAMED PRODUCT </t>
  </si>
  <si>
    <t>sp|Q8WHX4|NU1C_PSINU</t>
  </si>
  <si>
    <t>Psilotum nudum</t>
  </si>
  <si>
    <t>Q8WHX4 NU1C_PSINU 1 3 P32874 HFA1_YEAST 204508 S288C HFA1 2 C8ZF72 HFA1_YEAS8 EC1118 C7GRE4 HFA1_YEAS2 JAY291 B3LM95 HFA1_YEAS1 RM11 1A C6KTD2 HKNMT_PLAF7 PFF1440W 3D7 Q558W4 PKS15_DICDI 15 PKS15 Q9P4X4 SEC17_SCHPO SEC17 38366 972 Q09528 NHR19_CAEEL 19 Q5B7Q7 SPT6_EMENI SPT6</t>
  </si>
  <si>
    <t xml:space="preserve">NAD P H QUINONE OXIDOREDUCTASE SUBUNIT CHLOROPLASTIC OS PSILOTUM NUDUM GN NDHA PE SV ACETYL COA CARBOXYLASE MITOCHONDRIAL SACCHAROMYCES CEREVISIAE STRAIN ATCC LALVIN PRISE DE MOUSSE HISTONE LYSINE N METHYLTRANSFERASE PLASMODIUM FALCIPARUM ISOLATE PROBABLE POLYKETIDE SYNTHASE DICTYOSTELIUM DISCOIDEUM VESICULAR FUSION HOMOLOG SCHIZOSACCHAROMYCES POMBE NUCLEAR HORMONE RECEPTOR FAMILY MEMBER NHR CAENORHABDITIS ELEGANS TRANSCRIPTION ELONGATION FACTOR EMERICELLA NIDULANS </t>
  </si>
  <si>
    <t>GT1_amsD_like | Pat_PNPLA4 | PRK11930 | selB | PHA02151 | BCCT | COG5647 | ND2 | DUF747 | 7TM_GPCR_Sra |</t>
  </si>
  <si>
    <t>307190333 EFN74406 1 EAG_08095 307201474 EFN81251 EAI_03982 270015247 EFA11695 TCASGA2_TC002152 307170405 EFN62709 EAG_00046 307206598 EFN84588 EAI_03912 307209051 EFN86231 EAI_06977 307172203 EFN63727 EAG_00069 307215126 EFN89903 EAI_00956 270012037 EFA08485 TCASGA2_TC006137 270001167 EEZ97614 TCASGA2_TC012948</t>
  </si>
  <si>
    <t>sp|Q1H1K2|GLGB_METFK</t>
  </si>
  <si>
    <t>Methylobacillus flagellatus (strain KT / ATCC 51484 / DSM 6875)</t>
  </si>
  <si>
    <t>Q1H1K2 1 4 51484 6875 3 Q9Y2I7 FYV1_HUMAN 5 O15886 Q83D84 Q21WG7 15236 621 T118 Q9I1W2 A6V628 GLGB_PSEA7 PA7 Q88FN1 KT2440 Q3KD78 PF0 Q4KCQ3 GLGB_PSEF5 477</t>
  </si>
  <si>
    <t xml:space="preserve">GLGB_METFK ALPHA GLUCAN BRANCHING ENZYME OS METHYLOBACILLUS FLAGELLATUS STRAIN KT ATCC DSM GN GLGB PE SV PHOSPHATIDYLINOSITOL PHOSPHATE KINASE HOMO SAPIENS PIKFYVE PHLC_TRYCR VARIANT SURFACE GLYCOPROTEIN PHOSPHOLIPASE C TRYPANOSOMA CRUZI MSBA_COXBU LIPID A EXPORT ATP BINDING PERMEASE MSBA COXIELLA BURNETII GLGB_RHOFD RHODOFERAX FERRIREDUCENS BAA GLGB_PSEAE PSEUDOMONAS AERUGINOSA GLGB_PSEPK PUTIDA GLGB_PSEPF FLUORESCENS PF </t>
  </si>
  <si>
    <t>PLN03180 | sula | GT13_GLCNAC-TI | rpsA | M3B_PepF_4 | PRK09897 | TRM13 | TAF6 | PLDc_vPLD5_2 | PBP_1c |</t>
  </si>
  <si>
    <t>242017820 XP_002429384 1 PHUM_PHUM431290 212514297 EEB16646 332021466 EGI61834 G5I_09955 307211219 EFN87419 EAI_05355 307178245 EFN67030 EAG_04323 91091730 XP_967397 270001070 EEZ97517 TCASGA2_TC011362 322801819 EFZ22396 SINV_01802 162952026 NP_001106140 LOC724886 156505375 ABU68667 194477809 DAA06288 340729072 XP_003402832 LOC100645613 300245015 ADJ94088 EH_GB11211</t>
  </si>
  <si>
    <t xml:space="preserve">HYPOTHETICAL TPG TPA_EXP UNKNOWN </t>
  </si>
  <si>
    <t>sp|Q09733|GEF2_SCHPO</t>
  </si>
  <si>
    <t>Q09733 GEF2_SCHPO GEF2 38366 972 1 Q3UHQ6 DOP2_MOUSE 2 DOPEY2 3 P46893 43588 3639 F1 Q9CPL9 PM70 P93314 M590_ARATH ATMG00590 A8WTM7 NOC2L_CAEBR B6YQT8 MIAA1_AZOPC CFP2 MIAA1 Q02539 H11_HUMAN H1 HIST1H1A O66834 P34849 NU2M_APILI ND2</t>
  </si>
  <si>
    <t xml:space="preserve">RHO GUANINE NUCLEOTIDE EXCHANGE FACTOR OS SCHIZOSACCHAROMYCES POMBE STRAIN ATCC GN PE SV DOPEY MUS MUSCULUS PPSA_STAMF PROBABLE PHOSPHOENOLPYRUVATE SYNTHASE STAPHYLOTHERMUS MARINUS DSM PPSA URAA_PASMU URACIL PERMEASE PASTEURELLA MULTOCIDA URAA UNCHARACTERIZED MITOCHONDRIAL CYTOCHROME B LIKE ARABIDOPSIS THALIANA NUCLEOLAR COMPLEX HOMOLOG CAENORHABDITIS BRIGGSAE PRO TRNA DIMETHYLALLYLTRANSFERASE AZOBACTEROIDES PSEUDOTRICHONYMPHAE GENOMOVAR HISTONE HOMO SAPIENS RECN_AQUAE DNA REPAIR RECN AQUIFEX AEOLICUS NADH UBIQUINONE OXIDOREDUCTASE CHAIN APIS MELLIFERA LIGUSTICA </t>
  </si>
  <si>
    <t>TM_PBP1_transp_TpRbsC_like | COX3 | DUF673 | Toxin_R_bind_N | NadR | NKWYS | activase_YjjW | PRK13298 | PBP1_GPC6A_like | 7TM_GPCR_Srh |</t>
  </si>
  <si>
    <t>270006237 EFA02685 1 TCASGA2_TC008406 189236792 XP_966417 2 332027908 EGI67963 PP1 322801499 EFZ22160 SINV_11664 156538338 XP_001604472 291222500 XP_002731252 291222498 XP_002731251 307194612 EFN76901 307180016 EFN68092 334312457 XP_001380599</t>
  </si>
  <si>
    <t xml:space="preserve">HYPOTHETICAL SIMILAR TO PHOSPHATASE CATALYTIC SUBUNIT BETA ISOFORM SERINE THREONINE LIKE </t>
  </si>
  <si>
    <t>sp|Q5I085|PP1B_XENTR</t>
  </si>
  <si>
    <t>Q5I085 PP1B_XENTR PP1 PPP1CB 2 1 Q6GQL2 PP1B_XENLA P62142 PP1B_RAT 3 P62143 PP1B_RABIT Q5R740 PP1B_PONAB P61292 PP1B_PIG P62141 PP1B_MOUSE P62140 PP1B_HUMAN P62207 PP1B_CHICK Q8MJ47 PP1B_CANFA 4</t>
  </si>
  <si>
    <t xml:space="preserve">SERINE THREONINE PHOSPHATASE BETA CATALYTIC SUBUNIT OS XENOPUS TROPICALIS GN PE SV LAEVIS RATTUS NORVEGICUS ORYCTOLAGUS CUNICULUS PONGO ABELII SUS SCROFA MUS MUSCULUS HOMO SAPIENS GALLUS CANIS FAMILIARIS </t>
  </si>
  <si>
    <t>protein phosphatase 1, catalytic subunit, beta isoform - Rattus norvegicus - protein phosphatase type 1 complex - phosphoprotein phosphatase activity - protein serine/threonine phosphatase activity - protein binding - nucleus - nucleoplasm - nucleolus - cytoplasm - cytosol - carbohydrate metabolic process - glycogen metabolic process - regulation of glycogen biosynthetic process - regulation of glycogen catabolic process - protein dephosphorylation - cell cycle - hydrolase activity - myosin phosphatase activity - glycogen granule - metal ion binding - myosin-light-chain-phosphatase activity - cell division - MLL5-L complex - PTW/PP1 phosphatase complex</t>
  </si>
  <si>
    <t>MPP_PP1_PPKL 6e-043| PTZ00480 4e-033| PP2Ac 8e-026| PTZ00244 3e-023| MPP_PP2A_PP4_PP6 5e-018| PTZ00239 2e-014| MPP_Bsu1_C 3e-012| MPP_PPP_family 5e-011| MPP_PP5_C 8e-011| MPP_PP2B 2e-010|</t>
  </si>
  <si>
    <t>Signal transduction mechanisms, General function prediction only</t>
  </si>
  <si>
    <t>307095144 ADN29878 1 242009791 XP_002425666 C20ORF121 212509559 EEB12928 340721578 XP_003399195 240849065 NP_001155683 239789551 BAH71392 ACYPI006869 156545850 XP_001606350 GA11062 156545848 XP_001606341 RH74717P 321461992 EFX73019 DAPPUDRAFT_200654 321449276 EFX61807 DAPPUDRAFT_338064 307183270 EFN70139 116833185 ABK29505 CG12926</t>
  </si>
  <si>
    <t xml:space="preserve">CRAL TRIO DOMAIN CONTAINING ALPHA TOCOPHEROL TRANSFER LIKE SIMILAR TO PA HYPOTHETICAL </t>
  </si>
  <si>
    <t>sp|Q6MS23|SYC_MYCMS</t>
  </si>
  <si>
    <t>Mycoplasma mycoides subsp. mycoides SC</t>
  </si>
  <si>
    <t>Q6MS23 3 1 P40912 INV1_HANAN INV1 Q9USH8 GLU2B_SCHPO 2 38366 972 GTB1 Q8I7G4 TTC30_CAEEL 30 Q9Z8M5 Q0BQA2 1260 CGDNIH1 Q98LX5 6 P34889 WNT2_CAEEL C0MCV2 KUP_STRS7 H70 B4U1Z7 MGCS10565</t>
  </si>
  <si>
    <t xml:space="preserve">SYC_MYCMS CYSTEINYL TRNA SYNTHETASE OS MYCOPLASMA MYCOIDES SUBSP SC GN CYSS PE SV INVERTASE HANSENULA ANOMALA GLUCOSIDASE SUBUNIT BETA SCHIZOSACCHAROMYCES POMBE STRAIN ATCC TETRATRICOPEPTIDE REPEAT HOMOLOG CAENORHABDITIS ELEGANS DYF ACPS_CHLPN HOLO SYNTHASE CHLAMYDIA PNEUMONIAE ACPS SYGA_GRABC GLYCYL ALPHA GRANULIBACTER BETHESDENSIS BAA GLYQ GLMS_RHILO GLUCOSAMINE FRUCTOSE PHOSPHATE AMINOTRANSFERASE RHIZOBIUM LOTI GLMS WNT PROBABLE POTASSIUM TRANSPORT SYSTEM KUP STREPTOCOCCUS EQUI ZOOEPIDEMICUS KUP_STREM </t>
  </si>
  <si>
    <t>DUF2013 | ND6 | DUF1600 | PRK13741 | RGP | PTZ00046 | PRD_Mga | zf-C2H2_2 | p47 | PHA03097 |</t>
  </si>
  <si>
    <t>Propionibacterium acnes HL103PA1</t>
  </si>
  <si>
    <t>314965328 EFT09427 1 315094172 EFT66148 327329273 EGE71033 12657288 CAC27826 6</t>
  </si>
  <si>
    <t xml:space="preserve">PTS SYSTEM GLUCOSE LIKE IIB COMPONENT IIBC ATP SYNTHASE A CHAIN SUBUNIT </t>
  </si>
  <si>
    <t>sp|Q493M6|SYA_BLOPB</t>
  </si>
  <si>
    <t>Blochmannia pennsylvanicus (strain BPEN)</t>
  </si>
  <si>
    <t>Q493M6 3 1 P14758 YCY5_ASTLO 25 9 RPL12 RPS7 Q68XX6 Y028_RICTY RT0028 144 Q6BMB3 RT10_DEBHA 30S S10 36239 767 1990 0083 2968 RSM10 Q8MC55 O63071 Q7HEK3 Q6YP19 O63072 O63070</t>
  </si>
  <si>
    <t xml:space="preserve">SYA_BLOPB ALANYL TRNA SYNTHETASE OS BLOCHMANNIA PENNSYLVANICUS STRAIN BPEN GN ALAS PE SV UNCHARACTERIZED KDA IN INTERGENIC REGION ASTASIA LONGA LIPOPROTEIN RICKETTSIA TYPHI ATCC VR WILMINGTON RIBOSOMAL MITOCHONDRIAL DEBARYOMYCES HANSENII CBS JCM NBRC IGC MATK_PICSI MATURASE K PICEA SITCHENSIS MATK MATK_PICRU RUBENS MATK_PICPU PUNGENS MATK_PICMX MEXICANA MATK_PICMA MARIANA MATK_PICGL GLAUCA </t>
  </si>
  <si>
    <t>PHA02657 | DUF63 | ND4 | ND6 | 7TM_GPCR_Srt | Dicty_REP | PRK10599 | PHA03031 | SHR3_chaperone | 7TM_GPCR_Sru |</t>
  </si>
  <si>
    <t>Nucleotide transport and metabolism, Inorganic ion transport and metabolism</t>
  </si>
  <si>
    <t>Candidatus Zinderia insecticola CARI</t>
  </si>
  <si>
    <t>307069545 YP_003878022 1 306482805 ADM89676 326916831 XP_003204708 2 9 238882702 EEQ46340 156098815 XP_001615423 148804297 EDL45696 150015151 YP_001307405 149901616 ABR32449 68470528 XP_720768 CAO19 11811 46442653 EAL01941 68470789 XP_720640 4335 46442518 EAL01807 330800163 XP_003288108 DICPUDRAFT_33545 325081869 EGC35370 241955729 XP_002420585 223643927 CAX41664 238007530 ACR34800</t>
  </si>
  <si>
    <t xml:space="preserve">ASPARTYL TRNA SYNTHETASE TASTE RECEPTOR TYPE MEMBER LIKE CONSERVED HYPOTHETICAL EMRB QACA FAMILY DRUG RESISTANCE TRANSPORTER SUBFAMILY HIGH AFFINITY NICOTINIC ACID PERMEASE UNKNOWN </t>
  </si>
  <si>
    <t>FimP 0.015| DUF1229 | LTA_dltB | ND5 | B56 | Cg6151-P | Spore_permease | Bunya_RdRp | Interferon | IFabd |</t>
  </si>
  <si>
    <t>296005076 XP_002808874 1 225632272 CAX64152 333999415 YP_004532027 TREPR_0899 333738592 AEF84082 149634650 XP_001514714 LOC443674</t>
  </si>
  <si>
    <t xml:space="preserve">CONSERVED PLASMODIUM UNKNOWN FUNCTION HYPOTHETICAL SIMILAR TO </t>
  </si>
  <si>
    <t>sp|Q86AV4|EXPL5_DICDI</t>
  </si>
  <si>
    <t>Q86AV4 EXPL5_DICDI 5 EXPL5 2 1</t>
  </si>
  <si>
    <t xml:space="preserve">EXPANSIN LIKE OS DICTYOSTELIUM DISCOIDEUM GN PE SV </t>
  </si>
  <si>
    <t>DUF485 | Pox_ATPase-GT | TBC |</t>
  </si>
  <si>
    <t>340503522 EGR30100 1 IMG5_142390 312070011 XP_003137949 LOAG_02363 307766895 EFO26129 47212405 CAF92020 340753623 ZP_08690399 FSAG_01242 229423185 EEO38232 330803675 XP_003289829 DICPUDRAFT_94995 325080088 EGC33659 270296442 ZP_06202642 270273846 EFA19708 115916193 XP_001199499 115974455 XP_001184898 50812316 YP_054457 2 50059253 AAT69319 194882161 XP_001975181 GG20703 190658368 EDV55581 339637950 CCC16974</t>
  </si>
  <si>
    <t xml:space="preserve">HYPOTHETICAL UNNAMED PRODUCT CONSERVED NADH DEHYDROGENASE SUBUNIT PURINE CYTOSINE TRANSPORT </t>
  </si>
  <si>
    <t>sp|Q8WWZ4|ABCAA_HUMAN</t>
  </si>
  <si>
    <t>Q8WWZ4 10 ABCA10 1 3 A6QLU7 F115C_BOVIN FAM115C 2 Q9TC94 YMF16_NEPOL YMF16 Q7YN57 Q46633 4 Q9QZM2 DPOG2_MOUSE POLG2 Q8N394 TMTC2_HUMAN TMTC2 Q08519 SPI1_SWPVK Q5UQ55 YL711_MIMIV L711 MIMI_L711 Q9FJ78 WAXS7_ARATH 7 AT7</t>
  </si>
  <si>
    <t xml:space="preserve">ABCAA_HUMAN ATP BINDING CASSETTE SUB FAMILY A MEMBER OS HOMO SAPIENS GN PE SV BOS TAURUS UNCHARACTERIZED TATC LIKE NEPHROSELMIS OLIVACEA RPOB_EIMTE DNA DIRECTED RNA POLYMERASE SUBUNIT BETA EIMERIA TENELLA RPOB AMSC_ERWAM AMYLOVORAN BIOSYNTHESIS AMSC ERWINIA AMYLOVORA GAMMA MITOCHONDRIAL MUS MUSCULUS TRANSMEMBRANE TPR REPEAT CONTAINING PROBABLE SERINE PROTEINASE INHIBITOR SWINEPOX VIRUS STRAIN KASZA SPI ACANTHAMOEBA POLYPHAGA MIMIVIRUS LONG CHAIN ALCOHOL O FATTY ACYLTRANSFERASE ARABIDOPSIS THALIANA </t>
  </si>
  <si>
    <t>PHA03087 0.011| ND6 0.025| 7tm_7 0.035| Oxidored_q1_C | AgrB | ND4 | ND4 | ND5 | 2a38euk | ND2 |</t>
  </si>
  <si>
    <t>124513254 XP_001349983 1 23615400 CAD52391 66822173 XP_644441 DDB_G0273649 66822909 XP_644809 DDB_G0273309 60472564 EAL70515 60472923 EAL70872</t>
  </si>
  <si>
    <t xml:space="preserve">CONSERVED PLASMODIUM MEMBRANE UNKNOWN FUNCTION HYPOTHETICAL </t>
  </si>
  <si>
    <t>sp|Q05481|ZNF91_HUMAN</t>
  </si>
  <si>
    <t>Q05481 ZNF91_HUMAN 91 ZNF91 2 Q48453 YC07_KLEPN 41 4 1 Q4VZL0 YCF1_CUCSA YCF1 3 Q8K9M5 Q7UZM1 CCMP1986 MED4 A2BZ24 SECA_PROM5 9515</t>
  </si>
  <si>
    <t xml:space="preserve">ZINC FINGER OS HOMO SAPIENS GN PE SV UNCHARACTERIZED KDA IN CPS REGION KLEBSIELLA PNEUMONIAE MEMBRANE CUCUMIS SATIVUS A ZNUA_BUCAP HIGH AFFINITY UPTAKE SYSTEM ZNUA BUCHNERA APHIDICOLA SUBSP SCHIZAPHIS GRAMINUM SECA_PROMP TRANSLOCASE SUBUNIT SECA PROCHLOROCOCCUS MARINUS PASTORIS STRAIN MIT </t>
  </si>
  <si>
    <t>ND4 0.028| ND6 | TAS2R | ND4 | PRK12772 | ycf1 | DUF2301 | ND4L | ATP6 | ND5 |</t>
  </si>
  <si>
    <t>289741441 ADD19468 1 NDUFS4 18 91087395 XP_975662 270011092 EFA07540 4 195446692 XP_002070883 GK25430 194166968 EDW81869 195398771 XP_002057994 GJ15739 194150418 EDW66102 125983438 XP_001355484 GA11474 195164004 XP_002022839 GL14531 54643800 EAL32543 194104862 EDW26905 195133692 XP_002011273 GI16090 193907248 EDW06115 312372237 EFR20247 AND_20452 194762994 XP_001963619 GF20193 190629278 EDV44695 195479786 XP_002101028 GE15845 194188552 EDX02136 194892953 XP_001977774 GG19227 190649423 EDV46701</t>
  </si>
  <si>
    <t xml:space="preserve">NADH UBIQUINONE OXIDOREDUCTASE KDA SUBUNIT SIMILAR TO DEHYDROGENASE FE S HYPOTHETICAL </t>
  </si>
  <si>
    <t>sp|Q66XS7|NDUS4_GECJA</t>
  </si>
  <si>
    <t>Q66XS7 NDUS4_GECJA 4 NDUFS4 2 1 Q9CXZ1 NDUS4_MOUSE 3 Q02375 NDUS4_BOVIN O43181 NDUS4_HUMAN Q0MQH0 NDUS4_GORGO P0CB96 NDUS4_PONPY P0CB95 NDUS4_PONAB Q0MQH1 NDUS4_PANTR Q5XIF3 NDUS4_RAT P25711 NDUS4_NEUCR 21 24698 74 OR23 1A 708 71 1257 987</t>
  </si>
  <si>
    <t xml:space="preserve">NADH DEHYDROGENASE IRON SULFUR MITOCHONDRIAL OS GECKO JAPONICUS GN PE SV MUS MUSCULUS BOS TAURUS HOMO SAPIENS GORILLA PONGO PYGMAEUS ABELII PAN TROGLODYTES RATTUS NORVEGICUS UBIQUINONE OXIDOREDUCTASE KDA SUBUNIT NEUROSPORA CRASSA STRAIN ATCC CBS DSM FGSC NUO </t>
  </si>
  <si>
    <t>NADH dehydrogenase - Gallus gallus - mitochondrial inner membrane - oxidoreductase activity, acting on NADH or NADPH - electron transport chain</t>
  </si>
  <si>
    <t>ETC_C1_NDUFA4 2e-017| lysidine_TilS_N | V-ATPase_H_N | GD_AH_C | PRK09088 | 4 | PP-ATPase | Spb1_C | ATP_bind_3 | PRK06548 |</t>
  </si>
  <si>
    <t>Human immunodeficiency virus 1</t>
  </si>
  <si>
    <t>223018738 ACM78081 1 223018727 ACM78076 223018725 ACM78075 223018723 ACM78074 223018719 ACM78072 223018715 ACM78070 223018713 ACM78069 223018711 ACM78068 223018709 ACM78067 223018699 ACM78062</t>
  </si>
  <si>
    <t xml:space="preserve">ENVELOPE GLYCOPROTEIN </t>
  </si>
  <si>
    <t>sp|C4YLH0|FCJ1_CANAW</t>
  </si>
  <si>
    <t>Candida albicans (strain WO-1)</t>
  </si>
  <si>
    <t>C4YLH0 FCJ1_CANAW 1 FCJ1 3 Q5A044 FCJ1_CANAL A7ZCY8 Y771_CAMC1 UPF0161 CCON26_07710 13826 A6TCL6 RIMM_KLEP7 700721 78578 B5XVK4 RIMM_KLEP3 342 A7MEG3 RIMM_ENTS8 894 Q8K9F5 Q2LTB7 MTAD1_SYNAS 5 MTAD1 B9WLF1 FCJ1_CANDC CD36 7987 3949 17841</t>
  </si>
  <si>
    <t xml:space="preserve">FORMATION CRISTA JUNCTIONS OS CANDIDA ALBICANS STRAIN WO GN PE SV CAMPYLOBACTER CONCISUS RIBOSOME MATURATION FACTOR RIMM KLEBSIELLA PNEUMONIAE SUBSP ATCC MGH ENTEROBACTER SAKAZAKII BAA RIMM_BUCAP BUCHNERA APHIDICOLA SCHIZAPHIS GRAMINUM METHYLTHIOADENOSINE S ADENOSYLHOMOCYSTEINE DEAMINASE SYNTROPHUS ACIDITROPHICUS SB DUBLINIENSIS CBS NCPF NRRL Y </t>
  </si>
  <si>
    <t>DUF1977 | CLAG | COX3 | OPT_sfam | PRK05354 | NSP11 | lolCE | Frag1 | flgK_ends | PRK04173 |</t>
  </si>
  <si>
    <t>327286564 XP_003228000 1 4 321473527 EFX84494 DAPPUDRAFT_99667 115923339 XP_001177443 115953853 XP_001183744 115966524 XP_001188161 301767894 XP_002919381 73981584 XP_533057 2 3 209730414 ACI66076 14198355 AAH08241 74212099 BAE40213 254540082 NP_032971 3914439 P99026 PSB4_MOUSE 1762779 AAC53263 74212238 BAE40277 148706807 EDL38754</t>
  </si>
  <si>
    <t xml:space="preserve">PROTEASOME SUBUNIT BETA TYPE LIKE HYPOTHETICAL SIMILAR TO PRECURSOR CHAIN MACROPAIN MULTICATALYTIC ENDOPEPTIDASE COMPLEX PROSOME UNNAMED PRODUCT FULL SHORT ALTNAME LOW MOLECULAR MASS FLAGS </t>
  </si>
  <si>
    <t>sp|P99026|PSB4_MOUSE</t>
  </si>
  <si>
    <t>P99026 PSB4_MOUSE 4 PSMB4 1 P28070 PSB4_HUMAN Q3T108 PSB4_BOVIN P28024 PSB4_XENLA 2 P34067 PSB4_RAT Q9VNA5 PSB4_DROME PROSBETA7 Q7DLR9 PSB4_ARATH PBG1 Q9USQ9 PSB4_SCHPO 38366 972 SPBC577 10 Q556Q0 PSB4_DICDI 3 P30657 PSB4_YEAST PRE4 204508 S288C</t>
  </si>
  <si>
    <t xml:space="preserve">PROTEASOME SUBUNIT BETA TYPE OS MUS MUSCULUS GN PE SV HOMO SAPIENS BOS TAURUS FRAGMENT XENOPUS LAEVIS RATTUS NORVEGICUS DROSOPHILA MELANOGASTER ARABIDOPSIS THALIANA PROBABLE SCHIZOSACCHAROMYCES POMBE STRAIN ATCC DICTYOSTELIUM DISCOIDEUM COMPONENT SACCHAROMYCES CEREVISIAE </t>
  </si>
  <si>
    <t>Proteasome subunit beta type - Canis lupus familiaris - threonine-type endopeptidase activity - nucleus - cytoplasm - proteasome core complex - peptidase activity - proteolysis involved in cellular protein catabolic process</t>
  </si>
  <si>
    <t>proteasome_beta_type_4 2e-069| proteasome_beta 4e-037| proteasome_protease_HslV 7e-029| PRE1 2e-024| Proteasome 6e-021| Ntn_hydrolase 3e-016| proteasome_beta_archeal 4e-016| arc_protsome_B 7e-015| proteasome_beta_type_6 4e-010| proteasome_beta_type_1 5e-009|</t>
  </si>
  <si>
    <t>110456566 ABG74725 1 170033695 XP_001844712 167874680 EDS38063 312380732 EFR26648 AND_07145 157125816 XP_001660796 AAEL_AAEL002014 108882649 EAT46874 242011258 XP_002426372 212510449 EEB13634 118789430 XP_317420 3 AGAP008042 116123215 EAA12697 324505365 ADY42308 148678687 EDL10634 BC027061 110625837 NP_898988 2 123790129 Q3TMV7 PYRD1_MOUSE 74227076 BAE38333 148678688 EDL10635 20073320 AAH27061</t>
  </si>
  <si>
    <t xml:space="preserve">UNKNOWN CDNA SEQUENCE HYPOTHETICAL CONSERVED PA PYRIDINE NUCLEOTIDE DISULFIDE OXIDOREDUCTASE DOMAIN CONTAINING ISOFORM CRA_A FULL UNNAMED PRODUCT CRA_B DISULPHIDE </t>
  </si>
  <si>
    <t>sp|Q3TMV7|PYRD1_MOUSE</t>
  </si>
  <si>
    <t>Q3TMV7 PYRD1_MOUSE 1 PYROXD1 2 Q5REJ2 PYRD1_PONAB Q8WU10 PYRD1_HUMAN Q6PBT5 PYRD1_DANRE A7YVH9 PYRD1_BOVIN Q68FS6 PYRD1_RAT Q54H36 PYRD1_DICDI 3 P32540 POLG_ENMG3 37A P12296 P17594</t>
  </si>
  <si>
    <t xml:space="preserve">PYRIDINE NUCLEOTIDE DISULFIDE OXIDOREDUCTASE DOMAIN CONTAINING OS MUS MUSCULUS GN PE SV PONGO ABELII HOMO SAPIENS DANIO RERIO BOS TAURUS RATTUS NORVEGICUS DICTYOSTELIUM DISCOIDEUM GENOME POLYPROTEIN FRAGMENT MENGO ENCEPHALOMYOCARDITIS VIRUS STRAIN POLG_ENMGO POLG_EMCVD EMC D DIABETOGENIC </t>
  </si>
  <si>
    <t>ND2 | DUF1430 | galM | M28_Pgcp_like | Coiled | xerC | VP4 | PRK12326 | Baculo_p47 | pdxA |</t>
  </si>
  <si>
    <t>149898903 ABR27953 1 60S L18A 62083377 AAX62413 62083381 AAX62415 332017866 EGI58526 307183110 EFN70027 48130977 XP_393322 156544508 XP_001605284 90820040 ABD98777 340708931 XP_003393070 322798668 EFZ20272 SINV_15860 307203949 EFN82856</t>
  </si>
  <si>
    <t xml:space="preserve">RIBOSOMAL VARIANT SIMILAR TO LIKE HYPOTHETICAL </t>
  </si>
  <si>
    <t>sp|Q90YU9|RL18A_ICTPU</t>
  </si>
  <si>
    <t>Q90YU9 RL18A_ICTPU 60S L18A RPL18A 2 1 P41093 RL18A_DROME P62718 RL18A_RAT P62717 RL18A_MOUSE Q02543 RL18A_HUMAN Q7ZWJ4 RL18A_DANRE Q3T003 RL18A_BOVIN Q8WQI7 RL18A_SPOFR O57561 RL18A_SALSA O44480 RL18A_CAEEL 20</t>
  </si>
  <si>
    <t xml:space="preserve">RIBOSOMAL OS ICTALURUS PUNCTATUS GN PE SV DROSOPHILA MELANOGASTER RATTUS NORVEGICUS MUS MUSCULUS HOMO SAPIENS DANIO RERIO BOS TAURUS SPODOPTERA FRUGIPERDA SALMO SALAR CAENORHABDITIS ELEGANS RPL </t>
  </si>
  <si>
    <t>PLN02191 | PRK10030 | ascorbase | Med13_C | 7tm_2 | tolB | PRK14683 | PHA02335 | Utp14 |</t>
  </si>
  <si>
    <t>340507677 EGR33602 1 IMG5_048190 283954871 ZP_06372387 C414_000260143 283793711 EFC32464 183508616 ZP_02958123 182676074 EDT87979 340507768 EGR33682 IMG5_045970 304411252 ZP_07392867 6 304350445 EFM14848 300716753 YP_003741556 299062589 CAX59708 296126844 YP_003634096 296018660 ADG71897 124505827 XP_001351027 23510670 CAD49055 118358822 XP_001012652 89294419 EAR92407 224024283 ZP_03642649 BACCOPRO_01006 224017505 EEF75517</t>
  </si>
  <si>
    <t xml:space="preserve">HYPOTHETICAL CATION TRANSPORT ATPASE N DNA METHYLASE FILAMENTOUS HEMAGGLUTININ TRANSPORTER TRNA ILE LYSIDINE SYNTHETASE CONSERVED PLASMODIUM UNKNOWN FUNCTION DNAJ DOMAIN CONTAINING </t>
  </si>
  <si>
    <t>sp|Q9UU81|AP1G1_SCHPO</t>
  </si>
  <si>
    <t>Q9UU81 AP1G1_SCHPO 1 38366 972 APL4 2 O43290 SNUT1_HUMAN U4 U6 U5 SART1 Q6F1Q9 3 P59485 5 A0JP43 EFCB5_MOUSE EFCAB5 Q97T80 Q73PH1 35405 103919 14222 Q05FY9 Q057X9 Q6BV76 TEL1 36239 767 1990 0083 2968</t>
  </si>
  <si>
    <t xml:space="preserve">AP COMPLEX SUBUNIT GAMMA OS SCHIZOSACCHAROMYCES POMBE STRAIN ATCC GN PE SV TRI SNRNP ASSOCIATED HOMO SAPIENS RNY_MESFL RIBONUCLEASE Y MESOPLASMA FLORUM RNY MNMG_BUCBP TRNA URIDINE CARBOXYMETHYLAMINOMETHYL MODIFICATION ENZYME MNMG BUCHNERA APHIDICOLA SUBSP BAIZONGIA PISTACIAE BP EF HAND CALCIUM BINDING DOMAIN CONTAINING MUS MUSCULUS ZMPC_STRPN ZINC METALLOPROTEASE ZMPC STREPTOCOCCUS PNEUMONIAE MNMG_TREDE TREPONEMA DENTICOLA CIP DSM MNME_CARRP GTPASE MNME CARSONELLA RUDDII PV SYI_BUCCC ISOLEUCYL SYNTHETASE CINARA CEDRI ILES ATM_DEBHA SERINE THREONINE KINASE DEBARYOMYCES HANSENII CBS JCM NBRC IGC </t>
  </si>
  <si>
    <t>7TM_GPCR_Srsx 2e-005| ND2 4e-005| 7TM_GPCR_Srd 2e-004| 7TM_GPCR_Srw 0.003| PulO 0.006| 7TM_GPCR_Srz 0.007| ND5 0.012| GIDA 0.017| ND5 0.029| Spore_permease 0.055|</t>
  </si>
  <si>
    <t>332023820 EGI64044 1 307204024 EFN82928 307180404 EFN68430 328778152 XP_392925 3 LOC409410 322792296 EFZ16280 SINV_03226 340717577 XP_003397257 LOC100649628 2 340717575 XP_003397256 270016366 EFA12812 TCASGA2_TC001877 156545150 XP_001602794 CG4170 242004319 XP_002423047 212505978 EEB10309</t>
  </si>
  <si>
    <t xml:space="preserve">PLASMINOGEN ACTIVATOR INHIBITOR RNA BINDING HYPOTHETICAL ISOFORM SIMILAR TO PA </t>
  </si>
  <si>
    <t>sp|Q6AXS5|PAIRB_RAT</t>
  </si>
  <si>
    <t>Q6AXS5 1 SERBP1 2 Q9CY58 Q8NC51 Q9I9R0 HABP4_CHICK 4 HABP4 Q8G447 3 B3DPX0 DJO10A Q0UK12 RRP3_PHANO RRP3 SN15 10173 E5R5D9 UTP25_LEPMJ U3 25 JN3 V23 AV1 5 6 7 8 UTP25 Q5R9C3 GPBL1_PONAB GPBP1L1 Q9HC44 GPBL1_HUMAN</t>
  </si>
  <si>
    <t xml:space="preserve">PAIRB_RAT PLASMINOGEN ACTIVATOR INHIBITOR RNA BINDING OS RATTUS NORVEGICUS GN PE SV PAIRB_MOUSE MUS MUSCULUS PAIRB_HUMAN HOMO SAPIENS INTRACELLULAR HYALURONAN GALLUS PNP_BIFLO POLYRIBONUCLEOTIDE NUCLEOTIDYLTRANSFERASE BIFIDOBACTERIUM LONGUM PNP PNP_BIFLD STRAIN ATP DEPENDENT RRNA HELICASE PHAEOSPHAERIA NODORUM FGSC SMALL NUCLEOLAR ASSOCIATED LEPTOSPHAERIA MACULANS ISOLATE RACE VASCULIN LIKE PONGO ABELII </t>
  </si>
  <si>
    <t>vasa intronic gene - Drosophila melanogaster - mRNA binding - RNA interference - RNA-induced silencing complex - nucleus - heterochromatin organization - polytene chromosome - cytoplasm - polytene chromosome puff</t>
  </si>
  <si>
    <t>PRK04537 2e-004| 3a0501s007 0.013| Peptidase_M50 0.027| ndhF 0.069| ATP8 0.094| U79_P34 | COG4248 | PRK08763 | PTZ00146 | Pap_E4 |</t>
  </si>
  <si>
    <t>31212219 XP_315094 1 AGAP004990 30176287 EAA10484 2 18389919 AAL68796 AF457566_1 170035623 XP_001845668 167877641 EDS41024 157119744 XP_001659485 94468910 ABF18304 MBF1 108875201 EAT39426 242007348 XP_002424503 212507921 EEB11765 112984062 NP_001036824 2285788 BAA21658 157119746 XP_001659486 108875202 EAT39427 91092834 XP_966347 270003076 EEZ99523 TCASGA2_TC000104 156547279 XP_001605527 240849174 NP_001155637 239789240 BAH71257 ACYPI005677</t>
  </si>
  <si>
    <t xml:space="preserve">PA MULTIPROTEIN BRIDGING FACTOR LIKE TRANSCRIPTION CONSERVED HYPOTHETICAL SIMILAR TO ISOFORM ENDOTHELIAL DIFFERENTIATION RELATED </t>
  </si>
  <si>
    <t>Q6GPQ6 EDF1_XENLA 1 EDF1 2 Q5ZMC0 EDF1_CHICK O60869 EDF1_HUMAN Q3T0V7 EDF1_BOVIN P69736 EDF1_RAT Q9JMG1 EDF1_MOUSE Q6PBY3 EDF1_DANRE Q5A940 MBF1_CANAL MBF1 3 Q8TG23 MBF1_YARLI 122 150 O94700 MBF1_SCHPO 38366 972</t>
  </si>
  <si>
    <t xml:space="preserve">ENDOTHELIAL DIFFERENTIATION RELATED FACTOR HOMOLOG OS XENOPUS LAEVIS GN PE SV GALLUS HOMO SAPIENS BOS TAURUS RATTUS NORVEGICUS MUS MUSCULUS DANIO RERIO MULTIPROTEIN BRIDGING CANDIDA ALBICANS MULTI BINDING YARROWIA LIPOLYTICA STRAIN CLIB E SCHIZOSACCHAROMYCES POMBE ATCC </t>
  </si>
  <si>
    <t>Endothelial differentiation-related factor 1 homolog - Gallus gallus - transcription coactivator activity - nucleus - transcription factor TFIID complex - nucleolus - cytoplasm - regulation of transcription, DNA-dependent - positive regulation of DNA binding - sequence-specific DNA binding</t>
  </si>
  <si>
    <t>MBF1 1e-024| COG1813 1e-007| HTH_3 8e-006| HTH_XRE 2e-005| HTH_XRE 4e-005| TIGR00270 0.002| ND4 0.007| HipB 0.019| HTH_19 0.029| COG1709 0.032|</t>
  </si>
  <si>
    <t>Melampsora larici-populina 98AG31</t>
  </si>
  <si>
    <t>328852206 EGG01354 1 50 114329932 YP_740834 YMF77 114150165 ABI51743 334271396 EGL89785 300724992 YP_003714317 XNC1_4217 297631534 CBJ92241 203287718 YP_002222733 226725656 B5RR78 201084938 ACH94512 203284179 YP_002221919 226725653 B5RL84 201083622 ACH93213 328871844 EGG20214 228910631 ZP_04074443 BTHUR0013_47760 228849046 EEM93888 228967886 ZP_04128897 BTHUR0004_46740 228791753 EEM39344 171689756 XP_001909818 170944840 CAP70952</t>
  </si>
  <si>
    <t xml:space="preserve">FAMILY GLYCOSYLTRANSFERASE HISTIDINE KINASE HYPOTHETICAL CONSERVED UNDECAPRENYL DIPHOSPHATASE UPPP_BORRA FULL ALTNAME BACITRACIN RESISTANCE PYROPHOSPHATE PHOSPHATASE UPPP_BORDL RING ZINC FINGER CONTAINING UNNAMED PRODUCT </t>
  </si>
  <si>
    <t>sp|B5RR78|UPPP_BORRA</t>
  </si>
  <si>
    <t>Borrelia recurrentis (strain A1)</t>
  </si>
  <si>
    <t>B5RR78 A1 3 1 B5RL84 A2EI35 SEY11_TRIVA SEY1 TVAG_273580 P58145 O67472 Y1502_AQUAE AQ_1502 4 P37492 A8GMQ9 2 B7J1I6 ZS7 O51273</t>
  </si>
  <si>
    <t xml:space="preserve">UPPP_BORRA UNDECAPRENYL DIPHOSPHATASE OS BORRELIA RECURRENTIS STRAIN GN UPPP PE SV UPPP_BORDL DUTTONII LY HOMOLOG TRICHOMONAS VAGINALIS ROAA_ASTLO RIBOSOMAL OPERON ASSOCIATED A ASTASIA LONGA ROAA UNCHARACTERIZED AQUIFEX AEOLICUS YYBL_BACSU YYBL BACILLUS SUBTILIS CTAA_RICAH HEME SYNTHASE RICKETTSIA AKARI HARTFORD CTAA UPPP_BORBZ BURGDORFERI UPPP_BORBU </t>
  </si>
  <si>
    <t>DUF443 0.042| ND5 0.085| Herpes_BMRF2 | ND5 | PRK07132 | ND2 | AgrB | ND2 | PHA03100 | UQ_con |</t>
  </si>
  <si>
    <t>322778718 EFZ09134 1 SINV_00918 253683402 NP_001153391 L6 332026913 EGI67014 60S 66559208 XP_392988 2 LOC409479 328777427 XP_003249340 307178359 EFN67108 70909617 CAJ17233 L6E 307198633 EFN79475 307215284 EFN90025 70909615 CAJ17232 91085243 XP_973115 270009355 EFA05803 TCASGA2_TC030666</t>
  </si>
  <si>
    <t xml:space="preserve">HYPOTHETICAL RIBOSOMAL SIMILAR TO </t>
  </si>
  <si>
    <t>sp|Q2YGT9|RL6_PIG</t>
  </si>
  <si>
    <t>Q2YGT9 RL6_PIG 60S L6 RPL6 2 3 Q58DQ3 RL6_BOVIN Q6QMZ4 RL6_CHILA Q02878 RL6_HUMAN 1 P21533 RL6_RAT 5 P47911 RL6_MOUSE P47991 RL6_CAEEL 6 P34091 RL6_MESCR Q9C9C5 RL63_ARATH RPL6C Q9C9C6 RL62_ARATH RPL6B</t>
  </si>
  <si>
    <t xml:space="preserve">RIBOSOMAL OS SUS SCROFA GN PE SV BOS TAURUS CHINCHILLA LANIGERA HOMO SAPIENS RATTUS NORVEGICUS MUS MUSCULUS CAENORHABDITIS ELEGANS RPL MESEMBRYANTHEMUM CRYSTALLINUM ARABIDOPSIS THALIANA </t>
  </si>
  <si>
    <t>Ribosomal protein L6 - Drosophila melanogaster - cytosolic large ribosomal subunit - translation - structural constituent of ribosome - lipid particle - mitotic spindle organization - mitotic spindle elongation</t>
  </si>
  <si>
    <t>Ribosomal_L6e 1e-048| RPL14A 7e-005| GPI2 | DUF947 | PRK06041 | mRNA_cap_enzyme | pgi | TctA | PLPDE_III_Bif_AspK_DapDC | ND4 |</t>
  </si>
  <si>
    <t>Ectocarpus siliculosus</t>
  </si>
  <si>
    <t>299473038 CBN77431 1 223647898 ACN10707 209155904 ACI34184 171543858 NP_032280 2 19343556 AAH25440 74180317 BAE32329 74204922 BAE20956 74208228 BAE26328 123122205 CAM15901 3 148698016 EDL29963 77165359 YP_343884 254433638 ZP_05047146 NOC27_569 76883673 ABA58354 207089971 EDZ67242 1292952 AAB03107 115749044 XP_001196745 MGC82338 115954272 XP_001177727 13242293 NP_077362 2495261 P97519 1743378 CAA71148 38511566 AAH61797 149024282 EDL80779 195651569 ACG45252 212721474 NP_001132253 LOC100193689 194693884 ACF81026</t>
  </si>
  <si>
    <t xml:space="preserve">CONSERVED UNKNOWN HYDROXYMETHYLGLUTARYL COA LYASE MITOCHONDRIAL PRECURSOR HMGCL UNNAMED PRODUCT HYDROXY METHYLGLUTARYL COENZYME A PYRUVATE CARBOXYLTRANSFERASE HYPOTHETICAL SIMILAR TO HMGCL_RAT FULL SHORT HL HMG ALTNAME METHYLGLUTARATE FLAGS HYDROXYMETHYL ISOFORM CRA_A </t>
  </si>
  <si>
    <t>sp|P38060|HMGCL_MOUSE</t>
  </si>
  <si>
    <t>P38060 1 2 P97519 Q5R9E1 Q8HXZ6 P35914 P35915 Q8TB92 HMGC2_HUMAN 3 HMGCLL1 Q8JZS7 HMGC2_MOUSE Q29448 O81027</t>
  </si>
  <si>
    <t xml:space="preserve">HMGCL_MOUSE HYDROXYMETHYLGLUTARYL COA LYASE MITOCHONDRIAL OS MUS MUSCULUS GN HMGCL PE SV HMGCL_RAT RATTUS NORVEGICUS HMGCL_PONAB PONGO ABELII HMGCL_MACFA MACACA FASCICULARIS HMGCL_HUMAN HOMO SAPIENS HMGCL_CHICK GALLUS PROBABLE HYDROXYMETHYL METHYLGLUTARYL HMGCL_BOVIN BOS TAURUS HMGCL_ARATH ARABIDOPSIS THALIANA </t>
  </si>
  <si>
    <t>3-hydroxymethyl-3-methylglutaryl-Coenzyme A lyase - Rattus norvegicus - fatty-acyl-CoA binding - liver development - hydroxymethylglutaryl-CoA lyase activity - mitochondrion - mitochondrial inner membrane - mitochondrial matrix - acyl-CoA metabolic process - mitochondrion organization - response to nutrient - embryo development - lyase activity - carboxylic acid binding - response to starvation - metal ion binding - ketone body biosynthetic process - response to fatty acid</t>
  </si>
  <si>
    <t>PLN02746 1e-047| DRE_TIM_HMGL 4e-045| PRK05692 7e-042| DRE_TIM_metallolyase 1e-028| LeuA 6e-018| HMGL-like 2e-014| 4OH_2_O_val_ald 4e-012| DRE_TIM_HOA 5e-011| PRK08195 1e-010| DRE_TIM_PC_TC_5S 8e-008|</t>
  </si>
  <si>
    <t>STKc_GRK4 | spoT_relA | PolY_Pol_V_umuC | PRK06057 | STKc_Sid2p_Dbf2p | PCIF1_WW |</t>
  </si>
  <si>
    <t>307095100 ADN29856 1 40S S6 156541730 XP_001599702 307168090 EFN61388 110767080 XP_001120419 307203007 EFN82223 315115403 ADT80674 263173183 ACY69876 2500492 Q94624 RS6_MANSE 1498733 AAB06459 340721806 XP_003399305 112982661 NP_001037566 54609293 AAV34862</t>
  </si>
  <si>
    <t xml:space="preserve">RIBOSOMAL SIMILAR TO LIKE FULL </t>
  </si>
  <si>
    <t>sp|Q94624|RS6_MANSE</t>
  </si>
  <si>
    <t>Q94624 RS6_MANSE 40S S6 RPS6 2 1 Q95V32 RS6_SPOFR Q2PQM1 RS6_GLOMM P29327 RS6_DROME P47838 RS6_CHICK P62755 RS6_RAT P62754 RS6_MOUSE Q4R4K6 RS6_MACFA P62753 RS6_HUMAN Q5E995 RS6_BOVIN</t>
  </si>
  <si>
    <t xml:space="preserve">RIBOSOMAL OS MANDUCA SEXTA GN PE SV SPODOPTERA FRUGIPERDA GLOSSINA MORSITANS DROSOPHILA MELANOGASTER GALLUS RATTUS NORVEGICUS MUS MUSCULUS MACACA FASCICULARIS HOMO SAPIENS BOS TAURUS </t>
  </si>
  <si>
    <t>Ribosomal protein S6 - Drosophila melanogaster - translation - structural constituent of ribosome - cytosolic small ribosomal subunit - ribosome - immune response - lipid particle - mitotic spindle elongation - mitotic spindle organization</t>
  </si>
  <si>
    <t>PHA02697 0.049| DUF2489 0.072| MAP7 | DUF2058 | Kri1 | PRK09426 | TAF4 | PRK10515 | GAGA_bind | alt_F1F0_F0_B |</t>
  </si>
  <si>
    <t>91093935 XP_966764 1 CG13393 270010939 EFA07387 TCASGA2_TC016366 110769776 XP_001123277 DAD1 307203236 EFN82391 340726842 XP_003401761 307173605 EFN64462 58389340 XP_316953 2 AGAP008491 55237200 EAA12890 332018942 EGI59488 170034581 XP_001845152 167875933 EDS39316 193707027 XP_001952632 37576232 AAQ94040</t>
  </si>
  <si>
    <t xml:space="preserve">SIMILAR TO PA HYPOTHETICAL DOLICHYL DIPHOSPHOOLIGOSACCHARIDE GLYCOSYLTRANSFERASE SUBUNIT LIKE DEFENDER AGAINST CELL DEATH PROGRAMMED </t>
  </si>
  <si>
    <t>sp|Q9VLM5|DAD1_DROME</t>
  </si>
  <si>
    <t>Q9VLM5 DAD1_DROME DAD1 CG13393 3 1 Q8I7Z2 DAD1_ARAVE 2 P46967 DAD1_XENLA P61805 DAD1_RAT Q29036 DAD1_PIG P61804 DAD1_MOUSE P61806 DAD1_MESAU P61803 DAD1_HUMAN Q5E9C2 DAD1_BOVIN P52872 DAD1_CAEEL</t>
  </si>
  <si>
    <t xml:space="preserve">DOLICHYL DIPHOSPHOOLIGOSACCHARIDE GLYCOSYLTRANSFERASE SUBUNIT OS DROSOPHILA MELANOGASTER GN PE SV ARANEUS VENTRICOSUS XENOPUS LAEVIS RATTUS NORVEGICUS SUS SCROFA MUS MUSCULUS MESOCRICETUS AURATUS HOMO SAPIENS BOS TAURUS DAD CAENORHABDITIS ELEGANS </t>
  </si>
  <si>
    <t>Drosophila melanogaster - oligosaccharyltransferase complex - oligosaccharyl transferase activity - negative regulation of apoptosis - anti-apoptosis - plasma membrane - integral to membrane</t>
  </si>
  <si>
    <t>DAD 7e-054| PHA03031 0.034| COG4769 0.074| PRK15402 | PRK12651 | COG3936 | DUF318 | COG3815 | 7TM_GPCR_Srsx | MnhE |</t>
  </si>
  <si>
    <t>297804842 XP_002870305 1 ARALYDRAFT_915409 297316141 EFH46564 17563242 NP_505267 68053006 Q17551 RPM1_CAEEL E3 3 1255373 AAA96117</t>
  </si>
  <si>
    <t xml:space="preserve">HYPOTHETICAL REGULATOR PRESYNAPTIC MORPHOLOGY FAMILY MEMBER RPM FULL UBIQUITIN LIGASE ALTNAME PAM HIGHWIRE SYNAPSE DEFECTIVE PARTIALLY CONFIRMED BY TRANSCRIPT EVIDENCE </t>
  </si>
  <si>
    <t>sp|Q17551|RPM1_CAEEL</t>
  </si>
  <si>
    <t>Q17551 RPM1_CAEEL E3 1 Q00366 P53_MESAU P53 TP53 2 Q9BVV6 K0586_HUMAN KIAA0586 4</t>
  </si>
  <si>
    <t xml:space="preserve">UBIQUITIN LIGASE RPM OS CAENORHABDITIS ELEGANS GN PE SV CELLULAR TUMOR ANTIGEN MESOCRICETUS AURATUS UNCHARACTERIZED HOMO SAPIENS </t>
  </si>
  <si>
    <t>ndhC | PRK08114 | tRNA_CCA_actino | narG | 2a69 | RHD-n_NFAT | flgF | PRK09028 | PRK14873 | O_succ_thio_ly |</t>
  </si>
  <si>
    <t>307094970 ADN29791 1 307094974 ADN29793 307094972 ADN29792 149898863 ABR27919 149689172 ABR27943 18920644 AAL82381 AF427487_1 18920642 AAL82380 AF427486_1 146199197 ABQ09358 307094978 ADN29795 115953960 XP_001187013</t>
  </si>
  <si>
    <t xml:space="preserve">TRIALYSIN PRECURSOR ALLELE R SIMILAR TO MIDASIN PARTIAL </t>
  </si>
  <si>
    <t>sp|Q8D3B6|SYFA_WIGBR</t>
  </si>
  <si>
    <t>Wigglesworthia glossinidia brevipalpis</t>
  </si>
  <si>
    <t>Q8D3B6 3 1 Q09830 YAD4_SCHPO C4G8 04 38366 972 SPAC4G8 Q6FZ74 Q13127 RE1 P97526 NF1_RAT NF1 Q04690 NF1_MOUSE P21359 NF1_HUMAN 2 Q96PK2 MACF4_HUMAN 4 MACF1 D3ZHV2 MACF1_RAT Q9UPN3 MACF1_HUMAN 5</t>
  </si>
  <si>
    <t xml:space="preserve">SYFA_WIGBR PHENYLALANYL TRNA SYNTHETASE ALPHA CHAIN OS WIGGLESWORTHIA GLOSSINIDIA BREVIPALPIS GN PHES PE SV TBC DOMAIN CONTAINING SCHIZOSACCHAROMYCES POMBE STRAIN ATCC DDL_BARQU D ALANINE LIGASE BARTONELLA QUINTANA DDL REST_HUMAN SILENCING TRANSCRIPTION FACTOR HOMO SAPIENS REST NEUROFIBROMIN RATTUS NORVEGICUS MUS MUSCULUS MICROTUBULE ACTIN CROSS LINKING ISOFORM ISOFORMS </t>
  </si>
  <si>
    <t>DUF2085 | DUF2193 | sulfolob_CbsB | PRK06915 | COX3 | 7TM_GPCR_Srz | DUF2127 | COG4883 | Myosin_TH1 | PRK07058 |</t>
  </si>
  <si>
    <t>82593867 XP_725184 1 23480094 EAA16749 293603893 ZP_06686308 292817730 EFF76796 311104619 YP_003977472 23 310759308 ADP14757 338780876 EGP45274 317402038 EFV82634 91787339 YP_548291 91696564 ABE43393 311106881 YP_003979734 45 310761570 ADP17019</t>
  </si>
  <si>
    <t xml:space="preserve">HYPOTHETICAL NICKEL ABC SUPERFAMILY ATP BINDING CASSETTE TRANSPORTER PERMEASE DEPENDENT INNER MEMBRANE COMPONENT FAMILY TRANSPORT SYSTEM SYSTEMS </t>
  </si>
  <si>
    <t>sp|Q9JKL7|SREK1_RAT</t>
  </si>
  <si>
    <t>Q9JKL7 SREK1_RAT 1 SREK1 Q8BZX4 SREK1_MOUSE 2 Q8WXA9 SREK1_HUMAN Q0P557 SPATA18 Q8VE97 SRSF4_MOUSE 4 SRSF4 Q08170 SRSF4_HUMAN Q5LWF2 700808 15171 3 Q9FL03 SCL4_ARATH SCL4 Q18409 RSP6_CAEEL 6 Q9Q3G5 CAPSD_TASV2 ORF2</t>
  </si>
  <si>
    <t xml:space="preserve">SPLICING REGULATORY GLUTAMINE LYSINE RICH OS RATTUS NORVEGICUS GN PE SV MUS MUSCULUS HOMO SAPIENS MIEAP_MOUSE MITOCHONDRIA EATING SERINE ARGININE FACTOR RSMG_SILPO RIBOSOMAL RNA SMALL SUBUNIT METHYLTRANSFERASE G SILICIBACTER POMEROYI STRAIN ATCC DSM DSS RSMG SCARECROW LIKE ARABIDOPSIS THALIANA PROBABLE CAENORHABDITIS ELEGANS RSP CAPSID POLYPROTEIN TURKEY ASTROVIRUS </t>
  </si>
  <si>
    <t>ALG3 | Pox_VERT_large | PH_BCR-related | Peptidase_U4 | ND2 | PRP38_assoc | Corona_nucleoca | ND5 | Astro_capsid | CPSF73-100_C |</t>
  </si>
  <si>
    <t>312089276 XP_003146184 1 LOAG_10613 307758653 EFO17887 312121194 XP_003151862 LOAG_16325 307752973 EFO12207 307187217 EFN72434 EAG_09284 307181385 EFN68997 EAG_02458 329725980 EGG62457 HSP90 18251029 AAL65843 AF346725_3 340505499 EGR31819 IMG5_101230 332836133 XP_003313023 LOC100613392 167377085 XP_001734278 167378447 XP_001734803 167396244 XP_001741972 165893211 EDR21550 165903515 EDR29026 165904324 EDR29577 300432149 ADK12973 G4</t>
  </si>
  <si>
    <t xml:space="preserve">HYPOTHETICAL ATPASE HISTIDINE KINASE DNA GYRASE B DOMAIN AGRC PARTIAL CONSERVED </t>
  </si>
  <si>
    <t>sp|Q9VWA1|CLC_DROME</t>
  </si>
  <si>
    <t>Q9VWA1 1 P24499 ATP6_TRYBB ATP6 2 Q55A09 Y9963_DICDI DDB_G0272254 3 Q25802 RPOC2_PLAFA RPOC2 A8GMQ9 Q8NBJ9 SIDT2_HUMAN SID1 SIDT2 Q86UK0 12 ABCA12 P56748 CLD8_HUMAN 8 CLDN8 Q89AP6 Q9MTD5 RR2_TOXGO 30S S2</t>
  </si>
  <si>
    <t xml:space="preserve">CLC_DROME CLATHRIN LIGHT CHAIN OS DROSOPHILA MELANOGASTER GN CLC PE SV ATP SYNTHASE SUBUNIT A TRYPANOSOMA BRUCEI PROBABLE SERINE THREONINE KINASE DICTYOSTELIUM DISCOIDEUM DNA DIRECTED RNA POLYMERASE BETA PLASMODIUM FALCIPARUM CTAA_RICAH HEME RICKETTSIA AKARI STRAIN HARTFORD CTAA TRANSMEMBRANE FAMILY MEMBER HOMO SAPIENS ABCAC_HUMAN BINDING CASSETTE SUB CLAUDIN APBE_BUCBP THIAMINE BIOSYNTHESIS APBE BUCHNERA APHIDICOLA SUBSP BAIZONGIA PISTACIAE BP RIBOSOMAL APICOPLAST TOXOPLASMA GONDII </t>
  </si>
  <si>
    <t>7TM_GPCR_Srz 9e-005| 7tm_7 0.002| 7TMR-DISM_7TM 0.007| TRAM_LAG1_CLN8 0.029| ND5 0.041| 7TM_GPCR_Sri | Fijivirus_P9-2 | DUF2838 | TIGR00374 | PRK06041 |</t>
  </si>
  <si>
    <t>223948241 ACN28204 1 223949479 ACN28823 226508226 NP_001152427 LOC100286067 195656173 ACG47554 242038875 XP_002466832 SORBIDRAFT_01G014930 241920686 EER93830 297563769 YP_003682743 5 8 296848217 ADH70237 338706310 YP_004673078 335344371 AEH40287 297665080 XP_002810934 69 297665082 XP_002810935 2 15639336 NP_218785 189025578 YP_001933350 6647594 O83365 226700997 B2S2U2 3322624 AAC65333 189018153 ACD70771 291059735 ADD72470 332259138 XP_003278646 332259140 XP_003278647 326513522 BAJ87780 242076860 XP_002448366 SORBIDRAFT_06G025980 241939549 EES12694</t>
  </si>
  <si>
    <t xml:space="preserve">UNKNOWN SUBTILISIN LIKE PROTEASE PRECURSOR HYPOTHETICAL COAGULATION FACTOR TYPE DOMAIN PHOSPHO N ACETYLMURAMOYL PENTAPEPTIDE TRANSFERASE TRANSMEMBRANE ISOFORM MRAY MRAY_TREPA FULL ALTNAME UDP MURNAC PHOSPHOTRANSFERASE MRAY_TREPS </t>
  </si>
  <si>
    <t>sp|B2S2U2|MRAY_TREPS</t>
  </si>
  <si>
    <t>Treponema pallidum subsp. pallidum (strain SS14)</t>
  </si>
  <si>
    <t>B2S2U2 SS14 3 1 O83365 P08542 UDB17_RAT 2B17 UGT2B17 2 Q3KQJ0 TMM69_MOUSE 69 TMEM69 Q5SWH9 TMM69_HUMAN B3E9X3 ATP6_GEOLS 1151 17278 P01031 CO5_HUMAN C5 4 Q8BG26 RUSC1_MOUSE SH3 RUSC1 P35820 Q8NGI7 O10V1_HUMAN 10V1 OR10V1</t>
  </si>
  <si>
    <t xml:space="preserve">MRAY_TREPS PHOSPHO N ACETYLMURAMOYL PENTAPEPTIDE TRANSFERASE OS TREPONEMA PALLIDUM SUBSP STRAIN GN MRAY PE SV MRAY_TREPA NICHOLS UDP GLUCURONOSYLTRANSFERASE RATTUS NORVEGICUS TRANSMEMBRANE MUS MUSCULUS HOMO SAPIENS ATP SYNTHASE SUBUNIT A GEOBACTER LOVLEYI ATCC BAA DSM SZ ATPB COMPLEMENT RUN DOMAIN CONTAINING PSC_DROME POLYCOMB GROUP PSC DROSOPHILA MELANOGASTER OLFACTORY RECEPTOR </t>
  </si>
  <si>
    <t>YfhO 0.097| PLN02684 | DUF2422 | SdaC | CCC1_like | b_cpa1 | PRK06589 | DUF3533 | psbD | ND5 |</t>
  </si>
  <si>
    <t>71651032 XP_814202 1 70879154 EAN92351 322820798 EFZ27310 TCSYLVIO_6485 71407473 XP_806203 70869877 EAN84352 261333054 CBH16049 71748206 XP_823158 70832826 EAN78330 340057535 CCC51881 300728561 ZP_07061919 299774130 EFI70764 334147855 YP_004510784 333805011 BAK26218 188994739 YP_001928991 188594419 BAG33394 34541069 NP_905548 34397384 AAQ66447</t>
  </si>
  <si>
    <t xml:space="preserve">HYPOTHETICAL CONSERVED DNA GYRASE A SUBUNIT </t>
  </si>
  <si>
    <t>sp|Q4WY31|ATG11_ASPFU</t>
  </si>
  <si>
    <t>Q4WY31 ATG11_ASPFU 11 4609 AF293 101355 A1100 ATG11 3 1 Q8F6I3 2 Q72PR5 Q53020 Q053V5 L550 Q04QS4 JB197 Q8VYB5 AMSH1_ARATH AMSH1 P22793 Q21H37 DNAJ_SACD2 40 43961 17024 Q9TTV2 ROA2_SAGOE A2 B1 HNRNPA2B1</t>
  </si>
  <si>
    <t xml:space="preserve">AUTOPHAGY RELATED OS NEOSARTORYA FUMIGATA STRAIN ATCC MYA CBS FGSC GN PE SV PURL_LEPIN PHOSPHORIBOSYLFORMYLGLYCINAMIDINE SYNTHASE LEPTOSPIRA INTERROGANS PURL PURL_LEPIC SEROGROUP ICTEROHAEMORRHAGIAE SEROVAR COPENHAGENI OMPB_RICPR OUTER MEMBRANE B RICKETTSIA PROWAZEKII MADRID E OMPB PURL_LEPBL BORGPETERSENII HARDJO BOVIS PURL_LEPBJ AMSH LIKE UBIQUITIN THIOLESTERASE ARABIDOPSIS THALIANA TRHY_SHEEP TRICHOHYALIN OVIS ARIES TCHH CHAPERONE DNAJ SACCHAROPHAGUS DEGRADANS DSM HETEROGENEOUS NUCLEAR RIBONUCLEOPROTEINS SAGUINUS OEDIPUS </t>
  </si>
  <si>
    <t>BADH 0.066| Fmp27 | Exo70 | Peptidase_C12_UCH37_BAP1 | PRK09064 | trpC | Pex16 | SKIP_SNW | PRK05809 | Vps23_core |</t>
  </si>
  <si>
    <t>66810666 XP_639040 1 161789021 P18160 3 PYK1_DICDI PYK1 60467658 EAL65677 66800073 XP_628962 DDB_G0293744 60462327 EAL60549 66812528 XP_640443 DDB_G0282063 60468448 EAL66453 124804523 XP_001348028 23496283 AAN35941 328868853 EGG17231 DFA_08221 328867112 EGG15495 DFA_10335 66809601 XP_638523 DDB_G0284489 74996883 Q54PK9 60467135 EAL65171 111218624 XP_646110 2 122126148 Q55DM1 90970875 EAL71925 9313011 AAD52096 AF088979_1 66802910 XP_635298 DDB_G0291644 60463621 EAL61806</t>
  </si>
  <si>
    <t xml:space="preserve">NON RECEPTOR TYROSINE KINASE FULL DUAL SPECIFICITY ALTNAME SPORE LYSIS A HYPOTHETICAL ZINC FINGER PDPKB_DICDI PHOSPHOINOSITIDE DEPENDENT B PDK CLASS BEACH DOMAIN CONTAINING LVSA_DICDI LVSA LARGE VOLUME SPHERE MUTANT BEIGE HOMOLOG </t>
  </si>
  <si>
    <t>sp|P18160|PYK1_DICDI</t>
  </si>
  <si>
    <t>P18160 PYK1_DICDI PYK1 1 3 Q54PK9 Q55DM1 4 2 Q552Q3 INT10_DICDI 10 DDB_G0275707 Q54XY6 Y0019_DICDI DDB_G0278521 Q54ZP5 WDR48_DICDI 48 DDB_G0277533 Q54ER4 ATR1_DICDI ATR1 P14198 AAC4_DICDI AAC4 Q8I1N6 AP2A_PLAF7 AP2 PFD0985W 3D7 Q75JW3 ORAV1_DICDI ORAOV1 DDB_G0272178</t>
  </si>
  <si>
    <t xml:space="preserve">DUAL SPECIFICITY KINASE OS DICTYOSTELIUM DISCOIDEUM GN SPLA PE SV PDPKB_DICDI PHOSPHOINOSITIDE DEPENDENT B PDKB LVSA_DICDI BEACH DOMAIN CONTAINING LVSA INTEGRATOR COMPLEX SUBUNIT LIKE PROBABLE SERINE THREONINE WD REPEAT HOMOLOG AAC RICH MRNA CLONE ERF PLASMODIUM FALCIPARUM ISOLATE </t>
  </si>
  <si>
    <t>DUF1222 | ATG27 | DUF1980 | WcaJ | ND2 | MpPF26 | ND5 | ATP8 | ND6 | PTZ00486 |</t>
  </si>
  <si>
    <t>322820798 EFZ27310 1 TCSYLVIO_6485 71651032 XP_814202 70879154 EAN92351 71407473 XP_806203 70869877 EAN84352 261333054 CBH16049 71748206 XP_823158 70832826 EAN78330 340057535 CCC51881 300728561 ZP_07061919 299774130 EFI70764 334147855 YP_004510784 333805011 BAK26218 188994739 YP_001928991 188594419 BAG33394 34541069 NP_905548 34397384 AAQ66447</t>
  </si>
  <si>
    <t>sp|Q8F6I3|PURL_LEPIN</t>
  </si>
  <si>
    <t>Leptospira interrogans</t>
  </si>
  <si>
    <t>Q8F6I3 2 3 1 Q72PR5 Q4WY31 ATG11_ASPFU 11 4609 AF293 101355 A1100 ATG11 Q053V5 L550 Q04QS4 JB197 Q53020 Q8VYB5 AMSH1_ARATH AMSH1 Q21H37 DNAJ_SACD2 40 43961 17024 P22793 Q9TTV2 ROA2_SAGOE A2 B1 HNRNPA2B1</t>
  </si>
  <si>
    <t xml:space="preserve">PURL_LEPIN PHOSPHORIBOSYLFORMYLGLYCINAMIDINE SYNTHASE OS LEPTOSPIRA INTERROGANS GN PURL PE SV PURL_LEPIC SEROGROUP ICTEROHAEMORRHAGIAE SEROVAR COPENHAGENI AUTOPHAGY RELATED NEOSARTORYA FUMIGATA STRAIN ATCC MYA CBS FGSC PURL_LEPBL BORGPETERSENII HARDJO BOVIS PURL_LEPBJ OMPB_RICPR OUTER MEMBRANE B RICKETTSIA PROWAZEKII MADRID E OMPB AMSH LIKE UBIQUITIN THIOLESTERASE ARABIDOPSIS THALIANA CHAPERONE DNAJ SACCHAROPHAGUS DEGRADANS DSM TRHY_SHEEP TRICHOHYALIN OVIS ARIES TCHH HETEROGENEOUS NUCLEAR RIBONUCLEOPROTEINS SAGUINUS OEDIPUS </t>
  </si>
  <si>
    <t>156554298 XP_001602754 1 340713110 XP_003395091 3 48124643 XP_393266 307172935 EFN64102 242018686 XP_002429805 212514817 EEB17067 332018981 EGI59520 157278309 NP_001098256 42412381 AAS15570 5902742 P79896 1814386 AAB41888 307207907 EFN85468 114052488 NP_001040507 95104529 ABF51211</t>
  </si>
  <si>
    <t xml:space="preserve">SIMILAR TO ALCOHOL DEHYDROGENASE CLASS LIKE III CHI SUBUNIT ADHX_SPAAU FULL ALTNAME GLUTATHIONE DEPENDENT FORMALDEHYDE SHORT FALDH FDH GSH S HYDROXYMETHYL </t>
  </si>
  <si>
    <t>P79896 3 2 1 P86884 P80467 P81600 P11766 ADH5 4 P81601 P19854 O19053 Q3ZC42 P12711</t>
  </si>
  <si>
    <t xml:space="preserve">ADHX_SPAAU ALCOHOL DEHYDROGENASE CLASS OS SPARUS AURATA PE SV ADHX_SCYCA SCYLIORHINUS CANICULA ADHX_UROHA UROMASTYX HARDWICKII ADHH_GADMO CHAIN H GADUS MORHUA ADHX_HUMAN HOMO SAPIENS GN ADHL_GADMO L ADHX_HORSE EQUUS CABALLUS ADHX_RABIT ORYCTOLAGUS CUNICULUS ADHX_BOVIN BOS TAURUS ADHX_RAT RATTUS NORVEGICUS </t>
  </si>
  <si>
    <t>alcohol_DH_class_III e-113| alcohol_DH_class_I_II_IV 2e-093| liver_alcohol_DH_like 2e-086| adh_III_F_hyde 5e-086| Zn_ADH1 1e-084| alcohol_DH_plants 2e-084| AdhC 2e-072| PLN02740 8e-062| PLN02827 2e-055| Zn_ADH_class_III 4e-049|</t>
  </si>
  <si>
    <t>270017112 EFA13558 1 TCASGA2_TC002334 260786202 XP_002588147 BRAFLDRAFT_118873 229273306 EEN44158 170576562 XP_001893680 BM1_11045 158600186 EDP37491 339262160 XP_003367545 4 316959585 EFV47697 156406642 XP_001641154 156228291 EDO49091 339257118 XP_003370066 316956648 EFV46880 156303139 XP_001617473 NEMVEDRAFT_V1G157504 156194038 EDO25373 209735604 ACI68671 60S L36A 330846489 XP_003295059 DICPUDRAFT_44296 325074334 EGC28417 336362631 EGN91352 SERLA73DRAFT_67558 336363125 EGN91571 SERLA73DRAFT_67187 294462526 ADE76809</t>
  </si>
  <si>
    <t xml:space="preserve">HYPOTHETICAL INTERLEUKIN CONSERVED RIBOSOMAL UNKNOWN </t>
  </si>
  <si>
    <t>sp|P24394|IL4RA_HUMAN</t>
  </si>
  <si>
    <t>P24394 IL4RA_HUMAN 4 IL4R 1 Q8SQ72 3 Q9SVQ1 YUC2_ARATH YUCCA2 YUC2 2 Q6PAL7 AHDC1_MOUSE AHDC1 Q9NUA8 ZBT40_HUMAN 40 ZBTB40 Q11157 Y492_MYCTU RV0492C MT0511 MT0512 O13615 PRP46_SCHPO PRP46 38366 972 PRP5 Q80XL7 MPPE1_MOUSE MPPE1 Q91ZI0 CELR3_MOUSE CELSR3 Q03HQ0 25745 183 1W</t>
  </si>
  <si>
    <t xml:space="preserve">INTERLEUKIN RECEPTOR SUBUNIT ALPHA OS HOMO SAPIENS GN PE SV SGCG_CANFA GAMMA SARCOGLYCAN CANIS FAMILIARIS SGCG FLAVIN CONTAINING MONOOXYGENASE ARABIDOPSIS THALIANA AT HOOK DNA BINDING MOTIF MUS MUSCULUS ZINC FINGER BTB DOMAIN UNCHARACTERIZED GMC TYPE OXIDOREDUCTASE MYCOBACTERIUM TUBERCULOSIS PRE MRNA SPLICING FACTOR SCHIZOSACCHAROMYCES POMBE STRAIN ATCC METALLOPHOSPHOESTERASE CADHERIN EGF LAG SEVEN PASS G ARAA_PEDPA L ARABINOSE ISOMERASE PEDIOCOCCUS PENTOSACEUS ARAA </t>
  </si>
  <si>
    <t>PRK06975 | DUF1633 | Allexi_40kDa | dTDP_gluc_dehyt | PLN02298 | ABA_GPCR | DUF1509 | G6PD_C | RfbB | Arena_RNA_pol |</t>
  </si>
  <si>
    <t>Cyanophora paradoxa</t>
  </si>
  <si>
    <t>321268723 ADW79172 1 S4 296125187 YP_003632439 2 296017003 ADG70240 261329329 CBH12310 118360526 XP_001013496 89295263 EAR93251 158295830 XP_001237814 AGAP006429 124504963 XP_001351223 4493951 CAB38987 83315469 XP_730807 23490644 EAA22372 161833732 YP_001597928 152206222 ABS30532 296005343 XP_002809000 225631936 CAX64281 167386431 XP_001737751 165899317 EDR25949</t>
  </si>
  <si>
    <t xml:space="preserve">RIBOSOMAL GLYCOSYL TRANSFERASE FAMILY HYPOTHETICAL UNLIKELY TRANSMEMBRANE AMINO ACID TRANSPORTER PA DNA DEPENDENT RNA POLYMERASE TRNA ILE LYSIDINE SYNTHETASE MORN REPEAT CONSERVED </t>
  </si>
  <si>
    <t>sp|Q18879|CAV2_CAEEL</t>
  </si>
  <si>
    <t>Q18879 CAV2_CAEEL 2 A0T0Q9 RPOC2_THAPS RPOC2 3 1 Q9XJ60 MAD50_ORYSJ 50 MADS50 P41901 SPR3_YEAST 204508 S288C SPR3 Q55CB8 B9EKX1 CF138_MOUSE C6ORF138 Q6ZW05 CF138_HUMAN Q5RIV7 PTHD1_DANRE PTCHD1 Q5UPM4 YR158_MIMIV R158 MIMI_R158 4 B3PLV4 ATPF_MYCA5 158L3</t>
  </si>
  <si>
    <t xml:space="preserve">CAVEOLIN OS CAENORHABDITIS ELEGANS GN CAV PE SV DNA DIRECTED RNA POLYMERASE SUBUNIT BETA THALASSIOSIRA PSEUDONANA MADS BOX TRANSCRIPTION FACTOR ORYZA SATIVA SUBSP JAPONICA SPORULATION REGULATED SACCHAROMYCES CEREVISIAE STRAIN ATCC RASX_DICDI RAS LIKE RASX DICTYOSTELIUM DISCOIDEUM PATCHED DOMAIN CONTAINING HOMOLOG MUS MUSCULUS HOMO SAPIENS DANIO RERIO UNCHARACTERIZED ACANTHAMOEBA POLYPHAGA MIMIVIRUS ATP SYNTHASE B MYCOPLASMA ARTHRITIDIS ATPF </t>
  </si>
  <si>
    <t>ND6 0.008| ND5 0.013| DUF3397 0.018| 7TM_GPCR_Srz 0.018| DUF1229 0.020| Sre 0.022| ubiA 0.036| ABC2_membrane_3 0.036| ND2 0.043| EcsB 0.044|</t>
  </si>
  <si>
    <t>167388980 XP_001738765 1 167395066 XP_001741211 165894304 EDR22338 165897825 EDR24890 50549319 XP_502130 YALI0C22297P 49647997 CAG82450 121543851 ABM55590 307168252 EFN61478 EAG_03411 195118995 XP_002004017 GI19857 193914592 EDW13459 217070130 ACJ83425 294993368 ZP_06799059 MTUB2_02392 312091502 XP_003147002 LOAG_11435 307757834 EFO17068 297842189 XP_002888976 297334817 EFH65235 295840005 ZP_06826938 295827757 EFG65587</t>
  </si>
  <si>
    <t xml:space="preserve">HYPOTHETICAL CONSERVED NUCLEOPLASMIN ISOFORM LIKE UNKNOWN </t>
  </si>
  <si>
    <t>sp|P59832|LACY_KLEPN</t>
  </si>
  <si>
    <t>P59832 3 1 Q9QJ59 B4_HHV6Z B4 6B Z29 4 P24880 NU4M_ASCSU ND4 2 P24499 ATP6_TRYBB ATP6 P38834 YHT0_YEAST YHR130C 204508 S288C 5 P18817 Q8TFG8 YL62_SCHPO PB15E9 02C 38366 972 SPAPB15E9 P25000 NU4LM_PISOC 4L ND4L Q057F2 Q550S9 TM56B_DICDI 56 TMEM56B</t>
  </si>
  <si>
    <t xml:space="preserve">LACY_KLEPN LACTOSE PERMEASE FRAGMENT OS KLEBSIELLA PNEUMONIAE GN LACY PE SV HUMAN HERPESVIRUS STRAIN NADH UBIQUINONE OXIDOREDUCTASE CHAIN ASCARIS SUUM ATP SYNTHASE SUBUNIT A TRYPANOSOMA BRUCEI UNCHARACTERIZED SACCHAROMYCES CEREVISIAE ATCC LACY_KLEOX OXYTOCA MEMBRANE SCHIZOSACCHAROMYCES POMBE PISASTER OCHRACEUS CYOE_BUCCC PROTOHEME IX FARNESYLTRANSFERASE BUCHNERA APHIDICOLA SUBSP CINARA CEDRI CYOE TRANSMEMBRANE HOMOLOG B DICTYOSTELIUM DISCOIDEUM </t>
  </si>
  <si>
    <t>Nucleoplasmin 0.002| ND5 0.004| 7tm_7 0.004| ND6 0.010| COG4984 0.011| COG5273 0.015| ND4L 0.025| ND4 0.027| ND2 0.041| 7TM_GPCR_Srz 0.058|</t>
  </si>
  <si>
    <t>Botryotinia fuckeliana B05.10</t>
  </si>
  <si>
    <t>154321684 XP_001560157 1 BC1G_00989 150850236 EDN25429 338821756 EGP55725 335036125 ZP_08529455 333792689 EGL64056 15890803 NP_356475 22096038 Q8U8B8 RF1_AGRT5 15159088 AAK89260 332716892 YP_004444358 325063577 ADY67267 320158259 YP_004190637 319933571 ADV88434 27367986 NP_763513 37676117 NP_936513 27359559 AAO08503 AE016813_255 37200658 BAC96483</t>
  </si>
  <si>
    <t xml:space="preserve">HYPOTHETICAL CHAIN RELEASE FACTOR FULL SHORT RF METHYL ACCEPTING CHEMOTAXIS </t>
  </si>
  <si>
    <t>sp|Q8U8B8|RF1_AGRT5</t>
  </si>
  <si>
    <t>Agrobacterium tumefaciens (strain C58 / ATCC 33970)</t>
  </si>
  <si>
    <t>Q8U8B8 RF1_AGRT5 1 C58 33970 3 Q700K0 2 Q8CG65 B9JB75 RF1_AGRRK K84 868 B9JT13 RF1_AGRVS S4 846 Q07980 MLH2_YEAST MLH2 204508 S288C A6UCF2 RF1_SINMW WSM419 Q92MK5 RF1_RHIME Q7S4P1 OXR1_NEUCR 24698 74 OR23 1A 708 71 1257 987 B5ZRR4 RF1_RHILW WSM2304</t>
  </si>
  <si>
    <t xml:space="preserve">CHAIN RELEASE FACTOR OS AGROBACTERIUM TUMEFACIENS STRAIN ATCC GN PRFA PE SV SSPO_RAT SCO SPONDIN RATTUS NORVEGICUS SSPO SSPO_MOUSE MUS MUSCULUS RADIOBACTER BAA VITIS DNA MISMATCH REPAIR SACCHAROMYCES CEREVISIAE SINORHIZOBIUM MEDICAE RHIZOBIUM MELILOTI OXIDATION RESISTANCE NEUROSPORA CRASSA CBS DSM FGSC OXR LEGUMINOSARUM BV TRIFOLII </t>
  </si>
  <si>
    <t>PLN00207 | GH31_xylosidase_XylS | DUF3272 | PRK07921 | DUF3710 | dapE_proteo | GDPD_NUC-2_fungi | PLN02934 | Transket_pyr | 7TM_GPCR_Srz |</t>
  </si>
  <si>
    <t>Idiomarina baltica OS145</t>
  </si>
  <si>
    <t>85712389 ZP_01043439 1 85693832 EAQ31780 296410680 XP_002835063 295627838 CAZ79184 328787224 XP_393800 4 153949550 YP_001399598 YPSIP31758_0605 152961045 ABS48506 118371223 XP_001018811 3 89300578 EAR98566 331703234 YP_004399921 MLC_2140 331703323 YP_004400010 MLC_3030 328801789 CBW53942 DUF285 328801878 CBW54031 261406675 YP_003242916 261283138 ACX65109 149038932 EDL93152 C5 109468085 XP_342423 2 293345860 XP_001080252 194765899 XP_001965063 GF23360 190617673 EDV33197</t>
  </si>
  <si>
    <t xml:space="preserve">RNA DIRECTED DNA POLYMERASE HYPOTHETICAL UNNAMED PRODUCT HEAT REPEAT CONTAINING CONSERVED EXORIBONUCLEASE FAMILY DOMAIN PART ICE NICKEL ABC TRANSPORTER PERIPLASMIC BINDING SIMILAR TO COMPLEMENT PRECURSOR ISOFORM CRA_A </t>
  </si>
  <si>
    <t>sp|O25806|RPOBC_HELPY</t>
  </si>
  <si>
    <t>O25806 1 B2UUV9 SHI470 3 Q9ZK23 J99 Q1CS68 HPAG1 Q17VN6 Q8MA10 RPOC2_CHAGL RPOC2 Q008X5 R1A_WBV24 1A DF24 00 Q008X6 R1AB_WBV24 1AB Q9ULL0 K1210_HUMAN KIAA1210 2 Q6BNF3 STE20_DEBHA STE20 36239 767 1990 0083 2968</t>
  </si>
  <si>
    <t xml:space="preserve">RPOBC_HELPY BIFUNCTIONAL DNA DIRECTED RNA POLYMERASE SUBUNIT BETA OS HELICOBACTER PYLORI GN RPOBC PE SV RPOBC_HELPS STRAIN RPOBC_HELPJ RPOBC_HELPH RPOBC_HELAH ACINONYCHIS SHEEBA CHAETOSPHAERIDIUM GLOBOSUM REPLICASE POLYPROTEIN WHITE BREAM VIRUS ISOLATE BLICCA BJOERKNA L GERMANY REP UNCHARACTERIZED HOMO SAPIENS SERINE THREONINE KINASE DEBARYOMYCES HANSENII ATCC CBS JCM NBRC IGC </t>
  </si>
  <si>
    <t>ND5 | Herpes_glycop | PHA02774 | ND2 | CRF1 | matK | PRK14788 | ND5 | PLN02906 | ND1 |</t>
  </si>
  <si>
    <t>Carbohydrate transport and metabolism, Amino acid transport and metabolism</t>
  </si>
  <si>
    <t>Listeria monocytogenes M7</t>
  </si>
  <si>
    <t>217965860 YP_002351538 1 LMHCC_2589 217335130 ACK40924 307569596 CAR82775 LMO4A_0073 336021944 AEH91081 LMM7_0075 145533851 XP_001452670 124420369 CAK85273 145504735 XP_001438334 124405506 CAK70937 145492061 XP_001432029 124399137 CAK64632 42559342 O96064 4115774 BAA36517 301763515 XP_002917174 118355046 XP_001010784 C2 89292551 EAR90539 73977131 XP_539598 2 241952304 XP_002418874 223642213 CAX44180 160897927 YP_001563509 DACI_2486 160363511 ABX35124</t>
  </si>
  <si>
    <t xml:space="preserve">HYPOTHETICAL UNNAMED PRODUCT MYSP_MYTGA FULL PARAMYOSIN CLASPIN LIKE DOMAIN CONTAINING SIMILAR TO CONSERVED </t>
  </si>
  <si>
    <t>sp|O96064|MYSP_MYTGA</t>
  </si>
  <si>
    <t>Mytilus galloprovincialis</t>
  </si>
  <si>
    <t>O96064 2 1 Q9VJE5 CL190_DROME 190 Q553D3 Q8BG79 C19L2_MOUSE CWF19 CWF19L2 Q8SSQ0 Q54BP9 3 P13002 ELF1_DROME Q869E1 DNLI1_DICDI LIG1 Q05000 P18175</t>
  </si>
  <si>
    <t xml:space="preserve">MYSP_MYTGA PARAMYOSIN OS MYTILUS GALLOPROVINCIALIS PE SV RESTIN HOMOLOG DROSOPHILA MELANOGASTER GN CLIP GXCJJ_DICDI RAC GUANINE NUCLEOTIDE EXCHANGE FACTOR JJ DICTYOSTELIUM DISCOIDEUM GXCJJ LIKE MUS MUSCULUS GEFR_DICDI RAS R GEFR GACV_DICDI RHO GTPASE ACTIVATING GACV GRAINYHEAD GRH DNA LIGASE MYS_PODCA MYOSIN HEAVY CHAIN FRAGMENT PODOCORYNE CARNEA INVO_PIG INVOLUCRIN SUS SCROFA IVL </t>
  </si>
  <si>
    <t>DUF3796 4e-004| ND2 5e-004| ND4L 0.001| 7TM_GPCR_Srz 0.003| PSN 0.004| ND5 0.006| PotB 0.010| ND5 0.010| COG4652 0.010| DUF221 0.011|</t>
  </si>
  <si>
    <t>260809447 XP_002599517 1 BRAFLDRAFT_223869 229284796 EEN55529 221057502 XP_002261259 194247264 CAQ40664 268579509 XP_002644737 CBG14736 118580614 YP_901864 PPRO_2199 118503324 ABK99806</t>
  </si>
  <si>
    <t xml:space="preserve">HYPOTHETICAL CONSERVED IN PLASMODIUM SPECIES </t>
  </si>
  <si>
    <t>sp|Q057X9|SYI_BUCCC</t>
  </si>
  <si>
    <t>Buchnera aphidicola subsp. Cinara cedri</t>
  </si>
  <si>
    <t>Q057X9 3 1 P0CX22 YRF18_YEAST 8 204508 S288C YRF1 2 P0CX15 YRF17_YEAST 7 P53819 YRF16_YEAST 6 P0CX21 YRF15_YEAST 5 P0CX14 YRF13_YEAST P0CX20 YRF11_YEAST Q03099 YMN3_YEAST YML133C Q07888 YL067_YEAST YLL067C Q99208 YL066_YEAST YLL066C</t>
  </si>
  <si>
    <t xml:space="preserve">SYI_BUCCC ISOLEUCYL TRNA SYNTHETASE OS BUCHNERA APHIDICOLA SUBSP CINARA CEDRI GN ILES PE SV Y ELEMENT ATP DEPENDENT HELICASE COPY SACCHAROMYCES CEREVISIAE STRAIN ATCC </t>
  </si>
  <si>
    <t>Enhancin | DUF1461 | SVM_signal | ORC2 | Pox_A22 | ND2 | EF_assoc_2 | lef-8 | DUF1389 | PLN03180 |</t>
  </si>
  <si>
    <t>255522803 NP_001157314 1 5 255522809 NP_001157317 8 255522805 NP_001157315 6 255522797 NP_001157311 2 255522807 NP_001157316 7 255522795 NP_001157310 255522799 NP_001157312 3 255522811 NP_001157318 9 255522801 NP_001157313 4 328700166 XP_001950896 LOC100169151</t>
  </si>
  <si>
    <t xml:space="preserve">LONGITUDINALS LACKING ISOFORM HYPOTHETICAL </t>
  </si>
  <si>
    <t>sp|Q9V5M6|LOLA5_DROME</t>
  </si>
  <si>
    <t>Q9V5M6 LOLA5_DROME 1 4 Q867Z4 LOLA4_DROME Q9V5M3 LOLA6_DROME 3 Q7KQZ4 LOLA3_DROME P42284 LOLA2_DROME 2 P42283 LOLA1_DROME Q5AQ36 SHO1_CANAL SHO1 Q28EG9 ZMAT1_XENTR ZMAT1 Q6ZN18 AEBP2_HUMAN AEBP2 Q2UMB1 RT106_ASPOR RTT106 42149 40</t>
  </si>
  <si>
    <t xml:space="preserve">LONGITUDINALS LACKING ISOFORMS J P Q S Z OS DROSOPHILA MELANOGASTER GN LOLA PE SV F I K T N O W X Y A B D L H M V ISOFORM G HIGH OSMOLARITY SIGNALING CANDIDA ALBICANS ZINC FINGER MATRIN TYPE XENOPUS TROPICALIS HOMO SAPIENS HISTONE CHAPERONE ASPERGILLUS ORYZAE STRAIN ATCC RIB </t>
  </si>
  <si>
    <t>COG4938 | PTZ00287 | PRK10490 | SE | LanC_like | argC | DUF2254 | trmD | DUF3557 | PAXNEB |</t>
  </si>
  <si>
    <t>Leptosphaeria maculans</t>
  </si>
  <si>
    <t>312213882 CBX93884 1 336375068 EGO03404 SERLA73DRAFT_69277 336388028 EGO29172 SERLADRAFT_433169 312888379 ZP_07747955 311299213 EFQ76306 270056479 ACZ59465 HPRP3 312068628 XP_003137303 LOAG_01717 307767536 EFO26770 331703041 YP_004399728 328801596 CBW53749 308473848 XP_003099147 CRE_28905 308267620 EFP11573 301320403 ADK69046 78066379 YP_369148 BCEP18194_A4909 77967124 ABB08504 42560583 NP_975034 42492079 CAE76676</t>
  </si>
  <si>
    <t xml:space="preserve">HYPOTHETICAL CONSERVED SMALL NUCLEAR RIBONUCLEO DNA RECOMBINASE RECG PROBABLE </t>
  </si>
  <si>
    <t>sp|O32206|YVGJ_BACSU</t>
  </si>
  <si>
    <t>O32206 3 1 A4VRK8 MTGA_PSEU5 A1501 Q03085 SRL4_YEAST SRL4 204508 S288C Q4WMU5 PTPA1_ASPFU 2A 4609 AF293 101355 A1100 RRD1 2 P38144 ISW1_YEAST ISW1 Q4FLS9 HTCC1062 P75099 Y014_MYCPN MG010 MPN_014 P38811 TRA1_YEAST TRA1 B1MH61 RPOC_MYCA9 19977 44196 Q21534 YVL7_CAEEL M110 7</t>
  </si>
  <si>
    <t xml:space="preserve">YVGJ_BACSU LIPOTEICHOIC ACID SYNTHASE LIKE YVGJ OS BACILLUS SUBTILIS GN PE SV MONOFUNCTIONAL BIOSYNTHETIC PEPTIDOGLYCAN TRANSGLYCOSYLASE PSEUDOMONAS STUTZERI STRAIN MTGA OXIDOREDUCTASE SACCHAROMYCES CEREVISIAE ATCC SERINE THREONINE PHOSPHATASE ACTIVATOR NEOSARTORYA FUMIGATA MYA CBS FGSC ISWI CHROMATIN REMODELING COMPLEX ATPASE RNC_PELUB RIBONUCLEASE PELAGIBACTER UBIQUE RNC UNCHARACTERIZED HOMOLOG MYCOPLASMA PNEUMONIAE TRANSCRIPTION ASSOCIATED DNA DIRECTED RNA POLYMERASE SUBUNIT BETA MYCOBACTERIUM ABSCESSUS DSM RPOC NTE FAMILY CAENORHABDITIS ELEGANS </t>
  </si>
  <si>
    <t>PRK13299 0.056| DUF2920 | WCOR413 | 7TM_GPCR_Sru | COG1470 | PHA02031 | HMG-CoA_reductase_classI | KpsS | phoU_full | DUF2317 |</t>
  </si>
  <si>
    <t>340729773 XP_003403170 1 184C 307195504 EFN77390 110759045 XP_624809 2 91081441 XP_973723 CG5850 270006131 EFA02579 TCASGA2_TC008297 322788930 EFZ14448 SINV_05023 307166220 EFN60450 156551996 XP_001603133 47217362 CAG11067 312374226 EFR21822 AND_16310 195577989 XP_002078848 GD22317 194190857 EDX04433</t>
  </si>
  <si>
    <t xml:space="preserve">TRANSMEMBRANE LIKE SIMILAR TO PB HYPOTHETICAL CONSERVED UNNAMED PRODUCT </t>
  </si>
  <si>
    <t>sp|Q6GQE1|T184C_XENLA</t>
  </si>
  <si>
    <t>Q6GQE1 T184C_XENLA 184C TMEM184C 2 1 Q5ZMP3 T184C_CHICK Q28CV2 T184C_XENTR Q5RET6 T184C_PONAB Q9NVA4 T184C_HUMAN Q3TPR7 T184C_MOUSE Q17QL9 T184C_BOVIN Q810F5 T184C_RAT Q8I4R2 RBP3_PLAF7 3 3D7 RH3 P61129 ZC3H6_HUMAN 6 ZC3H6</t>
  </si>
  <si>
    <t xml:space="preserve">TRANSMEMBRANE OS XENOPUS LAEVIS GN PE SV GALLUS TROPICALIS PONGO ABELII HOMO SAPIENS MUS MUSCULUS BOS TAURUS RATTUS NORVEGICUS RETICULOCYTE BINDING PLASMODIUM FALCIPARUM ISOLATE ZINC FINGER CCCH DOMAIN CONTAINING </t>
  </si>
  <si>
    <t>Glyco_transf_22 | 2a30 | COG4652 | citMHS | ND4 | ND5 | aroFGH | KISc_KIP3_like | PRK01295 | PTZ00229 |</t>
  </si>
  <si>
    <t>156344748 XP_001621298 1 NEMVEDRAFT_V1G4289 156207082 EDO29198 156382230 XP_001632457 156219513 EDO40394 156344746 XP_001621297 NEMVEDRAFT_V1G2690 156207081 EDO29197 70948023 XP_743571 56523131 CAH81682 PC000756 04 0 308814605 YP_003934879 GP41 308206197 ADO19596 168185755 ZP_02620390 169296340 EDS78473 314121820 YP_004063939 GP59 313151577 ADR32633 222624965 EEE59097 OSJ_10950 218192885 EEC75312 OSI_11681 297722141 NP_001173434 OS03G0363950 255674526 BAH92162</t>
  </si>
  <si>
    <t xml:space="preserve">HYPOTHETICAL LOADER DNA HELICASE MEMBRANE LOADING </t>
  </si>
  <si>
    <t>sp|C6KTD2|HKNMT_PLAF7</t>
  </si>
  <si>
    <t>C6KTD2 HKNMT_PLAF7 PFF1440W 3D7 3 1 Q7UFS3 B8D0Z5 168 544 9562 Q3TDX8 NB5R4_MOUSE B5 4 CYB5R4 2 Q8TQ05 Y1747_METAC MA_1747 35395 2834 12185 C2A Q3UR32 P2RX3_MOUSE P2X P2RX3 P56373 P2RX3_HUMAN</t>
  </si>
  <si>
    <t xml:space="preserve">HISTONE LYSINE N METHYLTRANSFERASE OS PLASMODIUM FALCIPARUM ISOLATE GN PE SV GUAA_RHOBA GMP SYNTHASE RHODOPIRELLULA BALTICA GUAA GUAA_HALOH HALOTHERMOTHRIX ORENII STRAIN H OCM DSM CYTOCHROME REDUCTASE MUS MUSCULUS ABC TRANSPORTER ATP BINDING METHANOSARCINA ACETIVORANS ATCC JCM PURINOCEPTOR HOMO SAPIENS </t>
  </si>
  <si>
    <t>PRANC | Endotoxin_M | NADH5_C | 7TM_GPCR_Srx | psaA | DUF63 | psaA | DUF1430 | ND4 | Pox_Rap94 |</t>
  </si>
  <si>
    <t>326665667 XP_002667585 2 1 217273080 ACK28152 3 67606933 XP_666784 SNF2 54657840 EAL36552 260802036 XP_002595899 BRAFLDRAFT_235494 229281151 EEN51911 167755216 ZP_02427343 CLORAM_00721 237734964 ZP_04565445 167705266 EDS19845 229381740 EEO31831 312073366 XP_003139488 LOAG_03903 307765347 EFO24581 170017677 YP_001728596 169804534 ACA83152 315230357 YP_004070793 TERMP_00593 315183385 ADT83570 66358754 XP_626555 46227736 EAK88656</t>
  </si>
  <si>
    <t xml:space="preserve">SPHINGOSINE KINASE LIKE SODIUM HYDROGEN EXCHANGER ISOFORM DOMAIN HELICASE CONTAINING HYPOTHETICAL CONSERVED CYTOCHROME B SUBUNIT BC COMPLEX SWI SNF RELATED TRANSCRIPTIONAL REGULATOR ATPASE </t>
  </si>
  <si>
    <t>sp|Q9PR32|Y112_UREPA</t>
  </si>
  <si>
    <t>Ureaplasma parvum</t>
  </si>
  <si>
    <t>Q9PR32 Y112_UREPA UU112 4 1 A6VUT2 3 MWYL1 Q58990 Y1595_METJA UPF0104 MJ1595 43067 2661 10045 100440 P14758 YCY5_ASTLO 25 9 RPL12 RPS7 Q9NYA1 SPHK1_HUMAN SPHK1 P29087 YSO3_ACIAM 5 2 O84639 B0BA88 L2B Q3KL61 13 571B B0B8K9 NQRA_CHLT2 L2 434 902B</t>
  </si>
  <si>
    <t xml:space="preserve">UNCHARACTERIZED OS UREAPLASMA PARVUM GN PE SV LPXD_MARMS UDP O GLUCOSAMINE N ACYLTRANSFERASE MARINOMONAS STRAIN LPXD MEMBRANE METHANOCALDOCOCCUS JANNASCHII ATCC DSM JAL JCM NBRC KDA IN INTERGENIC REGION ASTASIA LONGA SPHINGOSINE KINASE HOMO SAPIENS SOR ACIDIANUS AMBIVALENS NQRA_CHLTR PROBABLE NA TRANSLOCATING NADH QUINONE REDUCTASE SUBUNIT A CHLAMYDIA TRACHOMATIS NQRA NQRA_CHLTB SEROVAR UCH PROCTITIS NQRA_CHLTA HAR VR BU </t>
  </si>
  <si>
    <t>DUF3792 | DUF2074 | DUF1951 | Cyt_b561_CYBRD1 | ND4 | tpt | DUF2317 | ND2 | ccsA | DUF3880 |</t>
  </si>
  <si>
    <t>340724772 XP_003400755 1 60S L23 307195846 EFN77642 242019454 XP_002430176 212515267 EEB17438 121543837 ABM55583 91085777 XP_974360 L23E 270010126 EFA06574 TCASGA2_TC009485 66558956 XP_392812 2 156545547 XP_001605069 62083503 AAX62476 90819996 ABD98755 L17 23 70909731 CAJ17291 70909727 CAJ17289 157361531 ABV44723 240849037 NP_001155385 239799377 BAH70612 ACYPI000455</t>
  </si>
  <si>
    <t>sp|P48159|RL23_DROME</t>
  </si>
  <si>
    <t>P48159 RL23_DROME 60S L23 RPL23 1 2 Q9GNE2 RL23_AEDAE P62832 RL23_RAT Q5REU2 RL23_PONAB P62831 RL23_PIG P62830 RL23_MOUSE Q90YU5 RL23_ICTPU P62829 RL23_HUMAN Q6PC14 RL23_DANRE Q3T057 RL23_BOVIN</t>
  </si>
  <si>
    <t xml:space="preserve">RIBOSOMAL OS DROSOPHILA MELANOGASTER GN PE SV AEDES AEGYPTI A RATTUS NORVEGICUS PONGO ABELII SUS SCROFA MUS MUSCULUS ICTALURUS PUNCTATUS HOMO SAPIENS DANIO RERIO BOS TAURUS </t>
  </si>
  <si>
    <t>Ribosomal protein L23 - Drosophila melanogaster - cytosolic large ribosomal subunit - translation - structural constituent of ribosome - ribosome - mitotic spindle organization - mitotic spindle elongation - protein binding</t>
  </si>
  <si>
    <t>PTZ00054 3e-028| Ribosomal_L14 7e-017| rpl14p 9e-017| RplN 1e-016| rpl14p_arch 2e-016| rplN 4e-009| rpl14 3e-008| rplN_bact 1e-007| aliphatic_amidase | amiF |</t>
  </si>
  <si>
    <t>sp|P50530|SCK1_SCHPO</t>
  </si>
  <si>
    <t>P50530 SCK1_SCHPO SCK1 38366 972 1 2 O59795 COY1 Q44848 Y318_BORBU BB_0318 3</t>
  </si>
  <si>
    <t xml:space="preserve">SERINE THREONINE KINASE OS SCHIZOSACCHAROMYCES POMBE STRAIN ATCC GN PE SV CASP_SCHPO CASP UNCHARACTERIZED ABC TRANSPORTER ATP BINDING BORRELIA BURGDORFERI </t>
  </si>
  <si>
    <t>ACTIN | ndhB | PRK02504 | DUF3447 | ACTIN | PLN02841 | ND5 | ND5 | PP_kinase |</t>
  </si>
  <si>
    <t>321459762 EFX70812 1 DAPPUDRAFT_309281 52630965 AAU84946 195029787 XP_001987753 GH19785 193903753 EDW02620 242012578 XP_002427008 212511246 EEB14270 195430526 XP_002063305 GK21455 194159390 EDW74291 124487982 ABN12074 289742845 ADD20170 F0F1 114052278 NP_001040233 87248463 ABD36284 260813788 XP_002601598 BRAFLDRAFT_85833 229286897 EEN57610 193666827 XP_001943349</t>
  </si>
  <si>
    <t xml:space="preserve">HYPOTHETICAL MITOCHONDRIAL ATP SYNTHASE ALPHA SUBUNIT PRECURSOR TYPE LIKE </t>
  </si>
  <si>
    <t>sp|P08428|ATPA_XENLA</t>
  </si>
  <si>
    <t>P08428 ATP5A 2 1 Q5R546 ATP5A1 A5A6H5 P25705 P15999 P19483 Q03265 P35381 Q9XXK1 H28O16 A1TD57 7251 3</t>
  </si>
  <si>
    <t xml:space="preserve">ATPA_XENLA ATP SYNTHASE SUBUNIT ALPHA MITOCHONDRIAL OS XENOPUS LAEVIS GN PE SV ATPA_PONAB PONGO ABELII ATPA_PANTR PAN TROGLODYTES ATPA_HUMAN HOMO SAPIENS ATPA_RAT RATTUS NORVEGICUS ATPA_BOVIN BOS TAURUS ATPA_MOUSE MUS MUSCULUS ATPA_DROME DROSOPHILA MELANOGASTER BLW ATPA_CAEEL CAENORHABDITIS ELEGANS ATPA_MYCVP MYCOBACTERIUM VANBAALENII STRAIN DSM PYR ATPA </t>
  </si>
  <si>
    <t>ATP synthase, H+ transporting, mitochondrial F1 complex, alpha subunit 1, cardiac muscle - Danio rerio - proton-transporting two-sector ATPase complex - proton-transporting two-sector ATPase complex, catalytic domain - hydrogen ion transporting ATP synthase activity, rotational mechanism - proton-transporting ATPase activity, rotational mechanism - ATP binding - ATP hydrolysis coupled proton transport - proton-transporting ATP synthase complex, catalytic core F(1) - ATP metabolic process - ATP synthesis coupled proton transport - proton transport - hydrolase activity, acting on acid anhydrides, catalyzing transmembrane movement of substances - ion transport - nucleotide binding - ATP biosynthetic process - transport - MHC class I protein binding - negative regulation of endothelial cell proliferation - plasma membrane - ATPase activity - eukaryotic cell surface binding - mitochondrial proton-transporting ATP synthase complex - plasma membrane ATP synthesis coupled proton transport</t>
  </si>
  <si>
    <t>PRK09281 4e-006| atpA 3e-004| AtpA 0.021| FDH_like_1 | uvrA | Bmp | Transglut_N | EscV | PBP1_BmpA_like | pntB |</t>
  </si>
  <si>
    <t>261331295 CBH14285 1 47208543 CAF89493 47227265 CAF96814 119595327 EAW74921 HSP40 13 47207826 CAF92303 242058345 XP_002458318 SORBIDRAFT_03G031215 241930293 EES03438 297269899 XP_002799976 LOC100426959 167523044 XP_001745859 163775660 EDQ89283 167523252 XP_001745963 163775764 EDQ89387 167516862 XP_001742772 163779396 EDQ93010</t>
  </si>
  <si>
    <t xml:space="preserve">T BRUCEI SPP SPECIFIC UNNAMED PRODUCT DNAJ RELATED SUBFAMILY B MEMBER ISOFORM CRA_B HYPOTHETICAL PARTIAL </t>
  </si>
  <si>
    <t>sp|Q96N68|CR015_HUMAN</t>
  </si>
  <si>
    <t>Q96N68 CR015_HUMAN C18ORF15 5 1 Q0IHA5 MPPE1_XENLA MPPE1 2 Q69566 U88_HHV6U U88 6A 1102 4 Q9ES45 DUOX2_RAT DUOX2 Q9NRD8 DUOX2_HUMAN Q8NB54 CR023_HUMAN C18ORF23 P38360 ATU1_YEAST 204508 S288C PCA1 Q02722 Q300_MOUSE Q300 HPVC2 Q1MKV3 LPXK_RHIL3 3841 3 O14234 CCH1_SCHPO CCH1 38366 972</t>
  </si>
  <si>
    <t xml:space="preserve">UNCHARACTERIZED OS HOMO SAPIENS GN PE SV METALLOPHOSPHOESTERASE XENOPUS LAEVIS HUMAN HERPESVIRUS STRAIN UGANDA DUAL OXIDASE RATTUS NORVEGICUS P TYPE CATION TRANSPORTING ATPASE SACCHAROMYCES CEREVISIAE ATCC MUS MUSCULUS TETRAACYLDISACCHARIDE KINASE RHIZOBIUM LEGUMINOSARUM BV VICIAE LPXK CALCIUM CHANNEL SCHIZOSACCHAROMYCES POMBE </t>
  </si>
  <si>
    <t>HTTM 0.083| PRK05625 | ND4 | Papilloma_E5 | VPS10 | Self-incomp_S1 | ND2 | FragX_IP | TBCC | PRK10546 |</t>
  </si>
  <si>
    <t>71404493 XP_804948 1 70868161 EAN83097 71398706 XP_802630 70864315 EAN81184 322816149 EFZ24567 TCSYLVIO_9284 71744884 XP_827072 70831237 EAN76742 340056126 CCC50455 261331319 CBH14309 146076180 XP_001462863 134066944 CAM65049 322496293 CBZ31364 76363651 XP_888537 12311861 CAC22677 154331796 XP_001561715 134059035 CAM41507 322488013 CBZ23258</t>
  </si>
  <si>
    <t>sp|Q13451|FKBP5_HUMAN</t>
  </si>
  <si>
    <t>Q13451 FKBP5_HUMAN FKBP5 1 2 Q95L05 FKBP5_CHLAE Q9XSI2 FKBP5_SAGOE Q5U8Z7 CYP40 Q5RF88 FKBP5_PONAB Q9PEJ7 3 Q2KHU5 MACD1_BOVIN MACROD1 Q8W585 FTSH8_ARATH 8 FTSH8 P42679 A1R516 IF2_ARTAT TC1</t>
  </si>
  <si>
    <t xml:space="preserve">PEPTIDYL PROLYL CIS TRANS ISOMERASE OS HOMO SAPIENS GN PE SV CHLOROCEBUS AETHIOPS SAGUINUS OEDIPUS PPID_AMAMU D AMANITA MUSCARIA PONGO ABELII PLSB_XYLFA GLYCEROL PHOSPHATE ACYLTRANSFERASE XYLELLA FASTIDIOSA PLSB MACRO DOMAIN CONTAINING BOS TAURUS ATP DEPENDENT ZINC METALLOPROTEASE FTSH CHLOROPLASTIC ARABIDOPSIS THALIANA MATK_HUMAN MEGAKARYOCYTE ASSOCIATED TYROSINE KINASE MATK TRANSLATION INITIATION FACTOR IF ARTHROBACTER AURESCENS STRAIN INFB </t>
  </si>
  <si>
    <t>PLN02894 0.054| Rhomboid_SP 0.075| M3B_PepF_4 | cysS | ABC_transp | thiK | actino_glycTran | PLN02981 | PRK07764 | PHA03307 |</t>
  </si>
  <si>
    <t>Transcription, General function prediction only, Signal transduction mechanisms</t>
  </si>
  <si>
    <t>268560270 XP_002646171 1 3 187040820 CAP20504</t>
  </si>
  <si>
    <t xml:space="preserve">C BRIGGSAE CBR APB </t>
  </si>
  <si>
    <t>sp|P39143|GUTR_BACSU</t>
  </si>
  <si>
    <t>P39143 4 1 Q9W0Y8 SCN60_DROME 60E NACP60E 2 5 Q9UKX5 ITA11_HUMAN 11 ITGA11 B5YDR3 PRMA_DICT6 L11 35947 3960 6 12 3 Q8BKT7 THOC5_MOUSE THOC5 Q6PD83 BZW1A_DANRE W2 BZW1A</t>
  </si>
  <si>
    <t xml:space="preserve">GUTR_BACSU TRANSCRIPTION ACTIVATOR GUTR OS BACILLUS SUBTILIS GN PE SV SODIUM CHANNEL DROSOPHILA MELANOGASTER INTEGRIN ALPHA HOMO SAPIENS RIBOSOMAL METHYLTRANSFERASE DICTYOGLOMUS THERMOPHILUM STRAIN ATCC DSM H PRMA THO COMPLEX SUBUNIT HOMOLOG MUS MUSCULUS BASIC LEUCINE ZIPPER DOMAIN CONTAINING A DANIO RERIO </t>
  </si>
  <si>
    <t>ndhD | PRK14961 | YMF19 | Borrelia_orfA | Baculo_helicase | rnh | SVM_signal | Dicty_REP | PRK05182 | PRK15195 |</t>
  </si>
  <si>
    <t>90820030 ABD98772 1 L19E 70909749 CAJ17300 91083093 XP_969190 270007672 EFA04120 TCASGA2_TC014362 70909751 CAJ17301 307214658 EFN89597 60S L19 307209821 EFN86617 307200754 EFN80821 91093863 XP_967375 270014521 EFA10969 TCASGA2_TC004131 340726296 XP_003401496 156554769 XP_001602817</t>
  </si>
  <si>
    <t>sp|P36241|RL19_DROME</t>
  </si>
  <si>
    <t>P36241 RL19_DROME 60S L19 RPL19 1 2 Q7ZYS1 RL19_XENLA P84100 RL19_RAT Q5RB99 RL19_PONAB P84099 RL19_MOUSE Q8HXN9 RL19_MACFA P84098 RL19_HUMAN D0VWQ5 RL19_CANFA Q3T0W9 RL19_BOVIN Q6P5L3 RL19_DANRE</t>
  </si>
  <si>
    <t xml:space="preserve">RIBOSOMAL OS DROSOPHILA MELANOGASTER GN PE SV XENOPUS LAEVIS RATTUS NORVEGICUS PONGO ABELII MUS MUSCULUS MACACA FASCICULARIS HOMO SAPIENS CANIS FAMILIARIS BOS TAURUS DANIO RERIO </t>
  </si>
  <si>
    <t>Ribosomal protein L19 - Drosophila melanogaster - cytosolic large ribosomal subunit - structural constituent of ribosome - translation - ribosome - mitotic spindle elongation</t>
  </si>
  <si>
    <t>PTZ00097 3e-024| Ribosomal_L19e_E 3e-022| PTZ00436 1e-014| Ribosomal_L19e 4e-013| Ribosomal_L19e 1e-011| RPL19A 3e-005| tolA_full 3e-004| Nop53 0.002| PTZ00121 0.002| Ribosomal_L19e_A 0.003|</t>
  </si>
  <si>
    <t>242022033 XP_002431446 1 212516734 EEB18708 328779855 XP_001121677 2 282392017 NP_001164152 270002790 EEZ99237 332024057 EGI64274 328709085 XP_001950137 322802058 EFZ22569 SINV_01136 340721936 XP_003399369 340721938 XP_003399370 156550985 XP_001604343</t>
  </si>
  <si>
    <t xml:space="preserve">KH DOMAIN HELD OUT WINGS LIKE HYPOTHETICAL ISOFORM SIMILAR TO RNA BINDING </t>
  </si>
  <si>
    <t>sp|O01367|HOW_DROME</t>
  </si>
  <si>
    <t>O01367 1 P70323 TBX1_MOUSE TBX1 2 Q5XIY8 PAXI1_DANRE PAXIP1 Q2TA51 KRA55_MOUSE 5 KRTAP5 Q62220 KRA54_MOUSE 4 Q64507 KRA51_MOUSE Q6L8H1 KRA54_HUMAN P31316 GSX2_MOUSE GSX2 Q9BYR2 KRA45_HUMAN KRTAP4 3 Q9KQF5 TOP3_VIBCH</t>
  </si>
  <si>
    <t xml:space="preserve">HOW_DROME HELD OUT WINGS OS DROSOPHILA MELANOGASTER GN HOW PE SV T BOX TRANSCRIPTION FACTOR MUS MUSCULUS PAX INTERACTING DANIO RERIO KERATIN ASSOCIATED HOMO SAPIENS GS HOMEOBOX DNA TOPOISOMERASE VIBRIO CHOLERAE TOPB </t>
  </si>
  <si>
    <t>PHA03142 0.018| PRK04375 0.038| cobN 0.085| PRK09121 | PLN03174 | DMB-PRT_CobT | PLN02203 | COG1817 | Keratin_B2 | nifA |</t>
  </si>
  <si>
    <t>242004839 XP_002423284 1 212506286 EEB10546 307192145 EFN75473 340727100 XP_003401889 193699897 XP_001950892 2 194758457 XP_001961478 GF14911 190615175 EDV30699 289739863 ADD18679 PC4 195116471 XP_002002778 GI17570 193913353 EDW12220 332021090 EGI61477 125984786 XP_001356157 GA16401 195161954 XP_002021821 GL26710 54644476 EAL33217 194103621 EDW25664 195438044 XP_002066947 GK24748 194163032 EDW77933</t>
  </si>
  <si>
    <t xml:space="preserve">CONSERVED HYPOTHETICAL INTERFERON RELATED DEVELOPMENTAL REGULATOR LIKE </t>
  </si>
  <si>
    <t>sp|Q5S1U6|IFRD1_PIG</t>
  </si>
  <si>
    <t>Q5S1U6 IFRD1_PIG 1 IFRD1 2 O00458 IFRD1_HUMAN 4 P19182 IFRD1_MOUSE P20695 IFRD1_RAT Q12894 IFRD2_HUMAN IFRD2 3 O55730 VF115_IIV6 115R 6 IIV6 Q11177 DHS27_CAEEL 27 Q8I5I1 YL135_PLAF7 PFL1135C 3D7 Q9Z0T6 Q14692 BMS1_HUMAN BMS1</t>
  </si>
  <si>
    <t xml:space="preserve">INTERFERON RELATED DEVELOPMENTAL REGULATOR OS SUS SCROFA GN PE SV HOMO SAPIENS MUS MUSCULUS RATTUS NORVEGICUS UNCHARACTERIZED INVERTEBRATE IRIDESCENT VIRUS OXIDOREDUCTASE DHS CAENORHABDITIS ELEGANS PLASMODIUM FALCIPARUM ISOLATE PKDRE_MOUSE POLYCYSTIC KIDNEY DISEASE RECEPTOR FOR EGG JELLY PKDREJ RIBOSOME BIOGENESIS HOMOLOG </t>
  </si>
  <si>
    <t>Drosophila melanogaster - binding</t>
  </si>
  <si>
    <t>IFRD_C 9e-014| ND4L 0.081| ND5 | DUF3796 | GPDPase_memb | 7TM_GPCR_Srz | Pox_G5 | MopB_Res-Cmplx1_Nad11-M | PHA03016 | COG4393 |</t>
  </si>
  <si>
    <t>Botryllus schlosseri</t>
  </si>
  <si>
    <t>435471 CAA53594 1 FK506 339522293 AEJ84311 FKBP2 327286584 XP_003228010 321478621 EFX89578 DAPPUDRAFT_303038 166157874 NP_001107353 2 13KDA 163916424 AAI57196 LOC100135178 213624509 AAI71199 213625723 AAI71197 148225919 NP_001079493 27694894 AAH43844 MGC53657 80479228 AAI08495 335281583 XP_003353837 335281585 XP_003353838 3 335281587 XP_003353839 4 332250118 XP_003274200 332250120 XP_003274201 332250122 XP_003274202 311247401 XP_003122628 164448580 NP_001106727 296471460 DAA13575</t>
  </si>
  <si>
    <t xml:space="preserve">BINDING PEPTIDYL PROLYL CIS TRANS ISOMERASE LIKE HYPOTHETICAL ISOFORM </t>
  </si>
  <si>
    <t>sp|P45878|FKBP2_MOUSE</t>
  </si>
  <si>
    <t>P45878 FKBP2_MOUSE FKBP2 1 Q32PA9 FKBP2_BOVIN 2 P26885 FKBP2_HUMAN Q9QVC8 FKBP4_RAT FKBP4 3 P27124 FKBP4_RABIT Q02790 FKBP4_HUMAN P30416 FKBP4_MOUSE 5 Q9TRY0 FKBP4_BOVIN 4 Q4WLV6 FKB1A_ASPFU FK506 1A 4609 AF293 101355 A1100 FPR1A Q95L05 FKBP5_CHLAE FKBP5</t>
  </si>
  <si>
    <t xml:space="preserve">PEPTIDYL PROLYL CIS TRANS ISOMERASE OS MUS MUSCULUS GN PE SV BOS TAURUS HOMO SAPIENS RATTUS NORVEGICUS ORYCTOLAGUS CUNICULUS BINDING NEOSARTORYA FUMIGATA STRAIN ATCC MYA CBS FGSC CHLOROCEBUS AETHIOPS </t>
  </si>
  <si>
    <t>FK506 binding protein 2 - Rattus norvegicus - protein peptidyl-prolyl isomerization - peptidyl-prolyl cis-trans isomerase activity - FK506 binding - protein folding - membrane - isomerase activity - peptidyl-proline modification</t>
  </si>
  <si>
    <t>FKBP_C 1e-004| FkpA 1e-004| PRK10902 0.021| PRK11570 0.033| TIGR03766 | secF | ICE2 | GET2 | PLN02670 | cbiO |</t>
  </si>
  <si>
    <t>307199208 EFN79895 1 4 307188894 EFN73443 156543860 XP_001608154 ENSANGP00000011080 340718883 XP_003397892 91081497 XP_974526 AGAP008106 270005142 EFA01590 TCASGA2_TC007153 240849563 NP_001155715 239788066 BAH70728 ACYPI007522 332024033 EGI64251 66558617 XP_624818 242022136 XP_002431497 212516791 EEB18759 31223771 XP_317351 21300340 EAA12485</t>
  </si>
  <si>
    <t xml:space="preserve">TRAFFICKING PARTICLE COMPLEX SUBUNIT SIMILAR TO LIKE PA HYPOTHETICAL </t>
  </si>
  <si>
    <t>sp|Q2TBL9|TPPC4_BOVIN</t>
  </si>
  <si>
    <t>Q2TBL9 TPPC4_BOVIN 4 TRAPPC4 2 1 Q9ES56 TPPC4_MOUSE Q5R9J9 TPPC4_PONAB Q9Y296 TPPC4_HUMAN Q69BT7 TPPC4_RAT Q54UU1 TPPC4_DICDI 3 O43041 TRS23_SCHPO TRS23 38366 972 Q03784 TRS23_YEAST 23 204508 S288C Q557G3 TPPC1_DICDI TRAPPC1 Q2KMM2 TPPC1_RAT</t>
  </si>
  <si>
    <t xml:space="preserve">TRAFFICKING PARTICLE COMPLEX SUBUNIT OS BOS TAURUS GN PE SV MUS MUSCULUS PONGO ABELII HOMO SAPIENS RATTUS NORVEGICUS DICTYOSTELIUM DISCOIDEUM TRANSPORT SCHIZOSACCHAROMYCES POMBE STRAIN ATCC SACCHAROMYCES CEREVISIAE </t>
  </si>
  <si>
    <t>Drosophila melanogaster - TRAPP complex - vesicle-mediated transport - ER to Golgi vesicle-mediated transport - cis-Golgi network</t>
  </si>
  <si>
    <t>Sybindin 1e-043| TRS23 5e-025| Sedlin_N 9e-007| RNA_helicase | oorB | PDZ_CTP_protease | TRS20 | PDZ | PDZ | M20_peptT |</t>
  </si>
  <si>
    <t>Dictyostelium purpureum</t>
  </si>
  <si>
    <t>330802843 XP_003289422 1 DICPUDRAFT_153796 325080505 EGC34058 70951384 XP_744936 56525091 CAH74654 222445022 ZP_03607537 METSMIALI_00639 222434587 EEE41752 220914033 YP_002489342 219860911 ACL41253 148642791 YP_001273304 148551808 ABQ86936 57283674 CAG30669 261350409 ZP_05975826 C4 288861192 EFC93490 66806341 XP_636893 DDB_G0288121 60465313 EAL63405 328876649 EGG25012 257076774 ZP_05571135 FACI_06921</t>
  </si>
  <si>
    <t xml:space="preserve">HYPOTHETICAL CONSERVED PAS PAC SENSOR DNA HELICASE II UVRD ALPHA GLUCOSIDASE TOPOISOMERASE BINDING ZINC FINGER DOMAIN NON RECEPTOR TYROSINE KINASE </t>
  </si>
  <si>
    <t>sp|Q54NK1|Y3248_DICDI</t>
  </si>
  <si>
    <t>Q54NK1 Y3248_DICDI DDB_G0285189 4 1 B0G134 Y2946_DICDI DDB_G0294619 2 Q54NC6 APC1_DICDI ANAPC1 3 Q54X25 INT5_DICDI 5 DDB_G0279251 Q8I3Z1 MLRR1_PLAF7 PFE0570W 3D7 Q8T158 FAM91_DICDI FAM91 Q7KWX1 BLML1_DICDI DDB_G0276787 Q54TT4 COG3_DICDI COG3 Q54K19 P54675 PI3K3_DICDI</t>
  </si>
  <si>
    <t xml:space="preserve">UNCHARACTERIZED OS DICTYOSTELIUM DISCOIDEUM GN PE SV TRANSMEMBRANE ANAPHASE PROMOTING COMPLEX SUBUNIT INTEGRATOR LIKE MATH LRR DOMAIN CONTAINING PLASMODIUM FALCIPARUM ISOLATE HOMOLOG BETA LACTAMASE CONSERVED OLIGOMERIC GOLGI MYBD_DICDI MYB D MYBD PHOSPHATIDYLINOSITOL KINASE PIKC </t>
  </si>
  <si>
    <t>Mycoplas_LppA | Viral_Hsp90 | ND2 | PLN02499 | PRK06606 | DDOST_48kD | flhA | PLN02915 | PHA03367 | AcnA_IRP |</t>
  </si>
  <si>
    <t>328790834 XP_396514 4 ECT2 340727322 XP_003401995 1 156542969 XP_001602580 307196334 EFN77944 332027055 EGI67151 322795799 EFZ18478 SINV_12193 307187372 EFN72495 328705124 XP_001943305 2 328705122 XP_003242704 328704148 XP_001946351</t>
  </si>
  <si>
    <t xml:space="preserve">LOW QUALITY LIKE SIMILAR TO CONSERVED HYPOTHETICAL ISOFORM </t>
  </si>
  <si>
    <t>sp|Q07139|ECT2_MOUSE</t>
  </si>
  <si>
    <t>Q07139 ECT2_MOUSE ECT2 1 Q9H8V3 ECT2_HUMAN 3 Q553D3 Q80U35 17 ARHGEF17 2 Q96PE2 Q69ZL1 FGD6_MOUSE 6 FGD6 Q6ZV73 FGD6_HUMAN Q91ZT5 FGD4_MOUSE 4 FGD4 Q55E26 Q1ZXH8 30</t>
  </si>
  <si>
    <t xml:space="preserve">OS MUS MUSCULUS GN PE SV HOMO SAPIENS GXCJJ_DICDI RAC GUANINE NUCLEOTIDE EXCHANGE FACTOR JJ DICTYOSTELIUM DISCOIDEUM GXCJJ ARHGH_MOUSE RHO ARHGH_HUMAN FYVE RHOGEF PH DOMAIN CONTAINING GXCB_DICDI B GXCB GXCDD_DICDI FOR GXCDD </t>
  </si>
  <si>
    <t>pebble - Drosophila melanogaster - guanyl-nucleotide exchange factor activity - cytokinesis - nucleus - Malpighian tubule morphogenesis - cytokinesis, actomyosin contractile ring assembly - Rho guanyl-nucleotide exchange factor activity - peripheral nervous system development - cell adhesion - regulation of cell shape - regulation of Rho protein signal transduction - intracellular - cytokinesis after meiosis II - cytokinesis after meiosis I - spindle assembly - mesoderm migration involved in gastrulation - mesodermal cell migration - regulation of axonogenesis - establishment of protein localization - nervous system development</t>
  </si>
  <si>
    <t>PH_etc2 4e-040| RhoGEF 4e-031| RhoGEF 4e-026| RhoGEF 3e-021| ROM1 1e-006| DUF3453 | MpPF26 | PRK10788 | ND1 | 3a01205 |</t>
  </si>
  <si>
    <t>307214126 EFN89290 1 NEDD8 UBC12 307186403 EFN72037 340708551 XP_003392887 2 322782480 EFZ10429 SINV_02930 48102172 XP_392749 340708549 XP_003392886 332021581 EGI61946 156541768 XP_001600699 242023913 XP_002432375 212517798 EEB19637 114052396 NP_001040241 E2M 87248485 ABD36295 157120507 XP_001653638 157120509 XP_001653639 157120511 XP_001653640 108874913 EAT39138 108874914 EAT39139 108874915 EAT39140</t>
  </si>
  <si>
    <t xml:space="preserve">CONJUGATING ENZYME LIKE ISOFORM HYPOTHETICAL SIMILAR TO UBIQUITIN M </t>
  </si>
  <si>
    <t>sp|Q6P8D9|UBC12_XENTR</t>
  </si>
  <si>
    <t>Q6P8D9 UBC12_XENTR NEDD8 UBC12 UBE2M 2 1 Q6DCZ9 UBC12_XENLA P61082 UBC12_MOUSE P61081 UBC12_HUMAN A3KN22 UBC12_BOVIN Q9VSF3 UBC12_DROME CG7375 Q6C9W0 UBC12_YARLI 122 150 3 Q9SDY5 RCE1_ARATH RCE1 Q9ZU75 UB12L_ARATH RCE2 O74549 UBC12_SCHPO 38366 972</t>
  </si>
  <si>
    <t xml:space="preserve">CONJUGATING ENZYME OS XENOPUS TROPICALIS GN PE SV LAEVIS MUS MUSCULUS HOMO SAPIENS BOS TAURUS DROSOPHILA MELANOGASTER YARROWIA LIPOLYTICA STRAIN CLIB E ARABIDOPSIS THALIANA PROBABLE LIKE SCHIZOSACCHAROMYCES POMBE ATCC </t>
  </si>
  <si>
    <t>NEDD8-conjugating enzyme Ubc12 - Xenopus (Silurana) tropicalis - ubiquitin-protein ligase activity - protein modification process - protein ubiquitination - ribosomal S6-glutamic acid ligase activity - NEDD8 ligase activity - protein neddylation</t>
  </si>
  <si>
    <t>UQ_con 4e-043| COG5078 5e-035| UBCc 2e-031| UBCc 6e-030| PLN00172 1e-022| PTZ00390 5e-020| galT_2 | RWD | RWD | sss |</t>
  </si>
  <si>
    <t>328714367 XP_001949774 2 26S 1 242006924 XP_002424292 212507692 EEB11554 91082073 XP_966419 195112364 XP_002000744 GI10395 193917338 EDW16205 307200651 EFN80759 195463054 XP_002075886 GK20267 194171971 EDW86872 195449513 XP_002072105 GK22666 194168190 EDW83091 335057529 NP_001229394 289741041 ADD19268 RPN2 PSMD1 195061865 XP_001996086 GH14298 193891878 EDV90744</t>
  </si>
  <si>
    <t xml:space="preserve">PROTEASOME NON ATPASE REGULATORY SUBUNIT LIKE ISOFORM SIMILAR TO COMPLEX </t>
  </si>
  <si>
    <t>sp|Q9V3P6|PSMD1_DROME</t>
  </si>
  <si>
    <t>Q9V3P6 PSMD1_DROME 26S 1 RPN2 O88761 PSMD1_RAT PSMD1 2 Q3TXS7 PSMD1_MOUSE Q5F418 PSMD1_CHICK Q5R5S4 PSMD1_PONAB Q99460 PSMD1_HUMAN Q54JM5 PSMD1_DICDI O74762 RPN2_SCHPO 38366 972 Q18115 PSMD1_CAEEL 4 Q8WZ42</t>
  </si>
  <si>
    <t xml:space="preserve">PROTEASOME NON ATPASE REGULATORY SUBUNIT OS DROSOPHILA MELANOGASTER GN PE SV RATTUS NORVEGICUS MUS MUSCULUS GALLUS PONGO ABELII HOMO SAPIENS DICTYOSTELIUM DISCOIDEUM SCHIZOSACCHAROMYCES POMBE STRAIN ATCC CAENORHABDITIS ELEGANS RPN TITIN_HUMAN TITIN TTN </t>
  </si>
  <si>
    <t>Rpn2 - Drosophila melanogaster - proteasome regulatory particle, base subcomplex - proteolysis - proteasome regulatory particle - endopeptidase activity - binding - enzyme regulator activity - regulation of protein catabolic process - response to DNA damage stimulus</t>
  </si>
  <si>
    <t>RPN2 7e-005| DUF1980 0.012| PHA03132 0.094| COX3 | TLC | STT3 | VAR1 | PLN00181 | Ribosomal_L12p | PRK10352 |</t>
  </si>
  <si>
    <t>124806281 XP_001350679 1 23496805 AAN36359 114329887 YP_740790 YMF77 114150120 ABI51699 340056053 CCC50382 223984407 ZP_03634546 HOLDEFILI_01840 223963649 EEF68022 55296088 BAC66469 2 CDC25 66810580 XP_638997 74854523 Q54QM6 60467554 EAL65575 300773735 ZP_07083604 HMPREF0766_13936 300759906 EFK56733 227539583 ZP_03969632 227240496 EEI90511 297619206 YP_003707311 297378183 ADI36338 270002945 EEZ99392 164</t>
  </si>
  <si>
    <t xml:space="preserve">CONSERVED PLASMODIUM RNA EDITING COMPLEX HYPOTHETICAL TYROSINE PHOSPHATASE MPIP_DICDI FULL M PHASE INDUCER ALTNAME DUAL SPECIFICITY COBALTOCHELATASE GUSTATORY RECEPTOR </t>
  </si>
  <si>
    <t>sp|Q54QM6|MPIP_DICDI</t>
  </si>
  <si>
    <t>Q54QM6 CDC25 1 P32525 ECM25_YEAST ECM25 204508 S288C 2 Q89B40 3 B8D7K8 TUC7 P57401 B8D9A6 SYD_BUCA5 5A B3GY30 RECX_ACTP7 7 AP76 A3N1E6 RECX_ACTP2 5B L20 Q55E44 Q9C6H3 SINL2_ARATH E3 AT1G66620</t>
  </si>
  <si>
    <t xml:space="preserve">MPIP_DICDI M PHASE INDUCER PHOSPHATASE OS DICTYOSTELIUM DISCOIDEUM GN PE SV SACCHAROMYCES CEREVISIAE STRAIN ATCC ATPG_BUCBP ATP SYNTHASE GAMMA CHAIN BUCHNERA APHIDICOLA SUBSP BAIZONGIA PISTACIAE BP ATPG SYD_BUCAT ASPARTYL TRNA SYNTHETASE ACYRTHOSIPHON PISUM ASPS SYD_BUCAI REGULATORY RECX ACTINOBACILLUS PLEUROPNEUMONIAE SEROTYPE DHKE_DICDI HYBRID SIGNAL TRANSDUCTION HISTIDINE KINASE E DHKE UBIQUITIN LIGASE SINA LIKE ARABIDOPSIS THALIANA </t>
  </si>
  <si>
    <t>ND3 0.007| 7TM_GPCR_Srz 0.028| 7TM_GPCR_Srj 0.083| ND5 | YfhO | PRK01318 | GDPD_GDE1 | GpcrRhopsn4 | SSM4 | PLN02586 |</t>
  </si>
  <si>
    <t>Dinoroseobacter shibae DFL 12</t>
  </si>
  <si>
    <t>159043603 YP_001532397 1 157911363 ABV92796 149909399 ZP_01898054 149807509 EDM67458 115966201 XP_001196708 LOC553247 115896349 XP_788491 2 253747866 EET02340 GL50581_379 308234538 ZP_07665275 328944136 ZP_08241601 HMPREF0091_10826 327492105 EGF23879 321314365 YP_004206652 291483076 BAI84151 BSNT_01095 320020639 ADV95625 221116405 XP_002166193 50812191 NP_388519 221308474 ZP_03590321 BSUBS1_03608 221312796 ZP_03594601 BSUBSN3_03569 221317720 ZP_03599014 BSUBSJ_03523 221321998 ZP_03603292 BSUBSS_03604 33516975 O34341 32468707 CAB12457 320034775 EFW16718 CPSG_06677</t>
  </si>
  <si>
    <t xml:space="preserve">BINDING DEPENDENT TRANSPORT SYSTEMS INNER MEMBRANE COMPONENT SIMILAR TO PARTIAL HYPOTHETICAL ROD SHAPE DETERMINING MRED INTEGRAL YEBC_BACSU FULL UNCHARACTERIZED YEBC </t>
  </si>
  <si>
    <t>sp|O34341|YEBC_BACSU</t>
  </si>
  <si>
    <t>O34341 4 2 Q55EU4 Y6874_DICDI DDB_G0268748 3 1 Q9LX51 FBL64_ARATH AT3G59200 Q4Z8K6 RBP9X_DROME 9 10 P24884 NU5M_ASCSU 5 ND5 P0C6U6 R1A_CVHNL 1A NL63 P0C6X5 R1AB_CVHNL 1AB D2NWE2 ECFT1_LISM1 2A 08 5578 ECFT1 A0LXZ7 KT0803 Q55BN0 MED23_DICDI 23 MED23</t>
  </si>
  <si>
    <t xml:space="preserve">YEBC_BACSU UNCHARACTERIZED YEBC OS BACILLUS SUBTILIS GN PE SV ACTIN FRAGMIN KINASE DICTYOSTELIUM DISCOIDEUM F BOX LRR REPEAT ARABIDOPSIS THALIANA RAN BINDING PROTEINS HOMOLOG DROSOPHILA MELANOGASTER RANBPM NADH UBIQUINONE OXIDOREDUCTASE CHAIN ASCARIS SUUM REPLICASE POLYPROTEIN HUMAN CORONAVIRUS REP ENERGY COUPLING FACTOR TRANSPORTER TRANSMEMBRANE ECFT LISTERIA MONOCYTOGENES SEROTYPE STRAIN MUTS_GRAFK DNA MISMATCH REPAIR MUTS GRAMELLA FORSETII MEDIATOR RNA POLYMERASE II TRANSCRIPTION SUBUNIT </t>
  </si>
  <si>
    <t>ND4 0.084| PLN02631 | FtsW | ABC2_membrane_4 | MIG-14_Wnt-bd | ND5 | PRK06277 | DUF443 | LplB | CYTB |</t>
  </si>
  <si>
    <t>261327490 CBH10465 1 L3 72387812 XP_844330 62359481 AAX79918 70800863 AAZ10771 261327491 CBH10466 72387810 XP_844329 62359480 AAX79917 70800862 AAZ10770 71652016 XP_814673 71652018 XP_814674 70879667 EAN92822 70879668 EAN92823 340053197 CCC47485 322495094 CBZ30398 322495095 CBZ30399 322494411 CBZ29713 154343495 XP_001567693 134065025 CAM43137 157874311 XP_001685639 157876054 XP_001686391 157876056 XP_001686392 157876058 XP_001686393 157876060 XP_001686394 66476128 AAY51372 68128711 CAJ08844 68129465 CAJ08008 68129466 CAJ08009 68129467 CAJ08010 68129468 CAJ08011 146097013 XP_001468007 146099403 XP_001468635 134072373 CAM71081 134073003 CAM71722</t>
  </si>
  <si>
    <t xml:space="preserve">RIBOSOMAL MITOCHONDRIAL FRAGMENT </t>
  </si>
  <si>
    <t>sp|Q4R5Q0|RL3_MACFA</t>
  </si>
  <si>
    <t>Q4R5Q0 RL3_MACFA 60S L3 RPL3 2 3 P39023 RL3_HUMAN 1 P21531 RL3_RAT P27659 RL3_MOUSE P39872 RL3_BOVIN Q8NKF4 RL3_ASPFU 4609 AF293 101355 A1100 O16797 RL3_DROME P50880 RL3_CAEEL Q9NBK4 RL3_CAEBR Q759R7 RL3_ASHGO 10895 109 51 9923 1056</t>
  </si>
  <si>
    <t xml:space="preserve">RIBOSOMAL OS MACACA FASCICULARIS GN PE SV HOMO SAPIENS RATTUS NORVEGICUS MUS MUSCULUS BOS TAURUS NEOSARTORYA FUMIGATA STRAIN ATCC MYA CBS FGSC DROSOPHILA MELANOGASTER CAENORHABDITIS ELEGANS RPL BRIGGSAE ASHBYA GOSSYPII NRRL Y </t>
  </si>
  <si>
    <t>Uncharacterized protein - Homo sapiens - structural constituent of ribosome - intracellular - ribosome - translation</t>
  </si>
  <si>
    <t>PTZ00103 1e-048| rpl3p 1e-014| L3_arch 3e-014| PRK05035 4e-005| MdcG 1e-004| RplC 7e-004| Ribosomal_L3 9e-004| PLN02321 0.003| PHA03307 0.007| Imp-YgjV 0.021|</t>
  </si>
  <si>
    <t>71659667 XP_821554 1 5A 71659671 XP_821556 70886937 EAN99703 70886939 EAN99705 322815486 EFZ24133 71754505 XP_828167 70833553 EAN79055 261333965 CBH16959 289740047 ADD18771 340058220 CCC52574 52696276 1X6O 322815485 EFZ24132 322492367 CBZ27641 322492368 CBZ27642 154338682 XP_001565563 154338684 XP_001565564 154338686 XP_001565565 154338688 XP_001565566 134062615 CAM39057 134062616 CAM39058 134062617 CAM39059 134062618 CAM39060 146088636 XP_001466106 134070208 CAM68544 157870552 XP_001683826 157870554 XP_001683827 68126893 CAJ04911 68126894 CAJ04915</t>
  </si>
  <si>
    <t xml:space="preserve">EUKARYOTIC INITIATION FACTOR TRANSLATION PDB A CHAIN STRUCTURAL ANALYSIS LEISHMANIA BRAZILIENSIS </t>
  </si>
  <si>
    <t>sp|P19211|IF5A2_YEAST</t>
  </si>
  <si>
    <t>P19211 IF5A2_YEAST 5A 2 204508 S288C ANB1 1 3 P23301 IF5A1_YEAST HYP2 P56336 IF5A4_SOLTU 4 EIF5A4 P80639 IF5A_MAIZE TIF5A Q9C505 IF5A3_ARATH AT1G69410 Q9AXQ4 IF5A3_SOLLC O94083 IF5A_CANAL P24922 IF5A2_NICPL 5A2 P56335 IF5A3_SOLTU EIF5A3 Q9AXQ5 IF5A2_SOLLC</t>
  </si>
  <si>
    <t xml:space="preserve">EUKARYOTIC TRANSLATION INITIATION FACTOR OS SACCHAROMYCES CEREVISIAE STRAIN ATCC GN PE SV SOLANUM TUBEROSUM ZEA MAYS ARABIDOPSIS THALIANA LYCOPERSICUM CANDIDA ALBICANS NICOTIANA PLUMBAGINIFOLIA EIF </t>
  </si>
  <si>
    <t>Translation elongation factor eIF-5A - Saccharomyces cerevisiae - translation elongation factor activity - cytoplasm - translation - peptidyl-lysine modification to hypusine - translational elongation - RNA binding - ribosome binding - positive regulation of translational elongation - cytosolic ribosome - translational frameshifting - positive regulation of translational termination</t>
  </si>
  <si>
    <t>PTZ00328 2e-056| PLN03107 6e-029| eIF-5a 2e-017| eIF_5A 2e-017| S1_eIF5A 8e-017| Efp 1e-009| PRK03999 1e-006| S1_EF_like 0.012| ATPase-IIC_X-K 0.013| PTZ00283 |</t>
  </si>
  <si>
    <t>332021941 EGI62271 1 G5I_09399 24214619 NP_712100 45657839 YP_001925 LIC11986 24195594 AAN49118 45601079 AAS70562 281420813 ZP_06251812 281405105 EFB35785 70954465 XP_746278 PP1 56526830 CAH77292 68073109 XP_678469 56498949 CAH94488 83282161 XP_729648 23488069 EAA21213 307069629 YP_003878106 ZICARI_152 306482889 ADM89760 195441927 XP_002068713 GK17923 194164798 EDW79699 224161349 XP_002200510 195380944 XP_002049216 GJ21462 194144013 EDW60409</t>
  </si>
  <si>
    <t xml:space="preserve">HYPOTHETICAL DNA BINDING TRANSCRIPTIONAL ACTIVATOR CONSERVED ALPHA AMYLASE FAMILY LIKE SERINE THREONINE PHOSPHATASE RELATED SIMILAR TO POL </t>
  </si>
  <si>
    <t>sp|Q02081|LAC4_THACU</t>
  </si>
  <si>
    <t>Thanatephorus cucumeris</t>
  </si>
  <si>
    <t>Q02081 LAC4_THACU 4 LCC4 1 P08666 GB_HHV2H 2 HG52 3 P06763 GB_HHV23 333 B4PSQ2 B4HEJ6 Q9VFG8 P52034 K6PF_DROME 6</t>
  </si>
  <si>
    <t xml:space="preserve">LACCASE OS THANATEPHORUS CUCUMERIS GN PE SV ENVELOPE GLYCOPROTEIN B HUMAN HERPESVIRUS STRAIN KIBRA_DROYA KIBRA DROSOPHILA YAKUBA KIBRA_DROSE SECHELLIA KIBRA_DROME MELANOGASTER PHOSPHOFRUCTOKINASE PFK </t>
  </si>
  <si>
    <t>lanti_perm_MutE | ND2 | COG4984 | ND4 | ND4 | CoxD_Bacillus | Sig70_famx3 | ND5 | PRK08788 | PalH |</t>
  </si>
  <si>
    <t>145528868 XP_001450228 1 124417828 CAK82831 160881794 YP_001560762 160430460 ABX44023</t>
  </si>
  <si>
    <t xml:space="preserve">HYPOTHETICAL UNNAMED PRODUCT DIGUANYLATE CYCLASE </t>
  </si>
  <si>
    <t>sp|Q6FS70|PAN2_CANGA</t>
  </si>
  <si>
    <t>Q6FS70 PAN2_CANGA PAN2 2001 138 3761 0622 65 3 1 O17930 NH268_CAEEL 268 2 O17931 NH197_CAEEL 197</t>
  </si>
  <si>
    <t xml:space="preserve">PAB DEPENDENT POLY A SPECIFIC RIBONUCLEASE SUBUNIT OS CANDIDA GLABRATA STRAIN ATCC CBS JCM NBRC NRRL Y GN PE SV NUCLEAR HORMONE RECEPTOR FAMILY MEMBER NHR CAENORHABDITIS ELEGANS </t>
  </si>
  <si>
    <t>PTZ00404 | PRK00110 | PTZ00046 | tolC | DUF28 | WSN | 2A1904 | PRK13354 | COG0217 | Nitroreductase_2 |</t>
  </si>
  <si>
    <t>Faecalibacterium prausnitzii M21/2</t>
  </si>
  <si>
    <t>160944001 ZP_02091231 1 FAEPRAM212_01502 158444677 EDP21681 295700719 YP_003608612 295439932 ADG19101 170690970 ZP_02882136 170144219 EDT12381 295104820 CBL02364 209518976 ZP_03267785 209500559 EEA00606 294786328 ZP_06751582 315225870 ZP_07867658 294485161 EFG32795 315120002 EFT83134 332668787 YP_004451794 S9 332337824 AEE44407 326932037 XP_003212128 2 296158571 ZP_06841401 295891139 EFG70927 187921566 YP_001890598 187720004 ACD21227</t>
  </si>
  <si>
    <t xml:space="preserve">HYPOTHETICAL BETA LACTAMASE TRANSCRIPTIONAL REGULATORS HEME BIOSYNTHESIS RELATED CONSERVED PEPTIDASE PROLYL OLIGOPEPTIDASE ACTIVE SITE DOMAIN CONTAINING REPRESSOR SCRATCH LIKE </t>
  </si>
  <si>
    <t>sp|B3R1K1|SYH_CUPTR</t>
  </si>
  <si>
    <t>Cupriavidus taiwanensis (strain R1 / LMG 19424)</t>
  </si>
  <si>
    <t>B3R1K1 R1 19424 3 1 Q46ZI4 JMP134 1197 Q0K963 17699 H16 428 337 Q13X29 LB400 A4JEN9 G4 22486 Q2SWE3 E264 700388 13276 106301 Q39FR0 SYH_BURS3 383 Q63UT2 B2SXS9 17436 B2JIV0 SYH_BURP8 17167 STM815</t>
  </si>
  <si>
    <t xml:space="preserve">SYH_CUPTR HISTIDYL TRNA SYNTHETASE OS CUPRIAVIDUS TAIWANENSIS STRAIN LMG GN HISS PE SV SYH_CUPPJ PINATUBONENSIS SYH_CUPNH NECATOR ATCC DSM STANIER SYH_BURXL BURKHOLDERIA XENOVORANS SYH_BURVG VIETNAMIENSIS SYH_BURTA THAILANDENSIS CIP SYH_BURPS PSEUDOMALLEI SYH_BURPP PHYTOFIRMANS PSJN PHYMATUM </t>
  </si>
  <si>
    <t>NUC194 | Tweety_N | PLN03159 | PRK13574 | GH16_Strep_laminarinase_like | PHA02970 | Dsh_C | PNK-3'Pase | CD4-extracel | Phage_portal_2 |</t>
  </si>
  <si>
    <t>Leuconostoc citreum KM20</t>
  </si>
  <si>
    <t>170017677 YP_001728596 1 169804534 ACA83152</t>
  </si>
  <si>
    <t xml:space="preserve">CYTOCHROME B SUBUNIT BC COMPLEX </t>
  </si>
  <si>
    <t>sp|Q58990|Y1595_METJA</t>
  </si>
  <si>
    <t>Q58990 Y1595_METJA UPF0104 MJ1595 43067 2661 1 10045 100440 3 Q9PR32 Y112_UREPA UU112 4 O84639 B0BA88 L2B Q3KL61 13 571B B0B8K9 NQRA_CHLT2 L2 434 902B E0TIQ1</t>
  </si>
  <si>
    <t xml:space="preserve">MEMBRANE OS METHANOCALDOCOCCUS JANNASCHII STRAIN ATCC DSM JAL JCM NBRC GN PE SV UNCHARACTERIZED UREAPLASMA PARVUM NQRA_CHLTR PROBABLE NA TRANSLOCATING NADH QUINONE REDUCTASE SUBUNIT A CHLAMYDIA TRACHOMATIS NQRA NQRA_CHLTB SEROVAR UCH PROCTITIS NQRA_CHLTA HAR VR BU AROC_ZINIC CHORISMATE SYNTHASE ZINDERIA INSECTICOLA CARI AROC </t>
  </si>
  <si>
    <t>ND5 | DUF2074 | DUF1951 | Cyt_b561_CYBRD1 | ND2 | DUF3880 | PRK10551 | tpt | PRK08601 | PHA03074 |</t>
  </si>
  <si>
    <t>Mycobacterium tuberculosis 210</t>
  </si>
  <si>
    <t>294996847 ZP_06802538 1 MTUB2_20673 108773101 YP_636010 SCOBCP071 88696667 ABD48293 294995292 ZP_06800983 MTUB2_12463 294993686 ZP_06799377 MTUB2_04036 153816664 ZP_01969332 RUMTOR_02920 145846003 EDK22921 294994954 ZP_06800645 MTUB2_10695 294993368 ZP_06799059 MTUB2_02392 168703125 ZP_02735402 GOBSU_26581 325923567 ZP_08185207 XGA_4248 325545955 EGD17169 294993873 ZP_06799564 MTUB2_04996</t>
  </si>
  <si>
    <t>sp|P15615|YM14_PARTE</t>
  </si>
  <si>
    <t>P15615 YM14_PARTE ORF14 4 1 Q54UX2 Y8253_DICDI DDB_G0280807 P15577 NU2M_PARTE 2 ND2 3 P54783 204508 S288C ALO1 O43025 C354 11C 38366 972 SPBC354 A8AVT2 35105 CH1 DL1 V288 Q54MI8 Y5861_DICDI DDB_G0285949 Q54GV3 Y6140_DICDI DDB_G0289959 Q06SF4 RPOB2_STIHE RPOB2 P30397</t>
  </si>
  <si>
    <t xml:space="preserve">UNCHARACTERIZED MITOCHONDRIAL OS PARAMECIUM TETRAURELIA PE SV TRANSMEMBRANE DICTYOSTELIUM DISCOIDEUM GN NADH UBIQUINONE OXIDOREDUCTASE CHAIN ALO_YEAST D ARABINONO LACTONE OXIDASE SACCHAROMYCES CEREVISIAE STRAIN ATCC YGVB_SCHPO MEMBRANE SCHIZOSACCHAROMYCES POMBE MRAY_STRGC PHOSPHO N ACETYLMURAMOYL PENTAPEPTIDE TRANSFERASE STREPTOCOCCUS GORDONII CHALLIS MRAY DNA DIRECTED RNA POLYMERASE SUBUNIT BETA C TERMINAL SECTION STIGEOCLONIUM HELVETICUM ROAA_EUGGR RIBOSOMAL OPERON ASSOCIATED A EUGLENA GRACILIS ROAA </t>
  </si>
  <si>
    <t>ND5 0.003| ND2 0.008| Ycf1 0.028| FAD_lactone_ox 0.036| Imp | ATP6 | ND5 | ND6 | ycf1 | Utp14 |</t>
  </si>
  <si>
    <t>Cynopterus sphinx</t>
  </si>
  <si>
    <t>254943266 ACT89777 1 5 301769335 XP_002920086 5AC1 281353891 EFB29475 PANDA_008772 194222939 XP_001502534 2 194663920 XP_001252222 297470758 XP_002684720 296491567 DAA33610 332225521 XP_003261927 311270112 XP_003132772 297670544 XP_002813425 166215762 P0C628 O5AC1_HUMAN OR3 114588117 XP_001138982</t>
  </si>
  <si>
    <t xml:space="preserve">OLFACTORY RECEPTOR FAMILY LIKE HYPOTHETICAL SUBFAMILY I MEMBER FULL ALTNAME </t>
  </si>
  <si>
    <t>sp|P0C628|O5AC1_HUMAN</t>
  </si>
  <si>
    <t>P0C628 O5AC1_HUMAN 5AC1 OR5AC1 3 1 Q4A5Q4 POTA_MYCS5 53 2 P81425 DPP4_BOVIN 4 DPP4 Q6EVZ2 YCF1_NYMAL YCF1 Q9Z160 COG1_MOUSE COG1 Q8I5I1 YL135_PLAF7 PFL1135C 3D7 A1XG13 YCF1_NUPAD P40453 UBP7_YEAST 7 204508 S288C UBP7 A3CV35 35101 1498 JR1 Q7TS48 OL180_MOUSE OLFR180</t>
  </si>
  <si>
    <t xml:space="preserve">OLFACTORY RECEPTOR OS HOMO SAPIENS GN PE SV SPERMIDINE PUTRESCINE IMPORT ATP BINDING POTA MYCOPLASMA SYNOVIAE STRAIN DIPEPTIDYL PEPTIDASE BOS TAURUS MEMBRANE NYMPHAEA ALBA CONSERVED OLIGOMERIC GOLGI COMPLEX SUBUNIT MUS MUSCULUS UNCHARACTERIZED PLASMODIUM FALCIPARUM ISOLATE NUPHAR ADVENA UBIQUITIN CARBOXYL TERMINAL HYDROLASE SACCHAROMYCES CEREVISIAE ATCC PAN_METMJ PROTEASOME ACTIVATING NUCLEOTIDASE METHANOCULLEUS MARISNIGRI DSM PAN </t>
  </si>
  <si>
    <t>PRK07818 | Mannosyl_trans2 | DUF918 | DUF1776 | metL | ACT_3PGDH-like | COG4582 | spore_sigI | Not1 | Chlor_Arch_YYY |</t>
  </si>
  <si>
    <t>307192237 EFN75539 1 26S 7 332024295 EGI64494 340723783 XP_003400268 307182723 EFN69847 242005641 XP_002423672 212506841 EEB10934 66522335 XP_391960 2 156538072 XP_001607520 114052713 NP_001040543 95103074 ABF51478 51593150 AAH78476 MGC84052 291243200 XP_002741491</t>
  </si>
  <si>
    <t xml:space="preserve">PROTEASOME NON ATPASE REGULATORY SUBUNIT LIKE SIMILAR TO PROSOME MACROPAIN </t>
  </si>
  <si>
    <t>sp|P51665|PSD7_HUMAN</t>
  </si>
  <si>
    <t>P51665 PSD7_HUMAN 26S 7 PSMD7 1 2 P26270 PSD7_DROME MOV34 6 P26516 PSD7_MOUSE Q3ZBD0 PSD7_BOVIN O24412 PSD7_ARATH RPN8 Q8WZY4 RPN8_NEUCR 8 24698 74 OR23 1A 708 71 1257 987 3 Q08723 RPN8_YEAST 204508 S288C Q54WI8 PSD7_DICDI Q6FMD8 RPN8_CANGA 2001 138 3761 0622 65 Q75F44 RPN8_ASHGO 10895 109 51 9923 1056</t>
  </si>
  <si>
    <t xml:space="preserve">PROTEASOME NON ATPASE REGULATORY SUBUNIT OS HOMO SAPIENS GN PE SV DROSOPHILA MELANOGASTER MUS MUSCULUS BOS TAURUS PROBABLE ARABIDOPSIS THALIANA RPN NEUROSPORA CRASSA STRAIN ATCC CBS DSM FGSC SACCHAROMYCES CEREVISIAE DICTYOSTELIUM DISCOIDEUM CANDIDA GLABRATA JCM NBRC NRRL Y ASHBYA GOSSYPII </t>
  </si>
  <si>
    <t>proteasome (prosome, macropain) 26S subunit, non-ATPase, 7 (Mov34 homolog) - Danio rerio - central nervous system morphogenesis - proteasome complex</t>
  </si>
  <si>
    <t>MPN_RPN7_8 1e-037| PLN03246 5e-031| MPN_CSN6 4e-006| ND5 4e-004| PTZ00013 0.001| MPN_eIF3f 0.002| CTP_transf_1 0.003| 7TM_GPCR_Srz 0.003| ND4 0.005| MFS 0.012|</t>
  </si>
  <si>
    <t>DUF287 | PHA02798 | ALDH_BADH-GbsA |</t>
  </si>
  <si>
    <t>340719922 XP_003398393 1 3 328782034 XP_396057 4 340719920 XP_003398392 2 340719918 XP_003398391 340719924 XP_003398394 332030568 EGI70256 307207781 EFN85399 307165845 EFN60208 332030569 EGI70257 242025596 XP_002433210 212518751 EEB20472</t>
  </si>
  <si>
    <t>PABP-1234 9e-036| PABP 7e-034| PolyA 7e-026| PRK07764 3e-011| PRK07003 1e-008| PRK14951 1e-008| PRK12323 4e-007| PRK13875 2e-006| kgd 1e-005| PHA03247 2e-005|</t>
  </si>
  <si>
    <t>91085705 XP_972760 1 2 332019566 EGI60045 4 307172024 EFN63618 148707807 EDL39754 85861252 NP_080666 74190686 BAE28143 148707806 EDL39753 37359860 BAC97908 MKIAA0242 30913398 Q8VCH8 UBXN4_MOUSE 18043838 AAH19795 26344511 BAC35906 322796756 EFZ19189 SINV_15470 161728826 BAF94232 161728847 BAF94252</t>
  </si>
  <si>
    <t xml:space="preserve">SIMILAR TO UBX DOMAIN CONTAINING ISOFORM CRA_B UNNAMED PRODUCT CRA_A FULL ALTNAME ERASIN HYPOTHETICAL </t>
  </si>
  <si>
    <t>sp|Q8VCH8|UBXN4_MOUSE</t>
  </si>
  <si>
    <t>Q8VCH8 UBXN4_MOUSE 4 UBXN4 1 Q5HZY0 UBXN4_RAT 2 Q5R4I3 UBXN4_PONAB Q92575 UBXN4_HUMAN Q3ZBU9 UBXN4_BOVIN P34631 UBXN4_CAEEL P47049 UBX6_YEAST 6 204508 S288C UBX6 Q6GLV4 UBX1B_XENLA UBXN1 P38349 UBX7_YEAST 7 UBX7 Q6IP50 UBX1A_XENLA</t>
  </si>
  <si>
    <t xml:space="preserve">UBX DOMAIN CONTAINING OS MUS MUSCULUS GN PE SV RATTUS NORVEGICUS PONGO ABELII HOMO SAPIENS BOS TAURUS CAENORHABDITIS ELEGANS UBXN SACCHAROMYCES CEREVISIAE STRAIN ATCC B XENOPUS LAEVIS A </t>
  </si>
  <si>
    <t>UBX domain protein 4 - Mus musculus - nucleus - membrane - cellular_component - response to unfolded protein - endoplasmic reticulum - biological_process - molecular_function</t>
  </si>
  <si>
    <t>UBX 1e-015| UBX 1e-012| UBX 6e-012| SAKS1_UBX 2e-011| Faf1_UBX 3e-005| p47_UBX 0.054| Faf1_like1_UBX | cysW | PHA02732 | TagA |</t>
  </si>
  <si>
    <t>254943266 ACT89777 1 5 301769335 XP_002920086 5AC1 281353891 EFB29475 PANDA_008772 194222939 XP_001502534 2 194663920 XP_001252222 297470758 XP_002684720 296491567 DAA33610 121583932 NP_667205 201 32028182 AAP70788 OLFR201 148665799 EDK98215 MCG141725 332225521 XP_003261927 311270112 XP_003132772 297670544 XP_002813425 166215762 P0C628 O5AC1_HUMAN OR3</t>
  </si>
  <si>
    <t>P0C628 O5AC1_HUMAN 5AC1 OR5AC1 3 1 Q5N426 HIS1_SYNP6 27144 6301 1402 Q31Q54 HIS1_SYNE7 7942 Q95QW0 EIF3L_CAEEL P34466 K0664_CAEEL KIAA0664 2 A8XAA9 K0664_CAEBR</t>
  </si>
  <si>
    <t xml:space="preserve">OLFACTORY RECEPTOR OS HOMO SAPIENS GN PE SV ATP PHOSPHORIBOSYLTRANSFERASE SYNECHOCOCCUS STRAIN ATCC PCC SAUG HISG ELONGATUS EUKARYOTIC TRANSLATION INITIATION FACTOR SUBUNIT L CAENORHABDITIS ELEGANS EIF HOMOLOG CLU BRIGGSAE </t>
  </si>
  <si>
    <t>PRK08993 | DUF918 | COG1723 | HPPK | PLN03144 | ZnF_C4 | Circo_capsid | Chlor_Arch_YYY | PRK12268 | rpoB_arch |</t>
  </si>
  <si>
    <t>DUF420 |</t>
  </si>
  <si>
    <t>297819664 XP_002877715 1 297323553 EFH53974 151427584 FAA00349 47220523 CAG05549 290489054 ADD30911 RF1 302151403 ADK97630 6 330844829 XP_003294314 DICPUDRAFT_93198 325075248 EGC29161 258649598 YP_003204886 257143742 CAY39376 330508908 YP_004385336 MCON_3236 328929716 AEB69518 DUF20 257874825 ZP_05654478 257808991 EEV37811 160947498 ZP_02094665 PEPMIC_01432 158446632 EDP23627</t>
  </si>
  <si>
    <t xml:space="preserve">TPD TPA DUAL OXIDASE UNNAMED PRODUCT NADH DEHYDROGENASE SUBUNIT HYPOTHETICAL CYTOCHROME B UNKNOWN FUNCTION </t>
  </si>
  <si>
    <t>Q89AA9 Y411_BUCBP BBP_411 3 1 Q91ZC7 MRGA5_MOUSE A5 MRGPRA5 2 Q54EJ6 Y3923_DICDI DDB_G0291480 4 Q37375 NU4M_ACACA ND4 B0FWD5 NU4LM_AEDAE 4L ND4L P42934 PMT6_YEAST 6 204508 S288C PMT6 P24877 NU2M_ASCSU ND2 O86047 Q21286 YBF7_CAEEL K07E3 7 P03010 TRAC9_MAIZE AC9</t>
  </si>
  <si>
    <t xml:space="preserve">UNCHARACTERIZED TRANSPORTER OS BUCHNERA APHIDICOLA SUBSP BAIZONGIA PISTACIAE STRAIN BP GN PE SV MAS RELATED G COUPLED RECEPTOR MEMBER MUS MUSCULUS TRANSMEMBRANE DICTYOSTELIUM DISCOIDEUM NADH UBIQUINONE OXIDOREDUCTASE CHAIN ACANTHAMOEBA CASTELLANII AEDES AEGYPTI MT DOLICHYL PHOSPHATE MANNOSE MANNOSYLTRANSFERASE SACCHAROMYCES CEREVISIAE ATCC ASCARIS SUUM FLHC_YEREN FLAGELLAR TRANSCRIPTIONAL REGULATOR FLHC YERSINIA ENTEROCOLITICA PROBABLE CATION TRANSPORTING ATPASE CAENORHABDITIS ELEGANS TRANSPOSASE ZEA MAYS </t>
  </si>
  <si>
    <t>ND2 0.003| ND6 0.011| Oxidored_q4 0.072| ND5 | DUF1404 | ndhF | ND5 | GT_MraY | ND5 | 7TM_GPCR_Srt |</t>
  </si>
  <si>
    <t>Hydra magnipapillata</t>
  </si>
  <si>
    <t>221093957 XP_002168845 1 A1 221107248 XP_002159135 193667016 XP_001951063 70 47221831 CAG08885 156369841 XP_001628182 156215152 EDO36119 47122884 AAH70559 LOC397937 147901418 NP_001081585 400975 Q01588 RFA1_XENLA P70 65066 CAA47665 62751648 NP_001015732 82194954 Q5FW17 RFA1_XENTR 58477644 AAH89665 MGC107891 89269807 CAJ81527 115312915 AAI23969 213624489 AAI71175 213625713 AAI71177 291405375 XP_002719090 149724785 XP_001504393</t>
  </si>
  <si>
    <t xml:space="preserve">SIMILAR TO REPLICATION PARTIAL A KDA DNA BINDING SUBUNIT LIKE UNNAMED PRODUCT FULL SHORT RP ALTNAME FACTOR RF SINGLE STRANDED RPA </t>
  </si>
  <si>
    <t>sp|Q01588|RFA1_XENLA</t>
  </si>
  <si>
    <t>Q01588 RFA1_XENLA 70 RPA1 1 Q5FW17 RFA1_XENTR 2 Q6NY74 RFA1_DANRE Q8VEE4 RFA1_MOUSE Q5R7Q4 RFA1_PONAB P27694 RFA1_HUMAN Q24492 RFA1_DROME Q5ZJJ2 RFA1_CHICK Q92372 RFA1_SCHPO 38366 972 SSB1 O97472 RFA1_CAEBR 73 3</t>
  </si>
  <si>
    <t xml:space="preserve">REPLICATION A KDA DNA BINDING SUBUNIT OS XENOPUS LAEVIS GN PE SV TROPICALIS DANIO RERIO MUS MUSCULUS PONGO ABELII HOMO SAPIENS DROSOPHILA MELANOGASTER RPA GALLUS FACTOR SCHIZOSACCHAROMYCES POMBE STRAIN ATCC PROBABLE CAENORHABDITIS BRIGGSAE </t>
  </si>
  <si>
    <t>Uncharacterized protein - Sus scrofa - nucleotide-excision repair, DNA damage removal - DNA binding - nucleus - nucleoplasm - DNA replication factor A complex - cytoplasm - DNA replication - nucleotide-excision repair, DNA gap filling - actin cytoskeleton - PML body</t>
  </si>
  <si>
    <t>Rep_fac-A_C 2e-038| rpa1 9e-037| RPA1_DBD_C 8e-030| COG5036 0.073| Paf1 0.097| InfC | COG3513 | Npa1 | SIK1 | HAP1_N |</t>
  </si>
  <si>
    <t>Reticulon |</t>
  </si>
  <si>
    <t>Nesomimus parvulus</t>
  </si>
  <si>
    <t>74272089 ABA00902 1 8 74272097 ABA00908 151336637 ABS00793 7453459 AAF62819 AF140975_2 151336622 ABS00783 74272109 ABA00917 151336640 ABS00795 51101183 YP_063351 F0 45685257 AAS75384 151336454 ABS00671 74272105 ABA00914 151336631 ABS00789 7453355 AAF62740 AF140950_2 151336628 ABS00787 7453339 AAF62728 AF140946_2 7453343 AAF62731 AF140947_2 7453347 AAF62734 AF140948_2 7453351 AAF62737 AF140949_2 7453359 AAF62743 AF140951_2 7453363 AAF62746 AF140952_2 7453367 AAF62749 AF140953_2 151336613 ABS00777</t>
  </si>
  <si>
    <t xml:space="preserve">ATPASE SUBUNIT ATP SYNTHASE </t>
  </si>
  <si>
    <t>sp|Q5HGA3|CLS1_STAAC</t>
  </si>
  <si>
    <t>Staphylococcus aureus (strain COL)</t>
  </si>
  <si>
    <t>Q5HGA3 CLS1_STAAC 1 CLS1 3 Q60467 CO5A1_CRILO COL5A1 2 A4GYV4 YCF2_POPTR YCF2 Q14F97 YCF2_POPAL Q6GH88 CLS1_STAAR MRSA252</t>
  </si>
  <si>
    <t xml:space="preserve">CARDIOLIPIN SYNTHASE OS STAPHYLOCOCCUS AUREUS STRAIN COL GN PE SV COLLAGEN ALPHA V CHAIN CRICETULUS LONGICAUDATUS POPULUS TRICHOCARPA ALBA A </t>
  </si>
  <si>
    <t>NAS | ND5 | Phosphorylase | GT1_Glycogen_Phosphorylase | ATP6 | DUF1106 | ATP-synt_8 | TrbL | ATP8 | ERG4_ERG24 |</t>
  </si>
  <si>
    <t>sp|Q05793|PGBM_MOUSE</t>
  </si>
  <si>
    <t>Q05793 HSPG2 1 Q86AH2 Y1996_DICDI DDB_G0271996 4 P98160 Q8P6E6 3 Q4UXL9 KUP_XANC8 8004</t>
  </si>
  <si>
    <t xml:space="preserve">PGBM_MOUSE BASEMENT MEMBRANE SPECIFIC HEPARAN SULFATE PROTEOGLYCAN CORE OS MUS MUSCULUS GN PE SV FNIP REPEAT CONTAINING DICTYOSTELIUM DISCOIDEUM PGBM_HUMAN HOMO SAPIENS KUP_XANCP PROBABLE POTASSIUM TRANSPORT SYSTEM KUP XANTHOMONAS CAMPESTRIS PV STRAIN </t>
  </si>
  <si>
    <t>lanti_perm_MutE | DUF3402 | COG1031 | F_box_assoc_1 | PLN02535 | DUF2841 | RHD-n_RelB | PRK11815 | DUF576 |</t>
  </si>
  <si>
    <t>Simian retrovirus 4</t>
  </si>
  <si>
    <t>288549221 ADC52788 1 288549216 ADC52784 306478707 YP_003864102 285019940 ADC33201 118103728 XP_001234096 12044916 NP_072726 6226729 P47310 2 Y064_MYCGE MG064 3844662 AAC71282 166079075 ABY79693 209880527 XP_002141703 209557309 EEA07354</t>
  </si>
  <si>
    <t xml:space="preserve">POL HYPOTHETICAL ABC TRANSPORTER PERMEASE FULL UNCHARACTERIZED DEPHOSPHO COA KINASE FAMILY </t>
  </si>
  <si>
    <t>sp|P47310|Y064_MYCGE</t>
  </si>
  <si>
    <t>P47310 Y064_MYCGE MG064 3 2 A8MUB7 YE031_HUMAN ENSP00000382582 4 Q9V9I4 OR42B_DROME 42B OR42B A6W2U2 RL31_MARMS 50S L31 MWYL1 1 B9DNL2 TM300 P44546 51907 11121 KW20 Q8CE72 YE031_MOUSE A0LSK3 RL31_ACIC1 43068 11B Q5ALW7 PPME1_CANAL PPE1 P04025 POL_SRV1</t>
  </si>
  <si>
    <t xml:space="preserve">UNCHARACTERIZED ABC TRANSPORTER PERMEASE OS MYCOPLASMA GENITALIUM GN PE SV TRANSMEMBRANE HOMO SAPIENS ODORANT RECEPTOR DROSOPHILA MELANOGASTER RIBOSOMAL MARINOMONAS STRAIN RPME RECO_STACT DNA REPAIR RECO STAPHYLOCOCCUS CARNOSUS HFLK_HAEIN HFLK HAEMOPHILUS INFLUENZAE ATCC DSM RD HOMOLOG MUS MUSCULUS ACIDOTHERMUS CELLULOLYTICUS PHOSPHATASE METHYLESTERASE CANDIDA ALBICANS POL POLYPROTEIN SIMIAN RETROVIRUS SRV </t>
  </si>
  <si>
    <t>DUF3689 | PRK05580 | 7TM_GPCR_Srb | uvrC | CitF | PRK07028 | PLN02854 | lectin_legume_LecRK_Arcelin_ConA | ATP6 | Exostosin |</t>
  </si>
  <si>
    <t>328723857 XP_003247959 1</t>
  </si>
  <si>
    <t xml:space="preserve">V TYPE PROTON ATPASE SUBUNIT H LIKE </t>
  </si>
  <si>
    <t>sp|P34554|YNP1_CAEEL</t>
  </si>
  <si>
    <t>P34554 YNP1_CAEEL T05G5 1 4 3 Q558Z2 SUN1_DICDI SUN1 P50762 VE1_HPV24 E1 24 Q493M6 P32259 MED16_YEAST 16 204508 S288C SIN4 Q9U5N0 2</t>
  </si>
  <si>
    <t xml:space="preserve">UNCHARACTERIZED OS CAENORHABDITIS ELEGANS GN PE SV SUN DOMAIN CONTAINING DICTYOSTELIUM DISCOIDEUM REPLICATION HUMAN PAPILLOMAVIRUS TYPE SYA_BLOPB ALANYL TRNA SYNTHETASE BLOCHMANNIA PENNSYLVANICUS STRAIN BPEN ALAS MEDIATOR RNA POLYMERASE II TRANSCRIPTION SUBUNIT SACCHAROMYCES CEREVISIAE ATCC VATH_MANSE V PROTON ATPASE H MANDUCA SEXTA </t>
  </si>
  <si>
    <t>PHA02657 | DUF63 | ND5 | PRK15120 | Herpes_U15 | ND4 | integ_TIGR01906 | PRK13511 | SHR3_chaperone | Recep_L_domain |</t>
  </si>
  <si>
    <t>Sulfolobus acidocaldarius DSM 639</t>
  </si>
  <si>
    <t>70606043 YP_254913 1 SACI_0201 68566691 AAY79620 50549319 XP_502130 YALI0C22297P 49647997 CAG82450 17563374 NP_503156 78 4262599 AAD14723 70954084 XP_746106 56526621 CAH81705 PC108636 00 0 116203127 XP_001227375 CHGG_09448 88177966 EAQ85434 313836791 EFS74505 314929801 EFS93632 314972230 EFT16327 328907657 EGG27421 EF1B 340505912 EGR32178 IMG5_093020 310795948 EFQ31409 221120464 XP_002157255 148696195 EDL28142 MCG142164</t>
  </si>
  <si>
    <t xml:space="preserve">HYPOTHETICAL CONSERVED ARCHAEAL MEMBRANE SERPENTINE RECEPTOR CLASS H FAMILY MEMBER SRH PARTIALLY CONFIRMED BY TRANSCRIPT EVIDENCE TRANSLATION ELONGATION FACTOR TS NUCLEOTIDE SUGAR TRANSPORTER SIMILAR TO </t>
  </si>
  <si>
    <t>sp|P22746|MGP1_MYCGE</t>
  </si>
  <si>
    <t>P22746 MGP1_MYCGE 1 MG190 3 Q9FLS0 FB253_ARATH AT5G07610 2 Q6A7J8 KPA171202 16379 O94986 CE152_HUMAN 152 CEP152 A8LC59 EAN1PEC Q2QMT2 Y1223_ORYSJ B3 OS12G0592300 O09781 VP8_RRSVT VP8 4 O66878 P40532 APQ12_YEAST APQ12 204508 S288C P47522 Y280_MYCGE MG280</t>
  </si>
  <si>
    <t xml:space="preserve">MGP OPERON OS MYCOPLASMA GENITALIUM GN PE SV F BOX ARABIDOPSIS THALIANA EFTS_PROAC ELONGATION FACTOR TS PROPIONIBACTERIUM ACNES STRAIN DSM TSF CENTROSOMAL KDA HOMO SAPIENS EFG_FRASN G FRANKIA FUSA DOMAIN CONTAINING ORYZA SATIVA SUBSP JAPONICA STRUCTURAL PRECURSOR RICE RAGGED STUNT VIRUS ISOLATE THAILAND SMC_AQUAE CHROMOSOME PARTITION SMC AQUIFEX AEOLICUS SACCHAROMYCES CEREVISIAE ATCC UNCHARACTERIZED </t>
  </si>
  <si>
    <t>7TM_GPCR_Srsx 0.031| Glyco_transf_29 0.100| CXC | ND4 | ND5 | PLN02353 | PRK12664 | DUF1091 | 7TM_GPCR_Srv | Pox_P4B |</t>
  </si>
  <si>
    <t>DEAD_2 | xerS |</t>
  </si>
  <si>
    <t>Giardia intestinalis ATCC 50581</t>
  </si>
  <si>
    <t>253745637 EET01438 1 GL50581_1301 330803311 XP_003289651 DICPUDRAFT_154051 325080262 EGC33825 281203178 EFA77379 224007966 XP_002292942 220971068 EED89403 125860194 YP_001036364 120969339 ABM45782 167833753 ACA02629 319997407 ADV91305 68062128 XP_673067 56490643 CAI02307 PB300658 00 0 68075393 XP_679614 56500404 CAH98541</t>
  </si>
  <si>
    <t xml:space="preserve">HYPOTHETICAL CALPAIN LIKE CYSTEINE PROTEASE DNA HELICASE CONSERVED </t>
  </si>
  <si>
    <t>sp|P18292|THRB_RAT</t>
  </si>
  <si>
    <t>P18292 F2 1 Q9TY95 SERA_PLAF7 3D7 Q7RTW8 A4XHH4 KTHY_CALS8 43494 8903 3 A6H0Q2 JIP02 86 49511 Q4V8I3 TENS4_RAT 4 TNS4 2 Q5N7A3 LAC6_ORYSJ 6 LAC6 Q68CI2 Q9QXK7 CPSF3_MOUSE CPSF3 Q9UKF6 CPSF3_HUMAN</t>
  </si>
  <si>
    <t xml:space="preserve">THRB_RAT PROTHROMBIN OS RATTUS NORVEGICUS GN PE SV SERINE REPEAT ANTIGEN PLASMODIUM FALCIPARUM ISOLATE SERA OTOAN_HUMAN OTOANCORIN HOMO SAPIENS OTOA THYMIDYLATE KINASE CALDICELLULOSIRUPTOR SACCHAROLYTICUS STRAIN ATCC DSM TMK RLMH_FLAPJ RIBOSOMAL RNA LARGE SUBUNIT METHYLTRANSFERASE H FLAVOBACTERIUM PSYCHROPHILUM RLMH TENSIN LACCASE ORYZA SATIVA SUBSP JAPONICA DOPO_CANFA DOPAMINE BETA HYDROXYLASE CANIS FAMILIARIS DBH CLEAVAGE POLYADENYLATION SPECIFICITY FACTOR MUS MUSCULUS </t>
  </si>
  <si>
    <t>PSN | DUF3278 | DctQ | bcsA | RhoGEF | NTNH_C | mraY | SAP_like | TAS2R | PRK13682 |</t>
  </si>
  <si>
    <t>Lactobacillus delbrueckii subsp. lactis DSM 20072</t>
  </si>
  <si>
    <t>325686037 EGD28095 1 HMPREF5505_0252 82594459 XP_725433 23480440 EAA16998 258597941 XP_001348860 2 255528937 AAN37299 168013150 XP_001759264 A2 162689577 EDQ75948 168013040 XP_001759209 A3 162689522 EDQ75893 163797516 ZP_02191467 S6 159177265 EDP61824 168023069 XP_001764061 A1 89892731 ABD79099 162684800 EDQ71200 89892733 ABD79100 83286238 XP_730074 23489673 EAA21639 340500583 EGR27451 IMG5_196340</t>
  </si>
  <si>
    <t xml:space="preserve">HYPOTHETICAL CONSERVED PLASMODIUM UNKNOWN FUNCTION CELLULOSE SYNTHASE LIKE GLYCOSYLTRANSFERASE FAMILY MANNAN RIBOSOMAL </t>
  </si>
  <si>
    <t>sp|Q2W5G8|RS6_MAGSA</t>
  </si>
  <si>
    <t>Magnetospirillum magneticum (strain AMB-1 / ATCC 700264)</t>
  </si>
  <si>
    <t>Q2W5G8 RS6_MAGSA 30S S6 1 700264 3 A9H1N0 RS6_GLUDA 49037 5601 PAL5 O97239 DOP1_PLAF7 PFC0245C 3D7 2 Q5UQH6 YR821_MIMIV R821 MIMI_R821 Q98993 A0ZSK4 Q8IBP1 YPF16_PLAF7 PF07_0086 4 Q2RXC6 RS6_RHORT 11170 8255 B2KAW2 PEI191 Q91453</t>
  </si>
  <si>
    <t xml:space="preserve">RIBOSOMAL OS MAGNETOSPIRILLUM MAGNETICUM STRAIN AMB ATCC GN RPSF PE SV GLUCONACETOBACTER DIAZOTROPHICUS DSM DOPEY HOMOLOG PLASMODIUM FALCIPARUM ISOLATE UNCHARACTERIZED ACANTHAMOEBA POLYPHAGA MIMIVIRUS VTXB_SYNVE VERRUCOTOXIN SUBUNIT BETA SYNANCEIA VERRUCOSA STXB_SYNVE NEOVERRUCOTOXIN RHODOSPIRILLUM RUBRUM NCIB OBG_ELUMP GTPASE OBG ELUSIMICROBIUM MINUTUM STXB_SYNHO STONUSTOXIN HORRIDA </t>
  </si>
  <si>
    <t>RE_CfrBI | ND2 | 7TM_GPCR_Srbc | DUF2972 | ND5 | FPL | gltX | ATP6 | Srg | GT1_CapH_like |</t>
  </si>
  <si>
    <t>339262160 XP_003367545 1 4 316959585 EFV47697 339257118 XP_003370066 316956648 EFV46880</t>
  </si>
  <si>
    <t xml:space="preserve">INTERLEUKIN CONSERVED HYPOTHETICAL </t>
  </si>
  <si>
    <t>sp|Q56886|FLHB_YEREN</t>
  </si>
  <si>
    <t>Yersinia enterocolitica</t>
  </si>
  <si>
    <t>Q56886 3 1</t>
  </si>
  <si>
    <t xml:space="preserve">FLHB_YEREN FLAGELLAR BIOSYNTHETIC FLHB OS YERSINIA ENTEROCOLITICA GN PE SV </t>
  </si>
  <si>
    <t>PRK01175 | flhB | PRK15067 | PCC |</t>
  </si>
  <si>
    <t>sp|O24301|SUS2_PEA</t>
  </si>
  <si>
    <t>Pisum sativum</t>
  </si>
  <si>
    <t>O24301 SUS2_PEA 2 SUS2 1 Q42652 SS1 Q00917 SUS2_ARATH AT5G49190 Q05FH8 3</t>
  </si>
  <si>
    <t xml:space="preserve">SUCROSE SYNTHASE OS PISUM SATIVUM GN PE SV SUSY_BETVU FRAGMENT BETA VULGARIS ARABIDOPSIS THALIANA RPOB_CARRP DNA DIRECTED RNA POLYMERASE SUBUNIT CARSONELLA RUDDII STRAIN PV RPOB </t>
  </si>
  <si>
    <t>PLN00142 0.005| GT1_CapH_like | PRK14098 | sucr_synth | ND5 | ND4 | PHA02987 | 2A060601 | ND4 | DUF3533 |</t>
  </si>
  <si>
    <t>307206365 EFN84417 1 60S L24 242010172 XP_002425850 212509783 EEB13112 110761627 XP_001119826 332026974 EGI67070 307168156 EFN61435 169245759 ACA50925 322795655 EFZ18334 SINV_03275 315115343 ADT80644 156547333 XP_001601399 L24E 112984248 NP_001037231 54609241 AAV34836</t>
  </si>
  <si>
    <t>sp|Q962T5|RL24_SPOFR</t>
  </si>
  <si>
    <t>Q962T5 RL24_SPOFR 60S L24 RPL24 2 1 Q6F444 RL24_PLUXY Q9VJY6 RL24_DROME Q9DFQ7 RL24_GILMI Q6Y263 RL24_PAGMA Q8ISQ3 RL24_BRABE Q8JGR4 RL24_DANRE P83732 RL24_RAT Q8BP67 RL24_MOUSE P61122 RL24_MACFA</t>
  </si>
  <si>
    <t xml:space="preserve">RIBOSOMAL OS SPODOPTERA FRUGIPERDA GN PE SV PLUTELLA XYLOSTELLA DROSOPHILA MELANOGASTER GILLICHTHYS MIRABILIS PAGRUS MAJOR BRANCHIOSTOMA BELCHERI DANIO RERIO RATTUS NORVEGICUS MUS MUSCULUS MACACA FASCICULARIS </t>
  </si>
  <si>
    <t>Ribosomal protein L24 - Drosophila melanogaster - structural constituent of ribosome - cytosolic large ribosomal subunit - translation - lipid particle - mitotic spindle elongation - mitotic spindle organization</t>
  </si>
  <si>
    <t>PTZ00033 3e-014| Ribosomal_L24e 3e-008| tolA_full 4e-006| tolA 1e-004| PRK11642 4e-004| RPL24A 5e-004| PTZ00121 7e-004| DUF1212 0.001| PRK00247 0.001| TolA 0.001|</t>
  </si>
  <si>
    <t>307184321 EFN70779 1 EAG_04754 315658393 ZP_07911265 315496722 EFU85045 289550891 YP_003471795 289180423 ADC87668 339894775 CCB54070 4731116 AAD28358 AF079967_2 MURF1 170056640 XP_001864121 CPIPJ_CPIJ013878 167876218 EDS39601 332762924 EGJ93175 SF293071_5053 332765525 EGJ95742 SFK671_5323 333011643 EGK31055 SFK304_5456 194738027 YP_002115174 197300817 ZP_02661298 2 194713529 ACF92750 197290491 EDY29846 118375023 XP_001020698 89302465 EAS00453 221116405 XP_002166193 170583389 XP_001896557 BM1_25485 158596201 EDP34592</t>
  </si>
  <si>
    <t xml:space="preserve">HYPOTHETICAL SENSOR HISTIDINE KINASE TWO COMPONENT WZY PHOSPHOLIPID TRANSLOCATING P TYPE ATPASE FLIPPASE FAMILY SIMILAR TO </t>
  </si>
  <si>
    <t>sp|Q55BN0|MED23_DICDI</t>
  </si>
  <si>
    <t>Q55BN0 MED23_DICDI 23 MED23 3 1 P0C6U6 R1A_CVHNL 1A NL63 P0C6X5 R1AB_CVHNL 1AB P24884 NU5M_ASCSU 5 ND5 2 P48558 YN45_YEAST YNL305C 204508 S288C Q12675 ATC4_YEAST DNF2 Q54P45 Y5792_DICDI DDB_G0284827 4 P32660 ATC5_YEAST DNF1 Q9PP77 Y846_CAMJE CJ0846 Q5A1A0 MPH1_CANAL MPH1</t>
  </si>
  <si>
    <t xml:space="preserve">MEDIATOR RNA POLYMERASE II TRANSCRIPTION SUBUNIT OS DICTYOSTELIUM DISCOIDEUM GN PE SV REPLICASE POLYPROTEIN HUMAN CORONAVIRUS REP NADH UBIQUINONE OXIDOREDUCTASE CHAIN ASCARIS SUUM UNCHARACTERIZED VACUOLAR MEMBRANE SACCHAROMYCES CEREVISIAE STRAIN ATCC PHOSPHOLIPID TRANSPORTING ATPASE TRANSMEMBRANE METALLOPHOSPHOESTERASE CAMPYLOBACTER JEJUNI ATP DEPENDENT DNA HELICASE CANDIDA ALBICANS </t>
  </si>
  <si>
    <t>VKc 0.046| VKOR 0.065| ND5 0.072| Staph_a_para_1 0.098| ND6 | PRK06277 | COG4243 | DUF443 | ND1 | DUF1229 |</t>
  </si>
  <si>
    <t>Clavispora lusitaniae ATCC 42720</t>
  </si>
  <si>
    <t>260948596 XP_002618595 1 238848467 EEQ37931 50549319 XP_502130 YALI0C22297P 49647997 CAG82450 154423027 XP_001584525 121918772 EAY23539 TVAG_072020 312082364 XP_003143414 LOAG_07833 307761421 EFO20655 160688397 YP_001552160 4 154243649 ABS71898 66358938 XP_626647 46228395 EAK89294 307183883 EFN70494 EAG_07438</t>
  </si>
  <si>
    <t xml:space="preserve">HYPOTHETICAL NADH DEHYDROGENASE SUBUNIT WITH SIGNAL </t>
  </si>
  <si>
    <t>sp|Q9DHV7|LAP_YLDV</t>
  </si>
  <si>
    <t>Yaba-like disease virus</t>
  </si>
  <si>
    <t>Q9DHV7 E3 5L 3 1 O13919 PST2_SCHPO PST2 38366 972 Q9C0W9 PFA5_SCHPO PFA5 5 Q5GF25 2 Q6NXH2 Q8I1N6 AP2A_PLAF7 AP2 PFD0985W 3D7 4 P00983 Q755Y0 AKR1_ASHGO AKR1 10895 109 51 9923 1056</t>
  </si>
  <si>
    <t xml:space="preserve">LAP_YLDV UBIQUITIN LIGASE LAP OS YABA LIKE DISEASE VIRUS GN PE SV PAIRED AMPHIPATHIC HELIX SCHIZOSACCHAROMYCES POMBE STRAIN ATCC PALMITOYLTRANSFERASE PFA MANEA_RAT GLYCOPROTEIN ENDO ALPHA MANNOSIDASE RATTUS NORVEGICUS MANEA MANEA_MOUSE MUS MUSCULUS ERF DOMAIN CONTAINING PLASMODIUM FALCIPARUM ISOLATE IVBIB_DENPO DENDROTOXIN B DENDROASPIS POLYLEPIS ASHBYA GOSSYPII CBS FGSC NRRL Y </t>
  </si>
  <si>
    <t>7TM_GPCR_Srbc 0.045| AgrB 0.053| 7TM_GPCR_Srz | COG4781 | PHA02657 | DUF3169 | integ_TIGR01906 | PHA02862 | PRK03868 | MARVEL |</t>
  </si>
  <si>
    <t>297735990 CBI23964 3 225468425 XP_002263757 1 332666866 YP_004449654 332335680 AEE52781 145513512 XP_001442667 124410020 CAK75270 336179215 YP_004584590 334860195 AEH10669 116788513 ABK24906 116794394 ABK27128 148705967 EDL37914 A230062G08 148705966 EDL37913 88607331 YP_504851 APH_0234 88598394 ABD43864</t>
  </si>
  <si>
    <t xml:space="preserve">UNNAMED PRODUCT HYPOTHETICAL PARTIAL SODIUM HYDROGEN EXCHANGER SIGNAL TRANSDUCTION HISTIDINE KINASE UNKNOWN RIKEN CDNA ISOFORM CRA_B CRA_A MEMBRANE </t>
  </si>
  <si>
    <t>sp|Q80WC9|ACSF4_MOUSE</t>
  </si>
  <si>
    <t>Q80WC9 ACSF4_MOUSE 4 2 1 Q4R6L9 SERC5_MACFA 5 SERINC5 Q86VE9 SERC5_HUMAN Q8SYV9 MTH14_DROME 14 MTHL14 Q49VR4 LTAS_STAS1 15305 20229 3 Q8WZ42 Q8CQ10 12228 Q5HR16 35984 RP62A Q7A1I3 MW2 Q6GBB1 MSSA476</t>
  </si>
  <si>
    <t xml:space="preserve">ACYL COA SYNTHETASE FAMILY MEMBER OS MUS MUSCULUS GN AASDH PE SV SERINE INCORPORATOR MACACA FASCICULARIS HOMO SAPIENS PROBABLE G COUPLED RECEPTOR MTH LIKE DROSOPHILA MELANOGASTER LIPOTEICHOIC ACID SYNTHASE STAPHYLOCOCCUS SAPROPHYTICUS SUBSP STRAIN ATCC DSM LTAS TITIN_HUMAN TITIN TTN LTAS_STAES EPIDERMIDIS LTAS_STAEQ LTAS_STAAW AUREUS LTAS_STAAS </t>
  </si>
  <si>
    <t>Bac_export_1 | RPS19A | Heme_Cu_Oxidase_I | DUF846 | AFT | Sir1 | fliR | Peptidase_A22B | araaP | zf-TRM13_CCCH |</t>
  </si>
  <si>
    <t>332026062 EGI66213 1 167A 158301234 XP_550715 2 AGAP002087 157012372 EAL38479 328715593 XP_003245669 307212009 EFN87904 328789386 XP_001120955 156379952 XP_001631719 156218764 EDO39656 156325068 XP_001618551 NEMVEDRAFT_V1G154227 156199290 EDO26451 82194143 Q5BJC2 60688357 AAH91541 340710278 XP_003393720 268834733 NP_001018875</t>
  </si>
  <si>
    <t xml:space="preserve">TRANSMEMBRANE PA KISH A LIKE HYPOTHETICAL KISHA_DANRE FULL FLAGS PRECURSOR </t>
  </si>
  <si>
    <t>sp|Q5BJC2|KISHA_DANRE</t>
  </si>
  <si>
    <t>Q5BJC2 TMEM167A 2 1 Q9CR64 Q5RAL1 3 Q8TBQ9 Q148I3 Q28FL7 A2VDC5 B5G2S6 Q5ZII6 Q9VWH8</t>
  </si>
  <si>
    <t xml:space="preserve">KISHA_DANRE KISH A OS DANIO RERIO GN PE SV KISHA_MOUSE MUS MUSCULUS KISHA_PONAB PONGO ABELII KISHA_HUMAN HOMO SAPIENS KISHA_BOVIN BOS TAURUS KISHA_XENTR XENOPUS TROPICALIS KISHA_XENLA LAEVIS KISHA_TAEGU TAENIOPYGIA GUTTATA KISHA_CHICK GALLUS KISH_DROME DROSOPHILA MELANOGASTER </t>
  </si>
  <si>
    <t>Herpes_UL20 | PRK05279 | PRK14013 |</t>
  </si>
  <si>
    <t>322825469 EFZ30415 1 TCSYLVIO_3291 71662561 XP_818286 70883527 EAN96435 261329791 CBH12773 72391804 XP_846196 62358379 AAX78843 70802732 AAZ12637 302698215 XP_003038786 SCHCODRAFT_255626 300112483 EFJ03884 154331209 XP_001562044 134059366 CAM37070 322488349 CBZ23596 239818119 YP_002947029 239804696 ACS21763 195492003 XP_002093807 GE21496 194179908 EDW93519 157864352 XP_001680886 68124178 CAJ02161</t>
  </si>
  <si>
    <t xml:space="preserve">HYPOTHETICAL CONSERVED LIPOPROTEIN A RARE </t>
  </si>
  <si>
    <t>sp|P35988|PIV6_ADE12</t>
  </si>
  <si>
    <t>Human adenovirus A serotype 12</t>
  </si>
  <si>
    <t>P35988 PIV6_ADE12 6 12 1 Q9VR91 HERC2_DROME E3 HERC2 3 Q6A333 ALY2_ARATH 2 ALY2 Q7RZQ3 VTS1_NEUCR VTS1 24698 74 OR23 1A 708 71 1257 987 D2H6Z0 RN152_AILME RNF152 O93794 TOP2_CANGA 2001 138 3761 0622 65 TOP2 P98088 MUC5A_HUMAN 5AC MUC5AC P53941 IMP4_YEAST U3 IMP4 204508 S288C Q9HEC9 SEC16_NEUCR 16 Q8N8N0 RN152_HUMAN</t>
  </si>
  <si>
    <t xml:space="preserve">MINOR CAPSID OS HUMAN ADENOVIRUS A SEROTYPE GN PVI PE SV PROBABLE UBIQUITIN LIGASE DROSOPHILA MELANOGASTER ALWAYS EARLY ARABIDOPSIS THALIANA NEUROSPORA CRASSA STRAIN ATCC CBS DSM FGSC VTS AILUROPODA MELANOLEUCA DNA TOPOISOMERASE CANDIDA GLABRATA JCM NBRC NRRL Y MUCIN FRAGMENTS HOMO SAPIENS SMALL NUCLEOLAR RIBONUCLEOPROTEIN SACCHAROMYCES CEREVISIAE COPII COAT ASSEMBLY SEC </t>
  </si>
  <si>
    <t>actino_creatin | PRK13797 | PLN00081 | recD | Cytochrom_B558a | PRK13015 | PRK06718 | PRK07845 | PRK06854 | DSP_MapKP |</t>
  </si>
  <si>
    <t>68075389 XP_679612 1 56500402 CAH98949 242017726 XP_002429338 LIS1 212514241 EEB16600 312094022 XP_003147883 LOAG_12322 307756952 EFO16186 262401422 ACY66613 72388410 XP_844629 62360069 AAX80490 70801162 AAZ11070 195027225 XP_001986484 GH20501 193902484 EDW01351 229595439 XP_001017343 2 TTHERM_01424460 225566114 EAR97098 332078546 NP_001193653 5 296474355 DAA16470 229594600 XP_001029251 3 225566758 EAR81588</t>
  </si>
  <si>
    <t xml:space="preserve">HYPOTHETICAL CONSERVED INTERACTING NUDE ECTONUCLEOTIDE PYROPHOSPHATASE PHOSPHODIESTERASE FUNCTION KINASE DOMAIN CONTAINING </t>
  </si>
  <si>
    <t>sp|Q9UYS2|Y1435_PYRAB</t>
  </si>
  <si>
    <t>Pyrococcus abyssi (strain GE5 / Orsay)</t>
  </si>
  <si>
    <t>Q9UYS2 Y1435_PYRAB PYRAB14350 GE5 4 1 Q05FH8 3 Q54MI8 Y5861_DICDI DDB_G0285949 A3PFJ8 MRAY_PROM0 9301 P81305 Y22B_METJA MJ0226 2 43067 2661 10045 100440 P36099 YKD0_YEAST YKL030W 204508 S288C 5 P75585 Y160_MYCPN MG147 MPN_160 A1SX09 37 Q9FIF0 LRK22_ARATH LECRK22 P19214 EBA1_PLAFC 175</t>
  </si>
  <si>
    <t xml:space="preserve">UNCHARACTERIZED OS PYROCOCCUS ABYSSI STRAIN ORSAY GN PE SV RPOB_CARRP DNA DIRECTED RNA POLYMERASE SUBUNIT BETA CARSONELLA RUDDII PV RPOB TRANSMEMBRANE DICTYOSTELIUM DISCOIDEUM PHOSPHO N ACETYLMURAMOYL PENTAPEPTIDE TRANSFERASE PROCHLOROCOCCUS MARINUS MIT MRAY METHANOCALDOCOCCUS JANNASCHII ATCC DSM JAL JCM NBRC SACCHAROMYCES CEREVISIAE HOMOLOG MYCOPLASMA PNEUMONIAE RLML_PSYIN RIBOSOMAL LARGE METHYLTRANSFERASE L PSYCHROMONAS INGRAHAMII RLML TYPE LECTIN DOMAIN CONTAINING RECEPTOR KINASE II ARABIDOPSIS THALIANA ERYTHROCYTE BINDING ANTIGEN PLASMODIUM FALCIPARUM ISOLATE CAMP MALAYSIA </t>
  </si>
  <si>
    <t>TraX 0.001| matK 0.010| RCR 0.028| PRK09573 0.045| ND2 0.060| 7TM_GPCR_Srt 0.067| PHA02999 | hsdR | ND3 | integ_TIGR01906 |</t>
  </si>
  <si>
    <t>Vibrio furnissii NCTC 11218</t>
  </si>
  <si>
    <t>315181990 ADT88903 1 260769458 ZP_05878391 260614796 EEX39982 333380436 ZP_08472127 HMPREF9455_00293 332826431 EGJ99260 313202891 YP_004041548 PALPR_0403 312442207 ADQ78563 84998558 XP_954000 65304998 CAI73323 314934150 ZP_07841511 313653055 EFS16816</t>
  </si>
  <si>
    <t xml:space="preserve">GGDEF FAMILY HYPOTHETICAL TPR RELATED MEMBER MEMBRANE </t>
  </si>
  <si>
    <t>P36099 YKD0_YEAST YKL030W 204508 S288C 5 1 Q54EG5 Y3950_DICDI DDB_G0291522 4 O02241 SRB17_CAEEL 17 2 Q72W10 3 O19897 RPOC1_CYACA RPOC1 P32018 COEA1_CHICK COL14A1 Q6B0R2 YM193_YEAST YMR193C Q8F9P6 Q19508 SRD46_CAEEL 46 Q5SCX9 RPOC1_HUPLU</t>
  </si>
  <si>
    <t xml:space="preserve">UNCHARACTERIZED OS SACCHAROMYCES CEREVISIAE STRAIN ATCC GN PE SV TRANSMEMBRANE DICTYOSTELIUM DISCOIDEUM SERPENTINE RECEPTOR CLASS BETA CAENORHABDITIS ELEGANS SRB TILS_LEPIC TRNA ILE LYSIDINE SYNTHASE LEPTOSPIRA INTERROGANS SEROGROUP ICTEROHAEMORRHAGIAE SEROVAR COPENHAGENI TILS DNA DIRECTED RNA POLYMERASE SUBUNIT CYANIDIUM CALDARIUM COLLAGEN ALPHA XIV CHAIN GALLUS A TILS_LEPIN DELTA SRD HUPERZIA LUCIDULA </t>
  </si>
  <si>
    <t>rpoC1 | PRK05326 | 7TM_GPCR_Srz | PRK12997 | SgaT | ND5 | ND2 | NosY | ND4 | AgrB |</t>
  </si>
  <si>
    <t>90819966 ABD98740 1 S9E 156536971 XP_001608270 62083481 AAX62465 S9 62083483 AAX62466 307202013 EFN81577 40S 307182078 EFN69456 322799909 EFZ21050 SINV_10506 332017469 EGI58192 340724942 XP_003400837 50344472 CAH04322 160347070 ABX26127 70909509 CAJ17220 291242674 XP_002741225</t>
  </si>
  <si>
    <t xml:space="preserve">RIBOSOMAL SIMILAR TO VARIANT HYPOTHETICAL LIKE </t>
  </si>
  <si>
    <t>sp|P29314|RS9_RAT</t>
  </si>
  <si>
    <t>P29314 RS9_RAT 40S S9 RPS9 1 4 A9L913 RS9_PAPAN 3 Q6ZWN5 RS9_MOUSE 2 P46781 RS9_HUMAN A6QLG5 RS9_BOVIN P55935 RS9_DROME Q20228 RS9_CAEEL 9 P49214 RS9_TOBAC Q9FLF0 RS92_ARATH RPS9C Q9LXG1 RS91_ARATH RPS9B</t>
  </si>
  <si>
    <t xml:space="preserve">RIBOSOMAL OS RATTUS NORVEGICUS GN PE SV PAPIO ANUBIS MUS MUSCULUS HOMO SAPIENS BOS TAURUS DROSOPHILA MELANOGASTER CAENORHABDITIS ELEGANS RPS FRAGMENT NICOTIANA TABACUM ARABIDOPSIS THALIANA </t>
  </si>
  <si>
    <t>ribosomal protein S9 - Rattus norvegicus - molecular_function - structural constituent of ribosome - intracellular - nucleolus - cytoplasm - cytosol - translation - translational elongation - regulation of translation - biological_process - positive regulation of cell proliferation - rRNA binding - cytosolic small ribosomal subunit - ribonucleoprotein complex - translation regulator activity</t>
  </si>
  <si>
    <t>PLN00189 2e-016| PTZ00155 5e-015| rpsD_arch 7e-006| RpsD 0.089| Hpt | Lactamase_B_2 | glmU | DUF2090 | Oxysterol_BP | Tweety_N |</t>
  </si>
  <si>
    <t>332029842 EGI69711 1 60S L13A 307207585 EFN85250 340709161 XP_003393181 66500885 XP_623813 2 264667421 ACY71296 156544548 XP_001607858 62083489 AAX62469 307188111 EFN72943 91082991 XP_974304 270007030 EFA03478 TCASGA2_TC013477 310769831 ADP21473</t>
  </si>
  <si>
    <t xml:space="preserve">RIBOSOMAL LIKE ISOFORM SIMILAR TO HYPOTHETICAL </t>
  </si>
  <si>
    <t>sp|Q962U0|RL13A_SPOFR</t>
  </si>
  <si>
    <t>Q962U0 RL13A_SPOFR 60S L13A RPL13A 2 1 Q8MUR4 RL13A_CHOPR Q9VNE9 RL13A_DROME Q4R8Z2 RL13A_MACFA 3 P40429 RL13A_HUMAN Q9XSU0 RL13A_CANFA Q3SZ90 RL13A_BOVIN Q5RA38 RL13A_PONAB Q27389 RL13A_CAEEL 16 Q91487 RL13A_SALTR</t>
  </si>
  <si>
    <t xml:space="preserve">RIBOSOMAL OS SPODOPTERA FRUGIPERDA GN PE SV CHORISTONEURA PARALLELA DROSOPHILA MELANOGASTER MACACA FASCICULARIS HOMO SAPIENS CANIS FAMILIARIS BOS TAURUS PONGO ABELII CAENORHABDITIS ELEGANS RPL FRAGMENT SALMO TRUTTA </t>
  </si>
  <si>
    <t>Ribosomal protein L13A - Drosophila melanogaster - cytosolic large ribosomal subunit - translation - structural constituent of ribosome - Notch signaling pathway - bristle morphogenesis</t>
  </si>
  <si>
    <t>PTZ00068 9e-012| L13_A_E | polc | secY | 24 | G6PD_bact | IgC_TCR_gamma | COG2411 | nifD | PRK06703 |</t>
  </si>
  <si>
    <t>321468248 EFX79234 1 DAPPUDRAFT_304910 198424813 XP_002130171 255084449 XP_002508799 226524076 ACO70057 84468388 BAE71277 291237432 XP_002738640 260800783 XP_002595276 BRAFLDRAFT_128100 229280521 EEN51288 195112086 XP_002000607 GI10326 193917201 EDW16068 115609895 XP_780432 2 6 115940737 XP_001194773 319411942 CBQ73985 RRP14 239788467 BAH70913 ACYPI009624</t>
  </si>
  <si>
    <t xml:space="preserve">HYPOTHETICAL SIMILAR TO CONSERVED LIKE SURFEIT RELATED INVOLVED IN RIBOSOMAL RNA PROCESSING </t>
  </si>
  <si>
    <t>sp|Q9VDS6|SURF6_DROME</t>
  </si>
  <si>
    <t>Q9VDS6 SURF6_DROME 6 SURF6 1 P36080 RRP14_YEAST 14 204508 S288C RRP14 Q54G38 SURF6_DICDI 3 O43082 RR14C_SCHPO 38366 972 RRP14C Q23525 ZK546 2 Q8BU14 SEC62_MOUSE SEC62 O57594 SURF6_TAKRU Q5F3A1 SEC62_CHICK Q5R4Q3 SEC62_PONAB Q76FK4 NOL8_HUMAN 8 NOL8</t>
  </si>
  <si>
    <t xml:space="preserve">SURFEIT LOCUS HOMOLOG OS DROSOPHILA MELANOGASTER GN PE SV RIBOSOMAL RNA PROCESSING SACCHAROMYCES CEREVISIAE STRAIN ATCC DICTYOSTELIUM DISCOIDEUM C SCHIZOSACCHAROMYCES POMBE YWIE_CAEEL UNCHARACTERIZED CAENORHABDITIS ELEGANS TRANSLOCATION MUS MUSCULUS TAKIFUGU RUBRIPES GALLUS PONGO ABELII NUCLEOLAR HOMO SAPIENS </t>
  </si>
  <si>
    <t>SURF6 2e-011| ATP6 0.001| ND5 0.012| Nop53 0.018| ClC_1_like 0.024| LacY_symp 0.025| ND6 0.030| COX3 0.030| TPR_MLP1_2 0.050| MtN3_slv 0.082|</t>
  </si>
  <si>
    <t>118349782 XP_001008172 1 TTHERM_00009880 89289939 EAR87927</t>
  </si>
  <si>
    <t>sp|P10429|YIM5_BPPH1</t>
  </si>
  <si>
    <t>Bacillus phage phi105</t>
  </si>
  <si>
    <t>P10429 YIM5_BPPH1 5 PHI105 4 1 P29817 VG1L_AMEPV G1L AMV181 3 Q74ZH7 BEM3_ASHGO BEM3 10895 109 51 9923 1056 Q54NC6 APC1_DICDI ANAPC1 Q55CB0 C5DRG2 TDA11_ZYGRC 11 2623 732 1130 568 229 TDA11</t>
  </si>
  <si>
    <t xml:space="preserve">UNCHARACTERIZED IMMUNITY REGION OS BACILLUS PHAGE PE SV AMSACTA MOOREI ENTOMOPOXVIRUS GN GTPASE ACTIVATING ASHBYA GOSSYPII STRAIN ATCC CBS FGSC NRRL Y ANAPHASE PROMOTING COMPLEX SUBUNIT DICTYOSTELIUM DISCOIDEUM RASU_DICDI RAS LIKE RASU TOPOISOMERASE I DAMAGE AFFECTED ZYGOSACCHAROMYCES ROUXII NBRC NCYC </t>
  </si>
  <si>
    <t>PRK07659 | PLN02159 | COG5542 | Glyco_transf_22 | Herpes_BMRF2 | secY | PRK06761 | PTZ00110 | PLN02266 | ND3 |</t>
  </si>
  <si>
    <t>Papaver somniferum</t>
  </si>
  <si>
    <t>313471275 D4N500 1 DIOX1_PAPSO 6 291264188 ADD85329 313471276 D4N501 DIOX2_PAPSO 2 291264190 ADD85330</t>
  </si>
  <si>
    <t xml:space="preserve">FULL THEBAINE O DEMETHYLASE PROBABLE OXOGLUTARATE FE II DEPENDENT DIOXYGENASE SCOULERINE </t>
  </si>
  <si>
    <t>sp|D4N500|DIOX1_PAPSO</t>
  </si>
  <si>
    <t>D4N500 DIOX1_PAPSO 6 T6ODM 1 D4N501 DIOX2_PAPSO 2 DIOX2 Q8N8A4 GAH6_HUMAN H_22Q11 3 O36019 ATG13_SCHPO 13 38366 972 ATG13 Q9ZL58 J99 Q1CT84 HPAG1 Q54WU6 DDB_G0279427 O25474 B6JM17 LOLA_HELP2 P12 Q6CJ57 UTP10_KLULA U3 10 8585 2359 70799 1267 1140 WM37 UTP10</t>
  </si>
  <si>
    <t xml:space="preserve">THEBAINE O DEMETHYLASE OS PAPAVER SOMNIFERUM GN PE SV PROBABLE OXOGLUTARATE FE II DEPENDENT DIOXYGENASE HERV PROVIRUS ANCESTRAL GAG POLYPROTEIN HOMO SAPIENS AUTOPHAGY SCHIZOSACCHAROMYCES POMBE STRAIN ATCC LOLA_HELPJ OUTER MEMBRANE LIPOPROTEIN CARRIER HELICOBACTER PYLORI LOLA LOLA_HELPH SESN_DICDI SESTRIN HOMOLOG DICTYOSTELIUM DISCOIDEUM LOLA_HELPY SMALL NUCLEOLAR RNA ASSOCIATED KLUYVEROMYCES LACTIS CBS DSM NBRC NRRL Y </t>
  </si>
  <si>
    <t>PLN02216 0.015| TIGR03766 | PAT1 | PLN02597 | K_tetra | BOP1NT | PLN03076 | DUF221 | PTZ00311 | DUF524 |</t>
  </si>
  <si>
    <t>307174008 EFN64718 1 325568938 ZP_08145231 HMPREF9087_1520 325157976 EGC70132 90408680 ZP_01216831 PCNPT3_07225 90310226 EAS38360 338224450 AEI88103 5 325958643 YP_004290109 325330075 ADZ09137 312120202 XP_003151771 LOAG_16236 307753064 EFO12298 156395718 XP_001637257 156224368 EDO45194 320102843 YP_004178434 ISOP_1299 319750125 ADV61885 296821890 XP_002850196 238837750 EEQ27412 307178353 EFN67104 EAG_10538</t>
  </si>
  <si>
    <t xml:space="preserve">X BOX BINDING HYPOTHETICAL FOLLISTATIN LIKE GROUP GLYCOSYL TRANSFERASE CONSERVED </t>
  </si>
  <si>
    <t>sp|E7QJS8|TDA7_YEASZ</t>
  </si>
  <si>
    <t>Saccharomyces cerevisiae (strain Zymaflore VL3)</t>
  </si>
  <si>
    <t>E7QJS8 TDA7_YEASZ 7 VL3 TDA7 3 1 P53882 TDA7_YEAST 204508 S288C E7NM81 TDA7_YEASO E7KH03 TDA7_YEASA AWRI796 C8ZG52 TDA7_YEAS8 EC1118 A6ZRQ9 TDA7_YEAS7 YJM789 B5VQN1 TDA7_YEAS6 AWRI1631 C7GTF0 TDA7_YEAS2 JAY291 B3LP27 TDA7_YEAS1 RM11 1A A3M072 58785 6054 10063 11545 PIM1</t>
  </si>
  <si>
    <t xml:space="preserve">TOPOISOMERASE I DAMAGE AFFECTED OS SACCHAROMYCES CEREVISIAE STRAIN ZYMAFLORE GN PE SV ATCC FOSTERSO LALVIN PRISE DE MOUSSE LONM_PICST LON PROTEASE HOMOLOG MITOCHONDRIAL FRAGMENT SCHEFFERSOMYCES STIPITIS CBS NBRC NRRL Y </t>
  </si>
  <si>
    <t>NDP-sugDHase 1e-004| UDPG_MGDP_dh_N 0.001| WecC 0.049| PRK09389 | COX2 | Ugd | AgrB | NAD_bind_m-THF_DH | 7tm_7 | ACT_HSDH-Hom |</t>
  </si>
  <si>
    <t>241781184 XP_002400257 1 L39 215510701 EEC20154 209571490 NP_001129376 149689104 ABR27892 60S 121543589 ABM55513 158300914 XP_320713 3 AGAP011802 114864592 ABI83747 157013389 EAA00736 4 67084113 AAY66991 114153288 ABI52810 149287154 ABR23476 170049401 XP_001855889 66934980 AAY59033 94468726 ABF18212 167871254 EDS34637 194462953 ACF72871 307206146 EFN84226 291223911 XP_002731953 CG10075 242005885 XP_002423790 212507006 EEB11052</t>
  </si>
  <si>
    <t xml:space="preserve">RIBOSOMAL PA CONSERVED HYPOTHETICAL LIKE </t>
  </si>
  <si>
    <t>sp|Q962S4|RL39_SPOFR</t>
  </si>
  <si>
    <t>Q962S4 RL39_SPOFR 60S L39 RPL39 3 1 Q6F482 RL39_PLUXY O16130 RL39_DROME 2 P52814 RL39_CAEEL 39 Q6BHV8 RL39_DEBHA 36239 767 1990 0083 2968 P62893 RL39_RAT P62892 RL39_MOUSE Q90YS9 RL39_ICTPU P62891 RL39_HUMAN Q98TF5 RL39_CHICK</t>
  </si>
  <si>
    <t xml:space="preserve">RIBOSOMAL OS SPODOPTERA FRUGIPERDA GN PE SV PLUTELLA XYLOSTELLA DROSOPHILA MELANOGASTER CAENORHABDITIS ELEGANS RPL DEBARYOMYCES HANSENII STRAIN ATCC CBS JCM NBRC IGC RATTUS NORVEGICUS MUS MUSCULUS ICTALURUS PUNCTATUS HOMO SAPIENS GALLUS </t>
  </si>
  <si>
    <t>Caenorhabditis elegans - structural constituent of ribosome - intracellular - ribosome - translation - positive regulation of growth rate - reproduction - embryo development ending in birth or egg hatching - growth - nematode larval development - positive regulation of multicellular organism growth</t>
  </si>
  <si>
    <t>Ribosomal_L39 2e-016| RPL39 2e-012| rpl39e 3e-009| COX2 0.009| Toxin_YhaV | DUF3430 | C2E_Ferlin | COX3 | DUF2154 | ND2 |</t>
  </si>
  <si>
    <t>cyt_deam_tetra |</t>
  </si>
  <si>
    <t>sp|Q9YW06|NTP2_MSEPV</t>
  </si>
  <si>
    <t>Melanoplus sanguinipes entomopoxvirus</t>
  </si>
  <si>
    <t>Q9YW06 NTP2_MSEPV NPH2 3 1</t>
  </si>
  <si>
    <t xml:space="preserve">NUCLEOSIDE TRIPHOSPHATASE II OS MELANOPLUS SANGUINIPES ENTOMOPOXVIRUS GN PE SV </t>
  </si>
  <si>
    <t>Glyco_hydro_65m | ATH1 | Poxvirus_B22R | Per1 | sdhA | PRK05331 | ipk | KR_fFAS_SDR_c_like | stn_TNFRSF12A | Pou |</t>
  </si>
  <si>
    <t>Cafeteria roenbergensis virus BV-PW1</t>
  </si>
  <si>
    <t>310831533 YP_003970176 1 CROV543 309386717 ADO67577 118345892 XP_976775 89288192 EAR86180 22087260 AAM90901 AF493605_4 253559400 ACT32370 193785747 BAG51182 146181850 XP_001023476 2 TTHERM_00535670 146144036 EAS03231 145540666 XP_001456022 124423832 CAK88625 77166157 YP_344682 254435316 ZP_05048823 76884471 ABA59152 207088427 EDZ65699 60681233 YP_211377 BF1741 189460268 ZP_03009053 BACCOP_00905 198275057 ZP_03207589 BACPLE_01216 60492667 CAH07440 BF9343_1659 189432966 EDV01951 198272504 EDY96773 340753251 ZP_08690039 FSAG_00905 340567006 EEO37895 262283139 ZP_06060906 262261391 EEY80090</t>
  </si>
  <si>
    <t xml:space="preserve">HYPOTHETICAL CYCLIN N TERMINAL DOMAIN CONTAINING SILB UNNAMED PRODUCT FAD DEPENDENT OXIDOREDUCTASE SURFACE ANTIGEN NEGATIVE REGULATOR PAR </t>
  </si>
  <si>
    <t>sp|Q4R518|MICU1_MACFA</t>
  </si>
  <si>
    <t>Q4R518 MICU1_MACFA 1 CBARA1 2 Q9BPX6 MICU1_HUMAN Q54MI8 Y5861_DICDI DDB_G0285949 4 P36125 GMH1_YEAST GMH1 204508 S288C Q9ZYM7 NU5M_RHISA 5 ND5 3 P21422 RPOC1_PLAFA RPOC1 Q00043 HSP70_AJECA 70 HSP70 Q12144 PER33_YEAST 33 PER33 Q6P1I3 CL066_MOUSE UPF0536 C12ORF66 Q7ZU29 NUP93_DANRE NUP93</t>
  </si>
  <si>
    <t xml:space="preserve">CALCIUM UPTAKE MITOCHONDRIAL OS MACACA FASCICULARIS GN PE SV HOMO SAPIENS UNCHARACTERIZED TRANSMEMBRANE DICTYOSTELIUM DISCOIDEUM SACCHAROMYCES CEREVISIAE STRAIN ATCC NADH UBIQUINONE OXIDOREDUCTASE CHAIN RHIPICEPHALUS SANGUINEUS DNA DIRECTED RNA POLYMERASE SUBUNIT BETA PLASMODIUM FALCIPARUM HEAT SHOCK KDA AJELLOMYCES CAPSULATA PORE ENDOPLASMIC RETICULUM HOMOLOG MUS MUSCULUS NUCLEAR COMPLEX DANIO RERIO DYE </t>
  </si>
  <si>
    <t>ND4 | ND5 | SAM_decarbox | DUF3796 | NR_LBD_Nurr1_like | ND2 | PRK08624 | PHA03087 | 7TM_GPCR_Srt | ATP6 |</t>
  </si>
  <si>
    <t>Dictyostelium fasciculatum</t>
  </si>
  <si>
    <t>328876055 EGG24419 1 DFA_06569 255524326 ZP_05391284 2 296185283 ZP_06853693 CLCAR_0703 255512009 EET88291 296050117 EFG89541 170061529 XP_001866272 167879736 EDS43119 156086898 XP_001610856 154798109 EDO07288 BBOV_IV009340 149065352 EDM15428 RCG28346</t>
  </si>
  <si>
    <t xml:space="preserve">HYPOTHETICAL CELL WALL BINDING REPEAT CONTAINING CAPICUA </t>
  </si>
  <si>
    <t>sp|Q7VIN8|TIG_HELHP</t>
  </si>
  <si>
    <t>Helicobacter hepaticus</t>
  </si>
  <si>
    <t>Q7VIN8 3 1 Q5R0G6 Q8TER0 SNED1_HUMAN SNED1 2 Q9MUN0 RR4_MESVI 30S S4 RPS4 Q5ZQU0 SNED1_RAT Q70E20 SNED1_MOUSE Q02131 HIS4_LACLA 5 4 P23847 K12 Q50288 Y200_MYCPN MPN_200 Q6BIP2 RAD5_DEBHA RAD5 36239 767 1990 0083 2968</t>
  </si>
  <si>
    <t xml:space="preserve">TIG_HELHP TRIGGER FACTOR OS HELICOBACTER HEPATICUS GN TIG PE SV SYM_IDILO METHIONYL TRNA SYNTHETASE IDIOMARINA LOIHIENSIS METG SUSHI NIDOGEN EGF LIKE DOMAIN CONTAINING HOMO SAPIENS RIBOSOMAL CHLOROPLASTIC MESOSTIGMA VIRIDE RATTUS NORVEGICUS MUS MUSCULUS PHOSPHORIBOSYL IMIDAZOLE CARBOXAMIDE ISOMERASE LACTOCOCCUS LACTIS SUBSP HISA DPPA_ECOLI PERIPLASMIC DIPEPTIDE TRANSPORT ESCHERICHIA COLI STRAIN DPPA UNCHARACTERIZED LIPOPROTEIN MYCOPLASMA PNEUMONIAE DNA REPAIR DEBARYOMYCES HANSENII ATCC CBS JCM NBRC IGC </t>
  </si>
  <si>
    <t>PHA03007 | PLN03225 | Peptidase_S29 | PRK11107 | ND5 | YCG1 | DUF2848 | DUF629 | RAMP4 | PHA03189 |</t>
  </si>
  <si>
    <t>302151403 ADK97630 1 6 56807480 ZP_00365424 SPYOM01001344 209559528 YP_002286000 SPY49_1005C 209540729 ACI61305 94988708 YP_596809 MGAS9429_SPY1078 94990598 YP_598698 MGAS10270_SPY1089 94992531 YP_600630 MGAS2096_SPY1034 94542216 ABF32265 94544106 ABF34154 94546039 ABF36086 71910788 YP_282338 M5005_SPY_0975 71853570 AAZ51593 M5005_SPY0975 19746193 NP_607329 SPYM18_1215 50914310 YP_060282 M6_SPY0964 71903612 YP_280415 M28_SPY0947 94994521 YP_602619 MGAS10750_SPY1125 139473668 YP_001128384 SPYM50825 306827261 ZP_07460548 19748374 AAL97828 50903384 AAT87099 71802707 AAX72060 94548029 ABF38075 134271915 CAM30153 304430408 EFM33430 15675223 NP_269397 SPY_1264 13622391 AAK34118 21910435 NP_664703 SPYM3_0899 21904633 AAM79506 28896011 NP_802361 SPS1099 28811261 BAC64194 225622187 YP_002725701 5 219873035 ACL50527</t>
  </si>
  <si>
    <t xml:space="preserve">NADH DEHYDROGENASE SUBUNIT HYPOTHETICAL CONSERVED MEMBRANE </t>
  </si>
  <si>
    <t>sp|Q9TC94|YMF16_NEPOL</t>
  </si>
  <si>
    <t>Nephroselmis olivacea</t>
  </si>
  <si>
    <t>Q9TC94 YMF16_NEPOL YMF16 3 1 Q54PN5 ERCC4 B0TRI8 EB4 P15605 YM04_PARTE ORF4 4 A8H5C2 700345 SQ1 O97239 DOP1_PLAF7 PFC0245C 3D7 2 Q75AQ8 ALG10_ASHGO 9 10895 109 51 9923 1056 ALG10 A8FW97 EB3 P44706 51907 11121 KW20 Q4QNB8 NHAB_HAEI8 86 028NP</t>
  </si>
  <si>
    <t xml:space="preserve">UNCHARACTERIZED TATC LIKE OS NEPHROSELMIS OLIVACEA GN PE SV XPF_DICDI DNA REPAIR ENDONUCLEASE XPF DICTYOSTELIUM DISCOIDEUM NHAB_SHEHH NA H ANTIPORTER NHAB SHEWANELLA HALIFAXENSIS STRAIN HAW MITOCHONDRIAL PARAMECIUM TETRAURELIA NHAB_SHEPA PEALEANA ATCC ANG DOPEY HOMOLOG PLASMODIUM FALCIPARUM ISOLATE DOL P GLC MAN GLCNAC PP ALPHA GLUCOSYLTRANSFERASE ASHBYA GOSSYPII CBS FGSC NRRL Y NHAB_SHESH SEDIMINIS NHAB_HAEIN HAEMOPHILUS INFLUENZAE DSM RD </t>
  </si>
  <si>
    <t>ND4 6e-006| ND6 9e-005| ND2 3e-004| ND5 8e-004| ND5 0.001| ATP6 0.003| Sre 0.003| 7TM_GPCR_Srh 0.010| ND4 0.015| ND5 0.017|</t>
  </si>
  <si>
    <t>168028676 XP_001766853 1 162681832 EDQ68255 333377442 ZP_08469176 HMPREF9456_00771 332884176 EGK04444 146168427 XP_001016794 2 XMAP215 146145183 EAR96549 312883954 ZP_07743671 309368412 EFP95947 242020467 XP_002430675 212515855 EEB17937 15027653 NP_149387 15011489 AAK77584 AF396436_24</t>
  </si>
  <si>
    <t xml:space="preserve">HYPOTHETICAL TYPE IV PILIN BIOGENESIS PILC THIAMINE TRANSPORTER HEME MATURASE </t>
  </si>
  <si>
    <t>sp|Q54MI8|Y5861_DICDI</t>
  </si>
  <si>
    <t>Q54MI8 Y5861_DICDI DDB_G0285949 4 1 Q6BV76 TEL1 36239 767 1990 0083 2968 3 Q86CR9 ATG7_DICDI ATG7 P30899 A6MMR4 B3CSS5 A5CD12 A4YWF1 ORS278 A5EKP4 BTAI1 1182 Q2EEX2</t>
  </si>
  <si>
    <t xml:space="preserve">UNCHARACTERIZED TRANSMEMBRANE OS DICTYOSTELIUM DISCOIDEUM GN PE SV ATM_DEBHA SERINE THREONINE KINASE DEBARYOMYCES HANSENII STRAIN ATCC CBS JCM NBRC IGC UBIQUITIN LIKE MODIFIER ACTIVATING ENZYME BLAC_BACVU BETA LACTAMASE BACTEROIDES VULGATUS CFXA CCSA_DIOEL CYTOCHROME C BIOGENESIS CCSA DIOSCOREA ELEPHANTIPES SYT_ORITI THREONYL TRNA SYNTHETASE ORIENTIA TSUTSUGAMUSHI IKEDA THRS SYT_ORITB BORYONG GATA_BRASO GLUTAMYL GLN AMIDOTRANSFERASE SUBUNIT A BRADYRHIZOBIUM GATA GATA_BRASB BAA RPOB_HELSJ DNA DIRECTED RNA POLYMERASE HELICOSPORIDIUM SUBSP SIMULIUM JONESII RPOB </t>
  </si>
  <si>
    <t>Bunya_NS-S_2 | DUF2101 | PLN02742 | CLAG | ND1 | PRK10296 | IRK | PRK07139 | DUF832 | eIF-2B_rel |</t>
  </si>
  <si>
    <t>P48159 RL23_DROME 60S L23 RPL23 1 2 P62832 RL23_RAT Q5REU2 RL23_PONAB P62831 RL23_PIG P62830 RL23_MOUSE Q90YU5 RL23_ICTPU P62829 RL23_HUMAN Q6PC14 RL23_DANRE Q3T057 RL23_BOVIN Q9GNE2 RL23_AEDAE</t>
  </si>
  <si>
    <t xml:space="preserve">RIBOSOMAL OS DROSOPHILA MELANOGASTER GN PE SV RATTUS NORVEGICUS PONGO ABELII SUS SCROFA MUS MUSCULUS ICTALURUS PUNCTATUS HOMO SAPIENS DANIO RERIO BOS TAURUS AEDES AEGYPTI A </t>
  </si>
  <si>
    <t>PTZ00054 2e-029| Ribosomal_L14 1e-017| RplN 3e-017| rpl14p 6e-017| rpl14p_arch 1e-016| rplN 3e-010| rpl14 6e-009| rplN_bact 3e-008| diphth2_R | amiF |</t>
  </si>
  <si>
    <t>PRK05572 | PHA02965 | ND3 | PHA02246 | ND2 | spore_sigF | GT1_CapH_like | 7TM_GPCR_Sra | TMPIT | ND6 |</t>
  </si>
  <si>
    <t>sp|Q50325|Y605_MYCPN</t>
  </si>
  <si>
    <t>Mycoplasma pneumoniae</t>
  </si>
  <si>
    <t>Q50325 Y605_MYCPN MG406 MPN_605 4 1</t>
  </si>
  <si>
    <t xml:space="preserve">UNCHARACTERIZED HOMOLOG OS MYCOPLASMA PNEUMONIAE GN PE SV </t>
  </si>
  <si>
    <t>DUF1684 | V_ATP_synt_C | ppnK |</t>
  </si>
  <si>
    <t>340710579 XP_003393865 1 P450 9E2 340710583 XP_003393867 307199498 EFN80111 6A13 340710573 XP_003393862 307199500 EFN80113 28D1 307199496 EFN80109 332029618 EGI69507 6J1 328789667 XP_001119981 2 328703261 XP_001944599 6A14 307180130 EFN68174</t>
  </si>
  <si>
    <t xml:space="preserve">CYTOCHROME LIKE PROBABLE </t>
  </si>
  <si>
    <t>sp|O70537|CP3AV_MESAU</t>
  </si>
  <si>
    <t>Mesocricetus auratus</t>
  </si>
  <si>
    <t>O70537 CP3AV_MESAU P450 3A31 CYP3A31 2 1 Q964R1 CP6J1_BLAGE 6J1 CYP6J1 Q64464 CP3AD_MOUSE 3A13 CYP3A13 P20815 CP3A5_HUMAN 3A5 CYP3A5 P05183 CP3A2_RAT 3A2 CYP3A2 Q29496 CP3AO_SHEEP 3A24 CYP3A24 Q9V769 C6A22_DROME 6A22 CYP6A22 Q64459 CP3AB_MOUSE 3A11 CYP3A11 Q27593 CP6A8_DROME 6A8 CYP6A8 P51538 CP3A9_RAT 3A9 CYP3A9</t>
  </si>
  <si>
    <t xml:space="preserve">CYTOCHROME OS MESOCRICETUS AURATUS GN PE SV BLATTELLA GERMANICA MUS MUSCULUS HOMO SAPIENS RATTUS NORVEGICUS OVIS ARIES DROSOPHILA MELANOGASTER </t>
  </si>
  <si>
    <t>cytochrome P450, family 3, subfamily a, polypeptide 2 - Rattus norvegicus - monooxygenase activity - steroid binding - iron ion binding - cytoplasm - endoplasmic reticulum membrane - microsome - steroid catabolic process - steroid metabolic process - steroid hydroxylase activity - electron carrier activity - alkaloid catabolic process - cell surface - monoterpenoid metabolic process - oxidoreductase activity - oxidoreductase activity, acting on paired donors, with incorporation or reduction of molecular oxygen, reduced flavin or flavoprotein as one donor, and incorporation of one atom of oxygen - drug metabolic process - oxygen binding - enzyme binding - heme binding - vitamin D3 25-hydroxylase activity - demethylase activity - caffeine oxidase activity - drug catabolic process - exogenous drug catabolic process - heterocycle metabolic process - testosterone 6-beta-hydroxylase activity - oxidation-reduction process - vitamin D 24-hydroxylase activity - oxidative demethylation</t>
  </si>
  <si>
    <t>p450 1e-024| CypX 2e-014| PLN02290 9e-012| PLN02936 2e-011| PTZ00404 2e-010| PLN02738 2e-009| PLN02302 4e-008| PLN02987 4e-008| PLN02655 9e-008| PLN02500 3e-007|</t>
  </si>
  <si>
    <t>Erythrobacter litoralis HTCC2594</t>
  </si>
  <si>
    <t>85375377 YP_459439 1 84788460 ABC64642 148909157 ABR17679 225461054 XP_002278893 297735977 CBI23951 3 118398187 XP_001031423 TTHERM_00825550 89285751 EAR83760 310793811 EFQ29272 GLRG_04416 312218614 CBX98559 170049630 XP_001857861 167871385 EDS34768 125531340 EAY77905 OSI_32946 62733661 AAX95773 78708004 ABB46979 115481346 NP_001064266 OS10G0188100 62733662 AAX95774 78708005 ABB46980 113638875 BAF26180 215713568 BAG94705 215769198 BAH01427</t>
  </si>
  <si>
    <t xml:space="preserve">SELENOCYSTEINE LYASE UNKNOWN HYPOTHETICAL UNNAMED PRODUCT ACIDIC MAMMALIAN CHITINASE TRANSCRIPTION INITIATION FACTOR MUTANT TFIIF ALPHA EXPRESSED </t>
  </si>
  <si>
    <t>sp|A1WRA7|DNLJ_VEREI</t>
  </si>
  <si>
    <t>Verminephrobacter eiseniae (strain EF01-2)</t>
  </si>
  <si>
    <t>A1WRA7 EF01 2 3 1 Q27483 K6PF_CAEEL 6 C50F4 Q6G3I3 Q29L39 A3CRB9 ECFA2_STRSV SK36 ECFA2 P53071 YGY5_YEAST YGL235W 204508 S288C A5G0V3 5 P36084 MUD2_YEAST MUD2 P85097 Q5ZIH0 INT11_CHICK 11 CPSF3L</t>
  </si>
  <si>
    <t xml:space="preserve">DNLJ_VEREI DNA LIGASE OS VERMINEPHROBACTER EISENIAE STRAIN GN LIGA PE SV PROBABLE PHOSPHOFRUCTOKINASE CAENORHABDITIS ELEGANS LIPB_BARHE OCTANOYLTRANSFERASE BARTONELLA HENSELAE LIPB POE_DROPS PURITY ESSENCE DROSOPHILA PSEUDOOBSCURA POE ENERGY COUPLING FACTOR TRANSPORTER ATP BINDING ECFA STREPTOCOCCUS SANGUINIS UNCHARACTERIZED SACCHAROMYCES CEREVISIAE ATCC LIPB_ACICJ ACIDIPHILIUM CRYPTUM JF SPLICING NARG_BRASZ RESPIRATORY NITRATE REDUCTASE ALPHA CHAIN FRAGMENTS BRADYRHIZOBIUM NARG INTEGRATOR COMPLEX SUBUNIT GALLUS </t>
  </si>
  <si>
    <t>PRK03202 | trehalose_TreZ | Radical_SAM_N | HRD1 | 7TM_GPCR_Srab | PHA03252 | MR_like | PRK05778 | PRK00432 | PHA02702 |</t>
  </si>
  <si>
    <t>sp|Q54N86|FBXAL_DICDI</t>
  </si>
  <si>
    <t>Q54N86 DDB_G0285445 3 1</t>
  </si>
  <si>
    <t xml:space="preserve">FBXAL_DICDI F BOX WD REPEAT CONTAINING A LIKE OS DICTYOSTELIUM DISCOIDEUM GN PE SV </t>
  </si>
  <si>
    <t>tatC | PLN03238 | DUF2714 | UDPG_MGDP_dh | 7TM_GPCR_Srj | PRK08451 |</t>
  </si>
  <si>
    <t>Caligus clemensi</t>
  </si>
  <si>
    <t>225718756 ACO15224 1 ZDHHC21 167378228 XP_001734724 165903650 EDR29106 164519781 ABY59948 P450 CYP5001A1 118375190 XP_001020780 89302547 EAS00535 149194453 ZP_01871550 CMTB2_07626 149135628 EDM24107 75909414 YP_323710 75703139 ABA22815 37527877 NP_931222 PLU4025 36787313 CAE16397 83315737 XP_730921 23490799 EAA22486 295099644 CBK88733 340347112 ZP_08670228 HMPREF9136_1226 339610615 EGQ15465</t>
  </si>
  <si>
    <t xml:space="preserve">PROBABLE PALMITOYLTRANSFERASE GUANYL NUCLEOTIDE EXCHANGE FACTOR CYTOCHROME MONOOXYGENASE FAMILY HYPOTHETICAL HISTIDINE KINASE UNNAMED PRODUCT RIBOFLAVIN FMN ADENYLYLTRANSFERASE </t>
  </si>
  <si>
    <t>sp|Q93VD3|CIPKN_ARATH</t>
  </si>
  <si>
    <t>Q93VD3 23 CIPK23 1 Q6ZLP5 2 Q2QY53 32 CIPK32 Q8K9Z1 3 Q5FH91 Q9MAM1 CIPK9_ARATH 9 CIPK9 Q9STV4 CIPK8_ARATH 8 CIPK8 Q54MH3 DHX16_DICDI DHX16 Q2RAX3 33 CIPK33 O22971 13 CIPK13</t>
  </si>
  <si>
    <t xml:space="preserve">CIPKN_ARATH CBL INTERACTING SERINE THREONINE KINASE OS ARABIDOPSIS THALIANA GN PE SV CIPKN_ORYSJ ORYZA SATIVA SUBSP JAPONICA CIPKW_ORYSJ RIBF_BUCAP RIBOFLAVIN BIOSYNTHESIS RIBF BUCHNERA APHIDICOLA SCHIZAPHIS GRAMINUM SYI_EHRRG ISOLEUCYL TRNA SYNTHETASE EHRLICHIA RUMINANTIUM STRAIN GARDEL ILES PRE MRNA SPLICING FACTOR ATP DEPENDENT RNA HELICASE DICTYOSTELIUM DISCOIDEUM CIPKX_ORYSJ CIPKD_ARATH </t>
  </si>
  <si>
    <t>ND2 2e-006| ND4 4e-005| ND5 1e-004| ND4 2e-004| DUF3796 2e-004| ND1 4e-004| ABC2_membrane_3 4e-004| Oxidored_q3 6e-004| ND4 0.001| ND3 0.002|</t>
  </si>
  <si>
    <t>sp|Q923Y4|TAA7H_RAT</t>
  </si>
  <si>
    <t>Q923Y4 TAA7H_RAT 7H TAAR7H 3 1 P34504 YMV2_CAEEL K04H4 2 7</t>
  </si>
  <si>
    <t xml:space="preserve">TRACE AMINE ASSOCIATED RECEPTOR OS RATTUS NORVEGICUS GN PE SV UNCHARACTERIZED CAENORHABDITIS ELEGANS </t>
  </si>
  <si>
    <t>Stig1 | PRK09990 | PRK07187 | Somatomedin_B |</t>
  </si>
  <si>
    <t>CYTB | Ycf1 | YTH | PRK13577 | PHA03232 | PRK05896 | RdRP_2 |</t>
  </si>
  <si>
    <t>195113653 XP_002001382 1 GI22004 193917976 EDW16843 194746697 XP_001955813 GF18943 190628850 EDV44374 195482722 XP_002086806 GE11084 195497843 XP_002096272 GE25153 194182373 EDW95984 194186596 EDX00208 195569755 XP_002102874 GD20135 194198801 EDX12377 21356717 NP_650780 L55 195356512 XP_002044710 GM23337 74868572 Q9VE04 RM55_DROME 39S L55MT 7300477 AAF55632 9501241 CAB99479 17946554 AAL49308 RH10246P 194133910 EDW55426 220942398 ACL83742 MRPL55 220952642 ACL88864 194900048 XP_001979569 GG16185 190651272 EDV48527 195450819 XP_002072647 GK13715 194168732 EDW83633 195143711 XP_002012841 GL23712 198458575 XP_002136159 GA22435 194101784 EDW23827 198142395 EDY71152 195054096 XP_001993962 GH22393 193895832 EDV94698 270013570 EFA10018 TCASGA2_TC012190</t>
  </si>
  <si>
    <t xml:space="preserve">MITOCHONDRIAL RIBOSOMAL FULL SHORT MRP FLAGS PRECURSOR TRANSCRIPTION FACTOR PA HYPOTHETICAL </t>
  </si>
  <si>
    <t>sp|Q9VE04|RM55_DROME</t>
  </si>
  <si>
    <t>Q9VE04 RM55_DROME 39S L55 MRPL55 1 A8WUP2 12 3 2 Q7Z7F7 RM55_HUMAN P12270 P97436 NKX31_MOUSE NKX3 Q99323 Q5TZA2 P75445 Y333_MYCPN MPN_333 4 Q5QZ32 Q8CJ40</t>
  </si>
  <si>
    <t xml:space="preserve">RIBOSOMAL MITOCHONDRIAL OS DROSOPHILA MELANOGASTER GN PE SV HOOK_CAEBR ZYGOTE DEFECTIVE CAENORHABDITIS BRIGGSAE ZYG HOMO SAPIENS TPR_HUMAN NUCLEOPROTEIN TPR HOMEOBOX NKX MUS MUSCULUS MYSN_DROME MYOSIN HEAVY CHAIN NON MUSCLE ZIP CROCC_HUMAN ROOTLETIN CROCC UNCHARACTERIZED MYCOPLASMA PNEUMONIAE KTHY_IDILO THYMIDYLATE KINASE IDIOMARINA LOIHIENSIS TMK CROCC_MOUSE </t>
  </si>
  <si>
    <t>mitochondrial ribosomal protein L55 - Drosophila melanogaster - nucleus - sequence-specific DNA binding transcription factor activity - mitochondrial large ribosomal subunit - structural constituent of ribosome - mRNA binding - nucleolus - mitochondrion - translation</t>
  </si>
  <si>
    <t>Mitoc_L55 1e-011| DUF707 | PTZ00232 | PLN03202 | rpoC1 | YibE_F | Bromo_gcn5_like | PRK05192 | DUF995 | rad50 |</t>
  </si>
  <si>
    <t>Batrachochytrium dendrobatidis JAM81</t>
  </si>
  <si>
    <t>328769524 EGF79568 1 BATDEDRAFT_89642 281209173 EFA83348 71984496 NP_741210 2 46195906 AAS80342 71984501 NP_741211 46195907 AAS80343 3158413 AAC17501 7498942 T16038 F11H8 4 309358106 CAP34452 308465509 XP_003095014 308246279 EFO90231 304406404 ZP_07388060 PAECUDRAFT_2736 304344462 EFM10300 268573716 XP_002641835</t>
  </si>
  <si>
    <t xml:space="preserve">HYPOTHETICAL ACTIN BINDING CYTOKINESIS DEFECT FAMILY MEMBER CYK ISOFORM A B UNKNOWN CAENORHABDITIS ELEGANS CBR CRE C BRIGGSAE </t>
  </si>
  <si>
    <t>sp|Q6P0D5|WBP11_DANRE</t>
  </si>
  <si>
    <t>Q6P0D5 WBP11_DANRE 11 WBP11 1 Q9Y2W2 WBP11_HUMAN Q5PQQ2 WBP11_RAT 2 Q923D5 WBP11_MOUSE A2VDK6 WASF2_BOVIN WASF2 Q9FLQ7 FH20_ARATH 20 FH20 3 Q9Y6W5 WASF2_HUMAN P21997 185 Q84ZL0 FH5_ORYSJ 5 FH5 P08001</t>
  </si>
  <si>
    <t xml:space="preserve">WW DOMAIN BINDING OS DANIO RERIO GN PE SV HOMO SAPIENS RATTUS NORVEGICUS MUS MUSCULUS WISKOTT ALDRICH SYNDROME FAMILY MEMBER BOS TAURUS FORMIN LIKE ARABIDOPSIS THALIANA SSGP_VOLCA SULFATED SURFACE GLYCOPROTEIN VOLVOX CARTERI ORYZA SATIVA SUBSP JAPONICA ACRO_PIG ACROSIN SUS SCROFA ACR </t>
  </si>
  <si>
    <t>Cytokinesis defect protein 1, isoform b - Caenorhabditis elegans - protein binding</t>
  </si>
  <si>
    <t>Drf_FH1 8e-006| PHA03419 2e-005| SMN 3e-005| PTZ00146 6e-004| Collagen 0.001| PRK06958 0.001| Photo-RC_L 0.001| DUF3824 0.001| PAT1 0.002| Gag_spuma 0.003|</t>
  </si>
  <si>
    <t>sp|Q055P8|GCSP_LEPBL</t>
  </si>
  <si>
    <t>Leptospira borgpetersenii serovar Hardjo-bovis (strain L550)</t>
  </si>
  <si>
    <t>Q055P8 L550 3 1 Q04PM7 JB197 P51910 2</t>
  </si>
  <si>
    <t xml:space="preserve">GCSP_LEPBL GLYCINE DEHYDROGENASE OS LEPTOSPIRA BORGPETERSENII SEROVAR HARDJO BOVIS STRAIN GN GCVP PE SV GCSP_LEPBJ APOD_MOUSE APOLIPOPROTEIN D MUS MUSCULUS APOD </t>
  </si>
  <si>
    <t>Bac_transf | PRK06439 | COG0670 | TBC | PRK13387 | Pox_VERT_large | PLN02594 | CYTB | ND6 | Photo-RC_L |</t>
  </si>
  <si>
    <t>sp|A3PCW7|G6PI_PROM0</t>
  </si>
  <si>
    <t>Prochlorococcus marinus (strain MIT 9301)</t>
  </si>
  <si>
    <t>A3PCW7 G6PI_PROM0 6 9301 3 1</t>
  </si>
  <si>
    <t xml:space="preserve">GLUCOSE PHOSPHATE ISOMERASE OS PROCHLOROCOCCUS MARINUS STRAIN MIT GN PGI PE SV </t>
  </si>
  <si>
    <t>ND4 | ND6 | COG0670 | Bac_transf | PRK08268 | Pox_VERT_large | CYTB | Photo-RC_L | NMN_trans_PnuC | PLN02366 |</t>
  </si>
  <si>
    <t>156548340 XP_001603320 1 CG15908 332030508 EGI70196 G5I_00954 307208683 EFN85973 UPF0545 C22ORF39 322785907 EFZ12526 SINV_14930 328783097 XP_001120086 2 241999862 XP_002434574 215497904 EEC07398 195455146 XP_002074580 GK23086 194170665 EDW85566 195028510 XP_001987119 GH21744 193903119 EDW01986 194864060 XP_001970750 GG23212 190662617 EDV59809 195383492 XP_002050460 GJ22168 194145257 EDW61653</t>
  </si>
  <si>
    <t xml:space="preserve">SIMILAR TO PA HYPOTHETICAL LIKE HOMOLOG CONSERVED </t>
  </si>
  <si>
    <t>sp|Q9I0S1|TAM_PSEAE</t>
  </si>
  <si>
    <t>Q9I0S1 2 3 1 Q02N15 PA14 Q3U595 CV039_MOUSE UPF0545 C22ORF39 Q55G34 Y9585_DICDI DDB_G0267840 4 Q5RE30 CV039_PONAB Q6P5X5 CV039_HUMAN Q80V70 MEGF6_MOUSE 6 MEGF6 P34433 YL53_CAEEL F44E2 Q60864 STIP1_MOUSE STIP1 Q66J54 S226A_XENLA 22 SLC22A6</t>
  </si>
  <si>
    <t xml:space="preserve">TAM_PSEAE TRANS ACONITATE METHYLTRANSFERASE OS PSEUDOMONAS AERUGINOSA GN TAM PE SV TAM_PSEAB STRAIN UCBPP HOMOLOG MUS MUSCULUS UNCHARACTERIZED DICTYOSTELIUM DISCOIDEUM PONGO ABELII HOMO SAPIENS MULTIPLE EPIDERMAL GROWTH FACTOR LIKE DOMAINS CAENORHABDITIS ELEGANS STRESS INDUCED PHOSPHOPROTEIN SOLUTE CARRIER FAMILY MEMBER A XENOPUS LAEVIS </t>
  </si>
  <si>
    <t>PLN02503 | ND5 | M20_ArgE_RocB | PRK09247 | COG4297 | matK | ND6 | PRK15102 | COG3368 | PRK00811 |</t>
  </si>
  <si>
    <t>11466751 NP_039347 1 140297 P12214 11722 CAA28133 5835464 NP_008387 ATP6_13342 F0 6 2970428 AAD05078 50305295 XP_452607 49641740 CAH01458 KLLA0C09152P 169659148 BAG12765 169659150 BAG12766 281200839 EFA75055 PPL_11673 333910915 YP_004484648 METIG_1042 333751504 AEF96583 156845317 XP_001645550 KPOL_1004P70 156116214 EDO17692 330806538 XP_003291225 DICPUDRAFT_155807 325078616 EGC32258 269839087 YP_003323779 269790817 ACZ42957 200389371 ZP_03215982 SEV_A1378 199601816 EDZ00362 70950423 XP_744536 56524530 CAH77893</t>
  </si>
  <si>
    <t xml:space="preserve">CYTOCHROME C BIOGENESIS CCSA_MARPO FULL CCSA UNNAMED PRODUCT ATP SYNTHASE SUBUNIT ATPASE HYPOTHETICAL STEROL ACYLTRANSFERASE BINDING DEPENDENT TRANSPORTERS INNER MEMBRANE COMPONENT TRANSPORT SYSTEMS HYPTHETICAL </t>
  </si>
  <si>
    <t>sp|P12214|CCSA_MARPO</t>
  </si>
  <si>
    <t>P12214 3 1 Q21123 INX7_CAEEL 7 Q9FF17 ALG6_ARATH MAN9GLCNAC2 AT5G38460 2 Q5SMC5 GLGA_THET8 HB8 27634 579 Q72G68 GLGA_THET2 HB27 163 7039 P58395 O95977 S1PR4_HUMAN 4 S1PR4 P23830 K12 Q8K9S1 Q03ER1 25745 183 1W</t>
  </si>
  <si>
    <t xml:space="preserve">CCSA_MARPO CYTOCHROME C BIOGENESIS CCSA OS MARCHANTIA POLYMORPHA GN PE SV INNEXIN CAENORHABDITIS ELEGANS INX PROBABLE DOLICHYL PYROPHOSPHATE ALPHA GLUCOSYLTRANSFERASE ARABIDOPSIS THALIANA GLYCOGEN SYNTHASE THERMUS THERMOPHILUS STRAIN ATCC DSM GLGA BAA GLGA_THECA CALDOPHILUS SPHINGOSINE PHOSPHATE RECEPTOR HOMO SAPIENS PSS_ECOLI CDP DIACYLGLYCEROL SERINE O PHOSPHATIDYLTRANSFERASE ESCHERICHIA COLI PSSA FLHB_BUCAP FLAGELLAR BIOSYNTHETIC FLHB BUCHNERA APHIDICOLA SUBSP SCHIZAPHIS GRAMINUM QUEA_PEDPA S ADENOSYLMETHIONINE TRNA RIBOSYLTRANSFERASE ISOMERASE PEDIOCOCCUS PENTOSACEUS QUEA </t>
  </si>
  <si>
    <t>PLDc_PSS_G_neg_2 | PLDc_CDP-OH_P_transf_II_2 | pssA | NMT_C | Cas1p | Glyco_transf_22 | COG4485 | ND2 | PRK10819 | DUF1356 |</t>
  </si>
  <si>
    <t>sp|Q69ZW3|EHBP1_MOUSE</t>
  </si>
  <si>
    <t>Q69ZW3 EHBP1_MOUSE 1 EHBP1 3</t>
  </si>
  <si>
    <t xml:space="preserve">EH DOMAIN BINDING OS MUS MUSCULUS GN PE SV </t>
  </si>
  <si>
    <t>lys | PHA03079 | DUF3796 | PTZ00250 | PTZ00101 | lectin_VIP36_VIPL | Cby_like | PRK15015 | DUF226 | DUF1368 |</t>
  </si>
  <si>
    <t>sp|P21464|RS2_BACSU</t>
  </si>
  <si>
    <t>P21464 RS2_BACSU 30S S2 1 3 Q65JJ9 RS2_BACLD 13 14580 A7Z4S0 RS2_BACA2 FZB42 Q24UF7 RS2_DESHY Y51 B8FRG5 RS2_DESHD 2 10664</t>
  </si>
  <si>
    <t xml:space="preserve">RIBOSOMAL OS BACILLUS SUBTILIS GN RPSB PE SV LICHENIFORMIS STRAIN DSM ATCC AMYLOLIQUEFACIENS DESULFITOBACTERIUM HAFNIENSE DCB </t>
  </si>
  <si>
    <t>PRK02122 | RHD-n_Dorsal_Dif | C2B_Synaptotagmin | PRK13695 |</t>
  </si>
  <si>
    <t>146285359 ABQ18256 1 L14 66565929 XP_392809 2 60S 322801622 EFZ22263 SINV_10702 340717974 XP_003397448 332021826 EGI62169 156543734 XP_001607874 307197827 EFN78938 264667335 ACY71253 195013743 XP_001983898 GH15316 193897380 EDV96246 195375931 XP_002046751 RPL14 38258632 Q95ZE8 RL14_DROVI 14422300 CAC41629 194153909 EDW69093</t>
  </si>
  <si>
    <t>Q95ZE8 RL14_DROVI 60S L14 RPL14 3 1 P55841 RL14_DROME 2 O46160 RL14_LUMRU Q9CR57 RL14_MOUSE Q3T0U2 RL14_BOVIN Q63507 RL14_RAT P50914 RL14_HUMAN 4 A1XQU3 RL14_PIG Q9ZHC5 DBH_MYCS2 700084 155 P87078 TOP2_CANAL TOP2</t>
  </si>
  <si>
    <t xml:space="preserve">RIBOSOMAL OS DROSOPHILA VIRILIS GN PE SV MELANOGASTER LUMBRICUS RUBELLUS MUS MUSCULUS BOS TAURUS RATTUS NORVEGICUS HOMO SAPIENS SUS SCROFA DNA BINDING HU HOMOLOG MYCOBACTERIUM SMEGMATIS STRAIN ATCC MC HUP TOPOISOMERASE CANDIDA ALBICANS </t>
  </si>
  <si>
    <t>Ribosomal_L14e 8e-004| PTZ00065 0.051| Peptidase_S49_N 0.099| DUF947 | CTP_transf_1 | VanZ | PRK04950 | PTZ00074 | PRK11212 | PSN |</t>
  </si>
  <si>
    <t>149689088 ABR27879 1 40S S8 263173260 ACY69893 S8E 119570872 EAW50487 HCG1988775 70909505 CAJ17177 70909497 CAJ17173 229365780 ACQ57870 229365798 ACQ57879 91084049 XP_967339 270008005 EFA04453 TCASGA2_TC014757 70909501 CAJ17175 332022267 EGI62582 307203914 EFN82821</t>
  </si>
  <si>
    <t>sp|Q7SYU0|RS8_XENLA</t>
  </si>
  <si>
    <t>Q7SYU0 RS8_XENLA 40S S8 RPS8 2 3 Q90YR6 RS8_ICTPU Q8WQI5 RS8_SPOFR 1 P62243 RS8_RAT P62242 RS8_MOUSE Q4R6P8 RS8_MACFA P62241 RS8_HUMAN Q5E958 RS8_BOVIN P62247 RS8_DANRE O76756 RS8_APIME</t>
  </si>
  <si>
    <t xml:space="preserve">RIBOSOMAL OS XENOPUS LAEVIS GN PE SV ICTALURUS PUNCTATUS SPODOPTERA FRUGIPERDA RATTUS NORVEGICUS MUS MUSCULUS MACACA FASCICULARIS HOMO SAPIENS BOS TAURUS DANIO RERIO APIS MELLIFERA </t>
  </si>
  <si>
    <t>PTZ00148 2e-023| Ribosomal_S8e 7e-005| S8e 0.002| PRK10674 | RPS8A | trkD | PRK08527 | PLN02941 | RP-C_C | PRK14701 |</t>
  </si>
  <si>
    <t>116515071 YP_802700 1 E1 116256925 ABJ90607 330841576 XP_003292771 DICPUDRAFT_83375 325076962 EGC30708 297850900 XP_002893331 ARALYDRAFT_472680 297339173 EFH69590 257892857 ZP_05672510 257829236 EEV55843 257886646 ZP_05666299 257822700 EEV49632 124505027 XP_001351255 3758843 CAB11128</t>
  </si>
  <si>
    <t xml:space="preserve">PYRUVATE DEHYDROGENASE SUBUNIT COMPONENT HYPOTHETICAL CONSERVED PLASMODIUM UNKNOWN FUNCTION </t>
  </si>
  <si>
    <t>Q6GZN0 095R_FRG3G RAD2 095R 3 FV3 1 Q8D3B6 O48686 SNL3_ARATH SIN3 SNL3 D4AQV3 VPS10_ARTBC 10 112371 VPS10 D4D4B1 VPS10_TRIVH 0517 E4UV76 VPS10_ARTGP 4604 118893 A7M9B2 YCF1_CUSRE YCF1 P43055 Y3780_MYCHP MHO_3780 23114 14850 10111 PG21 4 Q8SSC9 M1 TCP1 Q6TK73</t>
  </si>
  <si>
    <t xml:space="preserve">LIKE ENDONUCLEASE OS FROG VIRUS ISOLATE GOORHA GN PE SV SYFA_WIGBR PHENYLALANYL TRNA SYNTHETASE ALPHA CHAIN WIGGLESWORTHIA GLOSSINIDIA BREVIPALPIS PHES PAIRED AMPHIPATHIC HELIX ARABIDOPSIS THALIANA VACUOLAR SORTING TARGETING ARTHRODERMA BENHAMIAE STRAIN CBS TRICHOPHYTON VERRUCOSUM HKI GYPSEUM ATCC MYA MEMBRANE CUSCUTA REFLEXA UNCHARACTERIZED MYCOPLASMA HOMINIS NBRC NCTC TCPA_ENCCU T COMPLEX SUBUNIT ENCEPHALITOZOON CUNICULI OTCC_STRRT ORNITHINE CARBAMOYLTRANSFERASE CATABOLIC STREPTOCOCCUS RATTI ARCB </t>
  </si>
  <si>
    <t>7TM_GPCR_Srz | COG1453 | BphC1-RGP6_C_like | COG5273 | ATP6 | DUF3671 | Intg_mem_TP0381 | PHA03024 | DUF3810 | ATP6 |</t>
  </si>
  <si>
    <t>340505257 EGR31607 1 IMG5_106200 311992657 YP_004009525 GP6 298684440 ADI96401 340500166 EGR27063 IMG5_202440 258597622 XP_001348204 2 255528752 AAN36643 73979558 XP_532839 60651268 AAX31721 F5</t>
  </si>
  <si>
    <t xml:space="preserve">HYPOTHETICAL BASEPLATE WEDGE SUBUNIT CONSERVED PLASMODIUM UNKNOWN FUNCTION </t>
  </si>
  <si>
    <t>sp|A8F071|SYGB_RICCK</t>
  </si>
  <si>
    <t>Rickettsia canadensis (strain McKiel)</t>
  </si>
  <si>
    <t>A8F071 3 1 C3PLY4 5 Q5BLB7 MALD1_DANRE MARVELD1 2 Q9QYT7 P36099 YKD0_YEAST YKL030W 204508 S288C C4K2V3 Q92G11 613 7 P19060 VG06_BPT4 GP6 T4 6</t>
  </si>
  <si>
    <t xml:space="preserve">SYGB_RICCK GLYCYL TRNA SYNTHETASE BETA SUBUNIT OS RICKETTSIA CANADENSIS STRAIN MCKIEL GN GLYS PE SV SYGB_RICAE AFRICAE ESF MARVEL DOMAIN CONTAINING DANIO RERIO PIGQ_MOUSE PHOSPHATIDYLINOSITOL N ACETYLGLUCOSAMINYLTRANSFERASE Q MUS MUSCULUS PIGQ UNCHARACTERIZED SACCHAROMYCES CEREVISIAE ATCC SYGB_RICPU PEACOCKII RUSTIC SYGB_RICCN CONORII VR MALISH BASEPLATE STRUCTURAL ENTEROBACTERIA PHAGE </t>
  </si>
  <si>
    <t>6 | TIGR03766 | PRK13572 | Baculo_p47 | PHA03031 | p47 | GH43_AXH_like | ND4 | PLN03055 | PER1 |</t>
  </si>
  <si>
    <t>42572955 NP_974574 1 8 332658763 AEE84163 333375368 ZP_08467180 332970700 EGK09681 319639604 ZP_07994351 317399175 EFV79849 293606800 ZP_06689151 292814804 EFF73934 282880843 ZP_06289537 5 281305284 EFA97350 326446958 ZP_08221692 254387660 ZP_05002898 294817915 ZP_06776557 197701385 EDY47197 294322730 EFG04865</t>
  </si>
  <si>
    <t xml:space="preserve">ABSCISIC ACID HYDROXYLASE MODIFICATION METHYLASE DDEIM CYTOSINE SPECIFIC METHYLTRANSFERASE ORN LYS ARG FAMILY DECARBOXYLASE DNA CNA B DOMAIN CONSERVED HYPOTHETICAL CONTAINING </t>
  </si>
  <si>
    <t>sp|Q59606|MTF7_NEIGO</t>
  </si>
  <si>
    <t>Neisseria gonorrhoeae</t>
  </si>
  <si>
    <t>Q59606 MTF7_NEIGO 3 1 Q8MJW9 EDN2_MUSPF 2 EDN2 Q553F3 UBC2_DICDI E2 UBC2 P32656 204508 S288C YER163C P25866 UBC2_WHEAT P35130 UBC2_MEDSA P42745 UBC2_ARATH P25865 UBC1_ARATH UBC1 Q1AYH3 9941 16129 Q9PKM3</t>
  </si>
  <si>
    <t xml:space="preserve">MODIFICATION METHYLASE NGOFVII OS NEISSERIA GONORRHOEAE GN NGOFVIIM PE SV ENDOTHELIN MUSTELA PUTORIUS FURO UBIQUITIN CONJUGATING ENZYME DICTYOSTELIUM DISCOIDEUM CHAC_YEAST CATION TRANSPORT REGULATOR LIKE SACCHAROMYCES CEREVISIAE STRAIN ATCC TRITICUM AESTIVUM MEDICAGO SATIVA ARABIDOPSIS THALIANA HUTU_RUBXD UROCANATE HYDRATASE RUBROBACTER XYLANOPHILUS DSM NBRC HUTU GUAA_CHLMU GMP SYNTHASE CHLAMYDIA MURIDARUM GUAA </t>
  </si>
  <si>
    <t>ihfB | CobW_C | PRK05927 | COG1611 | CobW_C | Pox_ser-thr_kin | BAR_SNX2 | PRK12341 | DUF3684 | PHA00735 |</t>
  </si>
  <si>
    <t>Upogebia major</t>
  </si>
  <si>
    <t>158853130 BAF91417 1 160893763 ZP_02074547 CLOL250_01317 156864748 EDO58179 158334895 YP_001516067 AM1_1732 158305136 ABW26753 289168602 YP_003446871 SMI_1772 288908169 CBJ23011 195053750 XP_001993789 GH21681 193895659 EDV94525 148680386 EDL12333 MCG144623 332812871 XP_003308996 LOC100608533 332254461 XP_003276349 LOC100597269 332816522 XP_003309768 LOC100608363 170049356 XP_001855581 P450 12B1 167871156 EDS34539</t>
  </si>
  <si>
    <t xml:space="preserve">VITELLOGENIN HYPOTHETICAL CONSERVED PARTIAL CYTOCHROME MITOCHONDRIAL </t>
  </si>
  <si>
    <t>sp|A2RUV9|AEBP1_RAT</t>
  </si>
  <si>
    <t>A2RUV9 AEBP1_RAT 1 AEBP1 2 Q640N1 AEBP1_MOUSE Q8IUX7 AEBP1_HUMAN P23272 OLFI9_RAT I9 P23274 OLF15_RAT I15 Q03744 CR1AD_BACTA CRY1AD P40490 YIK0_YEAST YIL100W 204508 S288C 5 Q9S515 CR1AG_BACTU CRY1AG Q03748 CR1AE_BACTL CRY1AE P05068 CR1AC_BACTK CRY1AC</t>
  </si>
  <si>
    <t xml:space="preserve">ADIPOCYTE ENHANCER BINDING OS RATTUS NORVEGICUS GN PE SV MUS MUSCULUS HOMO SAPIENS OLFACTORY RECEPTOR LIKE PESTICIDAL CRYSTAL BACILLUS THURINGIENSIS SUBSP AIZAWAI UNCHARACTERIZED SACCHAROMYCES CEREVISIAE STRAIN ATCC ALESTI KURSTAKI </t>
  </si>
  <si>
    <t>Nop14 0.094| PRK11128 | PTZ00343 | PHA02825 | accC | PHA03119 | ND1 | Sig70_famx2 | Na_Pro_sym | ERD2 |</t>
  </si>
  <si>
    <t>sp|Q9T0K1|GBIS2_ARATH</t>
  </si>
  <si>
    <t>Q9T0K1 GBIS2_ARATH 2 TPS13 1</t>
  </si>
  <si>
    <t xml:space="preserve">Z GAMMA BISABOLENE SYNTHASE OS ARABIDOPSIS THALIANA GN PE SV </t>
  </si>
  <si>
    <t>DNase_II | Muskelin_N | PLN02691 | HPPD_C_like | Peptidase_U4 | oorB |</t>
  </si>
  <si>
    <t>sp|P38174|AMPM2_YEAST</t>
  </si>
  <si>
    <t>P38174 AMPM2_YEAST 2 204508 S288C MAP2 1 4 C8Z3V4 AMPM2_YEAS8 EC1118 3 A6ZKL2 AMPM2_YEAS7 YJM789 B5VDQ0 AMPM2_YEAS6 AWRI1631 C7GSF3 AMPM2_YEAS2 JAY291 B3LNM2 AMPM2_YEAS1 RM11 1A Q54CD6 DDX5_DICDI DDX5 Q3ZJ04 YCF78_PSEAK YCF78 Q13075 BIRC1_HUMAN P0CR56 PRP45_CRYNJ 45 JEC21 PRP45</t>
  </si>
  <si>
    <t xml:space="preserve">METHIONINE AMINOPEPTIDASE OS SACCHAROMYCES CEREVISIAE STRAIN ATCC GN PE SV LALVIN PRISE DE MOUSSE PROBABLE ATP DEPENDENT RNA HELICASE DICTYOSTELIUM DISCOIDEUM UNCHARACTERIZED MEMBRANE PSEUDENDOCLONIUM AKINETUM BACULOVIRAL IAP REPEAT CONTAINING HOMO SAPIENS NAIP PRE MRNA PROCESSING CRYPTOCOCCUS NEOFORMANS VAR SEROTYPE D </t>
  </si>
  <si>
    <t>GT_GPT_euk | DUF1430 | bact_immun_7tm | TDT_TehA_like | ND2 | DUF3381 | PRK06099 | atpG | Grp1_Fun34_YaaH | TDT_SLAC1_like |</t>
  </si>
  <si>
    <t>ATP6 | Brr6_like_C_C | Tmemb_185A | ND5 | PRK06921 | Baculo_VP91_N | YMF19 | PRK02833 |</t>
  </si>
  <si>
    <t>261332623 CBH15618 1 71747538 XP_822824 70832492 EAN77996 322820543 EFZ27131 TCSYLVIO_6670 71663375 XP_818681 70883946 EAN96830 340057039 CCC51380 297820118 XP_002877942 ARALYDRAFT_485775 297323780 EFH54201 332708167 ZP_08428160 LYNGBM3L_05850 332353069 EGJ32616 18087675 AAL58967 AC091811_16 340054585 CCC48885 20809095 NP_624266 TTE2765 20517772 AAM25870</t>
  </si>
  <si>
    <t xml:space="preserve">HYPOTHETICAL CONSERVED CIRCUMSPOROZOITE LIKE UNLIKELY </t>
  </si>
  <si>
    <t>sp|Q4V8K5|BROX_RAT</t>
  </si>
  <si>
    <t>Q4V8K5 BRO1 2 1 Q8K2Q7 Q9HCP6 Q9D1G3 Q5RDD7 Q5VW32 O42236 SEM3C_CHICK 3C SEMA3C Q5RE75 SEM3C_PONAB Q99985 SEM3C_HUMAN A7MB70 SEM3C_BOVIN</t>
  </si>
  <si>
    <t xml:space="preserve">BROX_RAT DOMAIN CONTAINING BROX OS RATTUS NORVEGICUS GN PE SV BROX_MOUSE MUS MUSCULUS HHATL_HUMAN CYSTEINE N PALMITOYLTRANSFERASE HHAT LIKE HOMO SAPIENS HHATL HHATL_MOUSE BROX_PONAB PONGO ABELII BROX_HUMAN SEMAPHORIN GALLUS BOS TAURUS </t>
  </si>
  <si>
    <t>Bunya_RdRp | DUF300 | COG3202 | glmM | ND1 | PRK05846 | glmM | COG4781 | GPDPase_memb | DUF221 |</t>
  </si>
  <si>
    <t>70909579 CAJ17210 1 S19E 70909577 CAJ17209 332024106 EGI64322 40S S19A 307184609 EFN70947 48140499 XP_393511 110774476 XP_001120315 328794080 XP_003251983 2 328794082 XP_003251984 3 156542773 XP_001602816 340720032 XP_003398448 307196693 EFN78152 307185027 EFN71256 270006521 EFA02969 TCASGA2_TC030674</t>
  </si>
  <si>
    <t>Q8ITC3 RS19_AEQIR 40S S19 RPS19 2 1 Q94613 RS19_MYAAR P39018 RS19A_DROME S19A RPS19A 3 P17074 RS19_RAT Q5R8M9 RS19_PONAB Q9CZX8 RS19_MOUSE P39019 RS19_HUMAN Q9DFR5 RS19_GILMI Q32PD5 RS19_BOVIN P61155 RS19_PAGMA</t>
  </si>
  <si>
    <t xml:space="preserve">RIBOSOMAL OS AEQUIPECTEN IRRADIANS GN PE SV MYA ARENARIA DROSOPHILA MELANOGASTER RATTUS NORVEGICUS PONGO ABELII MUS MUSCULUS HOMO SAPIENS GILLICHTHYS MIRABILIS BOS TAURUS PAGRUS MAJOR </t>
  </si>
  <si>
    <t>Ribosomal protein S19a - Drosophila melanogaster - translation - cytosolic small ribosomal subunit - structural constituent of ribosome - ribosome - lipid particle</t>
  </si>
  <si>
    <t>Ribosomal_S19e 4e-016| RPS19A 8e-009| PRK09333 2e-007| PTZ00095 1e-004| PRK12423 | ATP-synt_A | FadR | Dxr | cyoE_ctaB | PpsR-CrtJ |</t>
  </si>
  <si>
    <t>Periplaneta americana</t>
  </si>
  <si>
    <t>60678801 AAX33735 1 MPA13 263173263 ACY69894 146285347 ABQ18251 110671468 ABG81985 240849091 NP_001155400 239793423 BAH72831 ACYPI000772 240849479 NP_001155787 239792333 BAH72520 ACYPI009011 242247153 NP_001156279 239789953 BAH71569 ACYPI008871 321474421 EFX85386 DAPPUDRAFT_300446 307206040 EFN84133 P2 340710485 XP_003393818</t>
  </si>
  <si>
    <t xml:space="preserve">ALLERGEN FATTY ACID BINDING LIPOCALIN LIKE HYPOTHETICAL MYELIN </t>
  </si>
  <si>
    <t>sp|P41496|FABPM_SCHGR</t>
  </si>
  <si>
    <t>Schistocerca gregaria</t>
  </si>
  <si>
    <t>P41496 1 2 P41509 P62966 RABP1_RAT CRABP1 3 P62965 RABP1_MOUSE P29762 RABP1_HUMAN P40220 RABP1_CHICK 4 P62964 RABP1_BOVIN P50568 RABP2_XENLA CRABP2 Q5PXY7 RABP2_BOVIN Q5R2J5 RABP1_PELSI</t>
  </si>
  <si>
    <t xml:space="preserve">FABPM_SCHGR FATTY ACID BINDING MUSCLE OS SCHISTOCERCA GREGARIA PE SV FABPM_LOCMI LOCUSTA MIGRATORIA CELLULAR RETINOIC RATTUS NORVEGICUS GN MUS MUSCULUS HOMO SAPIENS GALLUS BOS TAURUS XENOPUS LAEVIS PELODISCUS SINENSIS </t>
  </si>
  <si>
    <t>DUF2206 | PTZ00229 | COG2604 | PHA03042 | PHA02726 | ND5 | sulfolob_CbsB | SEC14 | Colicin_im | chap_CCT_delta |</t>
  </si>
  <si>
    <t>270046200 BAI50830 1 270046202 BAI50831 149898913 ABR27964 149689194 ABR27965 307094842 ADN29727 307094930 ADN29771 TM434 307094858 ADN29735 270046220 BAI50840 307094882 ADN29747 307094958 ADN29785 TM816</t>
  </si>
  <si>
    <t>sp|P80029|CRC1_HOMGA</t>
  </si>
  <si>
    <t>P80029 CRC1_HOMGA C1 1 P58989 CRA1_HOMGA A1 P37153 2 Q32KY0 P51909 A6TUN0 SECA2_ALKMQ SECA2 3 P46893 43588 3639 F1 A5CD03 P32072 P05090</t>
  </si>
  <si>
    <t xml:space="preserve">CRUSTACYANIN SUBUNIT OS HOMARUS GAMMARUS PE SV APOD_RABIT APOLIPOPROTEIN D ORYCTOLAGUS CUNICULUS GN APOD APOD_BOVIN BOS TAURUS APOD_CAVPO CAVIA PORCELLUS TRANSLOCASE SECA ALKALIPHILUS METALLIREDIGENS STRAIN QYMF PPSA_STAMF PROBABLE PHOSPHOENOLPYRUVATE SYNTHASE STAPHYLOTHERMUS MARINUS ATCC DSM PPSA SYA_ORITB ALANYL TRNA SYNTHETASE ORIENTIA TSUTSUGAMUSHI BORYONG ALAS GBPH_PLAFB GLYCOPHORIN BINDING RELATED ANTIGEN PLASMODIUM FALCIPARUM ISOLATE FCBR COLUMBIA GBPH APOD_HUMAN HOMO SAPIENS </t>
  </si>
  <si>
    <t>Triabin 0.001| ARV1 | PTZ00166 | Lipocalin | FliH_bacil | PRK12444 | DUF3764 | F_box_assoc_1 | GT2_GlmU_N_bac | PRK12416 |</t>
  </si>
  <si>
    <t>340722574 XP_003399679 1 4 332030543 EGI70231 2 91087549 XP_970604 4A CG1963 270010682 EFA07130 TCASGA2_TC010121 322783241 EFZ10827 SINV_13226 307181032 EFN68806 156551315 XP_001601678 328782944 XP_395077 3 307206440 EFN84478 324517604 ADY46871 157132864 XP_001662676 AAEL_AAEL002898 108881639 EAT45864</t>
  </si>
  <si>
    <t xml:space="preserve">PROBABLE PTERIN ALPHA CARBINOLAMINE DEHYDRATASE LIKE SIMILAR TO PA HYPOTHETICAL CONSERVED </t>
  </si>
  <si>
    <t>sp|Q9CZL5|PHS2_MOUSE</t>
  </si>
  <si>
    <t>Q9CZL5 PHS2_MOUSE 4 2 PCBD2 1 P0C8L6 3 Q9DG45 PHS2_CHICK Q5R7K1 PHS2_PONAB Q9TZH6 Q9H0N5 PHS2_HUMAN O73930 PCBD1 Q46VT8 PHS2_CUPPJ JMP134 1197 REUT_A3388 Q91901 P58249</t>
  </si>
  <si>
    <t xml:space="preserve">PTERIN ALPHA CARBINOLAMINE DEHYDRATASE OS MUS MUSCULUS GN PE SV PHS_HYPDU PROBABLE HYPSIBIUS DUJARDINI PCD GALLUS FRAGMENT PONGO ABELII PHS_CAEEL CAENORHABDITIS ELEGANS PCBD HOMO SAPIENS PHS_CHICK CUPRIAVIDUS PINATUBONENSIS STRAIN LMG PHS_XENLA XENOPUS LAEVIS PHS_DROVI DROSOPHILA VIRILIS </t>
  </si>
  <si>
    <t>pterin 4 alpha carbinolamine dehydratase/dimerization cofactor of hepatocyte nuclear factor 1 alpha (TCF1) 2 - Rattus norvegicus - phenylalanine 4-monooxygenase activity - nucleus - mitochondrion - tetrahydrobiopterin biosynthetic process - 4-alpha-hydroxytetrahydrobiopterin dehydratase activity - positive regulation of transcription, DNA-dependent - protein homotetramerization - protein heterooligomerization</t>
  </si>
  <si>
    <t>PCD_DCoH_subfamily_b 2e-030| phhB 7e-027| Pterin_4a 2e-026| PCD_DCoH 2e-024| COG2154 3e-022| PCD_DCoH_subfamily_a 1e-011| ND4 0.022| NosY | ND4L | Bap31 |</t>
  </si>
  <si>
    <t>Ochterus marginatus</t>
  </si>
  <si>
    <t>240266391 YP_002970730 1 4 215789098 ACJ69555 221056070 XP_002259173 193809244 CAQ39946 309359939 CAR99828 CBG_25871</t>
  </si>
  <si>
    <t xml:space="preserve">NADH DEHYDROGENASE SUBUNIT HYPOTHETICAL CONSERVED IN PLASMODIUM SPECIES </t>
  </si>
  <si>
    <t>sp|Q1ZXJ0|CLCD_DICDI</t>
  </si>
  <si>
    <t>Q1ZXJ0 3 1 P53862 YNW8_YEAST YNL228W 204508 S288C 5 O13760 YF2A_SCHPO C17A2 10C 38366 972 SPAC17A2 2 O74630 TEL1 O36389 VG40_ALHV1 40 C500 Q9MTD3 Q9C0W9 PFA5_SCHPO PFA5 Q8D268 A0CH87 LIS12_PARTE GSPATT00007594001 A0DB19 LIS11_PARTE GSPATT00015130001</t>
  </si>
  <si>
    <t xml:space="preserve">CLCD_DICDI CHLORIDE CHANNEL D OS DICTYOSTELIUM DISCOIDEUM GN CLCD PE SV UNCHARACTERIZED MEMBRANE SACCHAROMYCES CEREVISIAE STRAIN ATCC SCHIZOSACCHAROMYCES POMBE ATM_SCHPO SERINE THREONINE KINASE GENE ALCELAPHINE HERPESVIRUS RPOB_TOXGO DNA DIRECTED RNA POLYMERASE SUBUNIT BETA TOXOPLASMA GONDII RPOB PALMITOYLTRANSFERASE PFA SERC_WIGBR PHOSPHOSERINE AMINOTRANSFERASE WIGGLESWORTHIA GLOSSINIDIA BREVIPALPIS SERC LISSENCEPHALY HOMOLOG PARAMECIUM TETRAURELIA </t>
  </si>
  <si>
    <t>ND1 0.036| Ctr 0.040| ATP_synt_6_or_A 0.059| ND5 | ND4 | ATP6 | Ycf1 | DUF368 | ND2 | PHA02246 |</t>
  </si>
  <si>
    <t>Comments</t>
  </si>
  <si>
    <t>Class</t>
  </si>
  <si>
    <t>Dbase</t>
  </si>
  <si>
    <t>Eval</t>
  </si>
  <si>
    <t>Coverage</t>
  </si>
  <si>
    <t>Triabin</t>
  </si>
  <si>
    <t>Tenebrio molitor mitochondrial partial 16S rRNA gene isolate Tmo1</t>
  </si>
  <si>
    <t>ps</t>
  </si>
  <si>
    <t>uc</t>
  </si>
  <si>
    <t>SCP_PRY1_like: SCP-like extracellular protein domain</t>
  </si>
  <si>
    <t>s/</t>
  </si>
  <si>
    <t>SCP_euk: SCP-like extracellular protein domain</t>
  </si>
  <si>
    <t>Eublaberus posticus mitochondrion 16S ribosomal RNA partial sequence</t>
  </si>
  <si>
    <t>Scylla paramamosain 16S ribosomal RNA partial sequence; mitochondrial</t>
  </si>
  <si>
    <t>Unknown product</t>
  </si>
  <si>
    <t>uk</t>
  </si>
  <si>
    <t>salivary lipocalin</t>
  </si>
  <si>
    <t>triabin-like lipocalin precursor</t>
  </si>
  <si>
    <t>lipocalin-like TiLipo37</t>
  </si>
  <si>
    <t>lipocalin</t>
  </si>
  <si>
    <t>cytochrome P450-like protein</t>
  </si>
  <si>
    <t>detox/ox</t>
  </si>
  <si>
    <t>Cytochrome c oxidase subunit II</t>
  </si>
  <si>
    <t>met/energy</t>
  </si>
  <si>
    <t>15-hydroxyprostaglandin dehydrogenase</t>
  </si>
  <si>
    <t>met/lipd</t>
  </si>
  <si>
    <t>cytochrome oxidase subunit I</t>
  </si>
  <si>
    <t>40S ribosomal protein S2/30S ribosomal protein S5</t>
  </si>
  <si>
    <t>truncated cytochrome b</t>
  </si>
  <si>
    <t>Ubiquitin/40S ribosomal protein S27a fusion</t>
  </si>
  <si>
    <t>PTZ00074 60S ribosomal protein L34; Provisional</t>
  </si>
  <si>
    <t>Neurofilament heavy polypeptide - intermediate filament cytoskeleton organization - axon - cell death - nervous system development - neurofilament -</t>
  </si>
  <si>
    <t>st/apoptosis</t>
  </si>
  <si>
    <t>40S ribosomal protein S7</t>
  </si>
  <si>
    <t>S10e ribosomal protein</t>
  </si>
  <si>
    <t>40S ribosomal protein S4</t>
  </si>
  <si>
    <t>heat shock protein 70</t>
  </si>
  <si>
    <t>pm</t>
  </si>
  <si>
    <t>Cytochrome oxidase subunit III</t>
  </si>
  <si>
    <t>Alpha tubulin</t>
  </si>
  <si>
    <t>cs</t>
  </si>
  <si>
    <t>PTZ00134 40S ribosomal protein S18; Provisional</t>
  </si>
  <si>
    <t>40S ribosomal protein S3A</t>
  </si>
  <si>
    <t>hypothetical secreted protein</t>
  </si>
  <si>
    <t>40S ribosomal protein S15/S22</t>
  </si>
  <si>
    <t>PTZ00254 40S ribosomal protein SA; Provisional</t>
  </si>
  <si>
    <t>60S ribosomal protein L22</t>
  </si>
  <si>
    <t>Ribosomal L22e protein family</t>
  </si>
  <si>
    <t>60S acidic ribosomal protein P0-like isoform 1 Bombus terrestris</t>
  </si>
  <si>
    <t>PTZ00026 60S ribosomal protein L15; Provisional</t>
  </si>
  <si>
    <t>PTZ00041 60S ribosomal protein L35a; Provisional</t>
  </si>
  <si>
    <t>40S ribosomal protein S14</t>
  </si>
  <si>
    <t>multifunctional chaperone</t>
  </si>
  <si>
    <t>G protein beta subunit-like protein</t>
  </si>
  <si>
    <t>st</t>
  </si>
  <si>
    <t>60S ribosomal protein L11</t>
  </si>
  <si>
    <t>NADH dehydrogenase subunit 1</t>
  </si>
  <si>
    <t>60S ribosomal protein L26</t>
  </si>
  <si>
    <t>60s ribosomal protein L23</t>
  </si>
  <si>
    <t>ribosomal protein L28</t>
  </si>
  <si>
    <t>S25 ribosomal protein</t>
  </si>
  <si>
    <t>ribosome-associated membrane protein</t>
  </si>
  <si>
    <t>Ligand-gated ion channel</t>
  </si>
  <si>
    <t>DNA alkylation damage repair protein</t>
  </si>
  <si>
    <t>tm</t>
  </si>
  <si>
    <t>Sec61beta - negative regulation of autophagy - protein transporter - Sec61 translocon complex - SRP-dependent cotranslational protein targeting to</t>
  </si>
  <si>
    <t>Elongation factor 2</t>
  </si>
  <si>
    <t>Annexin</t>
  </si>
  <si>
    <t>pe</t>
  </si>
  <si>
    <t>PLN02386 superoxide dismutase Cu-Zn</t>
  </si>
  <si>
    <t>MAGE family</t>
  </si>
  <si>
    <t>vitellogenin-3</t>
  </si>
  <si>
    <t>storage/</t>
  </si>
  <si>
    <t>Uncharacterized protein - polysomal ribosome - ribosome biogenesis - translational elongation - cytosol - membrane fraction</t>
  </si>
  <si>
    <t>Ribosomal protein S4</t>
  </si>
  <si>
    <t>60S ribosomal protein L14</t>
  </si>
  <si>
    <t>PTZ00159 60S ribosomal protein L32; Provisional</t>
  </si>
  <si>
    <t>TM2 domain-containing protein 1-like Acyrthosiphon pisum</t>
  </si>
  <si>
    <t>ribosomal protein P1</t>
  </si>
  <si>
    <t>trafficking protein particle complex 2-like - ER to Golgi vesicle-mediated transport - vesicle-mediated transport - endoplasmic reticulum - transport</t>
  </si>
  <si>
    <t>PTZ00085 40S ribosomal protein S28; Provisional</t>
  </si>
  <si>
    <t>Triatoma dimidiata mitochondrial DNA complete genome</t>
  </si>
  <si>
    <t>C-terminal Binding Protein - regulation of Wnt receptor signaling pathway - regulation of transcription DNA-dependent - protein homodimerization -</t>
  </si>
  <si>
    <t>ribosomal protein P2</t>
  </si>
  <si>
    <t>Myosin class I heavy chain</t>
  </si>
  <si>
    <t>60S ribosomal protein L35</t>
  </si>
  <si>
    <t>Tropomyosin</t>
  </si>
  <si>
    <t>ATP synthase F0 subunit 6</t>
  </si>
  <si>
    <t>ND6 NADH dehydrogenase subunit 6; Provisional</t>
  </si>
  <si>
    <t>ribosomal protein L35</t>
  </si>
  <si>
    <t>40S ribosomal protein S3</t>
  </si>
  <si>
    <t>40S ribosomal protein S17</t>
  </si>
  <si>
    <t>Phenylalanyl-tRNA synthetase beta subunit</t>
  </si>
  <si>
    <t>60S ribosomal protein L7A</t>
  </si>
  <si>
    <t>PTZ00067 40S ribosomal S23; Provisional</t>
  </si>
  <si>
    <t>hypothetical protein AaeL_AAEL008025 Aedes aegypti</t>
  </si>
  <si>
    <t>Berndtia purpurea 18S ribosomal RNA (18S rRNA)</t>
  </si>
  <si>
    <t>carbohydrate metabolic process - alpha-glucosidase - alpha-glucosidase II complex</t>
  </si>
  <si>
    <t>met/carb</t>
  </si>
  <si>
    <t>Growth hormone-induced protein</t>
  </si>
  <si>
    <t>Ubiquitin carboxy-terminal hydrolase - microtubule associated complex - ubiquitin-dependent protein catabolic process - ubiquitin thiolesterase -</t>
  </si>
  <si>
    <t>Mitochondrial F1F0-ATP synthase subunit c/ATP9/proteolipid</t>
  </si>
  <si>
    <t>Uncharacterized secreted protein SDF2 (Stromal cell-derived factor 2) contains MIR</t>
  </si>
  <si>
    <t>glutathione S-transferase delta Locusta migratoria</t>
  </si>
  <si>
    <t>detox</t>
  </si>
  <si>
    <t>Ca2+/calmodulin-dependent protein phosphatase (calcineurin subunit B) EF-Hand superfamily protein</t>
  </si>
  <si>
    <t>NADH:ubiquinone oxidoreductase NDUFS6/13 kDa subunit</t>
  </si>
  <si>
    <t>ribosomal protein S20 Trypanosoma cruzi strain CL Brener</t>
  </si>
  <si>
    <t>PTZ00388 40S ribosomal protein S8-like; Provisional</t>
  </si>
  <si>
    <t>non-LTR RNase HI domain of reverse transcriptases</t>
  </si>
  <si>
    <t>te</t>
  </si>
  <si>
    <t>CRAL/TRIO domain containing protein</t>
  </si>
  <si>
    <t>Uncharacterized conserved protein contains WD40 repeats and FYVE</t>
  </si>
  <si>
    <t>sec15 - border follicle cell migration - axon terminus - cytoplasmic vesicle - endocytic recycling - endosome - bristle development</t>
  </si>
  <si>
    <t>20S proteasome regulatory subunit beta type PSMB4/PRE4</t>
  </si>
  <si>
    <t>lipid particle - heme binding - mitochondrial electron transport ubiquinol to cytochrome c - mitochondrial respiratory chain complex III - oxidative</t>
  </si>
  <si>
    <t>PTZ00039 40S ribosomal protein S20; Provisional</t>
  </si>
  <si>
    <t>Vacuolar sorting protein 9</t>
  </si>
  <si>
    <t>hypothetical protein Trypanosoma cruzi strain CL Brener</t>
  </si>
  <si>
    <t>ferritin</t>
  </si>
  <si>
    <t>Golgin subfamily A member 1</t>
  </si>
  <si>
    <t>E3 ubiquitin protein ligase</t>
  </si>
  <si>
    <t>Polyadenylate-binding protein (RRM superfamily)</t>
  </si>
  <si>
    <t>ribosomal protein L3</t>
  </si>
  <si>
    <t>Alcohol dehydrogenase class III</t>
  </si>
  <si>
    <t>Mitochondrial import inner membrane translocase subunit TIM8</t>
  </si>
  <si>
    <t>Protein disulfide isomerase (prolyl 4-hydroxylase beta subunit)</t>
  </si>
  <si>
    <t>salivary apyrase precursor</t>
  </si>
  <si>
    <t>MOG interacting and ectopic P-granules protein 1 - histone deacetylase binding - identical protein binding - hermaphrodite genitalia development -</t>
  </si>
  <si>
    <t>tf</t>
  </si>
  <si>
    <t>Cyclin D-interacting protein GCIP</t>
  </si>
  <si>
    <t>nr</t>
  </si>
  <si>
    <t>elongation factor 1-alpha</t>
  </si>
  <si>
    <t>Signal recognition particle protein 19 - 7S RNA binding - signal recognition particle endoplasmic reticulum targeting - SRP-dependent</t>
  </si>
  <si>
    <t>trialysin precursor</t>
  </si>
  <si>
    <t>Fatty acyl-CoA elongase/Polyunsaturated fatty acid specific elongation enzyme</t>
  </si>
  <si>
    <t>hypothetical protein TCSYLVIO_3558</t>
  </si>
  <si>
    <t>U1 snRNP complex subunit SNU71</t>
  </si>
  <si>
    <t>20S proteasome regulatory subunit alpha type PSMA6/SCL1</t>
  </si>
  <si>
    <t>prot</t>
  </si>
  <si>
    <t>ribosomal protein L10</t>
  </si>
  <si>
    <t>Ubiquitin/60s ribosomal protein L40 fusion</t>
  </si>
  <si>
    <t>Cytochrome P450 CYP3/CYP5/CYP6/CYP9 subfamilies</t>
  </si>
  <si>
    <t>Transcription factor MBF1</t>
  </si>
  <si>
    <t>Oligosaccharyltransferase STT3 subunit</t>
  </si>
  <si>
    <t>hemolysin-like secreted salivary protein 1</t>
  </si>
  <si>
    <t>apoptosis-linked protein 2</t>
  </si>
  <si>
    <t>60S ribosomal protein L31</t>
  </si>
  <si>
    <t>Glucosamine-6-phosphate isomerase</t>
  </si>
  <si>
    <t>cut up - salivary gland cell autophagic cell death - autophagy - protein homodimerization - dynein intermediate chain binding - protein binding -</t>
  </si>
  <si>
    <t>PTZ00106 60S ribosomal protein L30; Provisional</t>
  </si>
  <si>
    <t>zgc:152830 - intracellular - manganese ion binding - proteolysis - protein metabolic process - metalloexopeptidase - cytoplasm</t>
  </si>
  <si>
    <t>pm/protease</t>
  </si>
  <si>
    <t>Uncharacterized conserved protein</t>
  </si>
  <si>
    <t>phospholipid hydroperoxide glutathione peroxidase Pediculus humanus corporis</t>
  </si>
  <si>
    <t>Atrazine chlorohydrolase/guanine deaminase</t>
  </si>
  <si>
    <t>met/nuc</t>
  </si>
  <si>
    <t>KLTH0B09900p Lachancea thermotolerans</t>
  </si>
  <si>
    <t>Arginine/serine-rich coiled-coil protein 2</t>
  </si>
  <si>
    <t>60s ribosomal protein L18</t>
  </si>
  <si>
    <t>ribosomal protein L44e</t>
  </si>
  <si>
    <t>Uncharacterized protein - cytoplasm - translation initiation factor - RNA binding</t>
  </si>
  <si>
    <t>mitochondrial ATPase subunit 6 - regulation of ATPase - neurological system process - determination of adult lifespan - hydrogen ion transporting</t>
  </si>
  <si>
    <t>Dipeptidase B CG9285-PA</t>
  </si>
  <si>
    <t>Proteasome 26S subunit subunit 4 ATPase - response to DNA damage stimulus - mitotic spindle organization - cell proliferation - mitotic spindle</t>
  </si>
  <si>
    <t>PTZ00084 40S ribosomal protein S3; Provisional</t>
  </si>
  <si>
    <t>salivary secreted protein</t>
  </si>
  <si>
    <t>Predicted nucleoside-diphosphate sugar epimerase</t>
  </si>
  <si>
    <t>Clade 3 of the heme-binding enzyme catalase</t>
  </si>
  <si>
    <t>U1-like Zn-finger-containing protein probabl erole in RNA processing/splicing</t>
  </si>
  <si>
    <t>ubiquitin-like/S30 ribosomal fusion protein Strongylocentrotus purpuratus</t>
  </si>
  <si>
    <t>stretch regulated skeletal muscle protein Aedes aegypti</t>
  </si>
  <si>
    <t>40S ribosomal protein S8</t>
  </si>
  <si>
    <t>Ubiquitin-like protein</t>
  </si>
  <si>
    <t>Calmodulin - calmodulin binding - centriole replication - microtubule associated complex - kinetochore organization - positive regulation of NFAT</t>
  </si>
  <si>
    <t>paramyosin long form Pediculus humanus corporis</t>
  </si>
  <si>
    <t>U5 snRNP-specific protein-like factor</t>
  </si>
  <si>
    <t>Glutathione S-transferase</t>
  </si>
  <si>
    <t>hypothetical protein LOC100169340</t>
  </si>
  <si>
    <t>PTZ00091 40S ribosomal protein S5; Provisional</t>
  </si>
  <si>
    <t>Aminomethyl transferase</t>
  </si>
  <si>
    <t>met/aa</t>
  </si>
  <si>
    <t>hypothetical protein Phum_PHUM431290 Pediculus humanus corporis</t>
  </si>
  <si>
    <t>protein phosphatase 1 catalytic subunit beta isoform 1</t>
  </si>
  <si>
    <t>NADH:ubiquinone oxidoreductase NDUFS4/18 kDa subunit</t>
  </si>
  <si>
    <t>60S ribosomal protein L18a</t>
  </si>
  <si>
    <t>Plasminogen activator inhibitor 1 RNA-binding protein</t>
  </si>
  <si>
    <t>Endothelial differentiation-related factor 1 homolog - sequence-specific DNA binding - positive regulation of DNA binding - regulation of</t>
  </si>
  <si>
    <t>Ribosomal protein L6e</t>
  </si>
  <si>
    <t>Hydroxymethylglutaryl-CoA lyase</t>
  </si>
  <si>
    <t>40S ribosomal protein S6</t>
  </si>
  <si>
    <t>Defender against cell death protein/oligosaccharyltransferase epsilon subunit</t>
  </si>
  <si>
    <t>trialysin</t>
  </si>
  <si>
    <t>hypothetical protein TCSYLVIO_6485</t>
  </si>
  <si>
    <t>Saccoglossus kowalevskii 28S ribosomal RNA (LOC100306927) ribosomal RNA</t>
  </si>
  <si>
    <t>PTZ00054 60S ribosomal protein L23; Provisional</t>
  </si>
  <si>
    <t>ribosomal protein L19e</t>
  </si>
  <si>
    <t>Interferon-related protein conserved region</t>
  </si>
  <si>
    <t>imm</t>
  </si>
  <si>
    <t>FKBP-type peptidyl-prolyl cis-trans isomerase</t>
  </si>
  <si>
    <t>Transport protein particle (TRAPP) complex subunit</t>
  </si>
  <si>
    <t>Predicted guanine nucleotide exchange factor (PEBBLE)</t>
  </si>
  <si>
    <t>NEDD8-conjugating enzyme Ubc12 - protein neddylation - NEDD8 ligase - ribosomal S6-glutamic acid ligase - protein ubiquitination - protein</t>
  </si>
  <si>
    <t>26S proteasome non-ATPase regulatory subunit 1-like isoform 1</t>
  </si>
  <si>
    <t>eukaryotic translation initiation factor 5a Trypanosoma brucei</t>
  </si>
  <si>
    <t>26S proteasome non-ATPase regulatory subunit 7</t>
  </si>
  <si>
    <t>Ubiquitin regulatory protein UBXD2 contains UAS and UBX</t>
  </si>
  <si>
    <t>Uncharacterized protein - PML body - actin cytoskeleton - nucleotide-excision repair DNA gap filling - DNA replication - cytoplasm - DNA replication</t>
  </si>
  <si>
    <t>60S ribosomal protein L24</t>
  </si>
  <si>
    <t>hypothetical protein TCSYLVIO_3291</t>
  </si>
  <si>
    <t>S9e ribosomal protein</t>
  </si>
  <si>
    <t>60S ribosomal protein L13a</t>
  </si>
  <si>
    <t>Surfeit locus protein 6</t>
  </si>
  <si>
    <t>Ribosomal L39 protein</t>
  </si>
  <si>
    <t>Mitochondrial ribosomal protein L55</t>
  </si>
  <si>
    <t>RhoA GTPase effector DIA/Diaphanous</t>
  </si>
  <si>
    <t>ribosomal protein L14-like protein</t>
  </si>
  <si>
    <t>PTZ00148 40S ribosomal protein S8; Provisional</t>
  </si>
  <si>
    <t>Ribosomal protein S19e</t>
  </si>
  <si>
    <t>Pterin carbinolamine dehydratase PCBD/dimerization cofactor of HNF1</t>
  </si>
  <si>
    <t>Trypanosoma organism sequences</t>
  </si>
  <si>
    <t>Cytoskeletal</t>
  </si>
  <si>
    <t>Detoxification</t>
  </si>
  <si>
    <t>Immunity</t>
  </si>
  <si>
    <t>Metabolism, amino acid</t>
  </si>
  <si>
    <t>Metabolism, energy</t>
  </si>
  <si>
    <t>Metabolism, lipid</t>
  </si>
  <si>
    <t>Metabolism, nucleotide</t>
  </si>
  <si>
    <t>Nuclear regulation</t>
  </si>
  <si>
    <t>Protein export</t>
  </si>
  <si>
    <t>Protein modification machinery</t>
  </si>
  <si>
    <t>Proteasome machinery</t>
  </si>
  <si>
    <t>Protein synthesis machinery</t>
  </si>
  <si>
    <t>Putative secreted proteins</t>
  </si>
  <si>
    <t>Signal transduction</t>
  </si>
  <si>
    <t>Transposable element</t>
  </si>
  <si>
    <t>Transcription factor</t>
  </si>
  <si>
    <t>Transcription machinery</t>
  </si>
  <si>
    <t>Transporters and storage</t>
  </si>
  <si>
    <t>Unknown conserved</t>
  </si>
  <si>
    <t xml:space="preserve">Unknown  </t>
  </si>
  <si>
    <t>s/ag5</t>
  </si>
  <si>
    <t>Average Result</t>
  </si>
  <si>
    <t>Frame of SignalP</t>
  </si>
  <si>
    <t>1,</t>
  </si>
  <si>
    <t>2,</t>
  </si>
  <si>
    <t>3,</t>
  </si>
  <si>
    <t>1,2,2,</t>
  </si>
  <si>
    <t>2,2,</t>
  </si>
  <si>
    <t>1,1,</t>
  </si>
  <si>
    <t>Larger orf (nt)</t>
  </si>
  <si>
    <t>Larger pep</t>
  </si>
  <si>
    <t>Frame of larger ORF</t>
  </si>
  <si>
    <t>RGMATGTVANLTSAGTKLTKNAVSTTFNGVANLLNKGVDVVMALVPGNFRAVPEPEPNGIIQSAWSYITSPISSFFLNKVKGLILS</t>
  </si>
  <si>
    <t>GSVEGDSEELSNCDRSEKPALKKGEENGLKSESSEEETEESAEKPWLNAEIGLELKKLLHKVKHVTRKVIESAAASSAGKAILEVFPE</t>
  </si>
  <si>
    <t>KPALKKGDENGLNSESSEEETEESAEKPWLNAEIGLELKKLLHKVKHVTRKVIESAAASSAGKAILEVFPE</t>
  </si>
  <si>
    <t>TVTSMTGFNPTSFFNGTWYVTHVKDKTSASVCQTFTTSTQDGKYKVEYKYNNGGQEYTVTCLTDQGGSPKLTFSCTRGESSTFQAEFTIMDTDYNDYAVFYRCVTFTSGSKADNYLVLRRDNSKKEIPAQAKSLTDPLDLKTCELTRTFVL</t>
  </si>
  <si>
    <t>AGYVTHVRGKTSASVCQTFTTSTQDGKYKVEYKYNKEGKENEVSCEATDQQGSPKLTFSCKSGESSTFQAEFTIMGTDYNDYAVFYRCVTFTSGSNAGSKADNYLVLRRDNSKKEIPAVAKSLTDPLNLKTCSELTRTLVL</t>
  </si>
  <si>
    <t>THVKDKTSASVCQTFTTPTQDGKYKVEYKYNKEGKENEVSCEATDQQGSPKLTFGCKSGESSTFQAEFTIMGTDYNDYAVFYRCVTFTSGSNAGSKADNYLVLRRDNSKKEIPAVAKSLTDPLNLKTCSELTRTLVL</t>
  </si>
  <si>
    <t>AGYVTHVKDKTSASVCQTFTTSTQDGKYKVEYKYNNKDGKEIKVSCETTNQGGDQKLTFSCNGDESSTFQAEFTIMGTDYNDYAVFYRCVTFTSSGSKADNYLVLSRKSNNEQIPGGAKGLTEKLKLQKCS</t>
  </si>
  <si>
    <t>KVEYKYNKEGKENTVICEAPEPNGDQKLTFSCNGGESSTFQAEFTIMGTDYNDYAVFYRCVTFTSSGSKADNYLVLSRKSNNEEIPDGAKGLIEKLNLQKCSDITSTFVV</t>
  </si>
  <si>
    <t>AGGSRTKVDQKLTFSCSGDESSTFQAEFTIMGTDYNDYAVFYRCVTFTSGSNAGSKADNYLVLRRDNSKKEIPDAANSLTKDLGLKKCSEIATLV</t>
  </si>
  <si>
    <t>AGGFMCDHFLYFSLFPFLMFFFFLTGAKINQIKKSETISLLLFVIYK</t>
  </si>
  <si>
    <t>NYSLVSTSFLSDGGDGYTMFSNNVTTQQVYDEVDLTIVANYLTLMSPVYTGTEPRIIIYPYTAPVSEKSENVKQADSSSNHQ</t>
  </si>
  <si>
    <t>GTWYVTHVKDKTSASVCQTFTTSTQDGKYKVEYKYNNGGQEYTVTCLADQGGSPKLTFSCTSGESSTFQAEFTIMDTDYNDYAVFYRCVTFTSGSKADNYLVLRRDNSKKEIPAQAKSLTDPLDLKTCELTRTFVL</t>
  </si>
  <si>
    <t>TRLKFSYGQLPFINMKTIVALTFFAIVTFVATAKKVEYGGGTCHNSEVGAMVNFDPKTFFSGTWYLTYATQSTRVTLSTICRNFNPKVNDDGTIEVTYEYYENGGSDNLYSVTCTGNKEQSGGGVFNFKCNSKNGRGEVGDFNIDVSFLATDYNTYGIVYRCVKTDLLTEDNVFLIHRQLNPNEEEVNKILKPYELTLDKFISRKDATCTNK</t>
  </si>
  <si>
    <t>GHMKTILAVSFFGIVTFAFADYTKIQNCEQPEAMQNFDANKFLKGTWYVTNAKQGSESTVCREYKAGNENGELNGDGYYNFKGQKTYFQVSCKKTSENKGKMTFQCTQRGTVSGNEMNFQFQLEVTIVSTDYNSYAVMYRCVKLPTELGGGYEDNVLILRRDAKQTEVESIKATVKNQEWTLDKFISRKDDTCSKLSQK</t>
  </si>
  <si>
    <t>VTYEYYENGGTDDLYSVTCTGKKEQSRGDVFNFKCNSENGRGEVGNFDIDASFLATDYNTYGVIYRCVKTGLLTEDNVFLIHRQINPNVEEVNKILNPYELTLDKFISRKDATCTNK</t>
  </si>
  <si>
    <t>MTVCAMEVTYEYYENGGTDNLYSVTCTGNKEQSGGGVFNFKCNSKNGRGEVGDFDIDASFLATDYNTYGVIYRCVKTGLLTEDNVFLIHRELNPNEEKVKEILKPYELTLDKFISRKDATCTNK</t>
  </si>
  <si>
    <t>GTWYLTYATQSTRVTLSTICRNFEPKVKEDGTIEVTYEYYENGGTDNLYSVTCTGNKEQSRGDVFNFKCNSKNGRGEVGDFDIQVSFLATDYNTYGIVYRCVKTGLLTEDNVFLIHRELNPNEEKVKEILKPYELTLDKFISRKDATCTNK</t>
  </si>
  <si>
    <t>RGSKFFGIVTFAFADYTKIQNCEQPEAMQNFDANKFLKGTWYVTNAKQGSESTVCREYKAGMEMTNLTETDTTAFKVKKTYFQVSCKKKSENKGKLTFQCTQRGTVSGQMMSIQFDLDVTIVSTDYNSYAVMYRCAKFPKELQSRIEDNVLILRRDAKQTEIEQSIKTTLQNQGWPSDKFISRKHGTCPTPPQK</t>
  </si>
  <si>
    <t>GGTWYVTNAKQGSESTVCREYKSGNENGELNGDGYYNFKGQKTYFQVSCKKTSENKGEMTFQCTQRGTVSGNEMNFQFQLEVTIVSTDYNSYAVMYRCVKLPTELGGGYEDNVLILRRDAKQTEVESIKATVKNQEWTLDKFISRKDDTCSKLSQK</t>
  </si>
  <si>
    <t>AGEPKVKEDGTIEVTYEYYENGGTDNLYSVTCTGNKEQSGEGAFNFKCNSKNGRGEVGSFDIQVSFLATDYNTYGVVYRCVKTGLLTEDNVFLIHRQLTPNEEEVKEILKHYELTLDKFISRKDATCTNK</t>
  </si>
  <si>
    <t>RGNRAIXXPGDFKPKVKEDGTIEVTYEYYENGGTDNLCSVTCTSNKEQSGKGVFNYKCNSKNGRGEVGNFDLDVSFVATDHNTYGVIYRCIKTGSLTEDNVFLIHRELNPNEQEVTKLLEQYGLTLNKFISRKDATCTNK</t>
  </si>
  <si>
    <t>EVTYEYYENGGTDNLYSVTCTSNKEQSGKGVFNYKCNSKNGRGEVGNFDLDVSFVATDHNTYGVIYRCIKTGSLTEDNVFLIHRELNPNEQEVTKLLEQYGLTLDKFISRKDATCTNK</t>
  </si>
  <si>
    <t>TAGATDLTVCREYKASQNENGELIGDGYYNFNGQKTYFEVRCKKKSESNGKLTFQCTQSGTISGQKMSIQFDLDVTIVSTDYNNYAIMYRCVKLPTERGGGYEDNVLVLHRDSSKTDDNVNVEQTLKSKGWQFSSFISRKGRNCQ</t>
  </si>
  <si>
    <t>AGSDNLYSVTCTGNKEQSGGGVFNFKCNSKNGRGEVGDFNIDVSFLATDYNTYGIVYRCVKTDLLTEDNVFLIHRQLNPNVEEVNKILNPYELTLDKFISRKDATCTNK</t>
  </si>
  <si>
    <t>GGDGYYSFQGQKTYFQVSCKKKSENNGKLTFQCTQSGTVSGNEMNFQFQLEVTIVSTDYNNYAVTYRCVKLPTELGGGYEDNVLILRRNAKQTEIEQSIKTTLQNQRWPSDKFISRKDGTCQKPPQK</t>
  </si>
  <si>
    <t>TDNLYSVTCTGNKEQSGGGVFNFKCNSKNGRGEVGDFNIDVSFLATDYNTYGIVYRCVKTDLLTEDNVFLIHRQLNPNVEEVNKILNPYELTLDKFISRKDATCTNK</t>
  </si>
  <si>
    <t>GGGVFNFKCNSKNGRGEVGDFNIDVSFLATDYNTYGMVYRCVKTDLLTEDNVFLIHRQLNPNEEEVNKILKPYELTLDKFISRKDATCTNK</t>
  </si>
  <si>
    <t>PGEQSGGGVFNFKCNSKNGRGGVGDFNIDVSFLAADYNTYGIVYRCVKTDLLTEDNVFLIHRQLNPNVEEVNKILNPYELTLDKFISRKDATCTNK</t>
  </si>
  <si>
    <t>RGKKKSESNGKLTFQCTQSGTISGKTMSIQFDLDVTIVSTDYNSYAVMYRCVKFPEELGSRIEDNVLILRRDAKQTEVESIKATVKNQEWTLDKFISRKDDTCSKLSQK</t>
  </si>
  <si>
    <t>PGESGIXXPGTAAGGGNRENLMFQLKVTVLSTDYSGFAVMYSCAKTAERRYRDNVLVLYRDLNKTDDKVYVETTFKSKRWSLDTFMSRKGVNCQKPQQKRTFLKYILL</t>
  </si>
  <si>
    <t>RGGEERLAISTLTRLSLQQTRTHNGVIYRCVRTGLLTEHNVFLIHKELIPIEQHVKEILKPYELSLYKFISR</t>
  </si>
  <si>
    <t>GGQTSASVCQTFTTSTQDGKYKVEYKYNNGEQEFTVTCLTDQGGSPKLTFSCTSGESSTFQAEFTIMDTDYNDYAVFYRCVTFTSGSKADNYLVLRRDNSKKEIPAQAKSLTDPLDLKTCELTRTFVL</t>
  </si>
  <si>
    <t>RNTVTCLTDQGGSPKLTFSCTSGESSTFQAEFTIMDTDYNDYAVFYRCVTFTSGSKADNYLVLRRDNSKEEIPDGAKSSTKDLGLKKK</t>
  </si>
  <si>
    <t>QTQLKCTETLKSDHKGQFSVECEVPGNSGNKIQFESSVIATDNKNYAILQTCPTTGSGVVTEDIVVLQTSEVGVEQGVTNYFASQGWSLESWYSRKTVTC</t>
  </si>
  <si>
    <t>DPEKETWILDLVNSVSRDVLNLTESFGNAVLTATNSLVQLTTEAVGGAANGGAAVGQPGAQGITDHGTSNGVQAITRTLKLV</t>
  </si>
  <si>
    <t>PSPAFPSAVLSLYWLWTLSKSSLSCFVSFSSPINLSDGSVHWAALDGREPISASAIKLNTRGYCVFAMLQICVLDCANTLSSCTFIFQFPQLPTTPL</t>
  </si>
  <si>
    <t>PGGQTADGKAGDDYGTTQPGAEDMLELTWDNEAANLASNLARTCQFKHDYINDKNGKQFGQNIASKMSTQSSNARDTFNLWMKDMVKGWFDEVKLYTFGSGYSKSTGHYTQMVWGNNNKLGCGYSYFKTHYKGREYNAGYLVCNYKPGGNVQGQSKPYKEGKGSCTASNLETSKQYPHLCIRKKSNLIYVNTTEPQDEFQPIQ</t>
  </si>
  <si>
    <t>PGSRNMLELTWDKEAADLASTLARTCQFQHNFVHGKNGKQFGQNIASKMSTQSSNARDTFNLWMKDMVKGWFDEVKLYTFGSGYSKSTGHYTQMVWGNNNKLGCGYSYFKTRHEGTEYNAGYLVCNYKPGGNVQGQSKPYNEGHGSCTADNFRSSEKYPHLCKKKKKVILYA</t>
  </si>
  <si>
    <t>GDKHCFKMSTQSSNARATFNLWMKDMVKGWFDEVKLYTFGSGYSESTGHYTQMVWGNNNKLGCGYSYFKTNYKGKEYNAGYLVCNYKPGGNVEGQLKPYKEGQGSCRASNLETSNQYPHLCKKKKKVILFA</t>
  </si>
  <si>
    <t>PGESWFDEVKLYTFGSGYSDSTGHYTQMVWGNNNKLGCGYSYFKTHYEGTEYNAGYLVCNYKPGGNVEGQLEPYKEGQGRCTAPNLETSNQYTHLCKKKKKIILFA</t>
  </si>
  <si>
    <t>FDEVKLYTFGSGYSDSTGHYTQMVWGNNNKLGCGYSYFKTFHEGREYNAGYLVCNYKPGGNVEGQLKPYKEGQGSCTARNLETSNQYPHLCIRKKVILFA</t>
  </si>
  <si>
    <t>SCXTFGSGYSDSTGHYTQMVWGNNNKLGCGYSYFKTHYEGTEYNAGYLVCNYKPGGNVEGQLEPYKEGQGRCTAPNLETSNQYTHLCKKKKVNTKRTNFNQSNK</t>
  </si>
  <si>
    <t>GRGIGPLRPGGMKMANLMETDTTTLKVKKTYFQVSCKKTSENKGKMTFQCTQRGTVSGNEMNFQFQLEVTIVSTDYNSYAVMYRCVKLPTELGGGYEDNVLILRRDAKQTEVESIKATVKNQEWTLDKFISRKDDTCSKLSQK</t>
  </si>
  <si>
    <t>GDKGKMTFQCTQRGTVSGNEMNFQFQLEVTIVSTDYNSYAVMYRCVKLPTELGGGYEDNVLILRRDAKQTEVESIKATVKNQEWTLDKFISRKDDTCSKLSQK</t>
  </si>
  <si>
    <t>NKFYLFEKTINCVLICKLPKYKSTLLTLKRSSAEKWGILISIKGSNAKKRTGIKTFLIGYIFFKCNPLINYLNKLFFYCKKKKKK</t>
  </si>
  <si>
    <t>GIKQLHFANMKSFIALTFLGILTSAYSDQFSACKKPTTVMDGYDATKWHTGTWYVTHVQKESTPTDCRTLTTSQDGDVSIVQHPYETGNGTLYCQGKKQEDNSLIFDCKSGDESMDKTIYIAVATDYNNYALYYLCTSPTTGDLYENYLVARRQDGQKDIPKQLQSSTSSLNLKQC</t>
  </si>
  <si>
    <t>LHFANMKSFIALTFIGILTYAYAEMVTVAECGGAQVNAMDNYRAPDYHKEKWYVTHVTKVTEPTECRTLTATTKSDGKTFTVEHPFGDGGSQTLHCEAQAEAAKRLTFTCKVGDQVVDKTIFITVNTDYNDYSLYYLCIAPTGGTPHDTYLIARRKPGDDNIPPQLESLTEGMDFKKC</t>
  </si>
  <si>
    <t>LHFANMKSFIALTFIGILTYAYAEMVTVAECGGAQVNAMDNYHASDFHKEKWYVTHVTKVTEPTECRTVTATTKSDGKTFTVEHPFGEGGSQTLHCEAQAEAAKRLTFTCKVGDQVVDKTIFITVNTDYNDYALYYLCTAPTGGTPHDTYLIARRKPGDNIPPQLESFTQGMEFKKC</t>
  </si>
  <si>
    <t>LHFANMKSFIALTFIGILTYAYAEMVTVAECGGAQVNAMDNYHASDFHKEKWYVTHVTKVTEPTECRTVTATTKSDGKTFTVEHPFGEGGSQTLHCEAQAEAAKRLTFTCKVGDQVVDKTIFITVNTDYNDYALYYLCTAPTGGTPHDTYLIARRKAGDNIPPQLESFTQGMDFKKC</t>
  </si>
  <si>
    <t>RGTSKLHFANMKSFIALTFLGILTYAYSEDPFSKCSKPKTVMDDYDATKWHSGKWYVTHVQKESTPTDCRTLTTSQDGDVSIVQHPYETGNGTLYCQGKKQEDNSLIFGCKSGEESMDKTIYIAVDTDYTDYALYYLCTSPTKGDLYENYLVARRKEGQKDIPQQLQSSTSSLNLKQCK</t>
  </si>
  <si>
    <t>LHFANMKSFIALTFIGILTYAYAEMVTVAECGGAQVNAMDNYRAPDYHKEKWYVTHVTKVTEPTECRTLTATTKSDGKTFTVEHPFGEGGSQTLHCEAQAEAAKRLTFTCKVGDQVVDKTIFITVNTDYNDYALYYLCTAPTGGTPHDTYLIARRKPGDNIPPQLESFTQGMEFKKC</t>
  </si>
  <si>
    <t>LHFANMKSFIALTFIGILTYAYAEMVTVAECGGAQVNAMDNYRAPDYHKEKWYVTHVTKVTEPTECRTLTATTKSDGKTFTVEHPFGDGGSQTLHCEAQAEAAKRLTFTCKVGDQVVDKTIFITVDTDYNDYSLYYLCIAPTGGTPHDTYLIARRKAGDNIPPQLESFTQGMEFKKC</t>
  </si>
  <si>
    <t>GRGSSKLHFANMKSFIALTFIGILTYAYAEMVTVAECGGAQVNAMDNYRAPDYHKEKWYVTHVTKVTEPTECRTLTATTKSDGKTFTVEHPFGDGGSQTLHCEAQAEAAKRLTFTCKVGDQVVDKTIFITVDTDYNDYSLYYLCIAPTGGTPHDTYLIARRKAGDNIPPQLESFTQGMDFKKC</t>
  </si>
  <si>
    <t>LHFLPTXKSFIALTFIGILTYAYAEMVTVAECGGAQVNAMDNYRAPDYHKEKWYVTHVTKVTEPTECRTLTATTKSDGKTFTVEHPFGDGGSQTLHCEAQAEAAKRLTFTCKVGDQVVDKTIFITVDTDYNDYSLYYLCIAPTGGTPHDTYLIARRKAGDNIPPQLESFTQGMDFKKC</t>
  </si>
  <si>
    <t>LHFANMKSFIALTFIGILTYAYAEMVTVAECGGAQVNAMDNYRAPDYHKEKWYVTHVTKVTEPTECRTLTATTKSDGKTFTVEHPFGDGGSQTLHCEAQAEAAKRLTFTCKVGDQVVDKTIFITVDTDYNDYSLYYLCIAPTGGTPHDTYLIARRKAGDNIPPQLESFTQGMDFKKMLVILQNECPKTFVV</t>
  </si>
  <si>
    <t>LHFANMKSFIALTFIGILTYAYAEMVTVAECGGAQVNAMDNYRAPDYHKEKWYVTHVTKVTEPTECRTLTATTKSDGKTFTVEHPFGDGGSQTLHCEAQAEAAKRLTFTCKVGDQVVDKTIFITVDTDYNDYSLYYLCIAPTGGTPHDTYLIARRKPDDNIPATLKELTSGKDFKKCSDLTK</t>
  </si>
  <si>
    <t>LHFANMKSFIALTFIGILTYAYAEMVTVAECGGAQVNAMDNYHASDFHKEKWYVTHVTKVTEPTECRTVTATTKSDGKTFTVEHPFGEGGSQTLHCEAQAEAAKRLTFTCKVGDQVVDKTIFITVNTDYNDYALYYLCTAPTGGLRMILT</t>
  </si>
  <si>
    <t>PGILTYAYAEMVTVAECGGAQVNAMDNYHASDFHKEKWYVTHVTKVTEPTECRTVTATTKSDGKTFTVEHPFGEGGSQTLHCEAQAEAAKRLTFTCKVGDQVVDKTIFITVNTDYNDYALYYLCVAPTGGTPHDTYLIARRKAGDNIPPQLESFTEGMEFKKC</t>
  </si>
  <si>
    <t>RAYSEDPFSKCSKPKTVMDDYDATKWHSGKWYVTHVQKESTPTDCRTLTTSQDGDVSIVQHPYETGNGTLYCQGKKQEDNSLIFDCKSGEESMDKTIYIAVDTDYTDYALYYLCTSPTKGDLYENYLVARRKEGQKDIPQQLQSSTSSLNLKQCK</t>
  </si>
  <si>
    <t>GAECGGAQVNAMDNYHASDFHKEKWYVTHVTKVTEPTECRTVTATTKSDGKTFTVEHPFGEGGSQTLHCEAQAEAAKRLTFTCKVGDQVVDKTIFITVNTDYNDYALYYLCTAPTGGTPHDTYLIARRKPGDNIPPQLESLTEGMDFKKC</t>
  </si>
  <si>
    <t>GMVTVAECGGAQVNAMDNYHASDFHKEKWYVTHVTKVTEPTECRTVTATTKSDGKTFTVEHPFGEGGSQTLHCEAQAEAAKRLTFTCKVGDQVVDKTIFITVNTDYNDYALYYLCTAPTGGTPHDTYLIARRKPGDNIPPQLESLTEGMDFKKC</t>
  </si>
  <si>
    <t>DDYDATKWHSGTWYVTHVQKESTPTDCRTLTTSQDGDVSIVQHPYESGNGTLYCQGKKQEDNSLIFDCKSGDESMDKTIYIAVATDYNNYALYYLCTSPTTGDLYENYLVARRKEGQKDIPQQLQSSTSSLNLKQCK</t>
  </si>
  <si>
    <t>AGDRSKLHFANMKSFIALTFIGFLTYAYAEMITVAECGGEQVNAMDNYHAPDFHKDKWYVTHVTKVTEPTECRTLTATNSEDGKTFTVENSVGEGESQKSTCVGHEEAANKLSFTCKVGNQVVAKSILITVATDYKDYALIYICSTPTGGTPHDTYLIARRKPGDNIPPQLESFTQGMEFKKC</t>
  </si>
  <si>
    <t>AGERSKLHFANMKSFIALTFIGFLTYAYAEMITVAECGGEQVNAMDNYHAPDFHKDKWYVTHVTKVTEPTECRTLTATNSEDGKTFTVENSVGEGESQKSTCVGHEEAANKLSFTCKVGNQVVAKSILITVATDYKDYALIYICSTPTGRSPMNTYLIARRKAGDNIPPQLESFTQGMEFKKC</t>
  </si>
  <si>
    <t>QVNAMDNYHAPDFHKDKWYVTHVTKVTEPTECRTLTATNSADGKTFTVENSVGEGESQKSTCVGHEEAANKLTFTCKVGDQVVDKTIFITVNTDYNDYALYYLCTAPTGGTPHDTYLIARRKAGDNIPPQLESFTQGMEFKKC</t>
  </si>
  <si>
    <t>KVNAMDNYHAPDFHKDKWYVTHVTKVTEPTECRTLTATNSKDGKTFTVENSVGEGESQKSTCVGHEEAANKLSFTCKVGNQVVAKLILITVATDYKDYALIYICSTPTGRSPMNTYLIARRKAGDNIPPQLESFTQGMDFKKC</t>
  </si>
  <si>
    <t>TVNAMDNYHAPDFHKDKWYVTHVTKVIEPTECRTLTATNSEDGKTFTVENSVGEGESQKSTCVGHEEAANKLSFTCKVGNQVVAKSILITVATDYKDYALIYICSTPTGRSPMNTYLIARRKAGDNIPPQLESFTQGMEFKKC</t>
  </si>
  <si>
    <t>QVNAMDNYHAPDFHKDKWYVTHVTKVTEPTECRTLTATNSADGKTFTVENSVGEGESQKSTCVGHEEAANKLSFTCKVGNQVVAKSILITVATDYKDYALIYICSTPTGRSPMNTYLIARRKAGDNIPPQLESFTQGMEFKKMLVKNKNECPKTFVV</t>
  </si>
  <si>
    <t>TVNAMDNYHAPDFHKDKWYVTHVSKVTDPTECRTLTATNSADGKTFTVENSVGEGESQKSTCVGHEEAANKLSFTCKVGNQVVAKSILITVATDYKDYALIYICSTPTGRSPMNPYLIARRKPDDNVPEALKELTKGKDFKKCSDLTK</t>
  </si>
  <si>
    <t>TVAECGGEQVNAMDNYRAPDFHKDKWYVTHVSKVTDPTECRTLTATNSADGKTFTVENSVGEEESQKNTCVGHEEAANKLSFTCKVGNQVVAKSILITVATDYKDYALIYICSTPTGRSPMNPYLIARRKPDDNIPEALKELTKGKDFKKCSDLTK</t>
  </si>
  <si>
    <t>KVNAMDNYHAPDFHKDKWYVTHVSKVTDPTECRTLTATNSADGKTFTVENSVGEEESQKSTCVGHEEAANKLSFTCKVGNQVVAKSILITVATDYKDYALIYICSTPTGRSPMNPYLIARRKPDDNIPEALKELTKGKDFKKCSDLTK</t>
  </si>
  <si>
    <t>KVNAMDNYHAPDFHKDKWYVTHVSKVTDPTECRTLTATNSADGKTFTVENSVGEEEGQKSTCVGHEEAANKLSFTCKVGNQVVAKSILITVATDYKDYALIYICSTPTGRSPMNPYLIARRKPDDNIPEALKELTKGKDFKKCSDLTK</t>
  </si>
  <si>
    <t>AGDGGKSIVQHPFEGNQQLRCETTKEDGAQLTFDCKLGEKSLGETIFIPIATDYEDYSLYYLCITTDKGSTDDIYLVASRKSVNEEIPGALNSLTKDLSFKKCPN</t>
  </si>
  <si>
    <t>PGEKRRNTVSFECKKDGEIVDKTIFAVMATDYESYALYYLCTNAKSDSTNWQTADNYLVASRKSVNQEIPSQLKELTKEMTLKKCS</t>
  </si>
  <si>
    <t>PGVPQVYMTLSKNGPKEKLCREYKTTESSTTVNNLVILEKRGNEQTQLNCIETLKSDRKGQFSVECELPGNSGKKVQFESSVIATDNKNYAILQTCPKTESSIVTEDIVVLQTNEEGVEEGVTNYFTSQGWSLDTWHSRKKVKC</t>
  </si>
  <si>
    <t>TDKLGAAPTCFNVGSSLGKVCLKSIEGHAKRNSGQADVNFCLGVLIEKISIGCKFCATFTNKKLKVNVKPKIFPGTTSTLGKNSPIGPKWRRCKNVGC</t>
  </si>
  <si>
    <t>TKFCVKLDKVQQKSDVNDDEGEDEGEVEGAGEGAIEGEVGDEERFKFKPGKVLGKLAKGSKSVIKKVGLGAKQAMKKGLTLLQKMGVTISPLQCEDKTCKTCATLKIPQENTFCMTMKFLKTNVATHLVIGGELNQEPKFEKKIKLGDVPTCLNVGGFLGKICLKSIEGQAKSSSDVNFCLGVLIEKINVGCKFCIAYENKKLKVNVKPKIFAGTTSDDGDIVQLDKNGEDAKTLGAEEFEID</t>
  </si>
  <si>
    <t>EFGGDEPATLRQLTQAWAEKEASERDWFLGELSEKNDESKRVNLEYSMSSDPMFGVHGTLKKLVLD</t>
  </si>
  <si>
    <t>AGXGKEASERDWFLGELSEKNDESKRVNLEYSMSSDPMFGVHGTLKKLVLD</t>
  </si>
  <si>
    <t>KYMACCMLYRGDVVPKDVNAAIATIKTKRTIQFVDWCPTGFKVGINYQPPTVVPGGDLAKVQRAVCMLSNTTATAEAWARLDHKFDLMYAKRAFVHWYVGEGMEEGEFSEAREDLAALEKDYEEVGMDSAEGDGEGAEEY</t>
  </si>
  <si>
    <t>LRGICNHDDIEVNHYSMLIKMRNALTAFHVRKPLDLANEPKPQIDIQWALMFSVVSILSECNVLTYK</t>
  </si>
  <si>
    <t>KDYETSVSRVPEASPQRCIALYNYTADLYDELTLNPGDIINIHDQQPDGWWLEELNAVDDIFPSTYINKFQYSAAFFYLTKKTAFQIVCMQPKIECPSTFYDYSDDVFLIFSMYITLIYIYCSKIYLL</t>
  </si>
  <si>
    <t>TRVRRFQRELEAAEDRADTAESNLSLIRAKHRTFVTTSSVPGSQVYLVQETRTTENY</t>
  </si>
  <si>
    <t>DLTKLWAGKNEDGNLKGLSKHFNSTTITGRANAAKATIATIGLITLYFWLKPKK</t>
  </si>
  <si>
    <t>KRLRLALSLLKRQSKSCRKKWTGWKTNSASTKIATSLLPTKWTLHLPSWLVTKIFSRLTMVNNYRQATSLLFIAKRFFFLIYLLLYKG</t>
  </si>
  <si>
    <t>RGHRALXRRGSFEEQVKALSGQLKEAEVRAEFAERAVQKLQKEVGRLEDDLVVEKEKNKLLQEEMEATLHDIQNICIGHREGEIQRHWRWIGFGLCRIIWLLI</t>
  </si>
  <si>
    <t>RLTQTISLSRFALLQLGPTSQGTVVLNLHSAFMALIIIKVFFKHFANILICDNTK</t>
  </si>
  <si>
    <t>AGKCNREYDSFKYRLMLSMNIGDFSGNQWISLFQDAGEELLETKADDIGRWQEEDNAKFNQVFKKVTLRPYQFRLRAKMETFNDESRVKYTVFSVKKPNYKERCRQLLSEIKELSGLANN</t>
  </si>
  <si>
    <t>XGSTQGKGLMPDGTIRFKCNGKELFHFMGCSTFSEYTVVAEISVAKVNNEADLEKISLLGCGVPTGYGAALNTAKVEPNSSCAIWGLGAVGLAVAMGCKAAGASRIIGIDINPEKFETAKKFGCTECINPKDYQKPVQEVLVELTDGGLDFTFECVGNVITMRAALESCHKGWGTSTIVGVAPAGQEISTRPFQLVTGRTWKGTAFGGWKSRDSVPKLVEEYLNGKLDLDSFITHKLPFNEINRGFELLHSGKSLRTVLAYGS</t>
  </si>
  <si>
    <t>RPGCHWLWSGFNTAKVEPNPSCAIWGLGAVGLAVAMGCKAAGASRIIGIDINPEKFETAKKFGCTECINPKDYQKPVQEVLVELTDGGLDFTFECVGNVITMRAALESCHKGWGTSTIVGVAPAGQEISTRPFQLVTGRTWKGTAFGGWKSRDSVPKLVEEYLNGKLDLDSFITHKLPFNEINRGFELLHSGKSLRTVLAYGS</t>
  </si>
  <si>
    <t>LPFKSTRAAGDHMTVADLSLVASVTTAEVCGYDISKYPNVAKWLAKCKSSIPSYAETNEDGVLKFKALFESRKK</t>
  </si>
  <si>
    <t>PHGEYPLIPVGKMVLDRNPKNYFAEVEQIAFSPAHLIPGVEPSPDKMLQGRLFAYGDTHRHRLGPNYLQLPVNCPYRTKVSNSQRDGPATYDGNQGGTPNYFPYSFSGPPANGGQFSLPNIMPSGEGAQIPNWARKIISPNRSLFWE</t>
  </si>
  <si>
    <t>GGGESGHYGRDGITVEPGQAITIPIMALHYDPKYFSEPTIYRPERFDADQTIPASAYLPFGNGPRMCIAMRFAMLEIKYCIAHLLQNYTISLSPKTKQPISLKPNSMLTMPNEPLYFNISKK</t>
  </si>
  <si>
    <t>GAGESAITAGGGAETVAIAMSYFLYEVSLNQEIQEKCREEIMTVVKETGSDIRYEDVSKLTYMDMAIKESLRKHPPFVMLTRKCTKQYQFRDTNLTIELGTLILTPVRSIQLDPNNYPDPESFIPERFSDENKVSIDAGAFLPMGLGPRTCLGQYFARLETLLVMSRLLLNYRFTMSSKTEIPLKHYIHTTLLTPNPGIWLNVEPINQSYL</t>
  </si>
  <si>
    <t>RGTDIRYEDVSKLTYLDMAIKETMRKHPLFIILMRKCTKQYEFRDSNLTIEPGTLILAPVRNIQWDPNNYPDPESFIPERFSDENKTSINAGAYLPWGLGPRMCLGKYFSRLEMILVLSRLLRNYRFTMSSKTEVPVRVCKYTRVVTPDPGIWLNIEPINQS</t>
  </si>
  <si>
    <t>GGTWSTYVSWTYFARLETLLVMSRLLLNYRFTMSSKTEIPLKHYIHTTLLTPNPGIWLNVEPINQSYL</t>
  </si>
  <si>
    <t>KYRDTKGLRILAFPCNQFGGQEPGSREDIVCFMKQKNATFEMFDKIEVNGSGAHPLWKYLKSKQGGTLVDNIKWNFTKFIIDKNGQPVERHGPMTNPSKLVSCLEKYW</t>
  </si>
  <si>
    <t>DYWQCRSSFSLWCYWNYQSMTQHILLFQIVIKIK</t>
  </si>
  <si>
    <t>GVRCXGSGMNLHLTENELLREILELGEKISPINAASNKQTKLARHLLNAANFKARSISRGKNRDKRSAVLAT</t>
  </si>
  <si>
    <t>GCPSPSLNSNIAMAYVNVDLSKPNTQLTATVRGLEVPVKVVKMPFIKPGYYTGKS</t>
  </si>
  <si>
    <t>PGGRLIVAPILRQGTHEREVYLPAGVWKDGIDSSLRKGSRWLHSYKVPGDKIAYFLKMPDNTRF</t>
  </si>
  <si>
    <t>PGTILLRLLGENITNSSQLVPLIIIIQIILVMFETAVAFIQAYVFSVLSTLYTREVVKKKKKK</t>
  </si>
  <si>
    <t>TIPSLGIKIDGTPGRLNQGRILINRPGLIFGQCSEICGANHRFIPIVVERVSTQQFIN</t>
  </si>
  <si>
    <t>YCFTRYILCSSPLPLCIINRSRICNYRWSNSMIPPIYWNNSKSIMIKNSIPYYIYWSKYNLLPTTLLRTKRNASTIF</t>
  </si>
  <si>
    <t>AHHRLMESNHSQATQALFITVILGLYFTILQGFEYYESRFTISDSIYGSCFFIATGFHGIHVIIGTTFLAVCLIRHIIYHFRRKHHFGFEAAA</t>
  </si>
  <si>
    <t>NXVPANKLAVHFHDTYGQALANIVIALQMGITVVDSSVAGLGGCPYAKGASGNVATEDLIYMLDGMGISTGVNLHKLVNVSHYICEQLEKQPQSRVARALPKLP</t>
  </si>
  <si>
    <t>GGGESGITAGSALNSYHNISPAPPTVSILPAVRHFQTSVVTRDIDSAAKFIGAGAATVGVAGSGAGIGTVFGSLIIGYARNPSLKQQLFSYAILGFALSEAMGLFCLMMAFLLLFAF</t>
  </si>
  <si>
    <t>AEEYRRGGFAFIFLSEYINIIFIRLLCCVIFLGCDLYSILFFFKLTFIVFAFIWVRGTLPRYRYDKLMYLT</t>
  </si>
  <si>
    <t>WGWSSTGDPLSNMQLYLATKEDAIAFCDKNGWEWFVDEEKELPEKVKSYGFNFSWNKRTRVSTK</t>
  </si>
  <si>
    <t>GQQFDNTDYRLARFVDKKKTVNTKFAIDLINAVPPKEVAQRIVWCDGGGGPTGHPKVYINLDKPGCHICGYCGLRFAKEDTHH</t>
  </si>
  <si>
    <t>GGFSVDNATLTRFFALHFLLPFIIAAIVIVHLLFLHQTGSSNPLGLNRNFDKIPFHPYFSIKDLIGVSLTLIFFIILNL</t>
  </si>
  <si>
    <t>GTVPXATQSQLAKDVTVFLKWTSEPEHDLRKQMALKVLVIFTSFHW</t>
  </si>
  <si>
    <t>INHTQHILAHLIPEGRPALLIPFIACIETIRNVVRPGSLSVRLTANIIAGHILLRLLGENITNSSQLVPLIIIIQIILVMFETAVAFIQAYVFSVLSTLYTREVV</t>
  </si>
  <si>
    <t>QIDSHRCFRKIQGFKLNGYFVLFCFFFIKCEISLINLVVLYQKKKKK</t>
  </si>
  <si>
    <t>GAGNRHYGRGCKEFGKLDLLINNAGITNELMDDGWKEIIKTNFRAVVKGTYLGMKYMGKHEGKQGGTIVNIGSTSSYITAPPISVYSATKAAVNQFSRSIGTKSHYDRTGVRVICVNPGYTGTTTLPTIAKQIDQSTKTNFLNEKIIQSVENVGEGMITILKKAEPGSLWAIEDNVAPKRIEFEVVTHDN</t>
  </si>
  <si>
    <t>RPGRVHRSDFTKNFIESSCAIRRRTEKFATGKGMELKGTVALVTGAAQGIGKACVDYLLAEGVQVLIADINKSAGEATKKELAKKHGASNVEFIYCDVTNDESFEDLFREAIKKFGKLDLLINNAGVANELMDDGWKQTIKTNFRAVVKGTYLGMKYMGKHEGKQGGTIVNIGSTSSYITAPPVPVYSATKTAVNQFSRSIGTKLHYDRTGVRVICVNPSYTDTNLLPTIAKQIDKSTLTLFLNACKENIIQSVENMGEGMITILKKAESGSLWVIEDNVAPKRIDLKVIKRDN</t>
  </si>
  <si>
    <t>RGAIRRTEKFSIGKAMELKGTVALVTGAAQGIGKACVDYLLTEGVQVLIADINKSAGEATKKELAKKHGASNVEFIYCDVTNDESFEDSFREAVKKFGKLDLLINNAGITNELMDDGRKEIIKTNFRAVVKGTYLGMKYMGKHEGKLGGTIVNIGSTSSYITAPPISVYSATKAAVNQFSRSIGTKSHYDRTGVRVICVNPGYTGTTTLPTIAKQIDQSTKTNFLNEKIIQSVENVGEGMITILKKAEPGSLWAIEDNVAPKRIEFEVVTHDN</t>
  </si>
  <si>
    <t>GYLWLVQRVLPAFMANRKPYSLNTAIRIYNLLQVVMNGYICYLYVGLVNEKTLQFWTISCNHVTKANNFDLDIKRKAEELGYLYYINKIIDLTETICFLLRKKKQQVTFLHVYHHCIMVPNTWLSTFYFREETSTFLTAINSFIHVLMYTYYFLSNLGPGLQKYLWWKRYVTLFQIIQFLILLYLFGKLYSEECGCSNYYLALWTLTVTSFLILFCMFYVKSYKKKIN</t>
  </si>
  <si>
    <t>RGIYDKANLLTTKTILGHGVYLTNEEHTLLSEKGVAIAHCPNSNTMLRSGECDVRTLWKNGINVGLGTDVAGGCNPCIIDAMRSALANSLHISFHNKTHIPLNFHEVFYMATLGGAQALRKDHLIGNFVEGKEFDALIVDMNIGSSLSGSLQEHTLLELVQKFIHCGDDRNIESVYVKGKLVSNKQK</t>
  </si>
  <si>
    <t>PGTQMVTNEEFTNAFAKAMYRPAFFRVPEFVLNVMFSSERAKIMTMGQKVVPAKVKELGFNYEYPTVQEAVKDCSRIFYSRKRPF</t>
  </si>
  <si>
    <t>GYYRKRERLGEAFYGGPNTILHGLHVDKKEDVDRMVNDLEKQIAKREKYSRRRTHNDDADIDYINDRNMKFNKKLERFYGQYTTEIKQNLERGTAV</t>
  </si>
  <si>
    <t>REWHCEAKENTTTTAARGRNTAANSGGMWRFYTDDSPGIKVGPVPVLVMSLLFIASVFMLHIWGKYTRS</t>
  </si>
  <si>
    <t>IDLGDIKAEYQKIYETPLEERIANDCGGGFKSLLVALVS</t>
  </si>
  <si>
    <t>GDSKYQQVSPNTAIILLEKIREADKKTVFSVLKKSERDKKKLLETVLKQLRQLAATAQQQLQLA</t>
  </si>
  <si>
    <t>RPGEAELEFHFKVHSALDIIEEKLTMVAKASNDIRDSYLGLLYATEEHKIFGYVTNTKIKIIIVVDANQNTLRDNDIRAMFRKLHGAYADVVCNPFYIPGEVISSKKFHEIIRGMLTKS</t>
  </si>
  <si>
    <t>TSLLDHVNMVIYGVYIVSKSGGLIFNHDHNIPKVVSEHTFNYPIDIKLANENKKIVVSFGQHDGIMVGHTLIAVNGTSVSGTQLDDGRDVLEMIEDEANYPPTLRFTRPRVTTNEKIFLASMFYPLFALASQLSPEPKSSGIEVLEADTFKLQCFQTLTGVKFMIVADPAQTGLENILRRIYEIYADFALKNPFYSLDMPIRCELFESNLQALLEQAEKSSNITHV</t>
  </si>
  <si>
    <t>GLSKECEDEMIMSRYQKRLGMATSSLEKQNLELELARQLVEKAAINRNRQMQATAWAMQTAHKKFKIQEKLQNGKLKECDFKKQQLYALSLQFNQNNSWLNQLANDLALYPNHEKIVRELLDNILTDNSQPVRATINHMQEKINVILDKSLLNPDADQKEHAHIFEEVANTIKDDMNIIQDVVKALFEPLNTDKNASITSEVVHHVYFAPLKQNIITLIRFTLKDVEKELGNRIKAGFEEGINFKLTECCKEAITKLHYLTTLHNPYDMLDCIVHIIKLLAATKF</t>
  </si>
  <si>
    <t>XGGEGFLGVVDLRGLAYEDNCVATGLGSHIALPSLRNSAASASGSFDKDMAHIALTKCMELLFYRDTCSLPKFQIATITDKGVEISPIIEVSGNWEVAAMVHGFE</t>
  </si>
  <si>
    <t>PGDFTEEERRLFLKFVTSCSKPPLLGFAHLEPPFSIRCVEVGDDEDTGDTIGSVIRGFFTIRKRDPQHRLPTFSTCFNLLKLPNYQRKGTLRDKLRYAISSNTGFELS</t>
  </si>
  <si>
    <t>AGSRGSPPKIPADATLIFEVELVKIEKKDEL</t>
  </si>
  <si>
    <t>AGWAAMKPGLEWPHLPMLEIEGKTLFQSMAICRYLARQLNLNGRSNWAETQIDMTVDALNDFRARRLVFDVEDLSDNLLQ</t>
  </si>
  <si>
    <t>CTRRHAWVDFQEVSQELVERPQEVAPQVQVVQRLKKLIKMLHSKCDCSFIL</t>
  </si>
  <si>
    <t>MKAVTETGVELSNEERNLLSVAYKNVVGARRSSWRVISSIEQKTEGSERKQQMAREYREKVEKELRDICYDVLALLDRFLIPKASNAESKVFYLKMKGDYYRYLAEVATGDTRNAVVDDSQKAYQDAFEISKSKMQPTHPIRLGLALNFSVFYYEILNSPDKACHLAKQAFDDAIAELDTLNEDSYKDSTLIMQLLRDNLTLWTSDTQGDGDEPQEGGDN</t>
  </si>
  <si>
    <t>NSFNGIKNTRNFKKKKPCEYGNKSEIIAVVVAFLKIFTLLHHIRVSEGNFRYSPFNFFFPYSFIQFISL</t>
  </si>
  <si>
    <t>GRGIGITAGWPGNIKSFVKAFLEGNLKEHFLEQALPEDWDKHPVKVLVASNFDSVVFDKEKDVLVEFYAPWCGHCRELVPIYEKLGEAFKEQSDVVIAKIDATANELQHTRISSFPTIKLYKKGDKDVIDYNGKRTLEDLTKFLESGGEYKGGEAVPEYTDEEEEKEDLPKKDEL</t>
  </si>
  <si>
    <t>AGGSGGLPGLNPVNNTTQRTDTTTTGGGNNTTSTTSPQQYYMSQVASALSRVVQNNSSSLPPEERYRSQLEQLTAMGFLNHEANIQALIATFGDVNAAVERLLNNGQLQPQS</t>
  </si>
  <si>
    <t>RGRRVRVGNTDAEGRMIMADVLCHAKELALNSVNPHLMTIATLTGHAVRTVGDGYTIGLDNGPARKVDNVQKLQKAGDEIGDMLEISVIRREDFDQHKGKAEGEDVVQCTNKPIAQACRGHQAASAFLILASGLDEHGLDSNKPIRYTHLDIAASAGHVPENATGAPVLALATRYLL</t>
  </si>
  <si>
    <t>GDEIGDMLEISVIRREDFDQHKGKAEGEDVVQCTNKPIAQACRGHQAASAFLILASGLDEHGLDSNKPIRYTHLDIAASAGHVPENATGAPVLALATRYLL</t>
  </si>
  <si>
    <t>GWGNRAITAGGALTSVALKGVDSAVVATQKKVPDKLLDPSTVTHLYKITEDVGCVMTGMIADSKSQVQRARYEASNFKYKNGYDMPIDMICNRIADISQVYTQNAEMRPLGCGMILIAYDRERGPLVYKTDPAGYFCSYRAISVGSKQIEANTYLEKKLKKKQDYTLEEAIQLAISCLSTVLSVDFKPSEVEVGIVSATDPHFRTLTETGLDKHLTIIAEKD</t>
  </si>
  <si>
    <t>FCLLIMLQQEYSSGDFAFQHSLPQKHQNENEVKIYKAPDIYKRTLSPNTTTTSVLGIKFNGGVAIAADIGGYYGKLARYKQLERIYKVNDSTIMCTSGDYADFQHIKDTVEQRVISEEILEDGFSLKAFSLYTWMTRLMYGRRSKFDPLWNSVVVAGYDEGEGFLGVVDLRGLAYEDNCVATGLGSHIALPSLRNSAASASGLFDKDMAHIALTKCMELLFYRDTCSLPKFQIATITDKGVEISPIIEVSGNWEVAAMVHGFE</t>
  </si>
  <si>
    <t>GGLGIGITAGEEEEEKKREEKKQEPNFEILSNPARVMKNQLKLVSLVDSGSYIPLKDVSIGGIIMMRHVKAGSEDEQLVEPVAAFGPKAEDEKEPDPPEPFEYTEE</t>
  </si>
  <si>
    <t>RDIKEYLLQVVDDKLPINHQIIYQLQDIFNLLPDIGHGNFVDSLYVKTNDQMLVVYLAALVRSIVALRNLINNKLSNRDAEKKEGKKEEKPKEEDPPKKEIKSK</t>
  </si>
  <si>
    <t>GRGGTEFPDPDDLLNFKLVICPDEGFYRGGKFTFSFKVGPNYPHEPPKVKCETQVYHPNIDLNGNVCLNILREDWKPVLTVNSIVYGLQYLFLEPNPEDPLNKEAAEVLQNSRRVFEQNVQKAMRGGSVGNVYFERCLK</t>
  </si>
  <si>
    <t>TNLFCIGIKRVLLNDFIFKIIYVWCIYNIHYRNKNSFNINNFTYSKRKKVLLLETYFHFDNIKNLLCAASFSPWLYFTFIHLN</t>
  </si>
  <si>
    <t>LSGRETIARVTGGMKVKVDRDEASPYAAMLAAQDVAEKCKSLGITALHIKLRATGGNKTKTPGPGAQSALRALARSSMKIGRIEDVTPIPSDSTRRKGGRRGRRL</t>
  </si>
  <si>
    <t>AGDALKSINNAEKRGKRQVLIRPCSKVIIKFLTVMMKKGYIGEFEIVDDHRSGKIVVNLNGRLNKCGVISPRFDVPITQIEKWTNNLLPSRQFGYVVLTTSGGIMDHEEARRKHLGGKILGFFF</t>
  </si>
  <si>
    <t>AGGRRRERRDNYVPDVSALEQDVIEVDPETKEMLKMLEFTNISGLQLIQPPNQSYGRRP</t>
  </si>
  <si>
    <t>GYYLFSLPIKEFEIIDFFIGPSLKDEVLKIMPVQKQTRAGQRTRFKAFVAIGDSNGHIGLGVKCSKEVATAIRGAIILAKLSVVPVRRGYWGNKIGKPHTVPCKVTGKCGSVQVRLIPAPRGTGIVGAPVPKKLLQMAGIEDCYTSARGSTGTLGNFAKATYAAIAKTYAYLTPDLWRDVPLTKPPYSEFADHLAKNHNPNIVSQSRSD</t>
  </si>
  <si>
    <t>AGVATRGLCAIAQAESLRYKLIGGLAVRRACYGVLRFIMENGAKGCEVVVSGKLRGQRAKSMKFVDGLMIHSGDPCNDYVDTATRHVLLRQGVLGIKVKIMLPYDPSGKMGPKHPLPDNVCVVGPKEETTTGTVGSISEPKPQ</t>
  </si>
  <si>
    <t>GRAPDWKTLVNRTQGTKIASEGLKGRVFEVSLADLQNDTDAERSYRKFRLIAEDVQARNVLTNFHGMDLTTDKLRSMVKKWQTLIEANVDVRTTDGYLLRVFCIGFTNKDQLSQRKTCYAQHTQVRQIRRKMVDNITSSISNSDLRVVVNKLIPDSIAKDIEKACQGIYPLHDVYIRKVKVLKKPRFELSKLLELHGDGKGSDEPGAKVSRPEAYEPPVQESV</t>
  </si>
  <si>
    <t>PGAERIPFLVTHDGRTIRYPDPLAKVNDTIQLDIATSKIIDIIRMDSGNLCMITGGRNLGRVGTVVNRERHPGSFDIVHVKDASGHMFATRLNNVFIIGKGSKAYVSLPKGKGVKLSIAEERDKRLAAKAASG</t>
  </si>
  <si>
    <t>AGESGHYGRVCQTFSSASKRSQGSKARRNQTSTIGVNERFKIFLSEIIFNKIKHCL</t>
  </si>
  <si>
    <t>AGDLGMNSDLKAQLRELHITKAKELDLCGKKSIIIYVPMPQLKNFQKIQIRLVRELEKKFSGKHVVFVGDRKILPKPTRKTRTQSKQKRPRSRTLTSVYDGILEDMVFPAEIVGKRIRLKLDGKQLIKVHLDKLQQTNIEHKVDTFAAVYKKLTGREVSFEFPQPYL</t>
  </si>
  <si>
    <t>GGGIGHYXAGGAVLYKKRSKKVENKYKIRQRLAKVEAALEEQFQTGRVLACIASRPGQCGRADGYILEGKELEFYLRKIKAKKGK</t>
  </si>
  <si>
    <t>SIKEYLKDPSKFAVAAPVAAEAPKAAEAPKKRKRKKNLRNQMMILVLVSLTNCICYMVTRRIK</t>
  </si>
  <si>
    <t>AGQQPGFSKARYTVRSFGIRRNEKIAVHCTVRGAKAEEILERGLKVREYELRKDNFSDTGNFGFGIQEHIDLGIKYDPSIGIYGLDFYVVLGRPGFNVAHRRRKTGVVGFQHRLTKEDAMKWFQQKYDGIILPGKK</t>
  </si>
  <si>
    <t>RAYCHLGRLSHEVGWKYKDVVRALETKRKVRAVFDIRKRTSLKKLTKKAGEMVAKSSAPYTAIINSYGYR</t>
  </si>
  <si>
    <t>KVEAKKKRLALTDFDRFKLRHARQVRNKLRTSAFLYLKKKAKKEAAAATATKKQEKKAPPKKTEKKK</t>
  </si>
  <si>
    <t>STLELLQVLPDLTLSLTSDLKAENLKEPEAEGVLVVIRNNIRIIVFKTFLIFYNYCTLNKMC</t>
  </si>
  <si>
    <t>SKIRFPLPKRIQQKNQMPKFSVRKPRTYFL</t>
  </si>
  <si>
    <t>TATTQKSTGAKGGSAVNATTPAASVKSKAAPAPTVANKTAAQQKSKPATQNTPAQKPAAAKPAPAKVQQQQKAPQAKGAQGAKSTSASKTAPKAAAAAATAKPAASPTAAPQAAPTTKKPATSGGALKKAPVPPKKVQLHKKSHQGVKKQILKGKGQKKKKVSLKFIIDCTHPYEDKIMDVANFEKYLQERIKVNGKTNNFGNNVTLERNKMKIIFTSDIHFSKRYLKYLTKKYLKKNNLRDWLSVVASAKDTYELRYFQFNSQDDEDEEDND</t>
  </si>
  <si>
    <t>GGIGPLRPGYRKIRTSVHFRRPKTFKPPRNPKYPRKSVPRRNRMDAYNIIKYPLTTEAAMKKIEDNNTLVFIVHLKANKHHIRTAVKKLYDIDVAKVNTLVRPDGKKKAYVRLARDYDALDVANKIGII</t>
  </si>
  <si>
    <t>AGESGIXXPGHLMRRNPRKVTWTVLYRRKHKKGQEEEQSKKRTRRTQKFQRAIVGASLTDILAKRNMKPEVRKAQREQAIRAAKEQKKAIKAAKKPEKAPPKVKQPQKAKAAKIQQKSAPRVGGKR</t>
  </si>
  <si>
    <t>NMKRNKLVTSSRRKNRKRHFTAPSHIRRRLMSAPLSKELRQKYNVRTMPVRKDDEVQVVRGHYKGQQVGKVIQVYRKKYVIYIERIQREKANGATAYVGIHPSKTVIVKLKVDKDRKKILDRLARGRALALGKDKGKYTEETATTAMDTS</t>
  </si>
  <si>
    <t>PGVAINEVVTREHTIHLHKRLHGIGFKKRAPRAIKEIRKFAVKQMGTPDVRIDTHLNKQVWSKGIRNVPFRIRVRLARRRNDDEDSPHKLYTLVTYVPVASFKNLQTKNVDSNQE</t>
  </si>
  <si>
    <t>TNKFGSKGIRNVPFRIRVRLARRRNDDEDSPHKLYTLVTYVPVASFKNLQTKNVDSNQE</t>
  </si>
  <si>
    <t>EAKKTRAMRRALTKHEKKIKTQKEIRKRAAFPPRKYALKA</t>
  </si>
  <si>
    <t>AGVVRQGVNTVTRLVEQKKAQLVAIAHDVDPIELVLFLPALCRKMGVPYCIVKGKARLGALVGRKTCTAVCLTQVDKEDRGTLAKLVDTVKTNYNDRHEDIRRHWGGGVLGSKSAARIAKLEKAKARELAQKQG</t>
  </si>
  <si>
    <t>RNQRVLPWPKGPGNPLNLLRARNWGLQLFPMNEEFPVSASHKLALITSLPFVHTARRYYRLNDLVRSSDWRLIFINLLVLMYAGKMTKLDHLEEVKVVTRFP</t>
  </si>
  <si>
    <t>ANQSSXGDAAIINLVPTKPMCVESFQEFPPLGRFAVRDMRQTVAVGVIKSVTNKDVTTGKVTKAAEKAQKKK</t>
  </si>
  <si>
    <t>KYILGRLLLVFNSRMRLFILFIYKFSIHFGKNHLIDNFLVFFFNSQKYLYKKFYLRSFLEEIIQFLYRLVANKNAS</t>
  </si>
  <si>
    <t>GGSIKLIRKPFSPLSLWSGLVINIRSLSSSSKNMEIAVDLIVIHLSCSSFLVSVNRVSPAFALAIIPAFETKESVNVDLP</t>
  </si>
  <si>
    <t>RATTLHADAIHRGGGQIIPSTRRCLYACVLTASPRLMEPVYLCEIQCPEVAVGGIYGVLNRRRGHVFEEMQVAGTPMFVVKAYLPVNESFGFTSDLRSNTGGQAFPQCVFDHWQILPGDPTDSGSKPYNIVQDTRKRKGLKEGLPDLTQYLDKL</t>
  </si>
  <si>
    <t>RGTRQYSARLFNKNMSFCFYLRSDLPNEEFNGRSILTVLR</t>
  </si>
  <si>
    <t>TRQIIKLPLDISTLSEAEAKLRLERRRPKTKLKELEEDLAHFDARKYLHLIKKK</t>
  </si>
  <si>
    <t>XAGGGNRIGKIGVLHPDVINAFDLPLPCSVMEMNIEPFV</t>
  </si>
  <si>
    <t>RPGGGRAAAGTAGAAAVAAAVPRGPAAAAAPTAGMVSQAAAAAAGGPPPQPPVSVSAQGRPANYKYTANMRNPPPGQALSQAQAPPPQQAVHIQGQEPLTASMLAAAGAQEQKQMLGERLFPLIRNMYPELAGKITGMLLEIDNSELLHMLEHHESLKAKVEEAVAVLQAHQAKQAAASGKKD</t>
  </si>
  <si>
    <t>AGGGGRAAAGTAGAAAVAAAVPRGPAAAAAPTAGMVSQAAAAAAGGPPPQPPVSVSAQGRPANYKYTANMRNPPPGQALSQAQAPPPQQAVHIQGQEPLTASMLAAAGAQEQKQMLGERLFPLIRNMYPELAGKITGMLLEIDNSELLHMLEHHESLKAKVEEAVAVLQAHQAKQAAASGKKD</t>
  </si>
  <si>
    <t>GGSSWKKCGGLRVLNSYWVAQDSTYKYYEVITVDPAHKAIRRDAKINWICDAVHKHREMRGKTSAGRKSRGLGKGHRYSQTIGGSRRAAWIRRNTLQLRRKR</t>
  </si>
  <si>
    <t>RAQVHRIRITLTSKNMKSLEKVCTDLINGSKKEKLRVKGPIRMPTKILRITTRKTPCGEGSKTWDRFQMRVHKRIIDLHSPSEVVKQITSISLEPGVEVEVTIAE</t>
  </si>
  <si>
    <t>EQSGGKVTRPHGSSGAVRAKFKSNLPPTAMGRRIRIMLYPSKI</t>
  </si>
  <si>
    <t>REEPFRRKDGVFIYFEDNAGAIVNNKGEMKGSAITGPVAKECADLWPRIASNASSIA</t>
  </si>
  <si>
    <t>RAFRRKDGVFIYFEDNAGVIVNNKGEMKGSAITGPVAKECADLWPRIASNASSIA</t>
  </si>
  <si>
    <t>YGRGFRSKGHAVGDIPGVRFKVVKVANVSLLALYKEKKERPRS</t>
  </si>
  <si>
    <t>RAIRKCVRVQLIKNGKKITAFVPRDGCLNFIEENDEVLVAGFGRKGHAVGDIPGVRFKVVKVANVSLLALYKEKKERPRS</t>
  </si>
  <si>
    <t>RPGRRARICKRKQTVKRAYGGVLCHRCVKERIIRAFLIEEQKIVQAVLKAKQEPSKQPHKA</t>
  </si>
  <si>
    <t>ATRHVLLRQGVLGIKVKIMLPYDPSGKMGPKHPLPDNVCVVGPKEETTTGTVGSISEPKPQ</t>
  </si>
  <si>
    <t>PGGQCTQVKAEFIGEQNRQIIRNVKGPVREGDILTLLESEREARRLR</t>
  </si>
  <si>
    <t>RVCTGAREAAFRNIKTIAECLADELINAAKGSSNSYAIKKKDELERVAKSNR</t>
  </si>
  <si>
    <t>AGGKTGVLIIPATILNWVLLVENISECVRYLSLIQVILILSDLYHRKVDRNRYFF</t>
  </si>
  <si>
    <t>RGVGRRYANIVLKKADVNLDKRAGECSEEEVEKIITIMQNPRQYKIPNWFLNRQKDIVDGKFSQLTSAVLDSKLRDDLERLKKIRAHRGMRHYWGLRVRGQHTKTTGRRGRTVGVSKKK</t>
  </si>
  <si>
    <t>GAALGEQFQTGRVLACIASRPGQCGRADGYILEGKELEFYLRKIKAKKGK</t>
  </si>
  <si>
    <t>PGMLMMQNRKFCAEIAHGVSSKKRKTIVERAQQLSVRVTNANARLRTEENE</t>
  </si>
  <si>
    <t>GVVTDPQNDHQPITEASYVNIPVIAFCNTDSPLRYVDIAIPCNNKAIHSIGLMWWLLAREVLRFKGLIKRDAKWDVVVDLFFYRDPEEAEKEEQATKEIAPPPAKPLETDYPAVPTESWAESSDPLGGPTRTWAEEGQSVTIISSTAPAASEDWSAQDADWKATEWGGQTQPWAS</t>
  </si>
  <si>
    <t>AGEGFTRKPPKFERFIRPMALRFKKAHVTHPELKATFCLPIIGVKKNPSSTMFTSLGVITKGTVIEVNVSELSMVTQAGKVVWGKYAQVTNNPENDGCINAVLLV</t>
  </si>
  <si>
    <t>RLALLQPLLLLNQLPLALRPPKLLLLPKSLPVPEELFSNLPYHPKTFNFVFNHFHVVTHAILSCYGSGFKKVSLKFIIDCTHPYEDKIMDVAYFEKYLQERIKVNGKTNNFGNNVTLERNKMKIIFTSDIHFSKRYLKYLTKKYLKKNNLRDWLTVVASAGKTF</t>
  </si>
  <si>
    <t>QANRPIPQWIRMRTGNTIRYNAKRRHWRRTKLKL</t>
  </si>
  <si>
    <t>GHPFHVIRINKMLSCAGADRLQTGMRGAFGKPQGTVARVHIGQPIMSVRSSDRYKAAVVEALRRAKFKFPGRQKIYVSKKWGFTKYDREDFEQLKNEGRLQNDGCNVKYRPEHGPLDNWKKVQLELASAA</t>
  </si>
  <si>
    <t>GRALTDFDRFKLRHARQVRNKLRTSAFLYLKRKAKKEAAATTATKKQEKRAPPKKTEKKK</t>
  </si>
  <si>
    <t>GSQKIDRQMYHDLYMKAKGNVFKNKCVLMEFIHKKKAEKARSKMLKDQAEARRLKVKEAKKRREERITQKKQEILQAYAREDEAAAVKK</t>
  </si>
  <si>
    <t>MSAHLSWMIIRNTNSYLVKKRNIKKHFSTEPHNLLNLASFRYNGLVHKKSTDISPADSLHGFKLTWKKAKAAHKPGSCYVSRTMKSGPRVALFRLRRFIRANKYRRDLTKAALRRASAILNSQKRTLQVKKSRPKKSD</t>
  </si>
  <si>
    <t>LLERIRRFYKNWYKSKKKAFTKASKKWSDPLGKKQIEKDFSKMIKYCKVIRVIAHTQMKLLKQRQKKAHIMEIQLNGGTIADKVAWVKEHLEKPVPVSSVFGADEMIDCIGVTKGKGFKGVTSRWHTKKLPRKTHKGLRKVACIGAWHPSRVQFTVARAGQKGYHHRTEINKKIYRIGQGIHTKDGKVIKNNASTDYDLSDKSITPMGGFPHYGEVNNDFLMIKGCCMGPKKRVITLRKSLLVHTKRVALEKINLKFIDTSSKFGHGRFQTPADKSAFMGPLKKDRLREEAAGA</t>
  </si>
  <si>
    <t>GGRGIGPLRPGXEAIARVYIVMHQKQKENLRKLFKNKKYKPLDLRPKKTRAMRRALTKHEKKIKTQKEIRKRAAFPPRKYALKA</t>
  </si>
  <si>
    <t>SRHIMVNVPKQRRTFCKKCKVHKLHKVTQYKKSKERHAAQGRRRYNRKQQGYGGQTKPIFRKKAKTTKKIVLRMECSDCKYRKQVPLKRCKHFELGGDKKRKGQMIQF</t>
  </si>
  <si>
    <t>AGTGPFTLNGVPLRRIHPNYVIATSARIDMRGVNVPSHITDKYFKRIKTKKAKKDDGEIFAAKKEPYKPSEQRRIDQKALDKSILKAIKKSPDAAHYGRYLCAMFGLRSSQYPHRMKF</t>
  </si>
  <si>
    <t>PGEPYWPGLFAKALEGINVKELITNIGSGVGAAPAAGGAPAAAPADAAAAPAGGDKKKEEKKKVESEPESDDDMGFGLFD</t>
  </si>
  <si>
    <t>WPKARRSWLLCLQEELQQLRPLQLLLLQPEHLPRRQKRRKKLKRKSLISQMTIWVSVYLTNFQKQKFKIFFTSCCKFDYFICKIKFYKSKKKKK</t>
  </si>
  <si>
    <t>RGSSGSVARKALQSLEQMKLIEANPEGGRKLSVQGQRDIDRIAGQIKQKKREKMLALAAQSGGAITGIIPPAADPTA</t>
  </si>
  <si>
    <t>LGNMVNSRVPSVHSKTYVTPRRPYEKARLDQELKIIGEYGLRNKREVWRVKYTLAKIRKAARELLTLDEKDPKRLFEGNALLRRLVRIGVLEEGRMKLDYVLGLKIEDFLERRLQTQVFKLGLAKSIHHARVLIRQRHIRVRKQVVNIPSFIVRLDSQKHIDFSLKSPFGGGRHGRVKRKNSRKGTTAAAAEEDED</t>
  </si>
  <si>
    <t>TRMRYANEKASKNVTLRGNVPKSTKAADEKYPVGPWLLALFVFVVCGSAVFQIIQSIRMA</t>
  </si>
  <si>
    <t>EQPDRILLVLMKTDRLIEELLLSSQTRKLMLVPALLIWNLDESLFKEGVMVAKKDYHALKHPDLETIPNLEVIKTMQSLKSRGYVKEQFAWRHFYWYLTNEGINFLRNYLHLPSEIVPATLKRPSRNETLRPRPAAARPDTSRTDEDRSTYRRAPTQQPDKKADVGAGTADLEFRGGYGRGRGATPQ</t>
  </si>
  <si>
    <t>GFDSGTYDKLLKEVPSYKLITPSIVSERLKVRGSLARKALNELLNKGYIKQVVKHHSQVIYTRATKTEDPA</t>
  </si>
  <si>
    <t>PGESGIXXPGDIPSFIVRLDSQKHIDFSLKSPFGGGRHGRVKRKNSRKGTTAAAAEEDED</t>
  </si>
  <si>
    <t>YERNRRFGHLVHALGRQAGGAMPPSAGLCLNASKAESRLWFNDLTMGPVSRKAQNNVTLIGGRI</t>
  </si>
  <si>
    <t>YEIKKKTAKKNNFTCPLGHQVVAKSILITVATDYKDYALIHICSTPTGRSPMNTYLIARRKPGDNIPPQLESFTP</t>
  </si>
  <si>
    <t>PGKQELLYIGRIRVQLKNDDGSPLNPDFPTRNTVMLHLCAMIPKLKTRQGKSGGGDHGSQGGAGSGGGGSKKKGKGRR</t>
  </si>
  <si>
    <t>KVNAMDNYRAPDFHKDKWYVTHVSKVTDPTECRTLTATNSADGKTFTVENSVGEGESQKSTCVGHEEAANKLSFTCKVGNQVVAKSILITVATDYKDYALIYICSTPTGRSPMNTYLIARRKAGDNIPPQLESFTQGMEFKKC</t>
  </si>
  <si>
    <t>LCYRQVHRSAEMQIFVKTLTGKTITLEVESSDTIENVKAKIQDKEGIPPDQQRLIFAGKQLEDNRTLSDYNIQKESTLHLVLRLRGGAKKRKKKNYSTPKKIKHKKKKIKLAVLKYYKVDENGKISRLRRECPSDQCGAGVFMAAMEDRHYCGKCSYTLVFKQPEEK</t>
  </si>
  <si>
    <t>KMAALFQIKYFXKESTLHLVLRLRDGMQIFVKTLTGKQLRWKLSNQNTIENVKAKIQDKEGIPPDLQRLILLGKKFKGGTHAF</t>
  </si>
  <si>
    <t>IKCIPKLYYFDLYILHFSSFFYFVMVAKYIYIYTHKIKKKKKK</t>
  </si>
  <si>
    <t>GGKQLPFEVEPSDTIENVKAKIQDKEGIPPDQQRLIFAGKQLEDGRTLSDYNIQKESTLHLVLRLRGGVIEPTLRILAQKYNCDKMICRKCYARLHPRATNCRKKKCGHTNNIRPKKKIK</t>
  </si>
  <si>
    <t>RATVICLFNSGAPLNNDLTIGQLTSFYLDLSVPLLEGKVHGSLALAGKVKGQTPNVEKNGEEKEENWARKKTYPI</t>
  </si>
  <si>
    <t>PGLASRCWENLVLAMLGEQFMVGQEICGAVVSIRFQEDIICVWNRTASDQATTARIRDTMRRVLNLPTNTVLEYKTHNDSLKYVSASKAKANNKES</t>
  </si>
  <si>
    <t>GEQVDKEDRGTLAKLVDTVKTNYNDRHEDIRRHWGGGVLGSKSAARIAKLEKAKARELAQKQG</t>
  </si>
  <si>
    <t>GRADFLRIPELAINPLGERIVQAFFKDGDRVNFRQFMAVMACFRPIKHTTDNPLNSRESKLRFAFKMYDLDSDDMISRDELLAVLHMMVGANISEEQLTSIAERTILEADISGNQKISFEEFCKALERTDVEQKMSIRFLN</t>
  </si>
  <si>
    <t>NLPLIHFGERIVQAFFKDGDRVNFRQFMAVMACFRPIKHTTDNPLNSRESKLRFASKMYDLDNDDMISRDELLAVLHMMVGANISEEQLTSIAERTILEADISGNQKISFEEFCKALERTDVEQKMSIRFLN</t>
  </si>
  <si>
    <t>RVTQIATNPKYPNMILSCSRDKTLIVWKLNRDDSNYGVPQKRLHGHSHFVSDVVLSSDGNYALSGSWDKTLRLWDLAAGRTTRRFEDHTKDVLSVAFSVDNRQIVSGSRDKTIKLWNTLAECKYTIQDDVHSDWVSCVRFSPNHANPIIVSCGWDKVVKVWNLTNCKLKINHNGHTAYLNTVTVPPDGSLCASGGKDCKAMLWDLNDGKHLHTLDHNDIITALCFSPNRYWLCAAFGPSIKIWDLESKDMVEELKPEVVSQAQKAEPPQCLSLAWSTDGQTLFAGYSDNTIRVWQVSVSTR</t>
  </si>
  <si>
    <t>RGIGPLRPGGLGVVFASSLGSMFLPPTSMLGASAAAISIYGGLILFSGFLLYDTHRIVRAAEVYPQYHPQPFDPVNMSISIFLDTINIFIRIATLLSGSQQRK</t>
  </si>
  <si>
    <t>AGERIGHYIMDYYVPSIFLVVVSWVSFWLDPNAVPGRTTLGTSTMLTFITLSRNIGSSLPKVSYIKATEYWFLLCTVFIFGSLVEFAFVNSIWRRKQTVEVKKKNSKYILKSTLTPQQKRKAYGRPEDRSLPTSTESLSSNQNRGSVQTLSITSISKDPLPYNIPVEGQSAKKSISKGVFTMTPQEVAQWIDRRSRLFFPLAFLFFNCVYWIFVWF</t>
  </si>
  <si>
    <t>GAGNSALRPGAHCQMLEELRFAAQNWAEDVSIGNIFLKFAPDLMKAYPPFVNFFENTREMLIKCDESKPRFHAFLKARQTRAECGRQSLQELLIRPVQRLPSISLLLNDTLKHTSKSNSDHTALENALSSVREVMTHINEDKRRTEGQMVMFDIFNEIDNCPPHLVSSHRNFISRCDVMELSDGLSGRGDPLVFYLFTDVLEVCKKRSKAFNSLKSPNTAVTGKLQNGKPYKHIKLMPLAIIKKVIDIKETDECHKVFALMCRSTQDLKEKLYSFTITDDDVDKIAFLKTLCRHTANNACQADAENSLHLWIRQRWILKQAMFA</t>
  </si>
  <si>
    <t>RGCKQFLSRHDLDLICRAHQVVEDGYEFFAKRQLVTLFSAPNYCGEFDNAGGMMSVDETLMCSFQILKPSEKKAKYQYGGLNAGRPSTPQRNPQKKNK</t>
  </si>
  <si>
    <t>FILINTGPPPPPPPQNLGALFWGAPLFPPLGFSPPWGSFLFFPGPLFFPPLGGKTPGFSPFLPGEPPPLSPLGGKKEKNPFPPGGKNKKKXXXXPPPXPXPRAXPAAAXXG</t>
  </si>
  <si>
    <t>GRKQHHMASPPSVNSNIGRLQFKLPNGETKSHSFPADTTLLQVREFIDNNIVLPFSEYSMATTFPRREFTARDNNRDLHSLQLLPSAVILILPVQGNVTMRSSMGWTQMIIDMMWNFVQPVISLSRYVSNLIFRRDDTVGGSSRNQSTPPPPSSSSTAPQTYTSSPAQRLGGRGSIKRRGNIYSLRDNQDDNDENNTWNGNSTQQM</t>
  </si>
  <si>
    <t>GAYFSNELHSALTAFGYRLSPKIVSLMMTKFDRHGRGTILFDDFIQCCIVLHTLTSAFRQYDTDQDGVITIHYEQFLSMVLGLKI</t>
  </si>
  <si>
    <t>INGKMTDRKAVIKNADMSEEMQQDAVDCGTQALEKYNIEKDIAAYIKKEFDKKYNPTWHCIVGRNFGSYVTHETRHFIYFYLGQVAILLFKSG</t>
  </si>
  <si>
    <t>RAAVLGKFYSEYKAHTPKKLKIIDAYLLYVLLTGILQFVYCCLVGTFPFNSFLSGFISSVSSFVLAVCLRLQVNPQNKIQFSKISAERGFADFIFAHIMLHLVVINFIG</t>
  </si>
  <si>
    <t>GRGQLTPLQKRYLKMLERRKEAIKKAKAEKAERLRKARESGEPEKKKPEKKKPVAVAAFPKKAKTGGVAQGKVVKKTKQDAGKLKAEQKPKVEKAKPEQPKSAEKAKPEQAKTPEQKTAPSKPAAAVPKK</t>
  </si>
  <si>
    <t>GHEALNEALKLEARVTKHIIGVIKGCENPVDQPINDYHLVDYLTGDFLEEQYKGQRDLAGKASTLGKMIKNHGALGEFLFDKKLLNGEL</t>
  </si>
  <si>
    <t>GDPSEFAASYAIVDETCQGPVRELHQRVLNVPCYKQTVLLGDVVSEDEAGRYRPRMRTSQSNLLRGIGGQQTEERCSKLRSKVIEQSGKTCFSLHPQMTCSSKCKATSKMEKRVEFHCVPNSAATKHWVGMIKKGANPDFSQKPANEWIKINVPERCIPN</t>
  </si>
  <si>
    <t>NTTKNNINLSLENSGSIHQEIRAKLSPGLYNDNWAKFLKIKNHPLYKKKIVSNLTLFWGKKKKK</t>
  </si>
  <si>
    <t>SVDLSFILFPENMSDWETVTVLKKKPQKASALKTEQAVNRARREGVPVETQIKWGGGQNKQHVSTKNTAKLDRETEELKHETIPLSLGKLIQQGRQAKGWSQKEFATRCNEKPQVVNDYEAGRGIPKPSHYWKNGKSPWYKITWKGPRQTISAPREKVISPGADDVTTKSKSTIFTLFSLYIC</t>
  </si>
  <si>
    <t>DGGRCPGCGRVYQRKLLNHVARDHNMSLKPAHLSYKCTVCTATFGMYKQFENHVYSAHSVVAKRVMDKKPSSASQPSTSGTSQSDSLLKPLKINDEITIIPQPSARTKTKTQTVPSKSSKM</t>
  </si>
  <si>
    <t>RALSLGKLIQQGRQAKGWSQKEFATRCNEKPQVVNDYEAGRGIPNQAIIGKMERVLGIKLRGKDLGKPLVPPGKK</t>
  </si>
  <si>
    <t>PRPLKDAPNLLVTPHAALYSDASCTELREMAASEIRRAIVGRVPDCLRNCVNKEYFPTVVTYPGVGSTALPPTAQPPLTDGINGGYYGSGGGVVASALPVQQAHSTTAHDSVPHSAPQPPPPPPSQPASQQQIPHNIPLSSADPTNHHAPKVEPSEVH</t>
  </si>
  <si>
    <t>GGEQYFSFGDAEDEHVTALVLESGDLVIMSGKSRLAMHGVPRVMPPLQPYPWTDSTDQTLLDNEEWNSSFEEYISSARININVRQVLNAGQRTLSK</t>
  </si>
  <si>
    <t>RGYRDAIRKEFIFKNFVKAFDFMKDVAVEADKMDHHPEWFNVYNKVDITLASHDVNGLSKRDVKLANFIEEKAAIYKN</t>
  </si>
  <si>
    <t>EHAKSQEEKRKHIKSLIDRIPTDKTALFSYYLDWAAVDNQLMERRIRPWINKKIIEYIGEPEPTLVDFICSKVMAGSAPQGILDDVQMVLDEEAEVFVVKMWRLLIYEIEAKKLGLVK</t>
  </si>
  <si>
    <t>RQSEGKKNLDEIDNDLQSENAEKLLNQEVDNDKPGDAQFYCLHCARYFIDETALNDHFRTKVHKRRLKALELEPYSIEESERAAGHGSFVPAKKRKIETQQPLDSK</t>
  </si>
  <si>
    <t>GSPDGSKVSAGSGDRFVYIWDTTTRRIMYRLPGHNASINDVQFHPNEPIIASGSSDKSVYLGELEEF</t>
  </si>
  <si>
    <t>RVWQGARFSQDQDGKLTAKFQRLMGIKNSGEGSSSSVTQDKDLFKKQEELFSTMEMQYEVARATTHTQRGVGLGFSHRHVP</t>
  </si>
  <si>
    <t>RPGRRGKLKTNLTRLEEQLFEKNKAIRVLQQKLADMKKTLQRELKVTDNGSSTEIINNHNTIAGQSITNKTNGDNEVNFLYLKHVIMKFLTSREYEALHLTKAVATLLKLSAEEECLLKDTIDWKMSWFRSKPRLEDYTPR</t>
  </si>
  <si>
    <t>AGRTVGIYHYVKQIALLRAIGHIRFAYVKLDVLKITMHREDNTVKLRWRIRGISGLKVMFLFWKYKLWNMKEVMESQDTWYDGFSTFHVGNDGRIFKHVVDKVVPEKNNTVSATSQVGSGKLALLFALTMTPRSMSDLDADFFTTIRETIVNNHINLSSHWQDLFPIDRLF</t>
  </si>
  <si>
    <t>CDQEDASGELRSVNSFGKRRRRRSTGDGSSARDDLLLVQSIQITDKFGFNKRHNSSSSSYFKEPSTVFMSDSIQSNGYCLNLAGIIISTVVFLAVQMSIIVAWVLVWSRKRQHSKLYHDSSSSISVPARTDSLCKLYDTGYPRRF</t>
  </si>
  <si>
    <t>GSPADTSVSYDNFLEATGLSQKSIMTPSRMMTNHRNVVKPKDVKLRSKVKAAGVIERCIPPQVVGPTIKYWTEPFL</t>
  </si>
  <si>
    <t>AGARLQSHPGCEDNSDGVAVARAAALQTEQDTTWRQEPPKAMMQQQQQQQRPTALRRSKDQCKYCGSDAHLSRHCPSK</t>
  </si>
  <si>
    <t>GGGIGPLRPGRAELLLEDVAERLAGKEVGLLVEKEVEPPQSGVAVHHLRHQDVGQNLHPHKFY</t>
  </si>
  <si>
    <t>RNNNKYILVNPKNKILEHLKSTNPGQILLGIVLTLIIHNNDEIILDEIKSFFAALSVDTERDDSHFGNIKKLLHEFEQQLYLEKIIKPLPSQPSQIIYKWGLRSKQEVNKKDLIPIVGIMYSMAPEDLPPPLLRLYSDD</t>
  </si>
  <si>
    <t>RGAGYLIRLSKLFNINNMLITILLVSYLFLTIIAVSYIARTYEGPLRIKS</t>
  </si>
  <si>
    <t>GAGYLIRLSKLFNINNMLITILLVSYLFLTIIAVSYIARTYEGPLRIKS</t>
  </si>
  <si>
    <t>GGGRLPTRDVKLGWKKMYALNKKKNDDGEEEDEYEIIDCPQRVGRLKRLDIDVKFKDSGRRGGGRGGGRGGFNSRRTLPQHQEDNNNVREEKQQKPAPRVDDEQDFPSLG</t>
  </si>
  <si>
    <t>DDVELLKKSVRKTKNAKNKSKKKWEERENCKVQKIEEAQKKRETNLLSEKKKKK</t>
  </si>
  <si>
    <t>RGADRFYLGYPGIGLLKLSTLGFMFLGQLIDVVLIATQVVRPADGSYYVIPYYGPVINILTSDNETYREPQTDW</t>
  </si>
  <si>
    <t>FSLFVYLNYLINFIFNVIMIKLLFLLIKL</t>
  </si>
  <si>
    <t>LISLGPIPQHQFLSKMLIDVRLKKLLEACDNKEEKEHLISGYHMLMDKDKMGERFKIMSFFSGCSLRFF</t>
  </si>
  <si>
    <t>GRVGQGDSIVLCRSKASINISWRRCSYYFLGMTAQRKEVIILILSFSEIFTKVVITVKRFGKNSPVFLLFK</t>
  </si>
  <si>
    <t>PGQMGRLGTIMEQHNLGAEDMLELTWDNEAANLASTLARTCQFEHGHILDKNGKQFGQNIASKMSTVLSTARTTFDDWMKDMVKSWFDEVKLYTFGSGYSESTGHYTQMVWGNNNKLGCGYSYFKTHYEGTEYNAGYLVCNYKPGGNVKGQLKPYKEGQGSCTARNLETSNQYPHLCIRKKK</t>
  </si>
  <si>
    <t>GQEAANLASNLARTCQFKHDYINDKNGKQFGQNIASKMSTQSSNARDTFNLWMKDMVKGWFDEVKLYTFGSGYSKSTGHYTQMVWGNNNKLGCGYSYFKTHYKGREYNAGYLVCNYKPGGNVQGQSKPYKEGKGSCTASNLETSKQYPHLCIRKKK</t>
  </si>
  <si>
    <t>SQDGDVSIVQHPYETGNGTLYCQGKKQEDNSLIFDCKSGDESMDKTIYIAVATDYNNYALYYLCTSPTTGDLYENYLVARRQGGQKDIPQQLQSSTSSLNLKQCT</t>
  </si>
  <si>
    <t>AGGSQTLHCEAQAEAAKRLTFTCKVGDQVVDKTIFITVDTDYNDYSLYYLCIAPTGGTPHDTYLIARRKPDDNIPATLKELTSGKDFKKM</t>
  </si>
  <si>
    <t>GGNNNKLGCGYSYFKTHYQGREYNAGYLVCNYKPGGNVQGQSKPYNEGHGSCTSDNFRSSEKYPHLCKKKKK</t>
  </si>
  <si>
    <t>RRHSLIFDCKSGEESMDKTIYIAVDTDYTDYALYYLCTSPTTGDLYENYLVARRQDGQKDIPKQLQSSTSSLNLKQC</t>
  </si>
  <si>
    <t>TFPVEHPFGVRGRLTPQCEALSDAAKRLIFTCTNGNQVVGYILFLWMNTYYQGYALIYICSTPTGRSPMNTYLIARRKAGDNIPPQLESFTQGMEFKKC</t>
  </si>
  <si>
    <t>QWLQTTITTLYIIYVPLLQQVIYMRITWLQDEKKVKKIFHSNCKVGDQVVDKTIFITVDTDYNDYSLYYLCIAPTGGTPHDTYLIARRKAGDNIPPQRESFTQGMDFKKC</t>
  </si>
  <si>
    <t>GRGGRQDKTNKNFQEERTAVNTDYDTYAIVYRCAMDGTPDMKENIWVLHRDKDMKGSKISEERKKLLQEHNFLSREDTECKERENSDVHCSDK</t>
  </si>
  <si>
    <t>RERLTFTCKVGDQVVDKTIFITVDADYNDYSPYYLCIAPTGGTPHDTYLIVRRKPDDNIPATLKELTSGKDFKKCSDLTK</t>
  </si>
  <si>
    <t>RKALGVGHEEAANKLSFTCKVGNQVVAKSILITVATDHKDYALIYICSTPTGRSPMNTYLIARRKTGDNIPPQLESFTQGMEFKKC</t>
  </si>
  <si>
    <t>GQTIYIAVDTDYTDYALYYLCTSPTKGDLYENYLVARRKEGQKDIPQQLQSSTSSLNLKQCK</t>
  </si>
  <si>
    <t>RCDNLYIVTCPAPQDESGRTRILFFFAPLKMSYVPCCRISTLHWSFLASQYNTYARLYICASTDLLTENNVFLLLRRLNPNVEEVNKILNPYELTLDKFISRKDATCTNK</t>
  </si>
  <si>
    <t>REGGKFLLNFLNRICKNKH</t>
  </si>
  <si>
    <t>NLYFVFMYFCFYTPLNKVFITGGKKKKK</t>
  </si>
  <si>
    <t>SPKIRGIKKIIRNHYSRKFRKKKKKK</t>
  </si>
  <si>
    <t>CLNLKTSSRSYSAIYICVK</t>
  </si>
  <si>
    <t>AGMTKDIWLFKVMMSF</t>
  </si>
  <si>
    <t>PEELTNVLVRRHLQNSIIVQ</t>
  </si>
  <si>
    <t>YNMSCDITRKSVENVIFYLNLIIYNLKKNSL</t>
  </si>
  <si>
    <t>RIYIYIKICRLLVKIHALA</t>
  </si>
  <si>
    <t>FRFFVNILTKILTNKKKKKK</t>
  </si>
  <si>
    <t>PGAEEEDMLVCLRRYKL</t>
  </si>
  <si>
    <t>GHKEWSSKVLVRNRMNVQGQMLFKGMMSF</t>
  </si>
  <si>
    <t>SDDVILNKLGINIQKKKKK</t>
  </si>
  <si>
    <t>KKINYIYKSGCEKKKKKK</t>
  </si>
  <si>
    <t>GERKFSFHNRYDSVKEIIEEISATEESSKFFF</t>
  </si>
  <si>
    <t>SDDLILNKPRYKKEKKKKK</t>
  </si>
  <si>
    <t>MYLIVKDFFFCCFGNYITFLAKKKKKK</t>
  </si>
  <si>
    <t>GWMSKDIWLFKVMMSF</t>
  </si>
  <si>
    <t>KINKLGVKXLKKKKK</t>
  </si>
  <si>
    <t>MKALSYSQGTFRVDRTAPDSFFKKKKK</t>
  </si>
  <si>
    <t>EVKNSENLSALDDVEFQVCESGTAKKKKK</t>
  </si>
  <si>
    <t>GVGPSRTCAPYAVHSCIKKQKKVTIMLLYND</t>
  </si>
  <si>
    <t>SDYIILNKSTSEKKKKK</t>
  </si>
  <si>
    <t>HKLKKCIXFIDEIKITILXSEKKKKK</t>
  </si>
  <si>
    <t>LTSLIIFSKYVQKSFFCTVIIFLKYRI</t>
  </si>
  <si>
    <t>AGSSKMLVKNKNECLKTFGCLK</t>
  </si>
  <si>
    <t>LIYKHYTRLKIRSDFYKSLNLIRKLVQ</t>
  </si>
  <si>
    <t>GRAMVNTFIIDIKILLALFLLCNLTYQINIGLDKKKKKK</t>
  </si>
  <si>
    <t>NGHYFNFTLRSNFKRKKKKK</t>
  </si>
  <si>
    <t>GGWGIGPFTAGLKYLALILQNINFELQIK</t>
  </si>
  <si>
    <t>GRFKKKKKIKINNW</t>
  </si>
  <si>
    <t>SLLICNVTSSNGRTFHSFTMQNKSL</t>
  </si>
  <si>
    <t>GRDKRHNLIKLITCTKCDGTREATHLS</t>
  </si>
  <si>
    <t>GGWGIGITAGDPXDLKTCSELTRTLGSLK</t>
  </si>
  <si>
    <t>PGITHVTIRMYNTII</t>
  </si>
  <si>
    <t>ILMVFRSSVFVKAMLRGDGKFEEYIVQIRMDKVGRKGMQQVKSL</t>
  </si>
  <si>
    <t>KSQVLKNKNIFGQAFHYEIKRRKFFFVSMKCKKKKKK</t>
  </si>
  <si>
    <t>AGTEEFNFLNIFFVIRIINVLFYNTKKKKKK</t>
  </si>
  <si>
    <t>PGCSNGNCHLLIIHILIKNM</t>
  </si>
  <si>
    <t>TLKKMLQSKFYFLSLLLVRRNIIIVSNFFDNVFSH</t>
  </si>
  <si>
    <t>KKKNDVSVFIISVTNLMKSVALTQM</t>
  </si>
  <si>
    <t>TIKNKNNHIYFLQLSNKKKKK</t>
  </si>
  <si>
    <t>LTLSVDGSVVCSSVAREHCSKVGSALRRLRGGTIDVSEKQCKSP</t>
  </si>
  <si>
    <t>XGVKERIKKMYSFKYMDIKKKKK</t>
  </si>
  <si>
    <t>FVDLCVVTLYMFSLYTVDGVCYCICIGKIKKLNKCELNIEKKKKK</t>
  </si>
  <si>
    <t>GGKKVERREQLKKILICDLKSSSEETVNI</t>
  </si>
  <si>
    <t>GNEAGYRGNIADVTLSSDCCVLLGLREERPEGIVTFKKLLCPKKPQVKYIPIT</t>
  </si>
  <si>
    <t>KKKNEMNIKIREENTTQTCLYSKLFFNEK</t>
  </si>
  <si>
    <t>KTINIFCWSLSSFKLKNKNCS</t>
  </si>
  <si>
    <t>PGYQFLIFTESKSQSELCLTSFFFFQ</t>
  </si>
  <si>
    <t>TWLISLKTKKFRRKIKETFSKKKKK</t>
  </si>
  <si>
    <t>GGGEFRHYGRDLNVKSVKIQMFIAVINDNNKLILIKLSEVEKKKKK</t>
  </si>
  <si>
    <t>ENWKDSWVVRLIKRKERIKIKYCILFY</t>
  </si>
  <si>
    <t>FLFILINIKKKKKK</t>
  </si>
  <si>
    <t>AGVQELPLHHLCLLYFVYSCKINKL</t>
  </si>
  <si>
    <t>GYNETILGVLSLTIVCNIVSVSMK</t>
  </si>
  <si>
    <t>RADPLNLRTGSELTRTLSSLKRLYHFK</t>
  </si>
  <si>
    <t>KTRDIKIYFLYNKKKYYFKYIRKKKKKK</t>
  </si>
  <si>
    <t>ITLMEIVLLKCTFCNLIVY</t>
  </si>
  <si>
    <t>YKFALLSAMFPVNLQVNLYYNLLYRFITINET</t>
  </si>
  <si>
    <t>KVLNIIINFLLLSDTQKKKKK</t>
  </si>
  <si>
    <t>STYEFNNHLIKTIITNLYIPLIKMLVYHNKKKKKK</t>
  </si>
  <si>
    <t>VLFNKLTTNSFLAIKIMRFPKKKKKK</t>
  </si>
  <si>
    <t>ESAHYGRDKDILLFKVMMSF</t>
  </si>
  <si>
    <t>AGSWYFEHSFCFCNISCSLPEKCC</t>
  </si>
  <si>
    <t>KLTLRRKFILVLPPNFHFNILYCLYIKKKKKK</t>
  </si>
  <si>
    <t>GLVKDALKTNGFNIGNFTVMDTNNCQDKDCDVET</t>
  </si>
  <si>
    <t>RLRCRDIKIHFLNNENNIIILNKS</t>
  </si>
  <si>
    <t>GDRALRPGRIGEKTELSGCFADFTNQFSYGVLEIIIFYFFFF</t>
  </si>
  <si>
    <t>FIEYYISISLINLLFVAKKKKK</t>
  </si>
  <si>
    <t>GTIENGRRKIIINTLYQFNKLGLLKKKKKK</t>
  </si>
  <si>
    <t>TRDEKKKKKSNQLNIWPPPPPKKKKK</t>
  </si>
  <si>
    <t>XGKLRERKMAEEGKRKREAMRLRMSTASSE</t>
  </si>
  <si>
    <t>KLQVAIINYKYINNKSKK</t>
  </si>
  <si>
    <t>PGPDVKCYCDMAHKEFVIQRGTRALADNLVALIPCGIGERAHVQTCQSGKLMSMLALAMSSNCEVKDVG</t>
  </si>
  <si>
    <t>RGWRRLLLQPELCQNDCGLLRLTEMSHLGWASFTPTLAPLSILEPSKHYIE</t>
  </si>
  <si>
    <t>VCLLYKIMLSVGSCMDIFEPVMATPMHALGQSIIYSHLQNWKFRLWEIKCKKKKK</t>
  </si>
  <si>
    <t>NTEEAPKELKTKKELKKELKKQATTKVKKSKVFQKKNRLERLKQKKMSMKLKKESMKIKAKSKKGKRQKLKKKR</t>
  </si>
  <si>
    <t>RHTIADCLSKGINKGSIIVSVSKKTKNTLLGNPLVVEEDEVVFCDFFWGKE</t>
  </si>
  <si>
    <t>PGGLVRGRPICCILLFNYGRKSIILVLELVLSFNNDN</t>
  </si>
  <si>
    <t>DFKPVSSXFVKKKKSNLILREHQKDKFHPIHINSHTN</t>
  </si>
  <si>
    <t>SFASLIPKSSIPGYGSVPTALYYKTSSAATIMNPEHNSKNKLEKIEQNY</t>
  </si>
  <si>
    <t>KEPRTLNSYADESEKYPRIADFPEDYVLRQFCFVVNIFLLD</t>
  </si>
  <si>
    <t>KCEATFSPETSIGQRSFIYCKQIVIYFYKCTKINFHHYQFERIVVMKMEDHHFLFYDIHMKLSLILIKVVNGKLLLMYVLN</t>
  </si>
  <si>
    <t>LVLFKALKKKAIVSFLNICMVYVQYDKLACSKRRLASNVSKMYYQI</t>
  </si>
  <si>
    <t>SAFSSCCSSNSGEIIQFPKFLIIRNISSCKTKFLFVYHVIS</t>
  </si>
  <si>
    <t>GELSERGGAHSMRMPRVLSVFFFLLFLFICKRHRELK</t>
  </si>
  <si>
    <t>APTIRTTLFSLYCTSPTPGDLYEIYLLAGLIECHEDIPQLLYSSTSSLNFGLCF</t>
  </si>
  <si>
    <t>TKFCERLSPLITFASLCLQIHFRLLQRSYLQFFPIRSPNYVLNLIFALTQPPPCTTVFSAYIAPFKSIYKKK</t>
  </si>
  <si>
    <t>PIRMKTTRNEVYWSTAKLIKAVEYYIYLQTKNNNNNDKNKN</t>
  </si>
  <si>
    <t>NNNLKRTNCIFELTIIFYNKKIVTFFPFTFLKRKLFLYLFWVIF</t>
  </si>
  <si>
    <t>AGGRKKLSVQGQRDIDRIAGQIKQKKREKVLALAAQSGGAITGIIPPAADPTA</t>
  </si>
  <si>
    <t>AGEPWMQQPCDIHIKWDSQAVMLKNSTTSESNSGDRGHNINSAILQDNHPLGTL</t>
  </si>
  <si>
    <t>NINKCHCFIKTKSFYQYNLPKIVSFVLKVSVLKKKKK</t>
  </si>
  <si>
    <t>SNQNLNHNSRLTCSYSVIFIVLNQNYITQRLSHVQELGRSMLSVEELPVKMF</t>
  </si>
  <si>
    <t>LLLLITYGFRIISQVFQLPRTKIKNILIFPSIVTQTAVENPSNNPFYFCSMYSLSCDWVLI</t>
  </si>
  <si>
    <t>YDLSTNGNHRFKFSGTVSSTLGPKMKTNRLFWIFDVAQHFLWFYHKSDAISQTSLYAHS</t>
  </si>
  <si>
    <t>LRISLQYGQNINVMVGSAELEIIRDIFRDKPASLFGHRPVSGVRPSSGCFLKSTVITLTCTERISAKH</t>
  </si>
  <si>
    <t>LDSKPGTSALLVQCATTELILYFSSLKPNFENLTR</t>
  </si>
  <si>
    <t>AGEGLAKWLACWTPTRRSRVRIQQLPLDFLFLGASTAHCPVMGSVACS</t>
  </si>
  <si>
    <t>PGYGQRGVGSSGSRASGRDSQNYKRKRSNMRNSRGAGQSDEARGTENIPSLFDSLWSADPSLDDDRRGYNSSSWPSHYNY</t>
  </si>
  <si>
    <t>GGIGPFYGRVEEVAKIGSPSLIIKI</t>
  </si>
  <si>
    <t>RAYSIIKMLVPFLSVEDYKETWQKGAKGGEINRRCDPYWAADYAVPTATGPPRFLFPISYFFALFYFLSNLRV</t>
  </si>
  <si>
    <t>ECFYYCGRARFFLILRLTGSISVCLSPESKNKYFIYFLYSFSSI</t>
  </si>
  <si>
    <t>SHFSRDNEKCIGIYFLITKIKGLKCIFRIIKKK</t>
  </si>
  <si>
    <t>NSSLLFSENHENNYSVKRYIRFINFLDTRNSGNLFISN</t>
  </si>
  <si>
    <t>RGGKETLYDAFMAMWDISDVQADIKEHFGVVGYSISNINKQLRGQTVMQDPEESASLISPSTDHLHTTYNTVKT</t>
  </si>
  <si>
    <t>GRVCMQVIIEFCPTEDDVATYLSTPEMDNILITSIKLLVPYSFPQ</t>
  </si>
  <si>
    <t>GIANLLYYVYFDFVVIFEMLTIHFLLIKQLVLIRIYFLLIRFSLYGLLLGKHIIYSFFIFILFYFY</t>
  </si>
  <si>
    <t>LQSKRESRVNVYNRYLKGSYLVFRIDIFFLIFVHFLNGIRLKIRDKTTLVHEFFLVQTDYLTS</t>
  </si>
  <si>
    <t>LGVRKEVDQATGPPSDVWIGLTSRYSSLTPNLKNRQNFHKKELLISTKKKKKK</t>
  </si>
  <si>
    <t>KSRFSFLICKQCTYKLLNWRKAYLILKQINCSLHVCCKDDFQSCQSLMYINYYNELSYRIIPHKKKKKK</t>
  </si>
  <si>
    <t>EKKNTNCVNEDECVNINYLKKKICYSVKGHKIKIFLHCNRRYHNSKVIYVFCFNH</t>
  </si>
  <si>
    <t>EKKNTNCVNEDECVNINYLKKKKICYSVKGHKIKIFLHCNRRYHNSKVIYVFCFNH</t>
  </si>
  <si>
    <t>GLLFPQDTPKNQFSWRKNVSNKKVIYVHGYMNLLYMNLVTSQIRLLNFAPNFHIRAIICKRNTKLHSFLQFFVLVTFSSQIHNTLFFRRTKRTSKMYFRCIIQF</t>
  </si>
  <si>
    <t>VILLNVEVSLDKIKEIRVKNESLSLCLIFLASIIHSLQKKKKK</t>
  </si>
  <si>
    <t>PGTNHYVIKVTCQKLGMGKLTLSLKAVENCKDNTVLGMTFKFIVIRNIRI</t>
  </si>
  <si>
    <t>LQTHLFPPFAKSPKKSCHFPSFAPFLKPYNWKNPGFSLFSPLKKNPLFPLGGRRKKKIPPLNGEIFGGPPIFPPFGPPPLKGGEKKKKRGVFKKTREGEKPRVFTKNNPFEHPPLFPGGKKKKKEKXXXXXXGGGGASGGAHKKKKGGRTPXXIEGGRKKKKK</t>
  </si>
  <si>
    <t>LIYLYYLSTNINISTLEKHYTSQMQPKLLFNFSSYLYLSSSVVHIFFGVP</t>
  </si>
  <si>
    <t>ELTYLLKRFDRIKISKSNRGKFLNEAICSLNTFIDRIFFSFCSN</t>
  </si>
  <si>
    <t>KIIDKHPLLPNKIIIYFGKKNGLIKLIAHSLLSFEVKIYKKKTKIYIYRYIRNNKKQKNKSLFKMPIKYKNSLIEKKKKK</t>
  </si>
  <si>
    <t>XPGDLEIEYSDRLKASPLKEHKPVNTPKPSAPVEDDEEDDVDIDAI</t>
  </si>
  <si>
    <t>KIHKIFCVNNCVDYDILRSRVPGVCLISYSNVHHFEGV</t>
  </si>
  <si>
    <t>RVPSLSGIIVFIFYYTFSEYVCSFIFLKFYNMKGTFQSLAFLKKVLNAVSIRLTLFSI</t>
  </si>
  <si>
    <t>PGIHMPFSHRDCNIALVLIPDIFNTQLRGIEVLHTDQILKDM</t>
  </si>
  <si>
    <t>AGDVKSEGVVGSVPEIMESSNVIPPIKMEEPCTTDISDSDVIIITVPTPSSDEHICIEDAVEEVETLEVIRQDALLSPVSQTDSDYLSYYSPAASQTLSDSTSLHSPCSVENGLDFTESCSDIGYESLDSPPNENLKLLFPELV</t>
  </si>
  <si>
    <t>GRDENTVCRGRAVLLYCYLSTVPQNILFCFLSLISIFFVIMLLNQSLFLCIYCMCV</t>
  </si>
  <si>
    <t>IKLVTILKIVYNLMACTLVPCILRSTNIRISIVNHIGNNKKKKKK</t>
  </si>
  <si>
    <t>GPGKFGHYGRANKKLLHNPNMCSGFRSLRKKACGPNTQFIH</t>
  </si>
  <si>
    <t>DQLAKFIINKFLRYHNHEICLTSLIIIPQFFFLADSYFQLSIFKKIIQIVIINFTLIVSSHLHWHI</t>
  </si>
  <si>
    <t>THITFILNIFTKKFIFGTNTVNLSPKVTFHYNFKGFSTHKKLKYIKAFQKMQI</t>
  </si>
  <si>
    <t>YISCFYVLYIIVKSFFLSFFLYYNRDIPRNKNYLISFPIKT</t>
  </si>
  <si>
    <t>GILVIFIKKKIFYIYTYIFKTKKRHCIPFQCGSKCAYFLSLLLLLRDLESVGLSFVQDHVVCWFLYGYF</t>
  </si>
  <si>
    <t>MRIFKQLIKLTLAYIVSSISCAERISKYKM</t>
  </si>
  <si>
    <t>MILKQNWWIHLLYSIKFVVRFLGPVFYLGARNCSTVVNFFFFFFEGIYLFPEQTSKFSEQDKKTLKGGKKKKRDFFRGFPLNPFKRGPGKKILFF</t>
  </si>
  <si>
    <t>FSEFINVKMLSLFRFFTVFLFHYLDKKGQLITSLIVGGYHCDLRLFRNNTIFASFAVVNMLFYLQDKFTFLNI</t>
  </si>
  <si>
    <t>WSWVVISPSHNQAVFFFDLPAITQSTKFPAFVGVCMAFLQLSREHWEYFPFVANF</t>
  </si>
  <si>
    <t>TCCFANKFCNIYFDKSLHSDVIFKYFNHISSMIMKKYLLLSRNENSLVQIYLFIQVFPLSSFFVYIGVICKNKRFG</t>
  </si>
  <si>
    <t>GNKAIVAQLVSIFALKPCLYFIHSFYYLMYATSSCE</t>
  </si>
  <si>
    <t>TVLSNNCSLLLLILFIHLNILSVEFFHQFNFFFPTQNSIKLKLFQTY</t>
  </si>
  <si>
    <t>RVDRFSSKVLCLMRLYVSKRNIKFVPTMGFSFRPFATKTVFSYIEDPCISGENSIFTILVFFFRDNPERKKQ</t>
  </si>
  <si>
    <t>PGNFWTNLYRAREWWVSCSECAPSILQSRGIISKKHIYDIIIICLLK</t>
  </si>
  <si>
    <t>FSKSYLCKGITQQILEKGRLLLLFTFYLHKKKWLRFEK</t>
  </si>
  <si>
    <t>GDPVRYRSNISQLVYFFLILGTLKNHSCDFENLLWRRVLFLFLL</t>
  </si>
  <si>
    <t>DLWIIYLFIYLLFRLYVQVWILDIQPKDLSVLGSNLILKKKKK</t>
  </si>
  <si>
    <t>AIFLFYLNFWQINNIWIFLNCDARSIKGLFYLYHTQIRLFLSDHFFEISCKFIYD</t>
  </si>
  <si>
    <t>SKPPLDLIVNFPAKTSSYLHHSVCELVSKLKKNLWTLFQKNTKKKKK</t>
  </si>
  <si>
    <t>YSMYPPITNKNVDFTEEMFVFVIPFENFNQIINIKYKCYKKSCKQKKKKK</t>
  </si>
  <si>
    <t>LIYVYDRARPVVNLRANALYRSTFYYLQLRKNNITYIYVRILRLFVVISTDDFMNIKYLTVFSVF</t>
  </si>
  <si>
    <t>LQLRKNNITYIYVRILRLFVVISTDDFMNIKYLTVFSVF</t>
  </si>
  <si>
    <t>AEASRHVNEVIRFNILTVCGSLLSRGIITGKKLMKFKLYSGLFIFSSISILIICIKNDSKQQGARGFFLY</t>
  </si>
  <si>
    <t>IQQQTSFFQRNLILATYLLLDFQIDNFNYICFIILCIYNRTDLSKKKKKK</t>
  </si>
  <si>
    <t>AGQHIKASHQDLLASIAKEGKITGAVDGKLKEIVTSFIAGFQA</t>
  </si>
  <si>
    <t>LLEWQNINKSILVVFMSSIPKNTTGKILRKELKKSLLK</t>
  </si>
  <si>
    <t>GNVLLECIVHWQLRGATLRNSTSNRSLQNSAPSKFKTSLTISAFQLRLESTCLKRF</t>
  </si>
  <si>
    <t>NINYKNSLKKIKIKKIWIPKLPIWPKAFSMACFLVSLIFKTVIIFFKFSDKVFFKRAKKKKK</t>
  </si>
  <si>
    <t>ALLFIHTDHFLKITFLKLFRGPPKTCISGENSIFLTQLQYFIILRGERKSLEKTFFSTIRN</t>
  </si>
  <si>
    <t>YLXHLDLTDVADDLLDPNLDIDDYFD</t>
  </si>
  <si>
    <t>IIIIIIINSKNLFSYFFRDQRVAFRRFDAVPFLKSILK</t>
  </si>
  <si>
    <t>PFSWAYVINKVDRNYTCLPDNALFPNPLTNFYFPLLLVRGKYYNHVKFSISSFHRQYRSPESKKKKKK</t>
  </si>
  <si>
    <t>TVNSNKVNTVFYQGFLMMGERPKPVDDHKMKQTITEDISDDFQLYGPNHN</t>
  </si>
  <si>
    <t>KPTGLGPTSSGNPFLIIIIIIIRKLFCINDNKKQNHKLLKPNNPYYYENSPLSKCTVLPKKKKKK</t>
  </si>
  <si>
    <t>TCHSFGKLKHSFVYDWFIIIIIFALVLNVVREMSMAEMRTTVCRGRAVLLYCYLSTVPQNILFCFLSLISIFFVIMLLNQSLFLYKKKKKK</t>
  </si>
  <si>
    <t>IEFLKDGMSYHINFALIIIYLHVLIQIRECTLKILQSKSFRLKKL</t>
  </si>
  <si>
    <t>CLKASVIFLKGEKSQPHKPLTLKQYMQCSFFFFLTKPSFFLLSQLAFPAKSTVYEQKLSHDANYHLLAN</t>
  </si>
  <si>
    <t>NLLLLISPNKTLLYYYNNYLITALIAPFLFEFVKHCPMEHVNRSVLGIKYNCLLRKKKKKK</t>
  </si>
  <si>
    <t>IHYIITLIQLISVSHGKKFNKLG</t>
  </si>
  <si>
    <t>RGPKGQNVKDMMNQYEVYIDVPGANLQQEFIRIRGSPAAVEDAKRGIKKKKK</t>
  </si>
  <si>
    <t>GVYTLILLCLQVCVIITQTLFHQDILIMMQAITENISDAFQFCGPNHNHCWGGGMFTRFNDYKMNRIIIGRGQRKTLQL</t>
  </si>
  <si>
    <t>RWARLSVKAAEEILSVWKINRVGFLFLTELVPSSLLIQYSFLKFSVFLD</t>
  </si>
  <si>
    <t>RAGARRSAAPCRFVSLISRSTSHIPPLFMFWTSLPSARFIWWNMVTQRETMTSRSIW</t>
  </si>
  <si>
    <t>LDKFIFDTLNCDVLIGNTCRNYIYIVAVIFCVIYS</t>
  </si>
  <si>
    <t>GPGKSSILPAGGMGIGLIEMALMGPAMDTTEAASRQEAEMDSETVVFNLSRSIIKDLIRK</t>
  </si>
  <si>
    <t>GTTLFYPKPHWGPYSYPKEKQLQTGYIYIYICRSKVKPSLNQ</t>
  </si>
  <si>
    <t>KKKKGARLLKKGKKKKNPTPPSNLPNFWGKKKLVWIKKLKFNWGLGKTPHFFKNKNFFFKKEKKIPKNFPPPPCPKKNLKKNRGGPLSGGGKNLKKIFKKGGRGRFG</t>
  </si>
  <si>
    <t>KQSSSEIFCRNQYNLWLFLSIVSLPICKHSSLLIPAKKKKKKFFLVEKKKKNFFLKKPFWQRIFQKFFWGWAPKSGKSQKIFSRNIRFFFGEKFLPTSPPGIFFFFGFRPNLLEEGKPSNRGNNQKGFSKKKSQKFSQKLNFFLEILRAFILGKPLGHTSQKTTKNNFLPLFTPKKRVFRDYANFQI</t>
  </si>
  <si>
    <t>EQIGADTDICPLCSDGVMDAEHLEICTALDKTMTGNPWERRAQLYWSARRQMVELPRMGLDIYIYIKKKKK</t>
  </si>
  <si>
    <t>KKMYFKFNYFFINDFSHCKNFLKKSLGLNLGIMVDFVTVLEHCRVFNVHLFTIL</t>
  </si>
  <si>
    <t>LNIFNTVINVKYLVNGNCLPKYDFVKLIFNNLFSQNKNIKSKKKKKKK</t>
  </si>
  <si>
    <t>ESLTAHCPVIGSVVCNERTLSGGALRRCRSLG</t>
  </si>
  <si>
    <t>IKPSKAESGSVMKLMASGLRNLALVMAAHSQRMCTGVSYLTLQNRHNALSASSSWCMYLFSLQ</t>
  </si>
  <si>
    <t>TPDVALTLLPASPLNNKQDINDFIMNNTIYIFPNTVCILLCLYNDTNLIDS</t>
  </si>
  <si>
    <t>GREEIKNHGMIILTSSTSSSRQIWITKRWSHQLLNFREVRITLMEIVLLKCTFCNLIVY</t>
  </si>
  <si>
    <t>IICDKILNNDHDGMNPKALKLTQNMFICLKCKKKSRACKRQNFLCCYKIPTTTYITRK</t>
  </si>
  <si>
    <t>RAVTESIPDDFQLNGHNHNYFYYSSVFLKNISIINF</t>
  </si>
  <si>
    <t>GQKPSRRSIRTKRKVSAHSRHLDQKIILQSFTTFPHQPLTTNTTNDSGNRIHQNIPKHSRPAPLQKKKKLNGKLLASIISIIKGKQPVTTGKI</t>
  </si>
  <si>
    <t>LNENLGTGGTIKPKKNGIIRGLAGKAPKKIIKRGGKEKGKNGFKPKKKKTPWKIKNNLKRKGGFLALPQRPN</t>
  </si>
  <si>
    <t>RPGRSKLRSKWKKYNTYFDESTIRPPKEYIKKEPKLKLV</t>
  </si>
  <si>
    <t>QVPARVPDKVPGNGAPGNGEVGLSDSNIPFWTSSSLGARTEIFLSNDLDAASNFSDFFFSFPFPRFKKSSKC</t>
  </si>
  <si>
    <t>KKKKILKNRVFKNFLVFTNQGGGLGSSGPFFLKIFLGKQIFIFTLKMEKKNFLFFFLKIKKKFLKKRPFFWKKNFPGGWGLRTRRGKKKAAYFFKNPFFQTLLGPLGFFFFFWGEKKIFVFRKKKKKK</t>
  </si>
  <si>
    <t>HLMSCRCFYGWEPFKKFVNINKIYTLFTVQKKKKK</t>
  </si>
  <si>
    <t>YLLDFFFKNLLSLEMTLYYFWTVLLMDESTFFISFIEVIHFYLFIQIYSRICRNHQT</t>
  </si>
  <si>
    <t>LKVILFHFFKLIFSILKNVARNCVLTFIIIDVPNGTIYNCIEVVLKYLQRCKFLHLNKFVYVQKKKKKK</t>
  </si>
  <si>
    <t>RPPLPVLLGSDCCGATTHPHTPRQGDAECLCAEFACRPCGPTPLLCFEGYSFAFFSCFLLQWSFATHIPMGGVSSPSCLPLPSAHARCWLRGCASHGLPKRETRPRRPCVRGAAVMRATRQFCFCFLQAINTPTHSPLVLSDM</t>
  </si>
  <si>
    <t>FPLSTEFFGNKFSLPIKKFLKELKIKKKKNPKKKLKKKKPIWQF</t>
  </si>
  <si>
    <t>GFLRKTVTSFNHKSKFVQCYWRSLLDCKLITSTNTSLGCDTYH</t>
  </si>
  <si>
    <t>EFRRKFCRSKISFFKLLYTSYITILFYHLHLFYFLATLIKLLSSEKRNYSDRYLLNKYK</t>
  </si>
  <si>
    <t>NNSPDILQQAVISFLHRARLCVAAEGYHFEKNCVKMNLLNLNFFLYINFFFYINFSLSMAVLQIGTIFRPIFITYFLYKMT</t>
  </si>
  <si>
    <t>IIIYIYIIHKIKICVFVHEFLLYITVFVYMVYKNVNIQIFCTFCYTEN</t>
  </si>
  <si>
    <t>CTGGIQKRTQEEYISFKKIKILIKKNRQQKQNDLLVRTKNSIPRVYLKKIQSTREKLFWVFCKLI</t>
  </si>
  <si>
    <t>IYCVYLNIYLLFITLSYKMCLAIINYNCFLVDHDCYTLLIILLFNQIYNHKYWKSCLQTS</t>
  </si>
  <si>
    <t>PIYRSKWLQTYTSLITIYIKIFIKNKIELIKISTLTELTK</t>
  </si>
  <si>
    <t>IVITGSPISGLKKVGDVFIIKQDSAGQSLSFVLDSIFVCFSRTECPSRGSSENMWFCLFALKMLGMLGTM</t>
  </si>
  <si>
    <t>YMYISFFKEKIKIVQIKKKKKK</t>
  </si>
  <si>
    <t>KKNLPPLFSYIYIIFAKTTISKINFFNVLS</t>
  </si>
  <si>
    <t>VKPLPPKLGTWTLSPPKKKKNFLFGNTIHFEKPHHKKNFKRKLTNFFF</t>
  </si>
  <si>
    <t>IDITAASMGNCLKGSSADDISLLRGSESVGDNTSDHLGLPPPYRVRFLLLPL</t>
  </si>
  <si>
    <t>HGSLCAPFNCNLFFMLLLCTTFRTIQFNYFIILKI</t>
  </si>
  <si>
    <t>LNSNIKLVIKKKTLYYNLKLQTLVPYLFIFMFPVHIKLTTKVANFYNFVNLKLKSSLRLC</t>
  </si>
  <si>
    <t>ILFMVKILVVKYVVPPPSTTPDGSWTLSPPQKIGIIKKKKKK</t>
  </si>
  <si>
    <t>IKKKKKNQTYLKKFIFRLQILKFKKSKIGLCLIFTGKGVLTEKIYFLSRKKKKKK</t>
  </si>
  <si>
    <t>IWDYELSSIFYVIRVRLFKKAHFKVPSLAVQGKVQSWPTNGLLTSTKYWAPIRKLTFQVK</t>
  </si>
  <si>
    <t>STCNSNLKEIMLFSLLFCNTYLL</t>
  </si>
  <si>
    <t>PGLSRGIITGKKLMKFKLYSGLFIFSSISILIICIKNDSKQQGARGFFLY</t>
  </si>
  <si>
    <t>GHYGRVKAEAQAPKLLEGLDNRGCIVQESQEESIQNGAEQQNVKKRESQESGDLHEQLEESGDIQSDSAQKENNKQIIEIKKIMAIYQKRQKIQE</t>
  </si>
  <si>
    <t>TVGYNKLYLYSTVTIKCIYLIVILSNILHKTFNTIFICYFFVFQMHRIKLINYLHIVIQRCHLFHIIYSLLLFYMHFFR</t>
  </si>
  <si>
    <t>KVSIPDFIILHFVKIFLQIFSFFKLQNYIGQTYYSKILQRMQRSILKNGKSEGFFVCLFLNLKSKTKLKKKKK</t>
  </si>
  <si>
    <t>PGIMYIKKLIAQSTINNKYKIPSIFTMFLQTHYYVFIL</t>
  </si>
  <si>
    <t>NVFFNCSQLLIFNLEETYFRQT</t>
  </si>
  <si>
    <t>AGWTGELVGDDDEDEDLEDELDEEEMEDLEESPERNNVDDKKRKLAQANSTTNKNKGKKAKVDEK</t>
  </si>
  <si>
    <t>AGAEKKLILFFSYFNLPTSIFLLKNILFIGRENSLLFHTLRARFSFLN</t>
  </si>
  <si>
    <t>LTISIIGLAKSTSFMYTLNHSSKVCISNDGINHLFTNFFTTLFELKLSLRKEII</t>
  </si>
  <si>
    <t>SISKFYSFVYGCLEEYWIWKIEIKNFSEFKVRICNNTFIFYKWFLPSFKPKLHLTLRI</t>
  </si>
  <si>
    <t>NICIEDAVEEVETLEVIRQDALLSPVSQTDSDYLSYYSPAASQTLSDSISLHSPCSVENGTDFTESCSDIGYESLDSPPNENLKLLFPELM</t>
  </si>
  <si>
    <t>ILIITNEILNKNKNVPTYLINSFRHIINIY</t>
  </si>
  <si>
    <t>PIYRSTWLQTYTSLITIYIKIFIKNKIELIKISTLTELTK</t>
  </si>
  <si>
    <t>AGGEDLSIHNRHLSVSRGGMRLSYLVANLSINKVEVYGCFLQYFGSKWGFSNLKEFGLC</t>
  </si>
  <si>
    <t>RPGLYKQNKIRLFMKLGELSEKKVNRILKKIAFPYL</t>
  </si>
  <si>
    <t>GPRQPHVFFFFFFFLNFFPPKINSLAPKKNFFGEKTGEFFFQTLLFFSKKKKKNPFFFFSKFFFFKFKKIFFF</t>
  </si>
  <si>
    <t>NRCFVTFHKKKKKKEINLFFPPCPHPPFPPGGKEEKKENFAPFLQISPKRGSKKISGPLFLNPPGGKNLCFKKKFSPLPTIPFSPGGKKKKK</t>
  </si>
  <si>
    <t>LGHVFTCYLKKKSKKKKCKLGNVIFFYYRKRFIIFLVYFFIKNYFYFLLKYGMGCVNVSYPIYKVKI</t>
  </si>
  <si>
    <t>AGGCSNYYLALWTLTVTSFLILFCMFYVKSYKKKIN</t>
  </si>
  <si>
    <t>NGLQSLKKIVGTRFPENPEQLEKKNPWSPLFGLKNFPQKFSFLTKIFSVKKYPPPYTCPPPISLKKKTSGWKEILKNSTTILTYFSPLPKKKN</t>
  </si>
  <si>
    <t>PLRPPCENNVSNKKLKQYRYSHVEYEVRFFFCFSVRGSVSNEENENVCSWKKSSISEFLMNEFIIEKVNSANSLGMKLRV</t>
  </si>
  <si>
    <t>FNQKVLPFNNHVTIFKLYIFIIEKCSFSSISSLTHPKYPATIYYSLGCN</t>
  </si>
  <si>
    <t>ETLHNLSSRSSRGPDLRIPRPLLQLTMLNCKSDSAYIFICYMCECTSKIKRIK</t>
  </si>
  <si>
    <t>RLKLTMKMDVWEKRTTPPSTWNDPLPEWMEEKLKNSLLTMKANEINNETEKTFCVLM</t>
  </si>
  <si>
    <t>HPGMKRRCIPISGSEPFCGVSNQYFLYELRKEEEARRSQLWNSFPELRQAKIILGVYNRKRYEACISLGKSKLRILTGFLTGHCRLRGHLGKLGLEGDSTC</t>
  </si>
  <si>
    <t>NHKRSEACISLSKNKLPILTGHCRLRGHLRKLGLEDDGMCRFCGKGEETPIHLLTGCDAVIQRRFKNLSCYQEEEEHIPSLEPSRILRFLRDLDLVGVL</t>
  </si>
  <si>
    <t>GRLSXGLGNYDHKRSEACINLSKNKLRILTGFLMGHCRLREHLGKLGLKVTAHADSVGRGRKLQYTS</t>
  </si>
  <si>
    <t>ELLGVAGSEGDSTCRFCKEGEETPIHLLTDCSAVIHRRFRNLGCYQLDEGCIPYSPP</t>
  </si>
  <si>
    <t>STELISHQVTNGIGVPRQNQCPGRTIRVTLFWVPGHVGMERNETARTLKRKIAASPFLGSELFCGLSD</t>
  </si>
  <si>
    <t>NQYQKRGACYTQMESKESSPSHGDSFTRNTAIKGCIRDDRAQADQTELTGKQNLYTGKNGMGSKQLLTLQVIWGGWNFPCPYTNGHKDSKCQ</t>
  </si>
  <si>
    <t>LTGHCRLTGHVKKLGLEDVSMCRFCEEREETPINILASHLLSFRKDLDTWVTTRRRRVYILPGVLWDIKIPQRS</t>
  </si>
  <si>
    <t>RGGGAVVAMTTRASLKLFMDHVKSKFYQNFNGALDLVLFSSEPQQGGQLFNAV</t>
  </si>
  <si>
    <t>RMMTCAGSVERGRKLHLLTESDAVIQRRFKNQGCYQEEKEHIPSLEPSWTLRFPGF</t>
  </si>
  <si>
    <t>TKILKPSLCYIKHFNKINDTFVIIKKKKK</t>
  </si>
  <si>
    <t>QTNKTNGITWPYFSIIKIAPLIGKRINLLRKKKKKK</t>
  </si>
  <si>
    <t>NIISLFLIPSSIFPITLILNAFKGKNLKLIIFVNHFDKNAFFMIYFIILKILTLVTNKNNFFKHNIMFYRSIAQ</t>
  </si>
  <si>
    <t>INCIKQKKKCETPQTRFPPPPPNFLLAPPIFSHWPPSPLPWSISHCWGPFYNPWAGKNPGETRKNLV</t>
  </si>
  <si>
    <t>GGFGPLTAGEKSNKIFYIPSSFLGKWCLIIIKKRKK</t>
  </si>
  <si>
    <t>KQDVQHKGVFVIENVYIYLNYFIYIAAFAHNL</t>
  </si>
  <si>
    <t>CSFLLFYSKCISEFSLTLHIIQILACILRDNKKLLKDSIDKNWGTILCFREVRGA</t>
  </si>
  <si>
    <t>GGRXXSALRPGWCYFFRTALKCKIKKEHCKNKVSAFLICKKKKKK</t>
  </si>
  <si>
    <t>KNVSNRRVVLISAVSMKIVPFNRFSSNIASYQCFYSS</t>
  </si>
  <si>
    <t>FKENRWSHFRENSRKLKNSFQQKNALIFFKLRISTHLILINII</t>
  </si>
  <si>
    <t>GAHYGPGLILSTKLGWSDLTTYFTTLLKPLKKRKKSFFSKLSLPLKSTTQR</t>
  </si>
  <si>
    <t>CLLLFDFYVLFKNFIFFFIEQKIQLYSLFFSFFTFDWKFFF</t>
  </si>
  <si>
    <t>LVNNINFVIASRAPTTFFVEAYNNFIYSHTIYLEFDVLNSIKLLIQGSSCSDVSNKGQDANEQITNNYLRFYYLTELKEMKFNC</t>
  </si>
  <si>
    <t>SRMYNSSSRSSYIINQLSRKIVVKYKFDAFIAFFQKKKKK</t>
  </si>
  <si>
    <t>PGAKKMGATVELRDWNETSFDEKNIIFSSPAYMYDGQYHEIDDAIGNMVRYMLAMLRKGDLKPKEACPPRDCKH</t>
  </si>
  <si>
    <t>GGGIGHYXAGTIDTXYHVCLYXTTPAPLLSPPEAHPHHQLIFTPYAAAAAAAAANDFNNYAALAGTPLISDYPAADHQEMAEELQCAGLTVINFPEPALNWQNYGVSYTSVVN</t>
  </si>
  <si>
    <t>YSDVELNTLCGLHHRPDCPSKFQYLLCRVTHPLVRYATKNGPFGEQWSIRLEIPPGDLPSQKKLHAYTYHTFWNRPCNTGDNYQVTVQGFEVTC</t>
  </si>
  <si>
    <t>RVIREFSKDEVKMTLTIDDIVCTRIYKVIE</t>
  </si>
  <si>
    <t>IFLNTWIGEYSTTTITIIFVKSHMYMPDTADITDLCST</t>
  </si>
  <si>
    <t>PXGFTTNRMQSVKPVCMHTVETFEFYVTFDIILNFSKNGIFT</t>
  </si>
  <si>
    <t>AGSLKRKAGEEEPVAVAAFPKKAKTGGVAQGKVVEKTKQDAGKLKAEQKPKVETAKPEQPKSAEKAKPEQAKTPEQKTAPSKPAAAVPKK</t>
  </si>
  <si>
    <t>LVKYNSDSDKNNRYTVEVMNEKVFPLLNFFFFYLPLKYLLCRKIDYFRYRIFIKS</t>
  </si>
  <si>
    <t>GSTPRLSRAIYSVITESPECVIDGLKFMSLPHTSIG</t>
  </si>
  <si>
    <t>NKTKKKLFDPNVFFIIITTYYYYYFFYYLFIKADNTKNGSALVNKKKKTFIHMNKTYVFWGEKEIALFSKKKKK</t>
  </si>
  <si>
    <t>LDFHSLLAIYYKNNKNKTLLYYAEDILQEHIFYN</t>
  </si>
  <si>
    <t>LYGPMVWATFMFILSINTSPKKDTSEINVSLNNLSSITLRTFWKIIYNFFQKQL</t>
  </si>
  <si>
    <t>IIIVITGFFCNGFKIDGEHKDLWNSFYQLCASHLVNKEKIKQVF</t>
  </si>
  <si>
    <t>RSTTRKKGINKKKLFLLDPTFLVCGGEPLFEITSNRRRRSQFLCYC</t>
  </si>
  <si>
    <t>VYKFILLPFFGITFVFINVHYIVYRHK</t>
  </si>
  <si>
    <t>RNINIGIYYIYKYIIYAKNCTDKKSELSFKKLAFNYNILFWLISFC</t>
  </si>
  <si>
    <t>SIKSLNIPISEWEKRKRAFNLITQTHSNKSTKSTSKKELKKWSLISGKNFNTEMN</t>
  </si>
  <si>
    <t>EIFSVIYYFILWSWIGFGGFVHHQNALTKHSDSILTSFMKFHIRQKTSQNGLLFLPPSSEEHCIEVKTFSKVSQDKEPIAS</t>
  </si>
  <si>
    <t>CFLTRKLFPLFFAEVSFQRERHKQQIRILDRNNRMWSVPITYVFLSIFLITFTFHITFISMK</t>
  </si>
  <si>
    <t>SKWVKDFSFNNELVQSGGPDKLLCLLLIEQFYYFINYKFIVY</t>
  </si>
  <si>
    <t>LDLKNVVKLQHLFKVNKLVLSDDVILNKPPFKKRILETKKKKKKK</t>
  </si>
  <si>
    <t>RAPGANYQLFFYNETFKNEKKSVFNVRSVVKKNCVC</t>
  </si>
  <si>
    <t>INFKLTIILLIVFYGFNKCNLIPGKKKKKK</t>
  </si>
  <si>
    <t>WPSYNMQRTFGLLLVLSHRQTYTPTCSLFVCNPLTTNKQFPAKKKKK</t>
  </si>
  <si>
    <t>EKCFFVFIFLIKLCKKIFQNIFSLWFLFKTKKKKK</t>
  </si>
  <si>
    <t>TYHSVILTIQISLCYTNYSYGQAYHFIKLTIQQTDLSLY</t>
  </si>
  <si>
    <t>DEEGLQKEYTEAVNTGFFSYKDKPTKNMIQQNYFSQTTAKSRV</t>
  </si>
  <si>
    <t>FNNNYHYQSKTMTSFNTKSKTVCLVYIFFFFKSSKIKVIFKIKYKAQTKMRTT</t>
  </si>
  <si>
    <t>LMDLTSILRFDEHFIKLSWTSLYLLDSSWYCTI</t>
  </si>
  <si>
    <t>VIPLLCMNVIMIQLSLVKFKYIQTFIIQ</t>
  </si>
  <si>
    <t>SIVRFHPHNSEYALVQKDPAHGSNFYSFCITSMQKKKQRRQNSSAPGKSSHKEWSSKNVSENQK</t>
  </si>
  <si>
    <t>IENKNFYGNKSSKVYIYIPLFGYHIFILKILIYPKLHTLVSLILL</t>
  </si>
  <si>
    <t>IIDRNLPVYPYTYPAKNLRPSLQVERHPSCIRIKKIM</t>
  </si>
  <si>
    <t>SVLFKALKKKAIVSFLNICMVYVQYDKLACSKRRLASNVSKMYYQI</t>
  </si>
  <si>
    <t>INRTKRLFPPFNFLLLLLFFFFYYYFWNPQKKKKK</t>
  </si>
  <si>
    <t>GGIGPLRPGSTEWEKSENNIISSKIISGYSNLIFLFRHYYRIWQESFSQKPTTAV</t>
  </si>
  <si>
    <t>GXEGSAKWLACWTPTRRSRVQIQQLTLRFSLPRSLYSSLSGDGQCCL</t>
  </si>
  <si>
    <t>HLPRLNYFQVAKCHRGKQTFLFERGLISVYIYKRQKSNNVNSLLFGGEF</t>
  </si>
  <si>
    <t>GRGIAHYGRAEPYTSICTQMPIAKKPYLFPLKAQFPKAGAIAILSLTNYCKRK</t>
  </si>
  <si>
    <t>IFNMFRLNCKGLYRGHHSLYFIISFHQIYYNEMSHIVIGHLPSCGCCHFVCTKLIKGLL</t>
  </si>
  <si>
    <t>PGDCKGLYRGHHSLYFIISFHQIYYNEMSHIVIGHLPSCGCCHFVCTKLIKGLL</t>
  </si>
  <si>
    <t>VADMFFFFFFFFFPPPKEKKKNFFFFLNFPPLKKKEKNFPFFFSFFFKKKGGEIFFFLKNPQKNPPFPPPKKKKK</t>
  </si>
  <si>
    <t>PGGTGDKIPSIIYLRSGIERLIRDWGRNSQCRFDFSFGGKYNYRKQLEIKNEEWLLTATDSQPLG</t>
  </si>
  <si>
    <t>FFKNYISFKLGPILRRWKAKAQILCLNYLSVDGGIVIVVMNLVYQN</t>
  </si>
  <si>
    <t>TKTPFSLGGGKKKKTLWANSPKRGPKKISGAPFLKPGGGKNPGFPQFNPFGKTPLFPGGEKKKKKXXXXPPRSEHREGGEKKEKGVFGGKFLGRKKKKK</t>
  </si>
  <si>
    <t>TLTGGPNLDSCGEIPLKGSKIKLRGPIFQTPGGGKPGVSPILAPLKKPPFPPGGKRKKKNPGFTPFYPLGAHPPFPRGG</t>
  </si>
  <si>
    <t>LSLNFVYILNILLALLLFEIILQIFQYIFYFQYIFPMFWRMNNNISPLSLQCHFNAHFHDPYDIWS</t>
  </si>
  <si>
    <t>GGGGIRHYGRGLLLGPSSSHSYPSHIFLHIIYPLPAPPAIQLLTFLRSFFSHMSALHQVFIVVQLPQSGICKDP</t>
  </si>
  <si>
    <t>QLYSEAIVSRDRSKVSPASSSHSLLIHPTMP</t>
  </si>
  <si>
    <t>RGLLPATVSFSSRFMFIITFLKKTLPFPRSLINDSCSLTHPNRQNQYQ</t>
  </si>
  <si>
    <t>XSASLHXLSKRINNLHINNSILPLSKNQLPNDGQKVEIHRELIESNEKMTELDYEGTRNLGSGCVSQPWIGTYNPDLTPAENPYYYETNRLLFELYLERSQRNGTAPQPHF</t>
  </si>
  <si>
    <t>GAWASLRVCQSNNSNNTYTDTPKHSHTTHRACISWGGEIKAYWLRSHAFGQPLLNNKRSFQNIYF</t>
  </si>
  <si>
    <t>NDIRGLDCVTSIALSAAALNRKVGLIGRDLLNGSVLLFLCGGPGFEPRTWCS</t>
  </si>
  <si>
    <t>LGRVPLSPSLQQSVLQRIKTIAPPGRHARMTIIMQQLSYLSHLTGFFFDTTRHKHSKKKK</t>
  </si>
  <si>
    <t>GLXNRHYGRDLGRHDFLDEAELELYPTKKMKLGKQQFMIVSRLKMLEYMGIIGRFSCIRRYRKIYNYL</t>
  </si>
  <si>
    <t>LKFSAVFFFSIFVFNFCVNVHFITETKRILRAMFMYTAIGVNNFVYLCIFVNVF</t>
  </si>
  <si>
    <t>IIEFYFAPNLIRGYRSVYNENVLITYLKICVSGHNLNKYIHIFFLFGTILKYKNELFFVIPRCFTYYINIIVITICRFLQFYHINMITEHFIACKYRLKK</t>
  </si>
  <si>
    <t>SALKNLNQQINQLHTKFKINSTDSELLSKNNFLGENVSNKSDYVPRNFKKLKNLFCKIALMIRQIFFKFEILSSFLTCII</t>
  </si>
  <si>
    <t>RKSLPSLSLTSLVGVTYHQQYNRNISLKGINGSDIFSILFVIFARISPLVKFNKDLDKKKNLCFGFEKDKIKSILSFLLKTPVFKSSVPEKVVKFGVCLGM</t>
  </si>
  <si>
    <t>GWGIGHXTAGIISIILYTYMIIYVYNNRCNNNTNNTQTLALQLWVEIREGIS</t>
  </si>
  <si>
    <t>SGTYNQKVCFILSNTLYLYFYLIGLK</t>
  </si>
  <si>
    <t>VNKRNNKKNQLFYFWTGVQSQNIAINFNVIDESFK</t>
  </si>
  <si>
    <t>YQFFPPLTSKIYPPRTRPKRRGTSRYLGGNHPGFCENIKPKPFQIGLCTNHKTGFKIFFFFVNFYILENPPPPQYPKPVGPFKKTGDPPPYRGVGPKKNFFQKKKFPPPQKILKPPPKTPYPGIEKKFGKKPNSPGEFFPK</t>
  </si>
  <si>
    <t>TYELNEEDRKFSSTSMNEEDITKRCKIHVNSTTSVDSSNDKISKGVQKNGMQNKSEKTINTAGV</t>
  </si>
  <si>
    <t>RPGDRDSDVNMEVCLLYKDDDNDSEVDRWSKTGLLTTECVFLTLLEFCPYEQIVSEFVQSFDTGLSRFICGTHPTRTCEDWLNYRRCNV</t>
  </si>
  <si>
    <t>RKNTKTLFNNTLHIMTIAYYLYWLTELCNMKLIIHQVPY</t>
  </si>
  <si>
    <t>VISYACAPQRRSPPSHLHISHTCTDVLLRILSRMSKNEQETLSLLT</t>
  </si>
  <si>
    <t>ILRGVLRHRDKSQCTFLGFPQTILQNLETYHTTPIQRCIFKYIYIFFVGFLRLGAFHSPSSCLWASWARSFD</t>
  </si>
  <si>
    <t>IIKRKTENARTRNLKEGRSNIGGKARISSGKLSFIETLKCYTASFVQLPN</t>
  </si>
  <si>
    <t>FFRNVVRKCPSLGLSIHDVRILEDIKMTNNFSFKIQL</t>
  </si>
  <si>
    <t>TERILYIFFLIDYDRGKTNYFLNSNFVFLLRQKDFCM</t>
  </si>
  <si>
    <t>DNSKKEVPAQANSLADPLDLDTCELTIRLLLTVMMPI</t>
  </si>
  <si>
    <t>CTLWLQKIYLRRFFAFILMTNKYIFSYHKKGKNRGFPCFPPLPKTPFFPGGKRGEKKFRPFWPIPPKRGPKKISGALF</t>
  </si>
  <si>
    <t>RGHRNCLCLFCYCRNCLPPYCDLVLFTKCKQAKAYLSIDCNSLHGKRDVGDFYLARVVCCSIPLYMWCN</t>
  </si>
  <si>
    <t>NNFAKPRMAIRQIHFQGGSYLSNTSTKMKHIKIYITTIKSAFLKKNATLTLFHLHKFSQLKSLQR</t>
  </si>
  <si>
    <t>SNFEKPRMAIRQIHFQEAWYLSNTSTKMKHIKIYITTIKSAFLKKNATLTLFHLHKFSQLKSLQR</t>
  </si>
  <si>
    <t>LLFRQTERQKDIPQQLQSSTSTLNLKQCK</t>
  </si>
  <si>
    <t>PGPVLVERFVLSPLGELPRPVVVRLIKRKERINIKYCILFY</t>
  </si>
  <si>
    <t>RPKLKIKPPLMSKRIYNEVICEAAYLPGSPKPTFNFIYDFSSPFQSKFTIMVTYYFDYSVFYECAPFTSCSNAGSSSDQYMILKLVTVLKNFLLCRVLRLTLLIPANM</t>
  </si>
  <si>
    <t>VSLPVELFFMKSLFSDFLVALNEISSLNILRFYVVVICCSTHRPIAKNTFFGIQRTLKRIFPVKTRYLKFDTITVLIVTKFKRK</t>
  </si>
  <si>
    <t>GTPTKAAEEKKEVKRKSLISQMTIWVSVYLTNFQKFKIFFTSCCKLDYFICKIKFYKG</t>
  </si>
  <si>
    <t>PGAPGGASALSALGMLQPKTEFLEESGNVEDLTLEEEEEYGPNPGTSQGSFSSQDFNNWQLGDPTSDEVFMASQHDLNNSAGNSQGKHSESTLTRVMYTGISPFDLEGVSKNGFGTGMVCLSPPKFHW</t>
  </si>
  <si>
    <t>QFLRRQTAERMRKQNMVLGALYSKIHNILQAFTFAKFNFITSYY</t>
  </si>
  <si>
    <t>KQNFWCTKIIKNILLPHCRISGCNGQENKKLCFSTITICILNIMGKMLNAHCMT</t>
  </si>
  <si>
    <t>PGVPGGVLYSGEQLTRCDLLRLSPSWGDS</t>
  </si>
  <si>
    <t>GRRGYVRWVNEHVRHLLYAFACGRYEADSGQLGSKVFFCSKAMLAYHLGGDFFCVINHIKDTGTRDTIHDFERCFSVSGAKALVSFGGQPNAVRVLRLLLGHVSFHAGSLTCRRYLDFFFFYPTEPRGAVLFAVVPMLRRQPDMLLLLNNL</t>
  </si>
  <si>
    <t>AGERRERFMQKEGGLLHRIAVASRGIRESGASLYPSS</t>
  </si>
  <si>
    <t>FLFTYCLSCQVYAFVCCVFSFIKSCNVYVIFEKYIYFLEVL</t>
  </si>
  <si>
    <t>PGESGHYGRAAQIVVSARLIHLHNCQRNYEWFSLCVCVRVCVCARTRFSCFFFWFQSKFVKKKKKK</t>
  </si>
  <si>
    <t>MSAGSIKLTSLARFVFVFSFLFSFVSSHCFHAGALRQGVRLRVCVYIFFVFVFFFFFRAKKGELLSAGGFKTPFWAGPKNGRQFGKKGNGEKKKGKNKNYRPLFFLKEKFFPGLKKKKKK</t>
  </si>
  <si>
    <t>CCLRRPVPVPLEIPLTTRELIEVALCFTGFSFYPRSYPDYCPRGPFCPSHLLPTMPAESPAFALFPAATPTLCQSRPFASIPLSALWQEVLLVLLLQ</t>
  </si>
  <si>
    <t>GRAWERIRFSALKMQRRSKAILLFLFIYSAPMGVTFLQKKKKK</t>
  </si>
  <si>
    <t>LQLIDFNTIHSLTEAHPQNTHPHSTNSCKHLGCSV</t>
  </si>
  <si>
    <t>YEMIRVREREIRWCRLMDAALVVILIIMILLKVAFYKRTNSSLSLPFPSSLPPYKRWGIDKEVGD</t>
  </si>
  <si>
    <t>IIIIIIIMLFSQPPPPIESTLISHLTFCSKEPLIECQLRTLTA</t>
  </si>
  <si>
    <t>NSYFYYFYDTIIAFSSKLIILYIILYCKCCYSNWFIIVE</t>
  </si>
  <si>
    <t>CSRMSQGVELHKIKVLETRITVWFQSGNPTIMIGGFGLITHTF</t>
  </si>
  <si>
    <t>QKHMHCKGLTTASLCWFCQEEEEKVLHELCQCGGFMWLRFFLFGEGKRFQVLPFSLTLFLSLSPDD</t>
  </si>
  <si>
    <t>AGREYRKSERGASCTHTKSVGLLFLFCRVMALFFFLLCDGFAITFFVYPSLRCCRSDPDWAVMYG</t>
  </si>
  <si>
    <t>VLELIGVKQSLEFLLLLLPDLTGTFSSNIIFTESMFVFNFISVGESKKKKKK</t>
  </si>
  <si>
    <t>GAGEXAXTAGLTGSNILLNGFFFCAIFSKQFQRFSLNALTLTNIQKSYYLYNFSRKTQFKTVLAWRGR</t>
  </si>
  <si>
    <t>VSATSSPLSGKHLLFPVFTTTTRRSATSGEHAYKFQSFHLENTLQPHHKTEASTEKTAQEPTFLVENSDILNLETPRHT</t>
  </si>
  <si>
    <t>EVMPCIRGKSILYDVVTWRTPLISPIRDVATGKMIPHSRMW</t>
  </si>
  <si>
    <t>GVWGYGAFFIVCVRSPINSPVFSPFPPHFLVFSYSRPTRKCFFFRVSSVHSLRALAGGATCILQGVPDGGCSIICFIFFFIFFLKNKTTF</t>
  </si>
  <si>
    <t>GSILAKWLACWTPTRRSRVRIQQLTLRFSLPRSLYSSLSDDEQCCLYLENITFGEHPEAGCALKGLREAQQIFQVAVQIPRKKKKK</t>
  </si>
  <si>
    <t>LTFLCRRRVSDGHAKVSIVATDIFTGNKMEDQAPSTHKVEVPFVNTNTYSVLDIEEDREDPSKPAHLSLMDDEGETRDNLDMPPNAELAAQIKEQFET</t>
  </si>
  <si>
    <t>FGFYGRGALTYDLTAKTITPMGGFVGYGTVRNDYVMLKGSVAGPRRRVITLRRSMAPQTSRKLTEKITLKFIDTSSKIGHGRFQTKKEKSQWYGPCKKDRIRREERVRKERAARAAERKAKGGAAAAAVAPKKTKK</t>
  </si>
  <si>
    <t>GGRESALRPGRGYSFAAAPVRDGLKLPWMDVEFTPAAVEDAVLLPPNLRGRLHPLVAYVQPGEVLYLPAMWLHRVAQHADVVDRRARENHPARGEEAAQNPPLPLIAAVNYWYEMNFTNPAVVMLREFGLLL</t>
  </si>
  <si>
    <t>GEQDVHRARIWEQQRVQSALRRAELNAQRQRLLEAERRGESSAVEAVGAIARELRAKAMSALQLHAETVAAQAPQTYLPFLREPDGAPRALGVSATSATASVPRAVINVDMGGGRVDRLVLRDGDDVDEAAAAFVRRHGLPHHAVDLLAAQALEALGERGC</t>
  </si>
  <si>
    <t>GEDVMAELLLHARNEKVELRGPLRLPTRKLRITTRKTPCGNGTNTWDTYELKIYKRLVELRAPTEMVKKITSFPIDAGVDVAITIPHDQ</t>
  </si>
  <si>
    <t>RGDCNRQTEEVGNAVECKQDELLRNGLEELYRNSDTYVQLPSVGSLATTAAVASTALHTFGDMTEEQLQQLEEYLWDPSQENGAAEDDERVFVNDDDGMDVAEEEWLLNQMLEAAGVTQNEEVHDKKTGKP</t>
  </si>
  <si>
    <t>LSQRVVRSQLMFLSLKDIMCIADALFEWANISSTNRNATSLETTSRLMKRLLVADIQLREELRELSELQREQFMRRLSNVFRCLNMLDATVTQALSSVC</t>
  </si>
  <si>
    <t>GAGNSALRPGRTVLQAQSVLVIATGVKKAVAVAHFVEGHVSHSHPITALQWHRSAILCLDRDATMELKVKTVNYFEGLLKREDELRRRQERAVLTLAKM</t>
  </si>
  <si>
    <t>AGVMPQVNVTSSMWRQALTCPQEPLCIFVVPNDIFCAVLQQRRPTTSTVRCPVGVSVLPPSSAAARPPEKRRTSLSRDSTRASKWRCT</t>
  </si>
  <si>
    <t>TIVLDATRRGWSVPLPCLPFPGARTTRRRAAGAPSATARLQILWPRRRTWMPWSASARMKTRRWIPASKNYVAKFRLPGVRRWRRNAACAKRCLPQSKGINNKKKYIYLYICFG</t>
  </si>
  <si>
    <t>Putative secreted peptide</t>
  </si>
  <si>
    <t>s/lip</t>
  </si>
  <si>
    <t>s/trial</t>
  </si>
  <si>
    <t>s/cral</t>
  </si>
  <si>
    <t>s/hemo</t>
  </si>
  <si>
    <t>s/tm</t>
  </si>
  <si>
    <t>s/apyrase</t>
  </si>
  <si>
    <t>Number of Contigs</t>
  </si>
  <si>
    <t>Number of ESTs</t>
  </si>
  <si>
    <t>EST's / Contig</t>
  </si>
  <si>
    <t>Secreted</t>
  </si>
  <si>
    <t>Protein export machinery</t>
  </si>
  <si>
    <t>Oxidant metabolism/detoxification</t>
  </si>
  <si>
    <t>Metabolism, carbohydrate</t>
  </si>
  <si>
    <t>Unknown</t>
  </si>
  <si>
    <t>Unknown, conserved</t>
  </si>
  <si>
    <t>Secreted, lipocalins</t>
  </si>
  <si>
    <t>Storage</t>
  </si>
  <si>
    <t>Signal transduction, apoptosis</t>
  </si>
  <si>
    <t>Total</t>
  </si>
  <si>
    <t>Singletons</t>
  </si>
  <si>
    <t>bac</t>
  </si>
  <si>
    <t>Bacterial</t>
  </si>
  <si>
    <t>Housekeeping</t>
  </si>
  <si>
    <t>Lipocalins</t>
  </si>
  <si>
    <t>Antigen 5</t>
  </si>
  <si>
    <t>Apyrase</t>
  </si>
  <si>
    <t>Cral-Trio family</t>
  </si>
  <si>
    <t>Lipocalins of the triabin family</t>
  </si>
  <si>
    <t>Putative housekeeping proteins</t>
  </si>
  <si>
    <t>Trialysin family</t>
  </si>
  <si>
    <t>Triatomine hemolysin family</t>
  </si>
  <si>
    <t>Similar to T. matogrossensis product</t>
  </si>
  <si>
    <t>SCP</t>
  </si>
  <si>
    <t>% Contigs</t>
  </si>
  <si>
    <t>% ESTs</t>
  </si>
  <si>
    <t>Similar to T. matogrossensis proteins</t>
  </si>
  <si>
    <t>Other lipocalins</t>
  </si>
  <si>
    <t>Total families</t>
  </si>
  <si>
    <t>Total reads</t>
  </si>
  <si>
    <t>% reads</t>
  </si>
  <si>
    <t>Putative secreted</t>
  </si>
  <si>
    <t>Enzymes</t>
  </si>
  <si>
    <t>Mystery family</t>
  </si>
  <si>
    <t xml:space="preserve">    Apyrase</t>
  </si>
  <si>
    <t>similar to culicoides</t>
  </si>
  <si>
    <t xml:space="preserve">    Inositol phosphatase</t>
  </si>
  <si>
    <t xml:space="preserve">    Ribonuclease</t>
  </si>
  <si>
    <t>Kazal type</t>
  </si>
  <si>
    <t xml:space="preserve">    Trypsin</t>
  </si>
  <si>
    <t>Heme binding protein</t>
  </si>
  <si>
    <t>Kazal domain containing peptides</t>
  </si>
  <si>
    <t>Antigen 5 protein family</t>
  </si>
  <si>
    <t>Odorant binding protein family</t>
  </si>
  <si>
    <t>Serpin</t>
  </si>
  <si>
    <t>Similar to Culicoides salivary protein</t>
  </si>
  <si>
    <t>Defensin and other conserved secreted peptides</t>
  </si>
  <si>
    <t>Conserved secreted peptides</t>
  </si>
  <si>
    <t>Coding for proteins found only in triatomines</t>
  </si>
  <si>
    <t>Trialysin</t>
  </si>
  <si>
    <t>Peptide with signal peptide similar to trialysin signal peptide</t>
  </si>
  <si>
    <t>Hemolysin domain containing protein family</t>
  </si>
  <si>
    <t>Triatox</t>
  </si>
  <si>
    <t>Thrombospondin-like</t>
  </si>
  <si>
    <t>Other peptides</t>
  </si>
  <si>
    <t>T. matogrossensis</t>
  </si>
  <si>
    <t>Dipetalogaster maxima</t>
  </si>
  <si>
    <t xml:space="preserve">    Lipocalins</t>
  </si>
  <si>
    <t xml:space="preserve">    Kazal family</t>
  </si>
  <si>
    <t>Odorant binding family</t>
  </si>
  <si>
    <t>Apyrase/5'nucleotidase family</t>
  </si>
  <si>
    <t xml:space="preserve">    Triatominie hemolysin family</t>
  </si>
  <si>
    <t>Mys family</t>
  </si>
  <si>
    <t>Antigen 5 family</t>
  </si>
  <si>
    <t xml:space="preserve">    Trialysin family</t>
  </si>
  <si>
    <t>Mucin</t>
  </si>
  <si>
    <t>Immunity related products</t>
  </si>
  <si>
    <t xml:space="preserve">    Cuticle protein</t>
  </si>
  <si>
    <t>Lectins</t>
  </si>
  <si>
    <t>Hemolysin family</t>
  </si>
  <si>
    <t xml:space="preserve">    Antigen 5 family</t>
  </si>
  <si>
    <t>Possible antimicrobial</t>
  </si>
  <si>
    <t>Other putative secreted polypeptides</t>
  </si>
  <si>
    <t xml:space="preserve">    Similar to accessory gland protein</t>
  </si>
  <si>
    <t>GE rich family</t>
  </si>
  <si>
    <t xml:space="preserve">    Mys family of triatomines</t>
  </si>
  <si>
    <t>Inositol phosphatase</t>
  </si>
  <si>
    <t xml:space="preserve">    Mucins</t>
  </si>
  <si>
    <t>Polysysine protein</t>
  </si>
  <si>
    <t xml:space="preserve">    Serine protease</t>
  </si>
  <si>
    <t xml:space="preserve">    Phosphodiesterase</t>
  </si>
  <si>
    <t xml:space="preserve">    Metalloprotease</t>
  </si>
  <si>
    <t xml:space="preserve">    Inositol phosphate phosphatase</t>
  </si>
  <si>
    <t xml:space="preserve">    Fucosidase</t>
  </si>
  <si>
    <t xml:space="preserve">    Acetylcholinesterase</t>
  </si>
  <si>
    <t xml:space="preserve">    Other peptide families</t>
  </si>
  <si>
    <t xml:space="preserve">    Unknown conserved and secreted</t>
  </si>
  <si>
    <t>Protein family</t>
  </si>
  <si>
    <t>R. prolixus (782)</t>
  </si>
  <si>
    <t>D. maxima (1380)</t>
  </si>
  <si>
    <t>T. infestans (645)</t>
  </si>
  <si>
    <t>T. brasiliensis (1168)</t>
  </si>
  <si>
    <t>T. matogrossensis (1182)</t>
  </si>
  <si>
    <t>T. rubida (932)</t>
  </si>
  <si>
    <t>90.53 (708)</t>
  </si>
  <si>
    <t>93.5 (1290)</t>
  </si>
  <si>
    <t>55 (355)</t>
  </si>
  <si>
    <t>93.8  (1096)</t>
  </si>
  <si>
    <t>76.14 (900)</t>
  </si>
  <si>
    <t>90.1 (848)</t>
  </si>
  <si>
    <t>1 (8)</t>
  </si>
  <si>
    <t>4.8 (67)</t>
  </si>
  <si>
    <t>2 (13)</t>
  </si>
  <si>
    <t>0.08 (1)</t>
  </si>
  <si>
    <t>0.59 (7)</t>
  </si>
  <si>
    <t>7.8 (73)</t>
  </si>
  <si>
    <t>Kazal</t>
  </si>
  <si>
    <t>2.63 (17)</t>
  </si>
  <si>
    <t>2.22 (26)</t>
  </si>
  <si>
    <t>1.3 (16)</t>
  </si>
  <si>
    <t>Hemolysin / Mys family</t>
  </si>
  <si>
    <t>5.7 (45)</t>
  </si>
  <si>
    <t>0.07 (1)</t>
  </si>
  <si>
    <t>4.9 (32)</t>
  </si>
  <si>
    <t>2 (24)</t>
  </si>
  <si>
    <t>0.1 (1)</t>
  </si>
  <si>
    <t>11.5 (74)</t>
  </si>
  <si>
    <t>4.7 (56)</t>
  </si>
  <si>
    <t>.2 (2)</t>
  </si>
  <si>
    <t>0.34 (5)</t>
  </si>
  <si>
    <t>1.7 (11)</t>
  </si>
  <si>
    <t>0.34 (4)</t>
  </si>
  <si>
    <t>2.87 (34)</t>
  </si>
  <si>
    <t>5'nucleotidase/apyrase</t>
  </si>
  <si>
    <t>.6 (9)</t>
  </si>
  <si>
    <t>.93 (6)</t>
  </si>
  <si>
    <t>.08 (1)</t>
  </si>
  <si>
    <t>2.7 (32)</t>
  </si>
  <si>
    <t>.1 (1)</t>
  </si>
  <si>
    <t>Trypsin</t>
  </si>
  <si>
    <t>.3  (2)</t>
  </si>
  <si>
    <t>2.5 (29)</t>
  </si>
  <si>
    <t>sum</t>
  </si>
  <si>
    <t>Sum</t>
  </si>
  <si>
    <t>Expected</t>
  </si>
  <si>
    <t>X2</t>
  </si>
  <si>
    <t>Sum of X2</t>
  </si>
  <si>
    <t>P</t>
  </si>
  <si>
    <t>Comparisons among sialotranscriptome major classes of secreted products</t>
  </si>
  <si>
    <t>Best match to mitochondrial database</t>
  </si>
  <si>
    <t>Best match to rRNA database</t>
  </si>
  <si>
    <t>Number of ESTs on contig</t>
  </si>
  <si>
    <t>Trypanosome</t>
  </si>
  <si>
    <t>House keeping</t>
  </si>
</sst>
</file>

<file path=xl/styles.xml><?xml version="1.0" encoding="utf-8"?>
<styleSheet xmlns="http://schemas.openxmlformats.org/spreadsheetml/2006/main">
  <numFmts count="3">
    <numFmt numFmtId="164" formatCode="0.0"/>
    <numFmt numFmtId="165" formatCode="0.E+00"/>
    <numFmt numFmtId="166" formatCode="0.0000"/>
  </numFmts>
  <fonts count="21">
    <font>
      <sz val="11"/>
      <color theme="1"/>
      <name val="Verdana"/>
      <family val="2"/>
    </font>
    <font>
      <sz val="8"/>
      <color theme="1"/>
      <name val="Verdana"/>
      <family val="2"/>
    </font>
    <font>
      <sz val="11"/>
      <color theme="1"/>
      <name val="Verdana"/>
      <family val="2"/>
    </font>
    <font>
      <b/>
      <sz val="18"/>
      <color theme="3"/>
      <name val="Cambria"/>
      <family val="2"/>
      <scheme val="major"/>
    </font>
    <font>
      <b/>
      <sz val="15"/>
      <color theme="3"/>
      <name val="Verdana"/>
      <family val="2"/>
    </font>
    <font>
      <b/>
      <sz val="13"/>
      <color theme="3"/>
      <name val="Verdana"/>
      <family val="2"/>
    </font>
    <font>
      <b/>
      <sz val="11"/>
      <color theme="3"/>
      <name val="Verdana"/>
      <family val="2"/>
    </font>
    <font>
      <sz val="11"/>
      <color rgb="FF006100"/>
      <name val="Verdana"/>
      <family val="2"/>
    </font>
    <font>
      <sz val="11"/>
      <color rgb="FF9C0006"/>
      <name val="Verdana"/>
      <family val="2"/>
    </font>
    <font>
      <sz val="11"/>
      <color rgb="FF9C6500"/>
      <name val="Verdana"/>
      <family val="2"/>
    </font>
    <font>
      <sz val="11"/>
      <color rgb="FF3F3F76"/>
      <name val="Verdana"/>
      <family val="2"/>
    </font>
    <font>
      <b/>
      <sz val="11"/>
      <color rgb="FF3F3F3F"/>
      <name val="Verdana"/>
      <family val="2"/>
    </font>
    <font>
      <b/>
      <sz val="11"/>
      <color rgb="FFFA7D00"/>
      <name val="Verdana"/>
      <family val="2"/>
    </font>
    <font>
      <sz val="11"/>
      <color rgb="FFFA7D00"/>
      <name val="Verdana"/>
      <family val="2"/>
    </font>
    <font>
      <b/>
      <sz val="11"/>
      <color theme="0"/>
      <name val="Verdana"/>
      <family val="2"/>
    </font>
    <font>
      <sz val="11"/>
      <color rgb="FFFF0000"/>
      <name val="Verdana"/>
      <family val="2"/>
    </font>
    <font>
      <i/>
      <sz val="11"/>
      <color rgb="FF7F7F7F"/>
      <name val="Verdana"/>
      <family val="2"/>
    </font>
    <font>
      <b/>
      <sz val="11"/>
      <color theme="1"/>
      <name val="Verdana"/>
      <family val="2"/>
    </font>
    <font>
      <sz val="11"/>
      <color theme="0"/>
      <name val="Verdana"/>
      <family val="2"/>
    </font>
    <font>
      <b/>
      <sz val="11"/>
      <color rgb="FF3176C9"/>
      <name val="Verdana"/>
      <family val="2"/>
    </font>
    <font>
      <b/>
      <sz val="8"/>
      <color theme="1"/>
      <name val="Verdana"/>
      <family val="2"/>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99"/>
        <bgColor indexed="64"/>
      </patternFill>
    </fill>
    <fill>
      <patternFill patternType="solid">
        <fgColor theme="5" tint="0.79998168889431442"/>
        <bgColor indexed="64"/>
      </patternFill>
    </fill>
    <fill>
      <patternFill patternType="solid">
        <fgColor rgb="FFFFFFCC"/>
        <bgColor indexed="64"/>
      </patternFill>
    </fill>
    <fill>
      <patternFill patternType="solid">
        <fgColor theme="0"/>
        <bgColor indexed="64"/>
      </patternFill>
    </fill>
  </fills>
  <borders count="3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s>
  <cellStyleXfs count="42">
    <xf numFmtId="0" fontId="0" fillId="0" borderId="0"/>
    <xf numFmtId="0" fontId="3" fillId="0" borderId="0" applyNumberFormat="0" applyFill="0" applyBorder="0" applyAlignment="0" applyProtection="0"/>
    <xf numFmtId="0" fontId="4" fillId="0" borderId="1" applyNumberFormat="0" applyFill="0" applyAlignment="0" applyProtection="0"/>
    <xf numFmtId="0" fontId="5" fillId="0" borderId="2" applyNumberFormat="0" applyFill="0" applyAlignment="0" applyProtection="0"/>
    <xf numFmtId="0" fontId="6" fillId="0" borderId="3" applyNumberFormat="0" applyFill="0" applyAlignment="0" applyProtection="0"/>
    <xf numFmtId="0" fontId="6" fillId="0" borderId="0" applyNumberFormat="0" applyFill="0" applyBorder="0" applyAlignment="0" applyProtection="0"/>
    <xf numFmtId="0" fontId="7" fillId="2" borderId="0" applyNumberFormat="0" applyBorder="0" applyAlignment="0" applyProtection="0"/>
    <xf numFmtId="0" fontId="8" fillId="3" borderId="0" applyNumberFormat="0" applyBorder="0" applyAlignment="0" applyProtection="0"/>
    <xf numFmtId="0" fontId="9" fillId="4" borderId="0" applyNumberFormat="0" applyBorder="0" applyAlignment="0" applyProtection="0"/>
    <xf numFmtId="0" fontId="10" fillId="5" borderId="4" applyNumberFormat="0" applyAlignment="0" applyProtection="0"/>
    <xf numFmtId="0" fontId="11" fillId="6" borderId="5" applyNumberFormat="0" applyAlignment="0" applyProtection="0"/>
    <xf numFmtId="0" fontId="12" fillId="6" borderId="4" applyNumberFormat="0" applyAlignment="0" applyProtection="0"/>
    <xf numFmtId="0" fontId="13" fillId="0" borderId="6" applyNumberFormat="0" applyFill="0" applyAlignment="0" applyProtection="0"/>
    <xf numFmtId="0" fontId="14" fillId="7" borderId="7" applyNumberFormat="0" applyAlignment="0" applyProtection="0"/>
    <xf numFmtId="0" fontId="15" fillId="0" borderId="0" applyNumberFormat="0" applyFill="0" applyBorder="0" applyAlignment="0" applyProtection="0"/>
    <xf numFmtId="0" fontId="2" fillId="8" borderId="8" applyNumberFormat="0" applyFont="0" applyAlignment="0" applyProtection="0"/>
    <xf numFmtId="0" fontId="16" fillId="0" borderId="0" applyNumberFormat="0" applyFill="0" applyBorder="0" applyAlignment="0" applyProtection="0"/>
    <xf numFmtId="0" fontId="17" fillId="0" borderId="9" applyNumberFormat="0" applyFill="0" applyAlignment="0" applyProtection="0"/>
    <xf numFmtId="0" fontId="18"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18" fillId="12" borderId="0" applyNumberFormat="0" applyBorder="0" applyAlignment="0" applyProtection="0"/>
    <xf numFmtId="0" fontId="18"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18" fillId="16" borderId="0" applyNumberFormat="0" applyBorder="0" applyAlignment="0" applyProtection="0"/>
    <xf numFmtId="0" fontId="18" fillId="17"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18" fillId="20" borderId="0" applyNumberFormat="0" applyBorder="0" applyAlignment="0" applyProtection="0"/>
    <xf numFmtId="0" fontId="18" fillId="21"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18" fillId="24" borderId="0" applyNumberFormat="0" applyBorder="0" applyAlignment="0" applyProtection="0"/>
    <xf numFmtId="0" fontId="18" fillId="25"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18" fillId="28" borderId="0" applyNumberFormat="0" applyBorder="0" applyAlignment="0" applyProtection="0"/>
    <xf numFmtId="0" fontId="18" fillId="29"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18" fillId="32" borderId="0" applyNumberFormat="0" applyBorder="0" applyAlignment="0" applyProtection="0"/>
  </cellStyleXfs>
  <cellXfs count="62">
    <xf numFmtId="0" fontId="0" fillId="0" borderId="0" xfId="0"/>
    <xf numFmtId="0" fontId="0" fillId="33" borderId="11" xfId="0" applyFill="1" applyBorder="1"/>
    <xf numFmtId="11" fontId="0" fillId="0" borderId="0" xfId="0" applyNumberFormat="1"/>
    <xf numFmtId="0" fontId="19" fillId="35" borderId="15" xfId="0" applyFont="1" applyFill="1" applyBorder="1" applyAlignment="1">
      <alignment horizontal="center" wrapText="1"/>
    </xf>
    <xf numFmtId="0" fontId="19" fillId="34" borderId="15" xfId="0" applyFont="1" applyFill="1" applyBorder="1" applyAlignment="1">
      <alignment horizontal="center" wrapText="1"/>
    </xf>
    <xf numFmtId="0" fontId="0" fillId="34" borderId="11" xfId="0" applyFill="1" applyBorder="1"/>
    <xf numFmtId="0" fontId="19" fillId="33" borderId="14" xfId="0" applyFont="1" applyFill="1" applyBorder="1" applyAlignment="1">
      <alignment horizontal="center" wrapText="1"/>
    </xf>
    <xf numFmtId="0" fontId="19" fillId="33" borderId="13" xfId="0" applyFont="1" applyFill="1" applyBorder="1" applyAlignment="1">
      <alignment horizontal="center" wrapText="1"/>
    </xf>
    <xf numFmtId="0" fontId="19" fillId="34" borderId="14" xfId="0" applyFont="1" applyFill="1" applyBorder="1" applyAlignment="1">
      <alignment horizontal="center" wrapText="1"/>
    </xf>
    <xf numFmtId="0" fontId="19" fillId="34" borderId="16" xfId="0" applyFont="1" applyFill="1" applyBorder="1" applyAlignment="1">
      <alignment horizontal="center" wrapText="1"/>
    </xf>
    <xf numFmtId="0" fontId="19" fillId="33" borderId="16" xfId="0" applyFont="1" applyFill="1" applyBorder="1" applyAlignment="1">
      <alignment horizontal="center" wrapText="1"/>
    </xf>
    <xf numFmtId="0" fontId="19" fillId="33" borderId="12" xfId="0" applyFont="1" applyFill="1" applyBorder="1" applyAlignment="1">
      <alignment horizontal="center" wrapText="1"/>
    </xf>
    <xf numFmtId="0" fontId="19" fillId="35" borderId="10" xfId="0" applyFont="1" applyFill="1" applyBorder="1" applyAlignment="1">
      <alignment horizontal="left" wrapText="1"/>
    </xf>
    <xf numFmtId="0" fontId="19" fillId="35" borderId="10" xfId="0" applyFont="1" applyFill="1" applyBorder="1" applyAlignment="1">
      <alignment horizontal="left"/>
    </xf>
    <xf numFmtId="0" fontId="0" fillId="33" borderId="11" xfId="0" applyFill="1" applyBorder="1" applyAlignment="1">
      <alignment horizontal="center"/>
    </xf>
    <xf numFmtId="0" fontId="0" fillId="0" borderId="0" xfId="0" applyAlignment="1">
      <alignment horizontal="center"/>
    </xf>
    <xf numFmtId="0" fontId="19" fillId="34" borderId="10" xfId="0" applyFont="1" applyFill="1" applyBorder="1" applyAlignment="1">
      <alignment horizontal="left"/>
    </xf>
    <xf numFmtId="0" fontId="0" fillId="0" borderId="0" xfId="0" applyBorder="1"/>
    <xf numFmtId="2" fontId="0" fillId="0" borderId="0" xfId="0" applyNumberFormat="1" applyBorder="1"/>
    <xf numFmtId="164" fontId="0" fillId="0" borderId="0" xfId="0" applyNumberFormat="1" applyBorder="1"/>
    <xf numFmtId="165" fontId="19" fillId="34" borderId="14" xfId="0" applyNumberFormat="1" applyFont="1" applyFill="1" applyBorder="1" applyAlignment="1">
      <alignment horizontal="center" wrapText="1"/>
    </xf>
    <xf numFmtId="165" fontId="19" fillId="34" borderId="15" xfId="0" applyNumberFormat="1" applyFont="1" applyFill="1" applyBorder="1" applyAlignment="1">
      <alignment horizontal="center" wrapText="1"/>
    </xf>
    <xf numFmtId="165" fontId="19" fillId="35" borderId="15" xfId="0" applyNumberFormat="1" applyFont="1" applyFill="1" applyBorder="1" applyAlignment="1">
      <alignment horizontal="center" wrapText="1"/>
    </xf>
    <xf numFmtId="165" fontId="0" fillId="0" borderId="0" xfId="0" applyNumberFormat="1"/>
    <xf numFmtId="0" fontId="0" fillId="0" borderId="0" xfId="0" applyAlignment="1">
      <alignment horizontal="center" wrapText="1"/>
    </xf>
    <xf numFmtId="166" fontId="0" fillId="0" borderId="0" xfId="0" applyNumberFormat="1" applyAlignment="1">
      <alignment horizontal="center"/>
    </xf>
    <xf numFmtId="166" fontId="0" fillId="0" borderId="0" xfId="0" applyNumberFormat="1"/>
    <xf numFmtId="0" fontId="17" fillId="0" borderId="0" xfId="0" applyFont="1"/>
    <xf numFmtId="0" fontId="0" fillId="0" borderId="0" xfId="0" applyAlignment="1">
      <alignment horizontal="left"/>
    </xf>
    <xf numFmtId="166" fontId="0" fillId="0" borderId="0" xfId="0" applyNumberFormat="1" applyAlignment="1">
      <alignment horizontal="left"/>
    </xf>
    <xf numFmtId="0" fontId="0" fillId="0" borderId="17" xfId="0" applyBorder="1"/>
    <xf numFmtId="0" fontId="0" fillId="0" borderId="18" xfId="0" applyBorder="1"/>
    <xf numFmtId="2" fontId="0" fillId="0" borderId="18" xfId="0" applyNumberFormat="1" applyBorder="1"/>
    <xf numFmtId="2" fontId="0" fillId="0" borderId="19" xfId="0" applyNumberFormat="1" applyBorder="1"/>
    <xf numFmtId="0" fontId="0" fillId="0" borderId="20" xfId="0" applyBorder="1"/>
    <xf numFmtId="2" fontId="0" fillId="0" borderId="21" xfId="0" applyNumberFormat="1" applyBorder="1"/>
    <xf numFmtId="0" fontId="0" fillId="0" borderId="21" xfId="0" applyBorder="1"/>
    <xf numFmtId="0" fontId="0" fillId="0" borderId="22" xfId="0" applyBorder="1"/>
    <xf numFmtId="0" fontId="0" fillId="0" borderId="23" xfId="0" applyBorder="1"/>
    <xf numFmtId="0" fontId="0" fillId="0" borderId="24" xfId="0" applyBorder="1"/>
    <xf numFmtId="0" fontId="0" fillId="0" borderId="25" xfId="0" applyBorder="1" applyAlignment="1">
      <alignment wrapText="1"/>
    </xf>
    <xf numFmtId="0" fontId="0" fillId="0" borderId="26" xfId="0" applyBorder="1" applyAlignment="1">
      <alignment wrapText="1"/>
    </xf>
    <xf numFmtId="0" fontId="0" fillId="0" borderId="27" xfId="0" applyBorder="1" applyAlignment="1">
      <alignment wrapText="1"/>
    </xf>
    <xf numFmtId="164" fontId="0" fillId="0" borderId="21" xfId="0" applyNumberFormat="1" applyBorder="1"/>
    <xf numFmtId="164" fontId="0" fillId="0" borderId="18" xfId="0" applyNumberFormat="1" applyBorder="1"/>
    <xf numFmtId="164" fontId="0" fillId="0" borderId="19" xfId="0" applyNumberFormat="1" applyBorder="1"/>
    <xf numFmtId="0" fontId="0" fillId="0" borderId="26" xfId="0" applyBorder="1" applyAlignment="1">
      <alignment horizontal="center" vertical="center" wrapText="1"/>
    </xf>
    <xf numFmtId="0" fontId="0" fillId="0" borderId="27" xfId="0" applyBorder="1" applyAlignment="1">
      <alignment horizontal="center" vertical="center" wrapText="1"/>
    </xf>
    <xf numFmtId="0" fontId="0" fillId="0" borderId="26" xfId="0" applyBorder="1" applyAlignment="1">
      <alignment horizontal="center" wrapText="1"/>
    </xf>
    <xf numFmtId="0" fontId="0" fillId="0" borderId="27" xfId="0" applyBorder="1" applyAlignment="1">
      <alignment horizontal="center" wrapText="1"/>
    </xf>
    <xf numFmtId="0" fontId="20" fillId="36" borderId="28" xfId="0" applyFont="1" applyFill="1" applyBorder="1" applyAlignment="1">
      <alignment wrapText="1"/>
    </xf>
    <xf numFmtId="0" fontId="20" fillId="36" borderId="29" xfId="0" applyFont="1" applyFill="1" applyBorder="1" applyAlignment="1">
      <alignment horizontal="center" wrapText="1"/>
    </xf>
    <xf numFmtId="0" fontId="20" fillId="36" borderId="30" xfId="0" applyFont="1" applyFill="1" applyBorder="1" applyAlignment="1">
      <alignment horizontal="center" wrapText="1"/>
    </xf>
    <xf numFmtId="0" fontId="1" fillId="0" borderId="17" xfId="0" applyFont="1" applyBorder="1"/>
    <xf numFmtId="0" fontId="1" fillId="0" borderId="18" xfId="0" applyFont="1" applyBorder="1" applyAlignment="1">
      <alignment horizontal="center"/>
    </xf>
    <xf numFmtId="0" fontId="1" fillId="0" borderId="19" xfId="0" applyFont="1" applyBorder="1" applyAlignment="1">
      <alignment horizontal="center"/>
    </xf>
    <xf numFmtId="0" fontId="1" fillId="0" borderId="20" xfId="0" applyFont="1" applyBorder="1"/>
    <xf numFmtId="0" fontId="1" fillId="0" borderId="0" xfId="0" applyFont="1" applyBorder="1" applyAlignment="1">
      <alignment horizontal="center"/>
    </xf>
    <xf numFmtId="0" fontId="1" fillId="0" borderId="21" xfId="0" applyFont="1" applyBorder="1" applyAlignment="1">
      <alignment horizontal="center"/>
    </xf>
    <xf numFmtId="0" fontId="1" fillId="0" borderId="22" xfId="0" applyFont="1" applyBorder="1"/>
    <xf numFmtId="0" fontId="1" fillId="0" borderId="23" xfId="0" applyFont="1" applyBorder="1" applyAlignment="1">
      <alignment horizontal="center"/>
    </xf>
    <xf numFmtId="0" fontId="1" fillId="0" borderId="24" xfId="0" applyFont="1" applyBorder="1" applyAlignment="1">
      <alignment horizontal="center"/>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chart1.xml><?xml version="1.0" encoding="utf-8"?>
<c:chartSpace xmlns:c="http://schemas.openxmlformats.org/drawingml/2006/chart" xmlns:a="http://schemas.openxmlformats.org/drawingml/2006/main" xmlns:r="http://schemas.openxmlformats.org/officeDocument/2006/relationships">
  <c:lang val="en-US"/>
  <c:style val="17"/>
  <c:chart>
    <c:title>
      <c:tx>
        <c:rich>
          <a:bodyPr/>
          <a:lstStyle/>
          <a:p>
            <a:pPr>
              <a:defRPr/>
            </a:pPr>
            <a:r>
              <a:rPr lang="en-US"/>
              <a:t>EST</a:t>
            </a:r>
          </a:p>
        </c:rich>
      </c:tx>
      <c:layout/>
    </c:title>
    <c:plotArea>
      <c:layout/>
      <c:pieChart>
        <c:varyColors val="1"/>
        <c:ser>
          <c:idx val="1"/>
          <c:order val="1"/>
          <c:dLbls>
            <c:dLbl>
              <c:idx val="1"/>
              <c:layout>
                <c:manualLayout>
                  <c:x val="-2.8565244968843155E-2"/>
                  <c:y val="-3.8739212501967464E-3"/>
                </c:manualLayout>
              </c:layout>
              <c:dLblPos val="bestFit"/>
              <c:showCatName val="1"/>
              <c:showPercent val="1"/>
            </c:dLbl>
            <c:dLbl>
              <c:idx val="2"/>
              <c:layout>
                <c:manualLayout>
                  <c:x val="-3.1739161076492377E-2"/>
                  <c:y val="-1.162176375059024E-2"/>
                </c:manualLayout>
              </c:layout>
              <c:dLblPos val="bestFit"/>
              <c:showCatName val="1"/>
              <c:showPercent val="1"/>
            </c:dLbl>
            <c:dLbl>
              <c:idx val="3"/>
              <c:layout>
                <c:manualLayout>
                  <c:x val="-0.13330447652126795"/>
                  <c:y val="-3.4865291251770708E-2"/>
                </c:manualLayout>
              </c:layout>
              <c:dLblPos val="bestFit"/>
              <c:showCatName val="1"/>
              <c:showPercent val="1"/>
            </c:dLbl>
            <c:dLbl>
              <c:idx val="4"/>
              <c:layout>
                <c:manualLayout>
                  <c:x val="0.27295678525783457"/>
                  <c:y val="3.0991370001573971E-2"/>
                </c:manualLayout>
              </c:layout>
              <c:dLblPos val="bestFit"/>
              <c:showCatName val="1"/>
              <c:showPercent val="1"/>
            </c:dLbl>
            <c:dLblPos val="outEnd"/>
            <c:showCatName val="1"/>
            <c:showPercent val="1"/>
            <c:showLeaderLines val="1"/>
          </c:dLbls>
          <c:cat>
            <c:strRef>
              <c:f>Tables!$I$35:$I$39</c:f>
              <c:strCache>
                <c:ptCount val="5"/>
                <c:pt idx="0">
                  <c:v>Secreted</c:v>
                </c:pt>
                <c:pt idx="1">
                  <c:v>House keeping</c:v>
                </c:pt>
                <c:pt idx="2">
                  <c:v>Unknown</c:v>
                </c:pt>
                <c:pt idx="3">
                  <c:v>Trypanosome</c:v>
                </c:pt>
                <c:pt idx="4">
                  <c:v>Transposable element</c:v>
                </c:pt>
              </c:strCache>
            </c:strRef>
          </c:cat>
          <c:val>
            <c:numRef>
              <c:f>Tables!$J$35:$J$39</c:f>
              <c:numCache>
                <c:formatCode>0.0</c:formatCode>
                <c:ptCount val="5"/>
                <c:pt idx="0">
                  <c:v>51.208791208791212</c:v>
                </c:pt>
                <c:pt idx="1">
                  <c:v>26.208791208791208</c:v>
                </c:pt>
                <c:pt idx="2">
                  <c:v>21.813186813186814</c:v>
                </c:pt>
                <c:pt idx="3">
                  <c:v>0.7142857142857143</c:v>
                </c:pt>
                <c:pt idx="4" formatCode="General">
                  <c:v>1</c:v>
                </c:pt>
              </c:numCache>
            </c:numRef>
          </c:val>
        </c:ser>
        <c:ser>
          <c:idx val="0"/>
          <c:order val="0"/>
          <c:dLbls>
            <c:dLbl>
              <c:idx val="0"/>
              <c:layout>
                <c:manualLayout>
                  <c:x val="3.66137464056025E-3"/>
                  <c:y val="-4.0756091817424289E-2"/>
                </c:manualLayout>
              </c:layout>
              <c:showCatName val="1"/>
              <c:showPercent val="1"/>
            </c:dLbl>
            <c:dLbl>
              <c:idx val="1"/>
              <c:dLblPos val="outEnd"/>
              <c:showCatName val="1"/>
              <c:showPercent val="1"/>
            </c:dLbl>
            <c:dLbl>
              <c:idx val="2"/>
              <c:layout>
                <c:manualLayout>
                  <c:x val="-1.4522665509728428E-2"/>
                  <c:y val="3.2287760971128017E-2"/>
                </c:manualLayout>
              </c:layout>
              <c:showCatName val="1"/>
              <c:showPercent val="1"/>
            </c:dLbl>
            <c:dLbl>
              <c:idx val="4"/>
              <c:layout>
                <c:manualLayout>
                  <c:x val="0.30522429193496253"/>
                  <c:y val="-3.3329374844021459E-2"/>
                </c:manualLayout>
              </c:layout>
              <c:showCatName val="1"/>
              <c:showPercent val="1"/>
            </c:dLbl>
            <c:spPr>
              <a:ln w="3175" cmpd="dbl"/>
            </c:spPr>
            <c:txPr>
              <a:bodyPr rot="0" vert="horz"/>
              <a:lstStyle/>
              <a:p>
                <a:pPr>
                  <a:defRPr/>
                </a:pPr>
                <a:endParaRPr lang="en-US"/>
              </a:p>
            </c:txPr>
            <c:showCatName val="1"/>
            <c:showPercent val="1"/>
            <c:showLeaderLines val="1"/>
          </c:dLbls>
          <c:cat>
            <c:strRef>
              <c:f>Tables!$I$35:$I$39</c:f>
              <c:strCache>
                <c:ptCount val="5"/>
                <c:pt idx="0">
                  <c:v>Secreted</c:v>
                </c:pt>
                <c:pt idx="1">
                  <c:v>House keeping</c:v>
                </c:pt>
                <c:pt idx="2">
                  <c:v>Unknown</c:v>
                </c:pt>
                <c:pt idx="3">
                  <c:v>Trypanosome</c:v>
                </c:pt>
                <c:pt idx="4">
                  <c:v>Transposable element</c:v>
                </c:pt>
              </c:strCache>
            </c:strRef>
          </c:cat>
          <c:val>
            <c:numRef>
              <c:f>Tables!$J$35:$J$39</c:f>
              <c:numCache>
                <c:formatCode>0.0</c:formatCode>
                <c:ptCount val="5"/>
                <c:pt idx="0">
                  <c:v>51.208791208791212</c:v>
                </c:pt>
                <c:pt idx="1">
                  <c:v>26.208791208791208</c:v>
                </c:pt>
                <c:pt idx="2">
                  <c:v>21.813186813186814</c:v>
                </c:pt>
                <c:pt idx="3">
                  <c:v>0.7142857142857143</c:v>
                </c:pt>
                <c:pt idx="4" formatCode="General">
                  <c:v>1</c:v>
                </c:pt>
              </c:numCache>
            </c:numRef>
          </c:val>
        </c:ser>
        <c:dLbls>
          <c:showCatName val="1"/>
          <c:showPercent val="1"/>
        </c:dLbls>
        <c:firstSliceAng val="0"/>
      </c:pieChart>
    </c:plotArea>
    <c:plotVisOnly val="1"/>
  </c:chart>
  <c:spPr>
    <a:ln>
      <a:noFill/>
    </a:ln>
  </c:spPr>
  <c:printSettings>
    <c:headerFooter/>
    <c:pageMargins b="0.75000000000000033" l="0.70000000000000029" r="0.70000000000000029" t="0.75000000000000033" header="0.30000000000000016" footer="0.30000000000000016"/>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lang val="en-US"/>
  <c:style val="17"/>
  <c:chart>
    <c:title>
      <c:tx>
        <c:rich>
          <a:bodyPr/>
          <a:lstStyle/>
          <a:p>
            <a:pPr>
              <a:defRPr/>
            </a:pPr>
            <a:r>
              <a:rPr lang="en-US"/>
              <a:t>Contig</a:t>
            </a:r>
          </a:p>
        </c:rich>
      </c:tx>
      <c:layout/>
    </c:title>
    <c:plotArea>
      <c:layout/>
      <c:pieChart>
        <c:varyColors val="1"/>
        <c:ser>
          <c:idx val="0"/>
          <c:order val="0"/>
          <c:dLbls>
            <c:dLbl>
              <c:idx val="0"/>
              <c:layout>
                <c:manualLayout>
                  <c:x val="0.14119804693471658"/>
                  <c:y val="7.3108860706531401E-2"/>
                </c:manualLayout>
              </c:layout>
              <c:showCatName val="1"/>
              <c:showPercent val="1"/>
            </c:dLbl>
            <c:dLbl>
              <c:idx val="1"/>
              <c:layout/>
              <c:dLblPos val="outEnd"/>
              <c:showCatName val="1"/>
              <c:showPercent val="1"/>
            </c:dLbl>
            <c:dLbl>
              <c:idx val="2"/>
              <c:layout>
                <c:manualLayout>
                  <c:x val="-1.4522665509728428E-2"/>
                  <c:y val="3.2287760971128031E-2"/>
                </c:manualLayout>
              </c:layout>
              <c:showCatName val="1"/>
              <c:showPercent val="1"/>
            </c:dLbl>
            <c:dLbl>
              <c:idx val="4"/>
              <c:layout>
                <c:manualLayout>
                  <c:x val="0.30522429193496287"/>
                  <c:y val="-3.3329374844021459E-2"/>
                </c:manualLayout>
              </c:layout>
              <c:showCatName val="1"/>
              <c:showPercent val="1"/>
            </c:dLbl>
            <c:spPr>
              <a:ln w="3175" cmpd="dbl"/>
            </c:spPr>
            <c:txPr>
              <a:bodyPr rot="0" vert="horz"/>
              <a:lstStyle/>
              <a:p>
                <a:pPr>
                  <a:defRPr/>
                </a:pPr>
                <a:endParaRPr lang="en-US"/>
              </a:p>
            </c:txPr>
            <c:showCatName val="1"/>
            <c:showPercent val="1"/>
            <c:showLeaderLines val="1"/>
          </c:dLbls>
          <c:cat>
            <c:strRef>
              <c:f>Tables!$I$41:$I$45</c:f>
              <c:strCache>
                <c:ptCount val="5"/>
                <c:pt idx="0">
                  <c:v>Secreted</c:v>
                </c:pt>
                <c:pt idx="1">
                  <c:v>House keeping</c:v>
                </c:pt>
                <c:pt idx="2">
                  <c:v>Unknown</c:v>
                </c:pt>
                <c:pt idx="3">
                  <c:v>Trypanosome</c:v>
                </c:pt>
                <c:pt idx="4">
                  <c:v>Transposable element</c:v>
                </c:pt>
              </c:strCache>
            </c:strRef>
          </c:cat>
          <c:val>
            <c:numRef>
              <c:f>Tables!$J$41:$J$45</c:f>
              <c:numCache>
                <c:formatCode>0.0</c:formatCode>
                <c:ptCount val="5"/>
                <c:pt idx="0">
                  <c:v>14.155251141552512</c:v>
                </c:pt>
                <c:pt idx="1">
                  <c:v>28.462709284627092</c:v>
                </c:pt>
                <c:pt idx="2">
                  <c:v>55.403348554033485</c:v>
                </c:pt>
                <c:pt idx="3">
                  <c:v>1.8264840182648401</c:v>
                </c:pt>
                <c:pt idx="4">
                  <c:v>0.15220700152207001</c:v>
                </c:pt>
              </c:numCache>
            </c:numRef>
          </c:val>
        </c:ser>
        <c:dLbls>
          <c:showCatName val="1"/>
          <c:showPercent val="1"/>
        </c:dLbls>
        <c:firstSliceAng val="0"/>
      </c:pieChart>
    </c:plotArea>
    <c:plotVisOnly val="1"/>
  </c:chart>
  <c:spPr>
    <a:ln>
      <a:noFill/>
    </a:ln>
  </c:spPr>
  <c:printSettings>
    <c:headerFooter/>
    <c:pageMargins b="0.75000000000000056" l="0.70000000000000051" r="0.70000000000000051" t="0.75000000000000056" header="0.30000000000000027" footer="0.30000000000000027"/>
    <c:pageSetup/>
  </c:printSettings>
  <c:userShapes r:id="rId1"/>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7</xdr:col>
      <xdr:colOff>640774</xdr:colOff>
      <xdr:row>48</xdr:row>
      <xdr:rowOff>133350</xdr:rowOff>
    </xdr:from>
    <xdr:to>
      <xdr:col>11</xdr:col>
      <xdr:colOff>28576</xdr:colOff>
      <xdr:row>65</xdr:row>
      <xdr:rowOff>86591</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110066</xdr:colOff>
      <xdr:row>48</xdr:row>
      <xdr:rowOff>143933</xdr:rowOff>
    </xdr:from>
    <xdr:to>
      <xdr:col>16</xdr:col>
      <xdr:colOff>439978</xdr:colOff>
      <xdr:row>65</xdr:row>
      <xdr:rowOff>86398</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0.18646</cdr:x>
      <cdr:y>0.24547</cdr:y>
    </cdr:from>
    <cdr:to>
      <cdr:x>0.38337</cdr:x>
      <cdr:y>0.51107</cdr:y>
    </cdr:to>
    <cdr:sp macro="" textlink="">
      <cdr:nvSpPr>
        <cdr:cNvPr id="2" name="TextBox 1"/>
        <cdr:cNvSpPr txBox="1"/>
      </cdr:nvSpPr>
      <cdr:spPr>
        <a:xfrm xmlns:a="http://schemas.openxmlformats.org/drawingml/2006/main">
          <a:off x="865908" y="845127"/>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0.18646</cdr:x>
      <cdr:y>0.24547</cdr:y>
    </cdr:from>
    <cdr:to>
      <cdr:x>0.38337</cdr:x>
      <cdr:y>0.51107</cdr:y>
    </cdr:to>
    <cdr:sp macro="" textlink="">
      <cdr:nvSpPr>
        <cdr:cNvPr id="3" name="TextBox 1"/>
        <cdr:cNvSpPr txBox="1"/>
      </cdr:nvSpPr>
      <cdr:spPr>
        <a:xfrm xmlns:a="http://schemas.openxmlformats.org/drawingml/2006/main">
          <a:off x="865908" y="845127"/>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US" sz="1100"/>
        </a:p>
      </cdr:txBody>
    </cdr:sp>
  </cdr:relSizeAnchor>
</c:userShapes>
</file>

<file path=xl/drawings/drawing3.xml><?xml version="1.0" encoding="utf-8"?>
<c:userShapes xmlns:c="http://schemas.openxmlformats.org/drawingml/2006/chart">
  <cdr:relSizeAnchor xmlns:cdr="http://schemas.openxmlformats.org/drawingml/2006/chartDrawing">
    <cdr:from>
      <cdr:x>0.18646</cdr:x>
      <cdr:y>0.24547</cdr:y>
    </cdr:from>
    <cdr:to>
      <cdr:x>0.38337</cdr:x>
      <cdr:y>0.51107</cdr:y>
    </cdr:to>
    <cdr:sp macro="" textlink="">
      <cdr:nvSpPr>
        <cdr:cNvPr id="2" name="TextBox 1"/>
        <cdr:cNvSpPr txBox="1"/>
      </cdr:nvSpPr>
      <cdr:spPr>
        <a:xfrm xmlns:a="http://schemas.openxmlformats.org/drawingml/2006/main">
          <a:off x="865908" y="845127"/>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0.18646</cdr:x>
      <cdr:y>0.24547</cdr:y>
    </cdr:from>
    <cdr:to>
      <cdr:x>0.38337</cdr:x>
      <cdr:y>0.51107</cdr:y>
    </cdr:to>
    <cdr:sp macro="" textlink="">
      <cdr:nvSpPr>
        <cdr:cNvPr id="3" name="TextBox 1"/>
        <cdr:cNvSpPr txBox="1"/>
      </cdr:nvSpPr>
      <cdr:spPr>
        <a:xfrm xmlns:a="http://schemas.openxmlformats.org/drawingml/2006/main">
          <a:off x="865908" y="845127"/>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US" sz="1100"/>
        </a:p>
      </cdr:txBody>
    </cdr:sp>
  </cdr:relSizeAnchor>
</c:userShape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BY690"/>
  <sheetViews>
    <sheetView tabSelected="1" zoomScale="75" zoomScaleNormal="75" workbookViewId="0">
      <pane xSplit="1" ySplit="1" topLeftCell="B2" activePane="bottomRight" state="frozen"/>
      <selection pane="topRight" activeCell="B1" sqref="B1"/>
      <selection pane="bottomLeft" activeCell="A2" sqref="A2"/>
      <selection pane="bottomRight"/>
    </sheetView>
  </sheetViews>
  <sheetFormatPr defaultRowHeight="13.8"/>
  <cols>
    <col min="1" max="1" width="16.6328125" customWidth="1"/>
    <col min="2" max="2" width="5.36328125" customWidth="1"/>
    <col min="3" max="3" width="11.81640625" customWidth="1"/>
    <col min="4" max="4" width="10.90625" customWidth="1"/>
    <col min="5" max="5" width="6" customWidth="1"/>
    <col min="6" max="8" width="5.36328125" customWidth="1"/>
    <col min="9" max="11" width="5.36328125" hidden="1" customWidth="1"/>
    <col min="12" max="13" width="5.36328125" customWidth="1"/>
    <col min="14" max="14" width="5.36328125" style="15" hidden="1" customWidth="1"/>
    <col min="15" max="15" width="5.1796875" style="14" hidden="1" customWidth="1"/>
    <col min="16" max="16" width="5.36328125" hidden="1" customWidth="1"/>
    <col min="17" max="17" width="14.6328125" style="5" customWidth="1"/>
    <col min="18" max="18" width="8.7265625" customWidth="1"/>
    <col min="19" max="19" width="5.36328125" customWidth="1"/>
    <col min="20" max="20" width="7.7265625" style="23" customWidth="1"/>
    <col min="21" max="21" width="5.36328125" customWidth="1"/>
    <col min="22" max="22" width="21.453125" style="1" customWidth="1"/>
    <col min="24" max="24" width="10.90625" customWidth="1"/>
    <col min="25" max="27" width="0" hidden="1" customWidth="1"/>
    <col min="30" max="37" width="0" hidden="1" customWidth="1"/>
    <col min="38" max="38" width="17.453125" customWidth="1"/>
    <col min="41" max="41" width="16.1796875" style="1" customWidth="1"/>
    <col min="44" max="45" width="8.81640625" customWidth="1"/>
    <col min="48" max="56" width="0" hidden="1" customWidth="1"/>
    <col min="60" max="60" width="8.81640625" style="1"/>
    <col min="62" max="62" width="8.81640625" style="1"/>
    <col min="65" max="65" width="8.81640625" style="1"/>
    <col min="68" max="68" width="8.81640625" style="1"/>
    <col min="70" max="70" width="8.81640625" style="1"/>
    <col min="72" max="72" width="8.81640625" style="1"/>
    <col min="74" max="74" width="8.81640625" style="1"/>
    <col min="76" max="76" width="8.81640625" style="1"/>
  </cols>
  <sheetData>
    <row r="1" spans="1:77" s="6" customFormat="1" ht="96.6">
      <c r="A1" s="6" t="s">
        <v>0</v>
      </c>
      <c r="B1" s="6" t="s">
        <v>5869</v>
      </c>
      <c r="C1" s="6" t="s">
        <v>1</v>
      </c>
      <c r="D1" s="6" t="s">
        <v>2</v>
      </c>
      <c r="E1" s="6" t="s">
        <v>4</v>
      </c>
      <c r="F1" s="6" t="s">
        <v>5</v>
      </c>
      <c r="G1" s="6" t="s">
        <v>6</v>
      </c>
      <c r="H1" s="6" t="s">
        <v>7</v>
      </c>
      <c r="I1" s="6" t="s">
        <v>8</v>
      </c>
      <c r="J1" s="7" t="s">
        <v>9</v>
      </c>
      <c r="K1" s="6" t="s">
        <v>3</v>
      </c>
      <c r="L1" s="6" t="s">
        <v>5063</v>
      </c>
      <c r="M1" s="6" t="s">
        <v>5064</v>
      </c>
      <c r="N1" s="6" t="s">
        <v>5065</v>
      </c>
      <c r="O1" s="6" t="s">
        <v>5055</v>
      </c>
      <c r="P1" s="7" t="s">
        <v>5056</v>
      </c>
      <c r="Q1" s="8" t="s">
        <v>4813</v>
      </c>
      <c r="R1" s="9" t="s">
        <v>4814</v>
      </c>
      <c r="S1" s="8" t="s">
        <v>4815</v>
      </c>
      <c r="T1" s="20" t="s">
        <v>4816</v>
      </c>
      <c r="U1" s="8" t="s">
        <v>4817</v>
      </c>
      <c r="V1" s="6" t="s">
        <v>670</v>
      </c>
      <c r="W1" s="10" t="s">
        <v>671</v>
      </c>
      <c r="X1" s="6" t="s">
        <v>672</v>
      </c>
      <c r="Y1" s="6" t="s">
        <v>673</v>
      </c>
      <c r="Z1" s="6" t="s">
        <v>674</v>
      </c>
      <c r="AA1" s="6" t="s">
        <v>675</v>
      </c>
      <c r="AB1" s="6" t="s">
        <v>676</v>
      </c>
      <c r="AC1" s="6" t="s">
        <v>677</v>
      </c>
      <c r="AD1" s="6" t="s">
        <v>678</v>
      </c>
      <c r="AE1" s="6" t="s">
        <v>679</v>
      </c>
      <c r="AF1" s="6" t="s">
        <v>680</v>
      </c>
      <c r="AG1" s="6" t="s">
        <v>681</v>
      </c>
      <c r="AH1" s="6" t="s">
        <v>682</v>
      </c>
      <c r="AI1" s="6" t="s">
        <v>683</v>
      </c>
      <c r="AJ1" s="6" t="s">
        <v>684</v>
      </c>
      <c r="AK1" s="6" t="s">
        <v>685</v>
      </c>
      <c r="AL1" s="6" t="s">
        <v>686</v>
      </c>
      <c r="AM1" s="6" t="s">
        <v>687</v>
      </c>
      <c r="AN1" s="7" t="s">
        <v>688</v>
      </c>
      <c r="AO1" s="6" t="s">
        <v>689</v>
      </c>
      <c r="AP1" s="10" t="s">
        <v>671</v>
      </c>
      <c r="AQ1" s="6" t="s">
        <v>672</v>
      </c>
      <c r="AR1" s="6" t="s">
        <v>673</v>
      </c>
      <c r="AS1" s="6" t="s">
        <v>674</v>
      </c>
      <c r="AT1" s="6" t="s">
        <v>676</v>
      </c>
      <c r="AU1" s="6" t="s">
        <v>677</v>
      </c>
      <c r="AV1" s="6" t="s">
        <v>678</v>
      </c>
      <c r="AW1" s="6" t="s">
        <v>679</v>
      </c>
      <c r="AX1" s="6" t="s">
        <v>680</v>
      </c>
      <c r="AY1" s="6" t="s">
        <v>681</v>
      </c>
      <c r="AZ1" s="6" t="s">
        <v>682</v>
      </c>
      <c r="BA1" s="6" t="s">
        <v>683</v>
      </c>
      <c r="BB1" s="6" t="s">
        <v>684</v>
      </c>
      <c r="BC1" s="6" t="s">
        <v>685</v>
      </c>
      <c r="BD1" s="6" t="s">
        <v>690</v>
      </c>
      <c r="BE1" s="6" t="s">
        <v>686</v>
      </c>
      <c r="BF1" s="6" t="s">
        <v>687</v>
      </c>
      <c r="BG1" s="7" t="s">
        <v>688</v>
      </c>
      <c r="BH1" s="6" t="s">
        <v>691</v>
      </c>
      <c r="BI1" s="11" t="s">
        <v>671</v>
      </c>
      <c r="BJ1" s="6" t="s">
        <v>692</v>
      </c>
      <c r="BK1" s="10" t="s">
        <v>671</v>
      </c>
      <c r="BL1" s="7" t="s">
        <v>693</v>
      </c>
      <c r="BM1" s="6" t="s">
        <v>694</v>
      </c>
      <c r="BN1" s="10" t="s">
        <v>671</v>
      </c>
      <c r="BO1" s="6" t="s">
        <v>695</v>
      </c>
      <c r="BP1" s="6" t="s">
        <v>696</v>
      </c>
      <c r="BQ1" s="11" t="s">
        <v>697</v>
      </c>
      <c r="BR1" s="6" t="s">
        <v>698</v>
      </c>
      <c r="BS1" s="11" t="s">
        <v>697</v>
      </c>
      <c r="BT1" s="6" t="s">
        <v>699</v>
      </c>
      <c r="BU1" s="10" t="s">
        <v>671</v>
      </c>
      <c r="BV1" s="6" t="s">
        <v>5867</v>
      </c>
      <c r="BW1" s="10" t="s">
        <v>697</v>
      </c>
      <c r="BX1" s="6" t="s">
        <v>5868</v>
      </c>
      <c r="BY1" s="11" t="s">
        <v>697</v>
      </c>
    </row>
    <row r="2" spans="1:77" s="4" customFormat="1">
      <c r="A2" s="16" t="s">
        <v>5046</v>
      </c>
      <c r="T2" s="21"/>
    </row>
    <row r="3" spans="1:77" s="3" customFormat="1">
      <c r="A3" s="12" t="s">
        <v>5742</v>
      </c>
      <c r="T3" s="22"/>
    </row>
    <row r="4" spans="1:77">
      <c r="A4" t="str">
        <f>HYPERLINK("http://exon.niaid.nih.gov/transcriptome/T_rubida/S1/links/Triru/Triru-contig_60.txt","Triru-contig_60")</f>
        <v>Triru-contig_60</v>
      </c>
      <c r="B4">
        <v>34</v>
      </c>
      <c r="C4" t="str">
        <f>HYPERLINK("http://exon.niaid.nih.gov/transcriptome/T_rubida/S1/links/Triru/Triru-5-48-asb-60.txt","Contig-60")</f>
        <v>Contig-60</v>
      </c>
      <c r="D4" t="str">
        <f>HYPERLINK("http://exon.niaid.nih.gov/transcriptome/T_rubida/S1/links/Triru/Triru-5-48-60-CLU.txt","Contig60")</f>
        <v>Contig60</v>
      </c>
      <c r="E4" t="str">
        <f>HYPERLINK("http://exon.niaid.nih.gov/transcriptome/T_rubida/S1/links/Triru/Triru-5-48-60-qual.txt","52.3")</f>
        <v>52.3</v>
      </c>
      <c r="F4" t="s">
        <v>10</v>
      </c>
      <c r="G4">
        <v>64.900000000000006</v>
      </c>
      <c r="H4">
        <v>383</v>
      </c>
      <c r="I4" t="s">
        <v>72</v>
      </c>
      <c r="J4">
        <v>750</v>
      </c>
      <c r="K4">
        <v>790</v>
      </c>
      <c r="L4">
        <v>321</v>
      </c>
      <c r="M4" t="s">
        <v>5091</v>
      </c>
      <c r="N4" s="15">
        <v>2</v>
      </c>
      <c r="Q4" s="5" t="s">
        <v>4829</v>
      </c>
      <c r="R4" t="s">
        <v>5719</v>
      </c>
      <c r="S4" t="str">
        <f>HYPERLINK("http://exon.niaid.nih.gov/transcriptome/T_rubida/S1/links/NR/Triru-contig_60-NR.txt","NR")</f>
        <v>NR</v>
      </c>
      <c r="T4" s="23">
        <v>3E-23</v>
      </c>
      <c r="U4">
        <v>53.8</v>
      </c>
      <c r="V4" s="1" t="str">
        <f>HYPERLINK("http://exon.niaid.nih.gov/transcriptome/T_rubida/S1/links/NR/Triru-contig_60-NR.txt","unnamed protein product")</f>
        <v>unnamed protein product</v>
      </c>
      <c r="W4" t="str">
        <f>HYPERLINK("http://www.ncbi.nlm.nih.gov/sutils/blink.cgi?pid=270046188","2E-030")</f>
        <v>2E-030</v>
      </c>
      <c r="X4" t="str">
        <f>HYPERLINK("http://www.ncbi.nlm.nih.gov/protein/270046188","gi|270046188")</f>
        <v>gi|270046188</v>
      </c>
      <c r="Y4">
        <v>137</v>
      </c>
      <c r="Z4">
        <v>105</v>
      </c>
      <c r="AA4">
        <v>197</v>
      </c>
      <c r="AB4">
        <v>60</v>
      </c>
      <c r="AC4">
        <v>54</v>
      </c>
      <c r="AD4">
        <v>42</v>
      </c>
      <c r="AE4">
        <v>0</v>
      </c>
      <c r="AF4">
        <v>92</v>
      </c>
      <c r="AG4">
        <v>2</v>
      </c>
      <c r="AH4">
        <v>1</v>
      </c>
      <c r="AI4">
        <v>2</v>
      </c>
      <c r="AJ4" t="s">
        <v>11</v>
      </c>
      <c r="AL4" t="s">
        <v>700</v>
      </c>
      <c r="AM4" t="s">
        <v>990</v>
      </c>
      <c r="AN4" t="s">
        <v>948</v>
      </c>
      <c r="AO4" s="1" t="str">
        <f>HYPERLINK("http://exon.niaid.nih.gov/transcriptome/T_rubida/S1/links/SWISSP/Triru-contig_60-SWISSP.txt","Crustacyanin-A2 subunit")</f>
        <v>Crustacyanin-A2 subunit</v>
      </c>
      <c r="AP4" t="str">
        <f>HYPERLINK("http://www.uniprot.org/uniprot/P80007","0.45")</f>
        <v>0.45</v>
      </c>
      <c r="AQ4" t="s">
        <v>991</v>
      </c>
      <c r="AR4">
        <v>35.4</v>
      </c>
      <c r="AS4">
        <v>56</v>
      </c>
      <c r="AT4">
        <v>31</v>
      </c>
      <c r="AU4">
        <v>33</v>
      </c>
      <c r="AV4">
        <v>39</v>
      </c>
      <c r="AW4">
        <v>3</v>
      </c>
      <c r="AX4">
        <v>106</v>
      </c>
      <c r="AY4">
        <v>131</v>
      </c>
      <c r="AZ4">
        <v>1</v>
      </c>
      <c r="BA4">
        <v>2</v>
      </c>
      <c r="BB4" t="s">
        <v>11</v>
      </c>
      <c r="BD4" t="s">
        <v>704</v>
      </c>
      <c r="BE4" t="s">
        <v>992</v>
      </c>
      <c r="BF4" t="s">
        <v>999</v>
      </c>
      <c r="BG4" t="s">
        <v>1000</v>
      </c>
      <c r="BH4" s="1" t="s">
        <v>57</v>
      </c>
      <c r="BI4" t="s">
        <v>57</v>
      </c>
      <c r="BJ4" s="1" t="str">
        <f>HYPERLINK("http://exon.niaid.nih.gov/transcriptome/T_rubida/S1/links/CDD/Triru-contig_60-CDD.txt","Triabin")</f>
        <v>Triabin</v>
      </c>
      <c r="BK4" t="str">
        <f>HYPERLINK("http://www.ncbi.nlm.nih.gov/Structure/cdd/cddsrv.cgi?uid=pfam03973&amp;version=v4.0","1E-010")</f>
        <v>1E-010</v>
      </c>
      <c r="BL4" t="s">
        <v>1001</v>
      </c>
      <c r="BM4" s="1" t="str">
        <f>HYPERLINK("http://exon.niaid.nih.gov/transcriptome/T_rubida/S1/links/KOG/Triru-contig_60-KOG.txt","mRNA cleavage factor I subunit/CPSF subunit")</f>
        <v>mRNA cleavage factor I subunit/CPSF subunit</v>
      </c>
      <c r="BN4" t="str">
        <f>HYPERLINK("http://www.ncbi.nlm.nih.gov/COG/grace/shokog.cgi?KOG4849","0.39")</f>
        <v>0.39</v>
      </c>
      <c r="BO4" t="s">
        <v>1002</v>
      </c>
      <c r="BP4" s="1" t="str">
        <f>HYPERLINK("http://exon.niaid.nih.gov/transcriptome/T_rubida/S1/links/PFAM/Triru-contig_60-PFAM.txt","Triabin")</f>
        <v>Triabin</v>
      </c>
      <c r="BQ4" t="str">
        <f>HYPERLINK("http://pfam.sanger.ac.uk/family?acc=PF03973","2E-011")</f>
        <v>2E-011</v>
      </c>
      <c r="BR4" s="1" t="str">
        <f>HYPERLINK("http://exon.niaid.nih.gov/transcriptome/T_rubida/S1/links/SMART/Triru-contig_60-SMART.txt","PP2Ac")</f>
        <v>PP2Ac</v>
      </c>
      <c r="BS4" t="str">
        <f>HYPERLINK("http://smart.embl-heidelberg.de/smart/do_annotation.pl?DOMAIN=PP2Ac&amp;BLAST=DUMMY","0.65")</f>
        <v>0.65</v>
      </c>
      <c r="BT4" s="1" t="str">
        <f>HYPERLINK("http://exon.niaid.nih.gov/transcriptome/T_rubida/S1/links/PRK/Triru-contig_60-PRK.txt","RNA polymerase beta'' subunit")</f>
        <v>RNA polymerase beta'' subunit</v>
      </c>
      <c r="BU4">
        <v>0.13</v>
      </c>
      <c r="BV4" s="1" t="s">
        <v>57</v>
      </c>
      <c r="BW4" t="s">
        <v>57</v>
      </c>
      <c r="BX4" s="1" t="s">
        <v>57</v>
      </c>
      <c r="BY4" t="s">
        <v>57</v>
      </c>
    </row>
    <row r="5" spans="1:77">
      <c r="A5" t="str">
        <f>HYPERLINK("http://exon.niaid.nih.gov/transcriptome/T_rubida/S1/links/Triru/Triru-contig_63.txt","Triru-contig_63")</f>
        <v>Triru-contig_63</v>
      </c>
      <c r="B5">
        <v>30</v>
      </c>
      <c r="C5" t="str">
        <f>HYPERLINK("http://exon.niaid.nih.gov/transcriptome/T_rubida/S1/links/Triru/Triru-5-48-asb-63.txt","Contig-63")</f>
        <v>Contig-63</v>
      </c>
      <c r="D5" t="str">
        <f>HYPERLINK("http://exon.niaid.nih.gov/transcriptome/T_rubida/S1/links/Triru/Triru-5-48-63-CLU.txt","Contig63")</f>
        <v>Contig63</v>
      </c>
      <c r="E5" t="str">
        <f>HYPERLINK("http://exon.niaid.nih.gov/transcriptome/T_rubida/S1/links/Triru/Triru-5-48-63-qual.txt","86.7")</f>
        <v>86.7</v>
      </c>
      <c r="F5" t="s">
        <v>10</v>
      </c>
      <c r="G5">
        <v>66.099999999999994</v>
      </c>
      <c r="H5">
        <v>766</v>
      </c>
      <c r="I5" t="s">
        <v>75</v>
      </c>
      <c r="J5">
        <v>766</v>
      </c>
      <c r="K5">
        <v>790</v>
      </c>
      <c r="L5">
        <v>582</v>
      </c>
      <c r="M5" t="s">
        <v>5083</v>
      </c>
      <c r="N5" s="15">
        <v>3</v>
      </c>
      <c r="O5" s="14" t="str">
        <f>HYPERLINK("http://exon.niaid.nih.gov/transcriptome/T_rubida/S1/links/Sigp/TRIRU-CONTIG_63-SigP.txt","Cyt")</f>
        <v>Cyt</v>
      </c>
      <c r="Q5" s="5" t="s">
        <v>4829</v>
      </c>
      <c r="R5" t="s">
        <v>5719</v>
      </c>
      <c r="S5" t="str">
        <f>HYPERLINK("http://exon.niaid.nih.gov/transcriptome/T_rubida/S1/links/NR/Triru-contig_63-NR.txt","NR")</f>
        <v>NR</v>
      </c>
      <c r="T5" s="23">
        <v>8E-41</v>
      </c>
      <c r="U5">
        <v>95</v>
      </c>
      <c r="V5" s="1" t="str">
        <f>HYPERLINK("http://exon.niaid.nih.gov/transcriptome/T_rubida/S1/links/NR/Triru-contig_63-NR.txt","unnamed protein product")</f>
        <v>unnamed protein product</v>
      </c>
      <c r="W5" t="str">
        <f>HYPERLINK("http://www.ncbi.nlm.nih.gov/sutils/blink.cgi?pid=270046202","1E-051")</f>
        <v>1E-051</v>
      </c>
      <c r="X5" t="str">
        <f>HYPERLINK("http://www.ncbi.nlm.nih.gov/protein/270046202","gi|270046202")</f>
        <v>gi|270046202</v>
      </c>
      <c r="Y5">
        <v>207</v>
      </c>
      <c r="Z5">
        <v>191</v>
      </c>
      <c r="AA5">
        <v>200</v>
      </c>
      <c r="AB5">
        <v>55</v>
      </c>
      <c r="AC5">
        <v>96</v>
      </c>
      <c r="AD5">
        <v>86</v>
      </c>
      <c r="AE5">
        <v>3</v>
      </c>
      <c r="AF5">
        <v>9</v>
      </c>
      <c r="AG5">
        <v>15</v>
      </c>
      <c r="AH5">
        <v>1</v>
      </c>
      <c r="AI5">
        <v>3</v>
      </c>
      <c r="AJ5" t="s">
        <v>11</v>
      </c>
      <c r="AL5" t="s">
        <v>700</v>
      </c>
      <c r="AM5" t="s">
        <v>1015</v>
      </c>
      <c r="AN5" t="s">
        <v>1016</v>
      </c>
      <c r="AO5" s="1" t="str">
        <f>HYPERLINK("http://exon.niaid.nih.gov/transcriptome/T_rubida/S1/links/SWISSP/Triru-contig_63-SWISSP.txt","Procalin")</f>
        <v>Procalin</v>
      </c>
      <c r="AP5" t="str">
        <f>HYPERLINK("http://www.uniprot.org/uniprot/Q9U6R6","2E-013")</f>
        <v>2E-013</v>
      </c>
      <c r="AQ5" t="s">
        <v>703</v>
      </c>
      <c r="AR5">
        <v>76.3</v>
      </c>
      <c r="AS5">
        <v>149</v>
      </c>
      <c r="AT5">
        <v>29</v>
      </c>
      <c r="AU5">
        <v>89</v>
      </c>
      <c r="AV5">
        <v>120</v>
      </c>
      <c r="AW5">
        <v>6</v>
      </c>
      <c r="AX5">
        <v>9</v>
      </c>
      <c r="AY5">
        <v>15</v>
      </c>
      <c r="AZ5">
        <v>1</v>
      </c>
      <c r="BA5">
        <v>3</v>
      </c>
      <c r="BB5" t="s">
        <v>11</v>
      </c>
      <c r="BD5" t="s">
        <v>704</v>
      </c>
      <c r="BE5" t="s">
        <v>705</v>
      </c>
      <c r="BF5" t="s">
        <v>1017</v>
      </c>
      <c r="BG5" t="s">
        <v>1018</v>
      </c>
      <c r="BH5" s="1" t="s">
        <v>57</v>
      </c>
      <c r="BI5" t="s">
        <v>57</v>
      </c>
      <c r="BJ5" s="1" t="str">
        <f>HYPERLINK("http://exon.niaid.nih.gov/transcriptome/T_rubida/S1/links/CDD/Triru-contig_63-CDD.txt","Triabin")</f>
        <v>Triabin</v>
      </c>
      <c r="BK5" t="str">
        <f>HYPERLINK("http://www.ncbi.nlm.nih.gov/Structure/cdd/cddsrv.cgi?uid=pfam03973&amp;version=v4.0","2E-019")</f>
        <v>2E-019</v>
      </c>
      <c r="BL5" t="s">
        <v>1019</v>
      </c>
      <c r="BM5" s="1" t="str">
        <f>HYPERLINK("http://exon.niaid.nih.gov/transcriptome/T_rubida/S1/links/KOG/Triru-contig_63-KOG.txt","Apolipoprotein D/Lipocalin")</f>
        <v>Apolipoprotein D/Lipocalin</v>
      </c>
      <c r="BN5" t="str">
        <f>HYPERLINK("http://www.ncbi.nlm.nih.gov/COG/grace/shokog.cgi?KOG4824","0.002")</f>
        <v>0.002</v>
      </c>
      <c r="BO5" t="s">
        <v>760</v>
      </c>
      <c r="BP5" s="1" t="str">
        <f>HYPERLINK("http://exon.niaid.nih.gov/transcriptome/T_rubida/S1/links/PFAM/Triru-contig_63-PFAM.txt","Triabin")</f>
        <v>Triabin</v>
      </c>
      <c r="BQ5" t="str">
        <f>HYPERLINK("http://pfam.sanger.ac.uk/family?acc=PF03973","4E-020")</f>
        <v>4E-020</v>
      </c>
      <c r="BR5" s="1" t="str">
        <f>HYPERLINK("http://exon.niaid.nih.gov/transcriptome/T_rubida/S1/links/SMART/Triru-contig_63-SMART.txt","MA3")</f>
        <v>MA3</v>
      </c>
      <c r="BS5" t="str">
        <f>HYPERLINK("http://smart.embl-heidelberg.de/smart/do_annotation.pl?DOMAIN=MA3&amp;BLAST=DUMMY","0.072")</f>
        <v>0.072</v>
      </c>
      <c r="BT5" s="1" t="str">
        <f>HYPERLINK("http://exon.niaid.nih.gov/transcriptome/T_rubida/S1/links/PRK/Triru-contig_63-PRK.txt","potassium transport protein Kup")</f>
        <v>potassium transport protein Kup</v>
      </c>
      <c r="BU5">
        <v>6.3E-2</v>
      </c>
      <c r="BV5" s="1" t="s">
        <v>57</v>
      </c>
      <c r="BW5" t="s">
        <v>57</v>
      </c>
      <c r="BX5" s="1" t="s">
        <v>57</v>
      </c>
      <c r="BY5" t="s">
        <v>57</v>
      </c>
    </row>
    <row r="6" spans="1:77">
      <c r="A6" t="str">
        <f>HYPERLINK("http://exon.niaid.nih.gov/transcriptome/T_rubida/S1/links/Triru/Triru-contig_56.txt","Triru-contig_56")</f>
        <v>Triru-contig_56</v>
      </c>
      <c r="B6">
        <v>27</v>
      </c>
      <c r="C6" t="str">
        <f>HYPERLINK("http://exon.niaid.nih.gov/transcriptome/T_rubida/S1/links/Triru/Triru-5-48-asb-56.txt","Contig-56")</f>
        <v>Contig-56</v>
      </c>
      <c r="D6" t="str">
        <f>HYPERLINK("http://exon.niaid.nih.gov/transcriptome/T_rubida/S1/links/Triru/Triru-5-48-56-CLU.txt","Contig56")</f>
        <v>Contig56</v>
      </c>
      <c r="E6" t="str">
        <f>HYPERLINK("http://exon.niaid.nih.gov/transcriptome/T_rubida/S1/links/Triru/Triru-5-48-56-qual.txt","79.9")</f>
        <v>79.9</v>
      </c>
      <c r="F6" t="s">
        <v>10</v>
      </c>
      <c r="G6">
        <v>66.900000000000006</v>
      </c>
      <c r="H6">
        <v>713</v>
      </c>
      <c r="I6" t="s">
        <v>68</v>
      </c>
      <c r="J6">
        <v>713</v>
      </c>
      <c r="K6">
        <v>741</v>
      </c>
      <c r="L6">
        <v>636</v>
      </c>
      <c r="M6" t="s">
        <v>5078</v>
      </c>
      <c r="N6" s="15">
        <v>2</v>
      </c>
      <c r="O6" s="14" t="str">
        <f>HYPERLINK("http://exon.niaid.nih.gov/transcriptome/T_rubida/S1/links/Sigp/TRIRU-CONTIG_56-SigP.txt","SIG")</f>
        <v>SIG</v>
      </c>
      <c r="P6" t="s">
        <v>5058</v>
      </c>
      <c r="Q6" s="5" t="s">
        <v>4829</v>
      </c>
      <c r="R6" t="s">
        <v>5719</v>
      </c>
      <c r="S6" t="str">
        <f>HYPERLINK("http://exon.niaid.nih.gov/transcriptome/T_rubida/S1/links/NR/Triru-contig_56-NR.txt","NR")</f>
        <v>NR</v>
      </c>
      <c r="T6" s="23">
        <v>5E-52</v>
      </c>
      <c r="U6">
        <v>101.5</v>
      </c>
      <c r="V6" s="1" t="str">
        <f>HYPERLINK("http://exon.niaid.nih.gov/transcriptome/T_rubida/S1/links/NR/Triru-contig_56-NR.txt","unnamed protein product")</f>
        <v>unnamed protein product</v>
      </c>
      <c r="W6" t="str">
        <f>HYPERLINK("http://www.ncbi.nlm.nih.gov/sutils/blink.cgi?pid=270046188","4E-065")</f>
        <v>4E-065</v>
      </c>
      <c r="X6" t="str">
        <f>HYPERLINK("http://www.ncbi.nlm.nih.gov/protein/270046188","gi|270046188")</f>
        <v>gi|270046188</v>
      </c>
      <c r="Y6">
        <v>252</v>
      </c>
      <c r="Z6">
        <v>196</v>
      </c>
      <c r="AA6">
        <v>197</v>
      </c>
      <c r="AB6">
        <v>62</v>
      </c>
      <c r="AC6">
        <v>100</v>
      </c>
      <c r="AD6">
        <v>75</v>
      </c>
      <c r="AE6">
        <v>1</v>
      </c>
      <c r="AF6">
        <v>1</v>
      </c>
      <c r="AG6">
        <v>59</v>
      </c>
      <c r="AH6">
        <v>1</v>
      </c>
      <c r="AI6">
        <v>2</v>
      </c>
      <c r="AJ6" t="s">
        <v>11</v>
      </c>
      <c r="AL6" t="s">
        <v>700</v>
      </c>
      <c r="AM6" t="s">
        <v>980</v>
      </c>
      <c r="AN6" t="s">
        <v>948</v>
      </c>
      <c r="AO6" s="1" t="str">
        <f>HYPERLINK("http://exon.niaid.nih.gov/transcriptome/T_rubida/S1/links/SWISSP/Triru-contig_56-SWISSP.txt","Triabin")</f>
        <v>Triabin</v>
      </c>
      <c r="AP6" t="str">
        <f>HYPERLINK("http://www.uniprot.org/uniprot/Q27049","2E-010")</f>
        <v>2E-010</v>
      </c>
      <c r="AQ6" t="s">
        <v>970</v>
      </c>
      <c r="AR6">
        <v>66.599999999999994</v>
      </c>
      <c r="AS6">
        <v>158</v>
      </c>
      <c r="AT6">
        <v>26</v>
      </c>
      <c r="AU6">
        <v>99</v>
      </c>
      <c r="AV6">
        <v>131</v>
      </c>
      <c r="AW6">
        <v>3</v>
      </c>
      <c r="AX6">
        <v>1</v>
      </c>
      <c r="AY6">
        <v>59</v>
      </c>
      <c r="AZ6">
        <v>1</v>
      </c>
      <c r="BA6">
        <v>2</v>
      </c>
      <c r="BB6" t="s">
        <v>11</v>
      </c>
      <c r="BD6" t="s">
        <v>704</v>
      </c>
      <c r="BE6" t="s">
        <v>971</v>
      </c>
      <c r="BF6" t="s">
        <v>981</v>
      </c>
      <c r="BG6" t="s">
        <v>982</v>
      </c>
      <c r="BH6" s="1" t="s">
        <v>983</v>
      </c>
      <c r="BI6">
        <f>HYPERLINK("http://exon.niaid.nih.gov/transcriptome/T_rubida/S1/links/GO/Triru-contig_56-GO.txt",0.00005)</f>
        <v>5.0000000000000002E-5</v>
      </c>
      <c r="BJ6" s="1" t="str">
        <f>HYPERLINK("http://exon.niaid.nih.gov/transcriptome/T_rubida/S1/links/CDD/Triru-contig_56-CDD.txt","Triabin")</f>
        <v>Triabin</v>
      </c>
      <c r="BK6" t="str">
        <f>HYPERLINK("http://www.ncbi.nlm.nih.gov/Structure/cdd/cddsrv.cgi?uid=pfam03973&amp;version=v4.0","3E-023")</f>
        <v>3E-023</v>
      </c>
      <c r="BL6" t="s">
        <v>984</v>
      </c>
      <c r="BM6" s="1" t="str">
        <f>HYPERLINK("http://exon.niaid.nih.gov/transcriptome/T_rubida/S1/links/KOG/Triru-contig_56-KOG.txt","Voltage-gated Ca2+ channels, alpha1 subunits")</f>
        <v>Voltage-gated Ca2+ channels, alpha1 subunits</v>
      </c>
      <c r="BN6" t="str">
        <f>HYPERLINK("http://www.ncbi.nlm.nih.gov/COG/grace/shokog.cgi?KOG2301","0.27")</f>
        <v>0.27</v>
      </c>
      <c r="BO6" t="s">
        <v>720</v>
      </c>
      <c r="BP6" s="1" t="str">
        <f>HYPERLINK("http://exon.niaid.nih.gov/transcriptome/T_rubida/S1/links/PFAM/Triru-contig_56-PFAM.txt","Triabin")</f>
        <v>Triabin</v>
      </c>
      <c r="BQ6" t="str">
        <f>HYPERLINK("http://pfam.sanger.ac.uk/family?acc=PF03973","7E-024")</f>
        <v>7E-024</v>
      </c>
      <c r="BR6" s="1" t="str">
        <f>HYPERLINK("http://exon.niaid.nih.gov/transcriptome/T_rubida/S1/links/SMART/Triru-contig_56-SMART.txt","DENN")</f>
        <v>DENN</v>
      </c>
      <c r="BS6" t="str">
        <f>HYPERLINK("http://smart.embl-heidelberg.de/smart/do_annotation.pl?DOMAIN=DENN&amp;BLAST=DUMMY","0.50")</f>
        <v>0.50</v>
      </c>
      <c r="BT6" s="1" t="str">
        <f>HYPERLINK("http://exon.niaid.nih.gov/transcriptome/T_rubida/S1/links/PRK/Triru-contig_56-PRK.txt","hypothetical protein")</f>
        <v>hypothetical protein</v>
      </c>
      <c r="BU6">
        <v>0.2</v>
      </c>
      <c r="BV6" s="1" t="s">
        <v>57</v>
      </c>
      <c r="BW6" t="s">
        <v>57</v>
      </c>
      <c r="BX6" s="1" t="s">
        <v>57</v>
      </c>
      <c r="BY6" t="s">
        <v>57</v>
      </c>
    </row>
    <row r="7" spans="1:77">
      <c r="A7" t="str">
        <f>HYPERLINK("http://exon.niaid.nih.gov/transcriptome/T_rubida/S1/links/Triru/Triru-contig_73.txt","Triru-contig_73")</f>
        <v>Triru-contig_73</v>
      </c>
      <c r="B7">
        <v>20</v>
      </c>
      <c r="C7" t="str">
        <f>HYPERLINK("http://exon.niaid.nih.gov/transcriptome/T_rubida/S1/links/Triru/Triru-5-48-asb-73.txt","Contig-73")</f>
        <v>Contig-73</v>
      </c>
      <c r="D7" t="str">
        <f>HYPERLINK("http://exon.niaid.nih.gov/transcriptome/T_rubida/S1/links/Triru/Triru-5-48-73-CLU.txt","Contig73")</f>
        <v>Contig73</v>
      </c>
      <c r="E7" t="str">
        <f>HYPERLINK("http://exon.niaid.nih.gov/transcriptome/T_rubida/S1/links/Triru/Triru-5-48-73-qual.txt","92.3")</f>
        <v>92.3</v>
      </c>
      <c r="F7" t="s">
        <v>10</v>
      </c>
      <c r="G7">
        <v>67.599999999999994</v>
      </c>
      <c r="H7">
        <v>468</v>
      </c>
      <c r="I7" t="s">
        <v>85</v>
      </c>
      <c r="J7">
        <v>495</v>
      </c>
      <c r="K7">
        <v>490</v>
      </c>
      <c r="L7">
        <v>423</v>
      </c>
      <c r="M7" t="s">
        <v>5070</v>
      </c>
      <c r="N7" s="15">
        <v>1</v>
      </c>
      <c r="O7" s="14" t="str">
        <f>HYPERLINK("http://exon.niaid.nih.gov/transcriptome/T_rubida/S1/links/Sigp/TRIRU-CONTIG_73-SigP.txt","Cyt")</f>
        <v>Cyt</v>
      </c>
      <c r="Q7" s="5" t="s">
        <v>4831</v>
      </c>
      <c r="R7" t="s">
        <v>5719</v>
      </c>
      <c r="S7" t="str">
        <f>HYPERLINK("http://exon.niaid.nih.gov/transcriptome/T_rubida/S1/links/NR/Triru-contig_73-NR.txt","NR")</f>
        <v>NR</v>
      </c>
      <c r="T7" s="23">
        <v>1E-35</v>
      </c>
      <c r="U7">
        <v>78</v>
      </c>
      <c r="V7" s="1" t="str">
        <f>HYPERLINK("http://exon.niaid.nih.gov/transcriptome/T_rubida/S1/links/NR/Triru-contig_73-NR.txt","lipocalin-like TiLipo37")</f>
        <v>lipocalin-like TiLipo37</v>
      </c>
      <c r="W7" t="str">
        <f>HYPERLINK("http://www.ncbi.nlm.nih.gov/sutils/blink.cgi?pid=34421652","1E-035")</f>
        <v>1E-035</v>
      </c>
      <c r="X7" t="str">
        <f>HYPERLINK("http://www.ncbi.nlm.nih.gov/protein/34421652","gi|34421652")</f>
        <v>gi|34421652</v>
      </c>
      <c r="Y7">
        <v>153</v>
      </c>
      <c r="Z7">
        <v>135</v>
      </c>
      <c r="AA7">
        <v>178</v>
      </c>
      <c r="AB7">
        <v>58</v>
      </c>
      <c r="AC7">
        <v>76</v>
      </c>
      <c r="AD7">
        <v>58</v>
      </c>
      <c r="AE7">
        <v>0</v>
      </c>
      <c r="AF7">
        <v>43</v>
      </c>
      <c r="AG7">
        <v>7</v>
      </c>
      <c r="AH7">
        <v>1</v>
      </c>
      <c r="AI7">
        <v>1</v>
      </c>
      <c r="AJ7" t="s">
        <v>11</v>
      </c>
      <c r="AL7" t="s">
        <v>1067</v>
      </c>
      <c r="AM7" t="s">
        <v>1068</v>
      </c>
      <c r="AN7" t="s">
        <v>1069</v>
      </c>
      <c r="AO7" s="1" t="str">
        <f>HYPERLINK("http://exon.niaid.nih.gov/transcriptome/T_rubida/S1/links/SWISSP/Triru-contig_73-SWISSP.txt","Procalin")</f>
        <v>Procalin</v>
      </c>
      <c r="AP7" t="str">
        <f>HYPERLINK("http://www.uniprot.org/uniprot/Q9U6R6","3E-022")</f>
        <v>3E-022</v>
      </c>
      <c r="AQ7" t="s">
        <v>703</v>
      </c>
      <c r="AR7">
        <v>104</v>
      </c>
      <c r="AS7">
        <v>127</v>
      </c>
      <c r="AT7">
        <v>41</v>
      </c>
      <c r="AU7">
        <v>76</v>
      </c>
      <c r="AV7">
        <v>76</v>
      </c>
      <c r="AW7">
        <v>0</v>
      </c>
      <c r="AX7">
        <v>41</v>
      </c>
      <c r="AY7">
        <v>7</v>
      </c>
      <c r="AZ7">
        <v>1</v>
      </c>
      <c r="BA7">
        <v>1</v>
      </c>
      <c r="BB7" t="s">
        <v>11</v>
      </c>
      <c r="BD7" t="s">
        <v>704</v>
      </c>
      <c r="BE7" t="s">
        <v>705</v>
      </c>
      <c r="BF7" t="s">
        <v>1070</v>
      </c>
      <c r="BG7" t="s">
        <v>1071</v>
      </c>
      <c r="BH7" s="1" t="s">
        <v>57</v>
      </c>
      <c r="BI7" t="s">
        <v>57</v>
      </c>
      <c r="BJ7" s="1" t="str">
        <f>HYPERLINK("http://exon.niaid.nih.gov/transcriptome/T_rubida/S1/links/CDD/Triru-contig_73-CDD.txt","Triabin")</f>
        <v>Triabin</v>
      </c>
      <c r="BK7" t="str">
        <f>HYPERLINK("http://www.ncbi.nlm.nih.gov/Structure/cdd/cddsrv.cgi?uid=pfam03973&amp;version=v4.0","6E-020")</f>
        <v>6E-020</v>
      </c>
      <c r="BL7" t="s">
        <v>1072</v>
      </c>
      <c r="BM7" s="1" t="str">
        <f>HYPERLINK("http://exon.niaid.nih.gov/transcriptome/T_rubida/S1/links/KOG/Triru-contig_73-KOG.txt","Inositol 1,4,5-trisphosphate receptor")</f>
        <v>Inositol 1,4,5-trisphosphate receptor</v>
      </c>
      <c r="BN7" t="str">
        <f>HYPERLINK("http://www.ncbi.nlm.nih.gov/COG/grace/shokog.cgi?KOG3533","0.36")</f>
        <v>0.36</v>
      </c>
      <c r="BO7" t="s">
        <v>728</v>
      </c>
      <c r="BP7" s="1" t="str">
        <f>HYPERLINK("http://exon.niaid.nih.gov/transcriptome/T_rubida/S1/links/PFAM/Triru-contig_73-PFAM.txt","Triabin")</f>
        <v>Triabin</v>
      </c>
      <c r="BQ7" t="str">
        <f>HYPERLINK("http://pfam.sanger.ac.uk/family?acc=PF03973","1E-020")</f>
        <v>1E-020</v>
      </c>
      <c r="BR7" s="1" t="str">
        <f>HYPERLINK("http://exon.niaid.nih.gov/transcriptome/T_rubida/S1/links/SMART/Triru-contig_73-SMART.txt","TR_FER")</f>
        <v>TR_FER</v>
      </c>
      <c r="BS7" t="str">
        <f>HYPERLINK("http://smart.embl-heidelberg.de/smart/do_annotation.pl?DOMAIN=TR_FER&amp;BLAST=DUMMY","0.002")</f>
        <v>0.002</v>
      </c>
      <c r="BT7" s="1" t="str">
        <f>HYPERLINK("http://exon.niaid.nih.gov/transcriptome/T_rubida/S1/links/PRK/Triru-contig_73-PRK.txt","DNA primase large subunit")</f>
        <v>DNA primase large subunit</v>
      </c>
      <c r="BU7">
        <v>0.18</v>
      </c>
      <c r="BV7" s="1" t="s">
        <v>57</v>
      </c>
      <c r="BW7" t="s">
        <v>57</v>
      </c>
      <c r="BX7" s="1" t="s">
        <v>57</v>
      </c>
      <c r="BY7" t="s">
        <v>57</v>
      </c>
    </row>
    <row r="8" spans="1:77">
      <c r="A8" t="str">
        <f>HYPERLINK("http://exon.niaid.nih.gov/transcriptome/T_rubida/S1/links/Triru/Triru-contig_52.txt","Triru-contig_52")</f>
        <v>Triru-contig_52</v>
      </c>
      <c r="B8">
        <v>18</v>
      </c>
      <c r="C8" t="str">
        <f>HYPERLINK("http://exon.niaid.nih.gov/transcriptome/T_rubida/S1/links/Triru/Triru-5-48-asb-52.txt","Contig-52")</f>
        <v>Contig-52</v>
      </c>
      <c r="D8" t="str">
        <f>HYPERLINK("http://exon.niaid.nih.gov/transcriptome/T_rubida/S1/links/Triru/Triru-5-48-52-CLU.txt","Contig52")</f>
        <v>Contig52</v>
      </c>
      <c r="E8" t="str">
        <f>HYPERLINK("http://exon.niaid.nih.gov/transcriptome/T_rubida/S1/links/Triru/Triru-5-48-52-qual.txt","73.")</f>
        <v>73.</v>
      </c>
      <c r="F8" t="s">
        <v>10</v>
      </c>
      <c r="G8">
        <v>67.2</v>
      </c>
      <c r="H8">
        <v>588</v>
      </c>
      <c r="I8" t="s">
        <v>64</v>
      </c>
      <c r="J8">
        <v>592</v>
      </c>
      <c r="K8">
        <v>612</v>
      </c>
      <c r="L8">
        <v>372</v>
      </c>
      <c r="M8" t="s">
        <v>5081</v>
      </c>
      <c r="N8" s="15">
        <v>3</v>
      </c>
      <c r="O8" s="14" t="str">
        <f>HYPERLINK("http://exon.niaid.nih.gov/transcriptome/T_rubida/S1/links/Sigp/TRIRU-CONTIG_52-SigP.txt","Cyt")</f>
        <v>Cyt</v>
      </c>
      <c r="Q8" s="5" t="s">
        <v>4829</v>
      </c>
      <c r="R8" t="s">
        <v>5719</v>
      </c>
      <c r="S8" t="str">
        <f>HYPERLINK("http://exon.niaid.nih.gov/transcriptome/T_rubida/S1/links/NR/Triru-contig_52-NR.txt","NR")</f>
        <v>NR</v>
      </c>
      <c r="T8" s="23">
        <v>2E-41</v>
      </c>
      <c r="U8">
        <v>60</v>
      </c>
      <c r="V8" s="1" t="str">
        <f>HYPERLINK("http://exon.niaid.nih.gov/transcriptome/T_rubida/S1/links/NR/Triru-contig_52-NR.txt","unnamed protein product")</f>
        <v>unnamed protein product</v>
      </c>
      <c r="W8" t="str">
        <f>HYPERLINK("http://www.ncbi.nlm.nih.gov/sutils/blink.cgi?pid=270046188","2E-056")</f>
        <v>2E-056</v>
      </c>
      <c r="X8" t="str">
        <f>HYPERLINK("http://www.ncbi.nlm.nih.gov/protein/270046188","gi|270046188")</f>
        <v>gi|270046188</v>
      </c>
      <c r="Y8">
        <v>164</v>
      </c>
      <c r="Z8">
        <v>174</v>
      </c>
      <c r="AA8">
        <v>197</v>
      </c>
      <c r="AB8">
        <v>65</v>
      </c>
      <c r="AC8">
        <v>89</v>
      </c>
      <c r="AD8">
        <v>40</v>
      </c>
      <c r="AE8">
        <v>0</v>
      </c>
      <c r="AF8">
        <v>23</v>
      </c>
      <c r="AG8">
        <v>2</v>
      </c>
      <c r="AH8">
        <v>2</v>
      </c>
      <c r="AI8">
        <v>3</v>
      </c>
      <c r="AJ8" t="s">
        <v>888</v>
      </c>
      <c r="AL8" t="s">
        <v>700</v>
      </c>
      <c r="AM8" t="s">
        <v>955</v>
      </c>
      <c r="AN8" t="s">
        <v>956</v>
      </c>
      <c r="AO8" s="1" t="str">
        <f>HYPERLINK("http://exon.niaid.nih.gov/transcriptome/T_rubida/S1/links/SWISSP/Triru-contig_52-SWISSP.txt","Nitrophorin-7")</f>
        <v>Nitrophorin-7</v>
      </c>
      <c r="AP8" t="str">
        <f>HYPERLINK("http://www.uniprot.org/uniprot/Q6PQK2","0.019")</f>
        <v>0.019</v>
      </c>
      <c r="AQ8" t="s">
        <v>957</v>
      </c>
      <c r="AR8">
        <v>30.4</v>
      </c>
      <c r="AS8">
        <v>159</v>
      </c>
      <c r="AT8">
        <v>33</v>
      </c>
      <c r="AU8">
        <v>78</v>
      </c>
      <c r="AV8">
        <v>26</v>
      </c>
      <c r="AW8">
        <v>0</v>
      </c>
      <c r="AX8">
        <v>34</v>
      </c>
      <c r="AY8">
        <v>47</v>
      </c>
      <c r="AZ8">
        <v>2</v>
      </c>
      <c r="BA8">
        <v>2</v>
      </c>
      <c r="BB8" t="s">
        <v>888</v>
      </c>
      <c r="BD8" t="s">
        <v>704</v>
      </c>
      <c r="BE8" t="s">
        <v>958</v>
      </c>
      <c r="BF8" t="s">
        <v>959</v>
      </c>
      <c r="BG8" t="s">
        <v>960</v>
      </c>
      <c r="BH8" s="1" t="s">
        <v>57</v>
      </c>
      <c r="BI8" t="s">
        <v>57</v>
      </c>
      <c r="BJ8" s="1" t="str">
        <f>HYPERLINK("http://exon.niaid.nih.gov/transcriptome/T_rubida/S1/links/CDD/Triru-contig_52-CDD.txt","Triabin")</f>
        <v>Triabin</v>
      </c>
      <c r="BK8" t="str">
        <f>HYPERLINK("http://www.ncbi.nlm.nih.gov/Structure/cdd/cddsrv.cgi?uid=pfam03973&amp;version=v4.0","3E-010")</f>
        <v>3E-010</v>
      </c>
      <c r="BL8" t="s">
        <v>961</v>
      </c>
      <c r="BM8" s="1" t="str">
        <f>HYPERLINK("http://exon.niaid.nih.gov/transcriptome/T_rubida/S1/links/KOG/Triru-contig_52-KOG.txt","Lipid exporter ABCA1 and related proteins, ABC superfamily")</f>
        <v>Lipid exporter ABCA1 and related proteins, ABC superfamily</v>
      </c>
      <c r="BN8" t="str">
        <f>HYPERLINK("http://www.ncbi.nlm.nih.gov/COG/grace/shokog.cgi?KOG0059","0.32")</f>
        <v>0.32</v>
      </c>
      <c r="BO8" t="s">
        <v>962</v>
      </c>
      <c r="BP8" s="1" t="str">
        <f>HYPERLINK("http://exon.niaid.nih.gov/transcriptome/T_rubida/S1/links/PFAM/Triru-contig_52-PFAM.txt","Triabin")</f>
        <v>Triabin</v>
      </c>
      <c r="BQ8" t="str">
        <f>HYPERLINK("http://pfam.sanger.ac.uk/family?acc=PF03973","6E-011")</f>
        <v>6E-011</v>
      </c>
      <c r="BR8" s="1" t="str">
        <f>HYPERLINK("http://exon.niaid.nih.gov/transcriptome/T_rubida/S1/links/SMART/Triru-contig_52-SMART.txt","ZnF_TAZ")</f>
        <v>ZnF_TAZ</v>
      </c>
      <c r="BS8" t="str">
        <f>HYPERLINK("http://smart.embl-heidelberg.de/smart/do_annotation.pl?DOMAIN=ZnF_TAZ&amp;BLAST=DUMMY","0.18")</f>
        <v>0.18</v>
      </c>
      <c r="BT8" s="1" t="str">
        <f>HYPERLINK("http://exon.niaid.nih.gov/transcriptome/T_rubida/S1/links/PRK/Triru-contig_52-PRK.txt","hypothetical protein")</f>
        <v>hypothetical protein</v>
      </c>
      <c r="BU8">
        <v>0.25</v>
      </c>
      <c r="BV8" s="1" t="s">
        <v>57</v>
      </c>
      <c r="BW8" t="s">
        <v>57</v>
      </c>
      <c r="BX8" s="1" t="s">
        <v>57</v>
      </c>
      <c r="BY8" t="s">
        <v>57</v>
      </c>
    </row>
    <row r="9" spans="1:77">
      <c r="A9" t="str">
        <f>HYPERLINK("http://exon.niaid.nih.gov/transcriptome/T_rubida/S1/links/Triru/Triru-contig_67.txt","Triru-contig_67")</f>
        <v>Triru-contig_67</v>
      </c>
      <c r="B9">
        <v>17</v>
      </c>
      <c r="C9" t="str">
        <f>HYPERLINK("http://exon.niaid.nih.gov/transcriptome/T_rubida/S1/links/Triru/Triru-5-48-asb-67.txt","Contig-67")</f>
        <v>Contig-67</v>
      </c>
      <c r="D9" t="str">
        <f>HYPERLINK("http://exon.niaid.nih.gov/transcriptome/T_rubida/S1/links/Triru/Triru-5-48-67-CLU.txt","Contig67")</f>
        <v>Contig67</v>
      </c>
      <c r="E9" t="str">
        <f>HYPERLINK("http://exon.niaid.nih.gov/transcriptome/T_rubida/S1/links/Triru/Triru-5-48-67-qual.txt","86.7")</f>
        <v>86.7</v>
      </c>
      <c r="F9" t="s">
        <v>10</v>
      </c>
      <c r="G9">
        <v>67.3</v>
      </c>
      <c r="H9">
        <v>780</v>
      </c>
      <c r="I9" t="s">
        <v>79</v>
      </c>
      <c r="J9">
        <v>781</v>
      </c>
      <c r="K9">
        <v>804</v>
      </c>
      <c r="L9">
        <v>597</v>
      </c>
      <c r="M9" t="s">
        <v>5079</v>
      </c>
      <c r="N9" s="15">
        <v>3</v>
      </c>
      <c r="O9" s="14" t="str">
        <f>HYPERLINK("http://exon.niaid.nih.gov/transcriptome/T_rubida/S1/links/Sigp/TRIRU-CONTIG_67-SigP.txt","SIG")</f>
        <v>SIG</v>
      </c>
      <c r="P9" t="s">
        <v>5059</v>
      </c>
      <c r="Q9" s="5" t="s">
        <v>4829</v>
      </c>
      <c r="R9" t="s">
        <v>5719</v>
      </c>
      <c r="S9" t="str">
        <f>HYPERLINK("http://exon.niaid.nih.gov/transcriptome/T_rubida/S1/links/NR/Triru-contig_67-NR.txt","NR")</f>
        <v>NR</v>
      </c>
      <c r="T9" s="23">
        <v>9.9999999999999997E-48</v>
      </c>
      <c r="U9">
        <v>98.5</v>
      </c>
      <c r="V9" s="1" t="str">
        <f>HYPERLINK("http://exon.niaid.nih.gov/transcriptome/T_rubida/S1/links/NR/Triru-contig_67-NR.txt","unnamed protein product")</f>
        <v>unnamed protein product</v>
      </c>
      <c r="W9" t="str">
        <f>HYPERLINK("http://www.ncbi.nlm.nih.gov/sutils/blink.cgi?pid=270046202","1E-060")</f>
        <v>1E-060</v>
      </c>
      <c r="X9" t="str">
        <f>HYPERLINK("http://www.ncbi.nlm.nih.gov/protein/270046202","gi|270046202")</f>
        <v>gi|270046202</v>
      </c>
      <c r="Y9">
        <v>238</v>
      </c>
      <c r="Z9">
        <v>199</v>
      </c>
      <c r="AA9">
        <v>200</v>
      </c>
      <c r="AB9">
        <v>60</v>
      </c>
      <c r="AC9">
        <v>100</v>
      </c>
      <c r="AD9">
        <v>80</v>
      </c>
      <c r="AE9">
        <v>4</v>
      </c>
      <c r="AF9">
        <v>1</v>
      </c>
      <c r="AG9">
        <v>9</v>
      </c>
      <c r="AH9">
        <v>1</v>
      </c>
      <c r="AI9">
        <v>3</v>
      </c>
      <c r="AJ9" t="s">
        <v>11</v>
      </c>
      <c r="AL9" t="s">
        <v>700</v>
      </c>
      <c r="AM9" t="s">
        <v>1038</v>
      </c>
      <c r="AN9" t="s">
        <v>1016</v>
      </c>
      <c r="AO9" s="1" t="str">
        <f>HYPERLINK("http://exon.niaid.nih.gov/transcriptome/T_rubida/S1/links/SWISSP/Triru-contig_67-SWISSP.txt","Procalin")</f>
        <v>Procalin</v>
      </c>
      <c r="AP9" t="str">
        <f>HYPERLINK("http://www.uniprot.org/uniprot/Q9U6R6","2E-016")</f>
        <v>2E-016</v>
      </c>
      <c r="AQ9" t="s">
        <v>703</v>
      </c>
      <c r="AR9">
        <v>86.3</v>
      </c>
      <c r="AS9">
        <v>161</v>
      </c>
      <c r="AT9">
        <v>29</v>
      </c>
      <c r="AU9">
        <v>96</v>
      </c>
      <c r="AV9">
        <v>124</v>
      </c>
      <c r="AW9">
        <v>1</v>
      </c>
      <c r="AX9">
        <v>1</v>
      </c>
      <c r="AY9">
        <v>9</v>
      </c>
      <c r="AZ9">
        <v>1</v>
      </c>
      <c r="BA9">
        <v>3</v>
      </c>
      <c r="BB9" t="s">
        <v>11</v>
      </c>
      <c r="BD9" t="s">
        <v>704</v>
      </c>
      <c r="BE9" t="s">
        <v>705</v>
      </c>
      <c r="BF9" t="s">
        <v>1039</v>
      </c>
      <c r="BG9" t="s">
        <v>1040</v>
      </c>
      <c r="BH9" s="1" t="s">
        <v>57</v>
      </c>
      <c r="BI9" t="s">
        <v>57</v>
      </c>
      <c r="BJ9" s="1" t="str">
        <f>HYPERLINK("http://exon.niaid.nih.gov/transcriptome/T_rubida/S1/links/CDD/Triru-contig_67-CDD.txt","Triabin")</f>
        <v>Triabin</v>
      </c>
      <c r="BK9" t="str">
        <f>HYPERLINK("http://www.ncbi.nlm.nih.gov/Structure/cdd/cddsrv.cgi?uid=pfam03973&amp;version=v4.0","3E-019")</f>
        <v>3E-019</v>
      </c>
      <c r="BL9" t="s">
        <v>1041</v>
      </c>
      <c r="BM9" s="1" t="str">
        <f>HYPERLINK("http://exon.niaid.nih.gov/transcriptome/T_rubida/S1/links/KOG/Triru-contig_67-KOG.txt","Apolipoprotein D/Lipocalin")</f>
        <v>Apolipoprotein D/Lipocalin</v>
      </c>
      <c r="BN9" t="str">
        <f>HYPERLINK("http://www.ncbi.nlm.nih.gov/COG/grace/shokog.cgi?KOG4824","9E-005")</f>
        <v>9E-005</v>
      </c>
      <c r="BO9" t="s">
        <v>760</v>
      </c>
      <c r="BP9" s="1" t="str">
        <f>HYPERLINK("http://exon.niaid.nih.gov/transcriptome/T_rubida/S1/links/PFAM/Triru-contig_67-PFAM.txt","Triabin")</f>
        <v>Triabin</v>
      </c>
      <c r="BQ9" t="str">
        <f>HYPERLINK("http://pfam.sanger.ac.uk/family?acc=PF03973","7E-020")</f>
        <v>7E-020</v>
      </c>
      <c r="BR9" s="1" t="str">
        <f>HYPERLINK("http://exon.niaid.nih.gov/transcriptome/T_rubida/S1/links/SMART/Triru-contig_67-SMART.txt","CLa")</f>
        <v>CLa</v>
      </c>
      <c r="BS9" t="str">
        <f>HYPERLINK("http://smart.embl-heidelberg.de/smart/do_annotation.pl?DOMAIN=CLa&amp;BLAST=DUMMY","0.21")</f>
        <v>0.21</v>
      </c>
      <c r="BT9" s="1" t="str">
        <f>HYPERLINK("http://exon.niaid.nih.gov/transcriptome/T_rubida/S1/links/PRK/Triru-contig_67-PRK.txt","NADH dehydrogenase subunit 4")</f>
        <v>NADH dehydrogenase subunit 4</v>
      </c>
      <c r="BU9">
        <v>0.3</v>
      </c>
      <c r="BV9" s="1" t="s">
        <v>57</v>
      </c>
      <c r="BW9" t="s">
        <v>57</v>
      </c>
      <c r="BX9" s="1" t="s">
        <v>57</v>
      </c>
      <c r="BY9" t="s">
        <v>57</v>
      </c>
    </row>
    <row r="10" spans="1:77">
      <c r="A10" t="str">
        <f>HYPERLINK("http://exon.niaid.nih.gov/transcriptome/T_rubida/S1/links/Triru/Triru-contig_64.txt","Triru-contig_64")</f>
        <v>Triru-contig_64</v>
      </c>
      <c r="B10">
        <v>11</v>
      </c>
      <c r="C10" t="str">
        <f>HYPERLINK("http://exon.niaid.nih.gov/transcriptome/T_rubida/S1/links/Triru/Triru-5-48-asb-64.txt","Contig-64")</f>
        <v>Contig-64</v>
      </c>
      <c r="D10" t="str">
        <f>HYPERLINK("http://exon.niaid.nih.gov/transcriptome/T_rubida/S1/links/Triru/Triru-5-48-64-CLU.txt","Contig64")</f>
        <v>Contig64</v>
      </c>
      <c r="E10" t="str">
        <f>HYPERLINK("http://exon.niaid.nih.gov/transcriptome/T_rubida/S1/links/Triru/Triru-5-48-64-qual.txt","94.2")</f>
        <v>94.2</v>
      </c>
      <c r="F10" t="s">
        <v>10</v>
      </c>
      <c r="G10">
        <v>67.5</v>
      </c>
      <c r="H10">
        <v>565</v>
      </c>
      <c r="I10" t="s">
        <v>76</v>
      </c>
      <c r="J10">
        <v>593</v>
      </c>
      <c r="K10">
        <v>584</v>
      </c>
      <c r="L10">
        <v>381</v>
      </c>
      <c r="M10" t="s">
        <v>5090</v>
      </c>
      <c r="N10" s="15">
        <v>3</v>
      </c>
      <c r="O10" s="14" t="str">
        <f>HYPERLINK("http://exon.niaid.nih.gov/transcriptome/T_rubida/S1/links/Sigp/TRIRU-CONTIG_64-SigP.txt","Cyt")</f>
        <v>Cyt</v>
      </c>
      <c r="Q10" s="5" t="s">
        <v>4829</v>
      </c>
      <c r="R10" t="s">
        <v>5719</v>
      </c>
      <c r="S10" t="str">
        <f>HYPERLINK("http://exon.niaid.nih.gov/transcriptome/T_rubida/S1/links/NR/Triru-contig_64-NR.txt","NR")</f>
        <v>NR</v>
      </c>
      <c r="T10" s="23">
        <v>5.0000000000000002E-23</v>
      </c>
      <c r="U10">
        <v>63.6</v>
      </c>
      <c r="V10" s="1" t="str">
        <f>HYPERLINK("http://exon.niaid.nih.gov/transcriptome/T_rubida/S1/links/NR/Triru-contig_64-NR.txt","unnamed protein product")</f>
        <v>unnamed protein product</v>
      </c>
      <c r="W10" t="str">
        <f>HYPERLINK("http://www.ncbi.nlm.nih.gov/sutils/blink.cgi?pid=270046202","3E-031")</f>
        <v>3E-031</v>
      </c>
      <c r="X10" t="str">
        <f>HYPERLINK("http://www.ncbi.nlm.nih.gov/protein/270046202","gi|270046202")</f>
        <v>gi|270046202</v>
      </c>
      <c r="Y10">
        <v>139</v>
      </c>
      <c r="Z10">
        <v>125</v>
      </c>
      <c r="AA10">
        <v>200</v>
      </c>
      <c r="AB10">
        <v>55</v>
      </c>
      <c r="AC10">
        <v>63</v>
      </c>
      <c r="AD10">
        <v>56</v>
      </c>
      <c r="AE10">
        <v>1</v>
      </c>
      <c r="AF10">
        <v>75</v>
      </c>
      <c r="AG10">
        <v>6</v>
      </c>
      <c r="AH10">
        <v>1</v>
      </c>
      <c r="AI10">
        <v>3</v>
      </c>
      <c r="AJ10" t="s">
        <v>11</v>
      </c>
      <c r="AL10" t="s">
        <v>700</v>
      </c>
      <c r="AM10" t="s">
        <v>1020</v>
      </c>
      <c r="AN10" t="s">
        <v>1016</v>
      </c>
      <c r="AO10" s="1" t="str">
        <f>HYPERLINK("http://exon.niaid.nih.gov/transcriptome/T_rubida/S1/links/SWISSP/Triru-contig_64-SWISSP.txt","Procalin")</f>
        <v>Procalin</v>
      </c>
      <c r="AP10" t="str">
        <f>HYPERLINK("http://www.uniprot.org/uniprot/Q9U6R6","7E-004")</f>
        <v>7E-004</v>
      </c>
      <c r="AQ10" t="s">
        <v>703</v>
      </c>
      <c r="AR10">
        <v>43.9</v>
      </c>
      <c r="AS10">
        <v>78</v>
      </c>
      <c r="AT10">
        <v>29</v>
      </c>
      <c r="AU10">
        <v>47</v>
      </c>
      <c r="AV10">
        <v>61</v>
      </c>
      <c r="AW10">
        <v>0</v>
      </c>
      <c r="AX10">
        <v>80</v>
      </c>
      <c r="AY10">
        <v>48</v>
      </c>
      <c r="AZ10">
        <v>1</v>
      </c>
      <c r="BA10">
        <v>3</v>
      </c>
      <c r="BB10" t="s">
        <v>11</v>
      </c>
      <c r="BD10" t="s">
        <v>704</v>
      </c>
      <c r="BE10" t="s">
        <v>705</v>
      </c>
      <c r="BF10" t="s">
        <v>1021</v>
      </c>
      <c r="BG10" t="s">
        <v>1022</v>
      </c>
      <c r="BH10" s="1" t="s">
        <v>57</v>
      </c>
      <c r="BI10" t="s">
        <v>57</v>
      </c>
      <c r="BJ10" s="1" t="str">
        <f>HYPERLINK("http://exon.niaid.nih.gov/transcriptome/T_rubida/S1/links/CDD/Triru-contig_64-CDD.txt","Triabin")</f>
        <v>Triabin</v>
      </c>
      <c r="BK10" t="str">
        <f>HYPERLINK("http://www.ncbi.nlm.nih.gov/Structure/cdd/cddsrv.cgi?uid=pfam03973&amp;version=v4.0","2E-008")</f>
        <v>2E-008</v>
      </c>
      <c r="BL10" t="s">
        <v>1023</v>
      </c>
      <c r="BM10" s="1" t="str">
        <f>HYPERLINK("http://exon.niaid.nih.gov/transcriptome/T_rubida/S1/links/KOG/Triru-contig_64-KOG.txt","Regulatory protein MLP and related LIM proteins")</f>
        <v>Regulatory protein MLP and related LIM proteins</v>
      </c>
      <c r="BN10" t="str">
        <f>HYPERLINK("http://www.ncbi.nlm.nih.gov/COG/grace/shokog.cgi?KOG1700","0.63")</f>
        <v>0.63</v>
      </c>
      <c r="BO10" t="s">
        <v>923</v>
      </c>
      <c r="BP10" s="1" t="str">
        <f>HYPERLINK("http://exon.niaid.nih.gov/transcriptome/T_rubida/S1/links/PFAM/Triru-contig_64-PFAM.txt","Triabin")</f>
        <v>Triabin</v>
      </c>
      <c r="BQ10" t="str">
        <f>HYPERLINK("http://pfam.sanger.ac.uk/family?acc=PF03973","4E-009")</f>
        <v>4E-009</v>
      </c>
      <c r="BR10" s="1" t="str">
        <f>HYPERLINK("http://exon.niaid.nih.gov/transcriptome/T_rubida/S1/links/SMART/Triru-contig_64-SMART.txt","IG_FLMN")</f>
        <v>IG_FLMN</v>
      </c>
      <c r="BS10" t="str">
        <f>HYPERLINK("http://smart.embl-heidelberg.de/smart/do_annotation.pl?DOMAIN=IG_FLMN&amp;BLAST=DUMMY","0.10")</f>
        <v>0.10</v>
      </c>
      <c r="BT10" s="1" t="str">
        <f>HYPERLINK("http://exon.niaid.nih.gov/transcriptome/T_rubida/S1/links/PRK/Triru-contig_64-PRK.txt","NADH dehydrogenase subunit 4")</f>
        <v>NADH dehydrogenase subunit 4</v>
      </c>
      <c r="BU10">
        <v>5.8999999999999997E-2</v>
      </c>
      <c r="BV10" s="1" t="s">
        <v>57</v>
      </c>
      <c r="BW10" t="s">
        <v>57</v>
      </c>
      <c r="BX10" s="1" t="s">
        <v>57</v>
      </c>
      <c r="BY10" t="s">
        <v>57</v>
      </c>
    </row>
    <row r="11" spans="1:77">
      <c r="A11" t="str">
        <f>HYPERLINK("http://exon.niaid.nih.gov/transcriptome/T_rubida/S1/links/Triru/Triru-contig_68.txt","Triru-contig_68")</f>
        <v>Triru-contig_68</v>
      </c>
      <c r="B11">
        <v>10</v>
      </c>
      <c r="C11" t="str">
        <f>HYPERLINK("http://exon.niaid.nih.gov/transcriptome/T_rubida/S1/links/Triru/Triru-5-48-asb-68.txt","Contig-68")</f>
        <v>Contig-68</v>
      </c>
      <c r="D11" t="str">
        <f>HYPERLINK("http://exon.niaid.nih.gov/transcriptome/T_rubida/S1/links/Triru/Triru-5-48-68-CLU.txt","Contig68")</f>
        <v>Contig68</v>
      </c>
      <c r="E11" t="str">
        <f>HYPERLINK("http://exon.niaid.nih.gov/transcriptome/T_rubida/S1/links/Triru/Triru-5-48-68-qual.txt","86.2")</f>
        <v>86.2</v>
      </c>
      <c r="F11" t="s">
        <v>10</v>
      </c>
      <c r="G11">
        <v>67</v>
      </c>
      <c r="H11">
        <v>638</v>
      </c>
      <c r="I11" t="s">
        <v>80</v>
      </c>
      <c r="J11">
        <v>657</v>
      </c>
      <c r="K11">
        <v>661</v>
      </c>
      <c r="L11">
        <v>435</v>
      </c>
      <c r="M11" t="s">
        <v>5088</v>
      </c>
      <c r="N11" s="15">
        <v>2</v>
      </c>
      <c r="O11" s="14" t="str">
        <f>HYPERLINK("http://exon.niaid.nih.gov/transcriptome/T_rubida/S1/links/Sigp/TRIRU-CONTIG_68-SigP.txt","Cyt")</f>
        <v>Cyt</v>
      </c>
      <c r="Q11" s="5" t="s">
        <v>4829</v>
      </c>
      <c r="R11" t="s">
        <v>5719</v>
      </c>
      <c r="S11" t="str">
        <f>HYPERLINK("http://exon.niaid.nih.gov/transcriptome/T_rubida/S1/links/NR/Triru-contig_68-NR.txt","NR")</f>
        <v>NR</v>
      </c>
      <c r="T11" s="23">
        <v>2.0000000000000001E-32</v>
      </c>
      <c r="U11">
        <v>72.099999999999994</v>
      </c>
      <c r="V11" s="1" t="str">
        <f>HYPERLINK("http://exon.niaid.nih.gov/transcriptome/T_rubida/S1/links/NR/Triru-contig_68-NR.txt","unnamed protein product")</f>
        <v>unnamed protein product</v>
      </c>
      <c r="W11" t="str">
        <f>HYPERLINK("http://www.ncbi.nlm.nih.gov/sutils/blink.cgi?pid=270046200","1E-036")</f>
        <v>1E-036</v>
      </c>
      <c r="X11" t="str">
        <f>HYPERLINK("http://www.ncbi.nlm.nih.gov/protein/270046200","gi|270046200")</f>
        <v>gi|270046200</v>
      </c>
      <c r="Y11">
        <v>157</v>
      </c>
      <c r="Z11">
        <v>142</v>
      </c>
      <c r="AA11">
        <v>200</v>
      </c>
      <c r="AB11">
        <v>55</v>
      </c>
      <c r="AC11">
        <v>72</v>
      </c>
      <c r="AD11">
        <v>64</v>
      </c>
      <c r="AE11">
        <v>2</v>
      </c>
      <c r="AF11">
        <v>57</v>
      </c>
      <c r="AG11">
        <v>23</v>
      </c>
      <c r="AH11">
        <v>1</v>
      </c>
      <c r="AI11">
        <v>2</v>
      </c>
      <c r="AJ11" t="s">
        <v>11</v>
      </c>
      <c r="AK11">
        <v>0.70399999999999996</v>
      </c>
      <c r="AL11" t="s">
        <v>700</v>
      </c>
      <c r="AM11" t="s">
        <v>1042</v>
      </c>
      <c r="AN11" t="s">
        <v>1032</v>
      </c>
      <c r="AO11" s="1" t="str">
        <f>HYPERLINK("http://exon.niaid.nih.gov/transcriptome/T_rubida/S1/links/SWISSP/Triru-contig_68-SWISSP.txt","Triabin")</f>
        <v>Triabin</v>
      </c>
      <c r="AP11" t="str">
        <f>HYPERLINK("http://www.uniprot.org/uniprot/Q27049","1E-004")</f>
        <v>1E-004</v>
      </c>
      <c r="AQ11" t="s">
        <v>970</v>
      </c>
      <c r="AR11">
        <v>46.6</v>
      </c>
      <c r="AS11">
        <v>103</v>
      </c>
      <c r="AT11">
        <v>26</v>
      </c>
      <c r="AU11">
        <v>65</v>
      </c>
      <c r="AV11">
        <v>86</v>
      </c>
      <c r="AW11">
        <v>2</v>
      </c>
      <c r="AX11">
        <v>50</v>
      </c>
      <c r="AY11">
        <v>8</v>
      </c>
      <c r="AZ11">
        <v>1</v>
      </c>
      <c r="BA11">
        <v>2</v>
      </c>
      <c r="BB11" t="s">
        <v>11</v>
      </c>
      <c r="BD11" t="s">
        <v>704</v>
      </c>
      <c r="BE11" t="s">
        <v>971</v>
      </c>
      <c r="BF11" t="s">
        <v>1043</v>
      </c>
      <c r="BG11" t="s">
        <v>1044</v>
      </c>
      <c r="BH11" s="1" t="s">
        <v>57</v>
      </c>
      <c r="BI11" t="s">
        <v>57</v>
      </c>
      <c r="BJ11" s="1" t="str">
        <f>HYPERLINK("http://exon.niaid.nih.gov/transcriptome/T_rubida/S1/links/CDD/Triru-contig_68-CDD.txt","Triabin")</f>
        <v>Triabin</v>
      </c>
      <c r="BK11" t="str">
        <f>HYPERLINK("http://www.ncbi.nlm.nih.gov/Structure/cdd/cddsrv.cgi?uid=pfam03973&amp;version=v4.0","5E-015")</f>
        <v>5E-015</v>
      </c>
      <c r="BL11" t="s">
        <v>1045</v>
      </c>
      <c r="BM11" s="1" t="str">
        <f>HYPERLINK("http://exon.niaid.nih.gov/transcriptome/T_rubida/S1/links/KOG/Triru-contig_68-KOG.txt","C-4 sterol methyl oxidase")</f>
        <v>C-4 sterol methyl oxidase</v>
      </c>
      <c r="BN11" t="str">
        <f>HYPERLINK("http://www.ncbi.nlm.nih.gov/COG/grace/shokog.cgi?KOG0873","0.19")</f>
        <v>0.19</v>
      </c>
      <c r="BO11" t="s">
        <v>709</v>
      </c>
      <c r="BP11" s="1" t="str">
        <f>HYPERLINK("http://exon.niaid.nih.gov/transcriptome/T_rubida/S1/links/PFAM/Triru-contig_68-PFAM.txt","Triabin")</f>
        <v>Triabin</v>
      </c>
      <c r="BQ11" t="str">
        <f>HYPERLINK("http://pfam.sanger.ac.uk/family?acc=PF03973","1E-015")</f>
        <v>1E-015</v>
      </c>
      <c r="BR11" s="1" t="str">
        <f>HYPERLINK("http://exon.niaid.nih.gov/transcriptome/T_rubida/S1/links/SMART/Triru-contig_68-SMART.txt","Alpha-L-AF_C")</f>
        <v>Alpha-L-AF_C</v>
      </c>
      <c r="BS11" t="str">
        <f>HYPERLINK("http://smart.embl-heidelberg.de/smart/do_annotation.pl?DOMAIN=Alpha-L-AF_C&amp;BLAST=DUMMY","0.10")</f>
        <v>0.10</v>
      </c>
      <c r="BT11" s="1" t="str">
        <f>HYPERLINK("http://exon.niaid.nih.gov/transcriptome/T_rubida/S1/links/PRK/Triru-contig_68-PRK.txt","NADH dehydrogenase subunit 2")</f>
        <v>NADH dehydrogenase subunit 2</v>
      </c>
      <c r="BU11">
        <v>0.48</v>
      </c>
      <c r="BV11" s="1" t="s">
        <v>57</v>
      </c>
      <c r="BW11" t="s">
        <v>57</v>
      </c>
      <c r="BX11" s="1" t="s">
        <v>57</v>
      </c>
      <c r="BY11" t="s">
        <v>57</v>
      </c>
    </row>
    <row r="12" spans="1:77">
      <c r="A12" t="str">
        <f>HYPERLINK("http://exon.niaid.nih.gov/transcriptome/T_rubida/S1/links/Triru/Triru-contig_66.txt","Triru-contig_66")</f>
        <v>Triru-contig_66</v>
      </c>
      <c r="B12">
        <v>9</v>
      </c>
      <c r="C12" t="str">
        <f>HYPERLINK("http://exon.niaid.nih.gov/transcriptome/T_rubida/S1/links/Triru/Triru-5-48-asb-66.txt","Contig-66")</f>
        <v>Contig-66</v>
      </c>
      <c r="D12" t="str">
        <f>HYPERLINK("http://exon.niaid.nih.gov/transcriptome/T_rubida/S1/links/Triru/Triru-5-48-66-CLU.txt","Contig66")</f>
        <v>Contig66</v>
      </c>
      <c r="E12" t="str">
        <f>HYPERLINK("http://exon.niaid.nih.gov/transcriptome/T_rubida/S1/links/Triru/Triru-5-48-66-qual.txt","89.3")</f>
        <v>89.3</v>
      </c>
      <c r="F12" t="s">
        <v>10</v>
      </c>
      <c r="G12">
        <v>68.3</v>
      </c>
      <c r="H12">
        <v>504</v>
      </c>
      <c r="I12" t="s">
        <v>78</v>
      </c>
      <c r="J12">
        <v>509</v>
      </c>
      <c r="K12">
        <v>526</v>
      </c>
      <c r="L12">
        <v>327</v>
      </c>
      <c r="M12" t="s">
        <v>5094</v>
      </c>
      <c r="N12" s="15">
        <v>1</v>
      </c>
      <c r="O12" s="14" t="str">
        <f>HYPERLINK("http://exon.niaid.nih.gov/transcriptome/T_rubida/S1/links/Sigp/TRIRU-CONTIG_66-SigP.txt","Cyt")</f>
        <v>Cyt</v>
      </c>
      <c r="Q12" s="5" t="s">
        <v>4829</v>
      </c>
      <c r="R12" t="s">
        <v>5719</v>
      </c>
      <c r="S12" t="str">
        <f>HYPERLINK("http://exon.niaid.nih.gov/transcriptome/T_rubida/S1/links/NR/Triru-contig_66-NR.txt","NR")</f>
        <v>NR</v>
      </c>
      <c r="T12" s="23">
        <v>5.0000000000000004E-16</v>
      </c>
      <c r="U12">
        <v>51.9</v>
      </c>
      <c r="V12" s="1" t="str">
        <f>HYPERLINK("http://exon.niaid.nih.gov/transcriptome/T_rubida/S1/links/NR/Triru-contig_66-NR.txt","unnamed protein product")</f>
        <v>unnamed protein product</v>
      </c>
      <c r="W12" t="str">
        <f>HYPERLINK("http://www.ncbi.nlm.nih.gov/sutils/blink.cgi?pid=270046200","1E-022")</f>
        <v>1E-022</v>
      </c>
      <c r="X12" t="str">
        <f>HYPERLINK("http://www.ncbi.nlm.nih.gov/protein/270046200","gi|270046200")</f>
        <v>gi|270046200</v>
      </c>
      <c r="Y12">
        <v>109</v>
      </c>
      <c r="Z12">
        <v>109</v>
      </c>
      <c r="AA12">
        <v>200</v>
      </c>
      <c r="AB12">
        <v>52</v>
      </c>
      <c r="AC12">
        <v>55</v>
      </c>
      <c r="AD12">
        <v>53</v>
      </c>
      <c r="AE12">
        <v>2</v>
      </c>
      <c r="AF12">
        <v>91</v>
      </c>
      <c r="AG12">
        <v>1</v>
      </c>
      <c r="AH12">
        <v>1</v>
      </c>
      <c r="AI12">
        <v>1</v>
      </c>
      <c r="AJ12" t="s">
        <v>11</v>
      </c>
      <c r="AL12" t="s">
        <v>700</v>
      </c>
      <c r="AM12" t="s">
        <v>1031</v>
      </c>
      <c r="AN12" t="s">
        <v>1032</v>
      </c>
      <c r="AO12" s="1" t="str">
        <f>HYPERLINK("http://exon.niaid.nih.gov/transcriptome/T_rubida/S1/links/SWISSP/Triru-contig_66-SWISSP.txt","Lazarillo protein")</f>
        <v>Lazarillo protein</v>
      </c>
      <c r="AP12" t="str">
        <f>HYPERLINK("http://www.uniprot.org/uniprot/P49291","0.002")</f>
        <v>0.002</v>
      </c>
      <c r="AQ12" t="s">
        <v>1033</v>
      </c>
      <c r="AR12">
        <v>42</v>
      </c>
      <c r="AS12">
        <v>58</v>
      </c>
      <c r="AT12">
        <v>30</v>
      </c>
      <c r="AU12">
        <v>28</v>
      </c>
      <c r="AV12">
        <v>41</v>
      </c>
      <c r="AW12">
        <v>0</v>
      </c>
      <c r="AX12">
        <v>123</v>
      </c>
      <c r="AY12">
        <v>109</v>
      </c>
      <c r="AZ12">
        <v>1</v>
      </c>
      <c r="BA12">
        <v>1</v>
      </c>
      <c r="BB12" t="s">
        <v>11</v>
      </c>
      <c r="BD12" t="s">
        <v>704</v>
      </c>
      <c r="BE12" t="s">
        <v>1034</v>
      </c>
      <c r="BF12" t="s">
        <v>1035</v>
      </c>
      <c r="BG12" t="s">
        <v>1036</v>
      </c>
      <c r="BH12" s="1" t="s">
        <v>57</v>
      </c>
      <c r="BI12" t="s">
        <v>57</v>
      </c>
      <c r="BJ12" s="1" t="str">
        <f>HYPERLINK("http://exon.niaid.nih.gov/transcriptome/T_rubida/S1/links/CDD/Triru-contig_66-CDD.txt","Triabin")</f>
        <v>Triabin</v>
      </c>
      <c r="BK12" t="str">
        <f>HYPERLINK("http://www.ncbi.nlm.nih.gov/Structure/cdd/cddsrv.cgi?uid=pfam03973&amp;version=v4.0","2E-008")</f>
        <v>2E-008</v>
      </c>
      <c r="BL12" t="s">
        <v>1037</v>
      </c>
      <c r="BM12" s="1" t="str">
        <f>HYPERLINK("http://exon.niaid.nih.gov/transcriptome/T_rubida/S1/links/KOG/Triru-contig_66-KOG.txt","Kinesin-like protein")</f>
        <v>Kinesin-like protein</v>
      </c>
      <c r="BN12" t="str">
        <f>HYPERLINK("http://www.ncbi.nlm.nih.gov/COG/grace/shokog.cgi?KOG0244","0.75")</f>
        <v>0.75</v>
      </c>
      <c r="BO12" t="s">
        <v>867</v>
      </c>
      <c r="BP12" s="1" t="str">
        <f>HYPERLINK("http://exon.niaid.nih.gov/transcriptome/T_rubida/S1/links/PFAM/Triru-contig_66-PFAM.txt","Triabin")</f>
        <v>Triabin</v>
      </c>
      <c r="BQ12" t="str">
        <f>HYPERLINK("http://pfam.sanger.ac.uk/family?acc=PF03973","5E-009")</f>
        <v>5E-009</v>
      </c>
      <c r="BR12" s="1" t="str">
        <f>HYPERLINK("http://exon.niaid.nih.gov/transcriptome/T_rubida/S1/links/SMART/Triru-contig_66-SMART.txt","HOLI")</f>
        <v>HOLI</v>
      </c>
      <c r="BS12" t="str">
        <f>HYPERLINK("http://smart.embl-heidelberg.de/smart/do_annotation.pl?DOMAIN=HOLI&amp;BLAST=DUMMY","0.040")</f>
        <v>0.040</v>
      </c>
      <c r="BT12" s="1" t="str">
        <f>HYPERLINK("http://exon.niaid.nih.gov/transcriptome/T_rubida/S1/links/PRK/Triru-contig_66-PRK.txt","potassium transport protein Kup")</f>
        <v>potassium transport protein Kup</v>
      </c>
      <c r="BU12">
        <v>3.4000000000000002E-2</v>
      </c>
      <c r="BV12" s="1" t="s">
        <v>57</v>
      </c>
      <c r="BW12" t="s">
        <v>57</v>
      </c>
      <c r="BX12" s="1" t="s">
        <v>57</v>
      </c>
      <c r="BY12" t="s">
        <v>57</v>
      </c>
    </row>
    <row r="13" spans="1:77">
      <c r="A13" t="str">
        <f>HYPERLINK("http://exon.niaid.nih.gov/transcriptome/T_rubida/S1/links/Triru/Triru-contig_76.txt","Triru-contig_76")</f>
        <v>Triru-contig_76</v>
      </c>
      <c r="B13">
        <v>8</v>
      </c>
      <c r="C13" t="str">
        <f>HYPERLINK("http://exon.niaid.nih.gov/transcriptome/T_rubida/S1/links/Triru/Triru-5-48-asb-76.txt","Contig-76")</f>
        <v>Contig-76</v>
      </c>
      <c r="D13" t="str">
        <f>HYPERLINK("http://exon.niaid.nih.gov/transcriptome/T_rubida/S1/links/Triru/Triru-5-48-76-CLU.txt","Contig76")</f>
        <v>Contig76</v>
      </c>
      <c r="E13" t="str">
        <f>HYPERLINK("http://exon.niaid.nih.gov/transcriptome/T_rubida/S1/links/Triru/Triru-5-48-76-qual.txt","84.8")</f>
        <v>84.8</v>
      </c>
      <c r="F13" t="s">
        <v>10</v>
      </c>
      <c r="G13">
        <v>67.7</v>
      </c>
      <c r="H13">
        <v>454</v>
      </c>
      <c r="I13" t="s">
        <v>88</v>
      </c>
      <c r="J13">
        <v>479</v>
      </c>
      <c r="K13">
        <v>473</v>
      </c>
      <c r="L13">
        <v>408</v>
      </c>
      <c r="M13" t="s">
        <v>5077</v>
      </c>
      <c r="N13" s="15">
        <v>2</v>
      </c>
      <c r="O13" s="14" t="str">
        <f>HYPERLINK("http://exon.niaid.nih.gov/transcriptome/T_rubida/S1/links/Sigp/TRIRU-CONTIG_76-SigP.txt","Cyt")</f>
        <v>Cyt</v>
      </c>
      <c r="Q13" s="5" t="s">
        <v>4829</v>
      </c>
      <c r="R13" t="s">
        <v>5719</v>
      </c>
      <c r="S13" t="str">
        <f>HYPERLINK("http://exon.niaid.nih.gov/transcriptome/T_rubida/S1/links/NR/Triru-contig_76-NR.txt","NR")</f>
        <v>NR</v>
      </c>
      <c r="T13" s="23">
        <v>3.0000000000000002E-36</v>
      </c>
      <c r="U13">
        <v>90.4</v>
      </c>
      <c r="V13" s="1" t="str">
        <f>HYPERLINK("http://exon.niaid.nih.gov/transcriptome/T_rubida/S1/links/NR/Triru-contig_76-NR.txt","salivary lipocalin")</f>
        <v>salivary lipocalin</v>
      </c>
      <c r="W13" t="str">
        <f>HYPERLINK("http://www.ncbi.nlm.nih.gov/sutils/blink.cgi?pid=116267183","3E-036")</f>
        <v>3E-036</v>
      </c>
      <c r="X13" t="str">
        <f>HYPERLINK("http://www.ncbi.nlm.nih.gov/protein/116267183","gi|116267183")</f>
        <v>gi|116267183</v>
      </c>
      <c r="Y13">
        <v>155</v>
      </c>
      <c r="Z13">
        <v>132</v>
      </c>
      <c r="AA13">
        <v>147</v>
      </c>
      <c r="AB13">
        <v>53</v>
      </c>
      <c r="AC13">
        <v>90</v>
      </c>
      <c r="AD13">
        <v>62</v>
      </c>
      <c r="AE13">
        <v>0</v>
      </c>
      <c r="AF13">
        <v>12</v>
      </c>
      <c r="AG13">
        <v>2</v>
      </c>
      <c r="AH13">
        <v>1</v>
      </c>
      <c r="AI13">
        <v>2</v>
      </c>
      <c r="AJ13" t="s">
        <v>11</v>
      </c>
      <c r="AL13" t="s">
        <v>938</v>
      </c>
      <c r="AM13" t="s">
        <v>1083</v>
      </c>
      <c r="AN13" t="s">
        <v>1084</v>
      </c>
      <c r="AO13" s="1" t="str">
        <f>HYPERLINK("http://exon.niaid.nih.gov/transcriptome/T_rubida/S1/links/SWISSP/Triru-contig_76-SWISSP.txt","Procalin")</f>
        <v>Procalin</v>
      </c>
      <c r="AP13" t="str">
        <f>HYPERLINK("http://www.uniprot.org/uniprot/Q9U6R6","2E-019")</f>
        <v>2E-019</v>
      </c>
      <c r="AQ13" t="s">
        <v>703</v>
      </c>
      <c r="AR13">
        <v>95.1</v>
      </c>
      <c r="AS13">
        <v>130</v>
      </c>
      <c r="AT13">
        <v>36</v>
      </c>
      <c r="AU13">
        <v>78</v>
      </c>
      <c r="AV13">
        <v>83</v>
      </c>
      <c r="AW13">
        <v>3</v>
      </c>
      <c r="AX13">
        <v>38</v>
      </c>
      <c r="AY13">
        <v>2</v>
      </c>
      <c r="AZ13">
        <v>1</v>
      </c>
      <c r="BA13">
        <v>2</v>
      </c>
      <c r="BB13" t="s">
        <v>11</v>
      </c>
      <c r="BD13" t="s">
        <v>704</v>
      </c>
      <c r="BE13" t="s">
        <v>705</v>
      </c>
      <c r="BF13" t="s">
        <v>1085</v>
      </c>
      <c r="BG13" t="s">
        <v>1086</v>
      </c>
      <c r="BH13" s="1" t="s">
        <v>57</v>
      </c>
      <c r="BI13" t="s">
        <v>57</v>
      </c>
      <c r="BJ13" s="1" t="str">
        <f>HYPERLINK("http://exon.niaid.nih.gov/transcriptome/T_rubida/S1/links/CDD/Triru-contig_76-CDD.txt","Triabin")</f>
        <v>Triabin</v>
      </c>
      <c r="BK13" t="str">
        <f>HYPERLINK("http://www.ncbi.nlm.nih.gov/Structure/cdd/cddsrv.cgi?uid=pfam03973&amp;version=v4.0","2E-022")</f>
        <v>2E-022</v>
      </c>
      <c r="BL13" t="s">
        <v>1087</v>
      </c>
      <c r="BM13" s="1" t="str">
        <f>HYPERLINK("http://exon.niaid.nih.gov/transcriptome/T_rubida/S1/links/KOG/Triru-contig_76-KOG.txt","emp24/gp25L/p24 family of membrane trafficking proteins")</f>
        <v>emp24/gp25L/p24 family of membrane trafficking proteins</v>
      </c>
      <c r="BN13" t="str">
        <f>HYPERLINK("http://www.ncbi.nlm.nih.gov/COG/grace/shokog.cgi?KOG1691","0.39")</f>
        <v>0.39</v>
      </c>
      <c r="BO13" t="s">
        <v>1082</v>
      </c>
      <c r="BP13" s="1" t="str">
        <f>HYPERLINK("http://exon.niaid.nih.gov/transcriptome/T_rubida/S1/links/PFAM/Triru-contig_76-PFAM.txt","Triabin")</f>
        <v>Triabin</v>
      </c>
      <c r="BQ13" t="str">
        <f>HYPERLINK("http://pfam.sanger.ac.uk/family?acc=PF03973","3E-023")</f>
        <v>3E-023</v>
      </c>
      <c r="BR13" s="1" t="str">
        <f>HYPERLINK("http://exon.niaid.nih.gov/transcriptome/T_rubida/S1/links/SMART/Triru-contig_76-SMART.txt","TR_FER")</f>
        <v>TR_FER</v>
      </c>
      <c r="BS13" t="str">
        <f>HYPERLINK("http://smart.embl-heidelberg.de/smart/do_annotation.pl?DOMAIN=TR_FER&amp;BLAST=DUMMY","0.003")</f>
        <v>0.003</v>
      </c>
      <c r="BT13" s="1" t="str">
        <f>HYPERLINK("http://exon.niaid.nih.gov/transcriptome/T_rubida/S1/links/PRK/Triru-contig_76-PRK.txt","hypothetical protein")</f>
        <v>hypothetical protein</v>
      </c>
      <c r="BU13">
        <v>1</v>
      </c>
      <c r="BV13" s="1" t="s">
        <v>57</v>
      </c>
      <c r="BW13" t="s">
        <v>57</v>
      </c>
      <c r="BX13" s="1" t="s">
        <v>57</v>
      </c>
      <c r="BY13" t="s">
        <v>57</v>
      </c>
    </row>
    <row r="14" spans="1:77">
      <c r="A14" t="str">
        <f>HYPERLINK("http://exon.niaid.nih.gov/transcriptome/T_rubida/S1/links/Triru/Triru-contig_51.txt","Triru-contig_51")</f>
        <v>Triru-contig_51</v>
      </c>
      <c r="B14">
        <v>8</v>
      </c>
      <c r="C14" t="str">
        <f>HYPERLINK("http://exon.niaid.nih.gov/transcriptome/T_rubida/S1/links/Triru/Triru-5-48-asb-51.txt","Contig-51")</f>
        <v>Contig-51</v>
      </c>
      <c r="D14" t="str">
        <f>HYPERLINK("http://exon.niaid.nih.gov/transcriptome/T_rubida/S1/links/Triru/Triru-5-48-51-CLU.txt","Contig51")</f>
        <v>Contig51</v>
      </c>
      <c r="E14" t="str">
        <f>HYPERLINK("http://exon.niaid.nih.gov/transcriptome/T_rubida/S1/links/Triru/Triru-5-48-51-qual.txt","91.2")</f>
        <v>91.2</v>
      </c>
      <c r="F14" t="s">
        <v>10</v>
      </c>
      <c r="G14">
        <v>69.400000000000006</v>
      </c>
      <c r="H14">
        <v>416</v>
      </c>
      <c r="I14" t="s">
        <v>63</v>
      </c>
      <c r="J14">
        <v>429</v>
      </c>
      <c r="K14">
        <v>435</v>
      </c>
      <c r="L14">
        <v>354</v>
      </c>
      <c r="M14" t="s">
        <v>5087</v>
      </c>
      <c r="N14" s="15">
        <v>2</v>
      </c>
      <c r="O14" s="14" t="str">
        <f>HYPERLINK("http://exon.niaid.nih.gov/transcriptome/T_rubida/S1/links/Sigp/TRIRU-CONTIG_51-SigP.txt","Cyt")</f>
        <v>Cyt</v>
      </c>
      <c r="Q14" s="5" t="s">
        <v>4829</v>
      </c>
      <c r="R14" t="s">
        <v>5719</v>
      </c>
      <c r="S14" t="str">
        <f>HYPERLINK("http://exon.niaid.nih.gov/transcriptome/T_rubida/S1/links/NR/Triru-contig_51-NR.txt","NR")</f>
        <v>NR</v>
      </c>
      <c r="T14" s="23">
        <v>5.0000000000000002E-26</v>
      </c>
      <c r="U14">
        <v>60</v>
      </c>
      <c r="V14" s="1" t="str">
        <f>HYPERLINK("http://exon.niaid.nih.gov/transcriptome/T_rubida/S1/links/NR/Triru-contig_51-NR.txt","unnamed protein product")</f>
        <v>unnamed protein product</v>
      </c>
      <c r="W14" t="str">
        <f>HYPERLINK("http://www.ncbi.nlm.nih.gov/sutils/blink.cgi?pid=270046188","1E-037")</f>
        <v>1E-037</v>
      </c>
      <c r="X14" t="str">
        <f>HYPERLINK("http://www.ncbi.nlm.nih.gov/protein/270046188","gi|270046188")</f>
        <v>gi|270046188</v>
      </c>
      <c r="Y14">
        <v>159</v>
      </c>
      <c r="Z14">
        <v>115</v>
      </c>
      <c r="AA14">
        <v>197</v>
      </c>
      <c r="AB14">
        <v>60</v>
      </c>
      <c r="AC14">
        <v>59</v>
      </c>
      <c r="AD14">
        <v>46</v>
      </c>
      <c r="AE14">
        <v>0</v>
      </c>
      <c r="AF14">
        <v>82</v>
      </c>
      <c r="AG14">
        <v>5</v>
      </c>
      <c r="AH14">
        <v>1</v>
      </c>
      <c r="AI14">
        <v>2</v>
      </c>
      <c r="AJ14" t="s">
        <v>11</v>
      </c>
      <c r="AL14" t="s">
        <v>700</v>
      </c>
      <c r="AM14" t="s">
        <v>947</v>
      </c>
      <c r="AN14" t="s">
        <v>948</v>
      </c>
      <c r="AO14" s="1" t="str">
        <f>HYPERLINK("http://exon.niaid.nih.gov/transcriptome/T_rubida/S1/links/SWISSP/Triru-contig_51-SWISSP.txt","Vacuolar protein sorting/targeting protein 10")</f>
        <v>Vacuolar protein sorting/targeting protein 10</v>
      </c>
      <c r="AP14" t="str">
        <f>HYPERLINK("http://www.uniprot.org/uniprot/O42930","1.0")</f>
        <v>1.0</v>
      </c>
      <c r="AQ14" t="s">
        <v>949</v>
      </c>
      <c r="AR14">
        <v>32.299999999999997</v>
      </c>
      <c r="AS14">
        <v>76</v>
      </c>
      <c r="AT14">
        <v>31</v>
      </c>
      <c r="AU14">
        <v>5</v>
      </c>
      <c r="AV14">
        <v>61</v>
      </c>
      <c r="AW14">
        <v>1</v>
      </c>
      <c r="AX14">
        <v>674</v>
      </c>
      <c r="AY14">
        <v>59</v>
      </c>
      <c r="AZ14">
        <v>1</v>
      </c>
      <c r="BA14">
        <v>2</v>
      </c>
      <c r="BB14" t="s">
        <v>11</v>
      </c>
      <c r="BD14" t="s">
        <v>704</v>
      </c>
      <c r="BE14" t="s">
        <v>950</v>
      </c>
      <c r="BF14" t="s">
        <v>951</v>
      </c>
      <c r="BG14" t="s">
        <v>952</v>
      </c>
      <c r="BH14" s="1" t="s">
        <v>57</v>
      </c>
      <c r="BI14" t="s">
        <v>57</v>
      </c>
      <c r="BJ14" s="1" t="str">
        <f>HYPERLINK("http://exon.niaid.nih.gov/transcriptome/T_rubida/S1/links/CDD/Triru-contig_51-CDD.txt","Triabin")</f>
        <v>Triabin</v>
      </c>
      <c r="BK14" t="str">
        <f>HYPERLINK("http://www.ncbi.nlm.nih.gov/Structure/cdd/cddsrv.cgi?uid=pfam03973&amp;version=v4.0","1E-010")</f>
        <v>1E-010</v>
      </c>
      <c r="BL14" t="s">
        <v>953</v>
      </c>
      <c r="BM14" s="1" t="str">
        <f>HYPERLINK("http://exon.niaid.nih.gov/transcriptome/T_rubida/S1/links/KOG/Triru-contig_51-KOG.txt","Predicted serine protease")</f>
        <v>Predicted serine protease</v>
      </c>
      <c r="BN14" t="str">
        <f>HYPERLINK("http://www.ncbi.nlm.nih.gov/COG/grace/shokog.cgi?KOG2237","0.44")</f>
        <v>0.44</v>
      </c>
      <c r="BO14" t="s">
        <v>954</v>
      </c>
      <c r="BP14" s="1" t="str">
        <f>HYPERLINK("http://exon.niaid.nih.gov/transcriptome/T_rubida/S1/links/PFAM/Triru-contig_51-PFAM.txt","Triabin")</f>
        <v>Triabin</v>
      </c>
      <c r="BQ14" t="str">
        <f>HYPERLINK("http://pfam.sanger.ac.uk/family?acc=PF03973","2E-011")</f>
        <v>2E-011</v>
      </c>
      <c r="BR14" s="1" t="str">
        <f>HYPERLINK("http://exon.niaid.nih.gov/transcriptome/T_rubida/S1/links/SMART/Triru-contig_51-SMART.txt","LPD_N")</f>
        <v>LPD_N</v>
      </c>
      <c r="BS14" t="str">
        <f>HYPERLINK("http://smart.embl-heidelberg.de/smart/do_annotation.pl?DOMAIN=LPD_N&amp;BLAST=DUMMY","0.040")</f>
        <v>0.040</v>
      </c>
      <c r="BT14" s="1" t="str">
        <f>HYPERLINK("http://exon.niaid.nih.gov/transcriptome/T_rubida/S1/links/PRK/Triru-contig_51-PRK.txt","NADH dehydrogenase subunit 4")</f>
        <v>NADH dehydrogenase subunit 4</v>
      </c>
      <c r="BU14">
        <v>1</v>
      </c>
      <c r="BV14" s="1" t="s">
        <v>57</v>
      </c>
      <c r="BW14" t="s">
        <v>57</v>
      </c>
      <c r="BX14" s="1" t="s">
        <v>57</v>
      </c>
      <c r="BY14" t="s">
        <v>57</v>
      </c>
    </row>
    <row r="15" spans="1:77">
      <c r="A15" t="str">
        <f>HYPERLINK("http://exon.niaid.nih.gov/transcriptome/T_rubida/S1/links/Triru/Triru-contig_58.txt","Triru-contig_58")</f>
        <v>Triru-contig_58</v>
      </c>
      <c r="B15">
        <v>6</v>
      </c>
      <c r="C15" t="str">
        <f>HYPERLINK("http://exon.niaid.nih.gov/transcriptome/T_rubida/S1/links/Triru/Triru-5-48-asb-58.txt","Contig-58")</f>
        <v>Contig-58</v>
      </c>
      <c r="D15" t="str">
        <f>HYPERLINK("http://exon.niaid.nih.gov/transcriptome/T_rubida/S1/links/Triru/Triru-5-48-58-CLU.txt","Contig58")</f>
        <v>Contig58</v>
      </c>
      <c r="E15" t="str">
        <f>HYPERLINK("http://exon.niaid.nih.gov/transcriptome/T_rubida/S1/links/Triru/Triru-5-48-58-qual.txt","93.")</f>
        <v>93.</v>
      </c>
      <c r="F15" t="s">
        <v>10</v>
      </c>
      <c r="G15">
        <v>70</v>
      </c>
      <c r="H15">
        <v>388</v>
      </c>
      <c r="I15" t="s">
        <v>70</v>
      </c>
      <c r="J15">
        <v>396</v>
      </c>
      <c r="K15">
        <v>413</v>
      </c>
      <c r="L15">
        <v>327</v>
      </c>
      <c r="M15" t="s">
        <v>5089</v>
      </c>
      <c r="N15" s="15">
        <v>1</v>
      </c>
      <c r="Q15" s="5" t="s">
        <v>4829</v>
      </c>
      <c r="R15" t="s">
        <v>5719</v>
      </c>
      <c r="S15" t="str">
        <f>HYPERLINK("http://exon.niaid.nih.gov/transcriptome/T_rubida/S1/links/NR/Triru-contig_58-NR.txt","NR")</f>
        <v>NR</v>
      </c>
      <c r="T15" s="23">
        <v>6.9999999999999993E-24</v>
      </c>
      <c r="U15">
        <v>55</v>
      </c>
      <c r="V15" s="1" t="str">
        <f>HYPERLINK("http://exon.niaid.nih.gov/transcriptome/T_rubida/S1/links/NR/Triru-contig_58-NR.txt","unnamed protein product")</f>
        <v>unnamed protein product</v>
      </c>
      <c r="W15" t="str">
        <f>HYPERLINK("http://www.ncbi.nlm.nih.gov/sutils/blink.cgi?pid=270046188","3E-031")</f>
        <v>3E-031</v>
      </c>
      <c r="X15" t="str">
        <f>HYPERLINK("http://www.ncbi.nlm.nih.gov/protein/270046188","gi|270046188")</f>
        <v>gi|270046188</v>
      </c>
      <c r="Y15">
        <v>138</v>
      </c>
      <c r="Z15">
        <v>106</v>
      </c>
      <c r="AA15">
        <v>197</v>
      </c>
      <c r="AB15">
        <v>59</v>
      </c>
      <c r="AC15">
        <v>54</v>
      </c>
      <c r="AD15">
        <v>43</v>
      </c>
      <c r="AE15">
        <v>0</v>
      </c>
      <c r="AF15">
        <v>91</v>
      </c>
      <c r="AG15">
        <v>4</v>
      </c>
      <c r="AH15">
        <v>1</v>
      </c>
      <c r="AI15">
        <v>1</v>
      </c>
      <c r="AJ15" t="s">
        <v>11</v>
      </c>
      <c r="AL15" t="s">
        <v>700</v>
      </c>
      <c r="AM15" t="s">
        <v>990</v>
      </c>
      <c r="AN15" t="s">
        <v>948</v>
      </c>
      <c r="AO15" s="1" t="str">
        <f>HYPERLINK("http://exon.niaid.nih.gov/transcriptome/T_rubida/S1/links/SWISSP/Triru-contig_58-SWISSP.txt","Crustacyanin-A2 subunit")</f>
        <v>Crustacyanin-A2 subunit</v>
      </c>
      <c r="AP15" t="str">
        <f>HYPERLINK("http://www.uniprot.org/uniprot/P80007","0.11")</f>
        <v>0.11</v>
      </c>
      <c r="AQ15" t="s">
        <v>991</v>
      </c>
      <c r="AR15">
        <v>35.4</v>
      </c>
      <c r="AS15">
        <v>56</v>
      </c>
      <c r="AT15">
        <v>31</v>
      </c>
      <c r="AU15">
        <v>33</v>
      </c>
      <c r="AV15">
        <v>39</v>
      </c>
      <c r="AW15">
        <v>3</v>
      </c>
      <c r="AX15">
        <v>106</v>
      </c>
      <c r="AY15">
        <v>136</v>
      </c>
      <c r="AZ15">
        <v>1</v>
      </c>
      <c r="BA15">
        <v>1</v>
      </c>
      <c r="BB15" t="s">
        <v>11</v>
      </c>
      <c r="BD15" t="s">
        <v>704</v>
      </c>
      <c r="BE15" t="s">
        <v>992</v>
      </c>
      <c r="BF15" t="s">
        <v>993</v>
      </c>
      <c r="BG15" t="s">
        <v>994</v>
      </c>
      <c r="BH15" s="1" t="s">
        <v>57</v>
      </c>
      <c r="BI15" t="s">
        <v>57</v>
      </c>
      <c r="BJ15" s="1" t="str">
        <f>HYPERLINK("http://exon.niaid.nih.gov/transcriptome/T_rubida/S1/links/CDD/Triru-contig_58-CDD.txt","Triabin")</f>
        <v>Triabin</v>
      </c>
      <c r="BK15" t="str">
        <f>HYPERLINK("http://www.ncbi.nlm.nih.gov/Structure/cdd/cddsrv.cgi?uid=pfam03973&amp;version=v4.0","3E-011")</f>
        <v>3E-011</v>
      </c>
      <c r="BL15" t="s">
        <v>995</v>
      </c>
      <c r="BM15" s="1" t="str">
        <f>HYPERLINK("http://exon.niaid.nih.gov/transcriptome/T_rubida/S1/links/KOG/Triru-contig_58-KOG.txt","Voltage-gated Ca2+ channels, alpha1 subunits")</f>
        <v>Voltage-gated Ca2+ channels, alpha1 subunits</v>
      </c>
      <c r="BN15" t="str">
        <f>HYPERLINK("http://www.ncbi.nlm.nih.gov/COG/grace/shokog.cgi?KOG2301","0.18")</f>
        <v>0.18</v>
      </c>
      <c r="BO15" t="s">
        <v>720</v>
      </c>
      <c r="BP15" s="1" t="str">
        <f>HYPERLINK("http://exon.niaid.nih.gov/transcriptome/T_rubida/S1/links/PFAM/Triru-contig_58-PFAM.txt","Triabin")</f>
        <v>Triabin</v>
      </c>
      <c r="BQ15" t="str">
        <f>HYPERLINK("http://pfam.sanger.ac.uk/family?acc=PF03973","8E-012")</f>
        <v>8E-012</v>
      </c>
      <c r="BR15" s="1" t="str">
        <f>HYPERLINK("http://exon.niaid.nih.gov/transcriptome/T_rubida/S1/links/SMART/Triru-contig_58-SMART.txt","PP2Ac")</f>
        <v>PP2Ac</v>
      </c>
      <c r="BS15" t="str">
        <f>HYPERLINK("http://smart.embl-heidelberg.de/smart/do_annotation.pl?DOMAIN=PP2Ac&amp;BLAST=DUMMY","0.29")</f>
        <v>0.29</v>
      </c>
      <c r="BT15" s="1" t="str">
        <f>HYPERLINK("http://exon.niaid.nih.gov/transcriptome/T_rubida/S1/links/PRK/Triru-contig_58-PRK.txt","hypothetical protein")</f>
        <v>hypothetical protein</v>
      </c>
      <c r="BU15">
        <v>7.3999999999999996E-2</v>
      </c>
      <c r="BV15" s="1" t="s">
        <v>57</v>
      </c>
      <c r="BW15" t="s">
        <v>57</v>
      </c>
      <c r="BX15" s="1" t="s">
        <v>57</v>
      </c>
      <c r="BY15" t="s">
        <v>57</v>
      </c>
    </row>
    <row r="16" spans="1:77">
      <c r="A16" t="str">
        <f>HYPERLINK("http://exon.niaid.nih.gov/transcriptome/T_rubida/S1/links/Triru/Triru-contig_77.txt","Triru-contig_77")</f>
        <v>Triru-contig_77</v>
      </c>
      <c r="B16">
        <v>5</v>
      </c>
      <c r="C16" t="str">
        <f>HYPERLINK("http://exon.niaid.nih.gov/transcriptome/T_rubida/S1/links/Triru/Triru-5-48-asb-77.txt","Contig-77")</f>
        <v>Contig-77</v>
      </c>
      <c r="D16" t="str">
        <f>HYPERLINK("http://exon.niaid.nih.gov/transcriptome/T_rubida/S1/links/Triru/Triru-5-48-77-CLU.txt","Contig77")</f>
        <v>Contig77</v>
      </c>
      <c r="E16" t="str">
        <f>HYPERLINK("http://exon.niaid.nih.gov/transcriptome/T_rubida/S1/links/Triru/Triru-5-48-77-qual.txt","87.4")</f>
        <v>87.4</v>
      </c>
      <c r="F16" t="s">
        <v>10</v>
      </c>
      <c r="G16">
        <v>66.7</v>
      </c>
      <c r="H16">
        <v>498</v>
      </c>
      <c r="I16" t="s">
        <v>89</v>
      </c>
      <c r="J16">
        <v>497</v>
      </c>
      <c r="K16">
        <v>517</v>
      </c>
      <c r="L16">
        <v>453</v>
      </c>
      <c r="M16" t="s">
        <v>5069</v>
      </c>
      <c r="N16" s="15">
        <v>2</v>
      </c>
      <c r="O16" s="14" t="str">
        <f>HYPERLINK("http://exon.niaid.nih.gov/transcriptome/T_rubida/S1/links/Sigp/TRIRU-CONTIG_77-SigP.txt","Cyt")</f>
        <v>Cyt</v>
      </c>
      <c r="Q16" s="5" t="s">
        <v>4832</v>
      </c>
      <c r="R16" t="s">
        <v>5719</v>
      </c>
      <c r="S16" t="str">
        <f>HYPERLINK("http://exon.niaid.nih.gov/transcriptome/T_rubida/S1/links/NR/Triru-contig_77-NR.txt","NR")</f>
        <v>NR</v>
      </c>
      <c r="T16" s="23">
        <v>9.9999999999999993E-40</v>
      </c>
      <c r="U16">
        <v>98.6</v>
      </c>
      <c r="V16" s="1" t="str">
        <f>HYPERLINK("http://exon.niaid.nih.gov/transcriptome/T_rubida/S1/links/NR/Triru-contig_77-NR.txt","lipocalin")</f>
        <v>lipocalin</v>
      </c>
      <c r="W16" t="str">
        <f>HYPERLINK("http://www.ncbi.nlm.nih.gov/sutils/blink.cgi?pid=111379921","1E-039")</f>
        <v>1E-039</v>
      </c>
      <c r="X16" t="str">
        <f>HYPERLINK("http://www.ncbi.nlm.nih.gov/protein/111379921","gi|111379921")</f>
        <v>gi|111379921</v>
      </c>
      <c r="Y16">
        <v>166</v>
      </c>
      <c r="Z16">
        <v>143</v>
      </c>
      <c r="AA16">
        <v>146</v>
      </c>
      <c r="AB16">
        <v>55</v>
      </c>
      <c r="AC16">
        <v>99</v>
      </c>
      <c r="AD16">
        <v>64</v>
      </c>
      <c r="AE16">
        <v>0</v>
      </c>
      <c r="AF16">
        <v>3</v>
      </c>
      <c r="AG16">
        <v>11</v>
      </c>
      <c r="AH16">
        <v>1</v>
      </c>
      <c r="AI16">
        <v>2</v>
      </c>
      <c r="AJ16" t="s">
        <v>11</v>
      </c>
      <c r="AL16" t="s">
        <v>938</v>
      </c>
      <c r="AM16" t="s">
        <v>1088</v>
      </c>
      <c r="AN16" t="s">
        <v>1089</v>
      </c>
      <c r="AO16" s="1" t="str">
        <f>HYPERLINK("http://exon.niaid.nih.gov/transcriptome/T_rubida/S1/links/SWISSP/Triru-contig_77-SWISSP.txt","Procalin")</f>
        <v>Procalin</v>
      </c>
      <c r="AP16" t="str">
        <f>HYPERLINK("http://www.uniprot.org/uniprot/Q9U6R6","5E-022")</f>
        <v>5E-022</v>
      </c>
      <c r="AQ16" t="s">
        <v>703</v>
      </c>
      <c r="AR16">
        <v>103</v>
      </c>
      <c r="AS16">
        <v>141</v>
      </c>
      <c r="AT16">
        <v>36</v>
      </c>
      <c r="AU16">
        <v>84</v>
      </c>
      <c r="AV16">
        <v>90</v>
      </c>
      <c r="AW16">
        <v>3</v>
      </c>
      <c r="AX16">
        <v>27</v>
      </c>
      <c r="AY16">
        <v>23</v>
      </c>
      <c r="AZ16">
        <v>1</v>
      </c>
      <c r="BA16">
        <v>2</v>
      </c>
      <c r="BB16" t="s">
        <v>11</v>
      </c>
      <c r="BD16" t="s">
        <v>704</v>
      </c>
      <c r="BE16" t="s">
        <v>705</v>
      </c>
      <c r="BF16" t="s">
        <v>1090</v>
      </c>
      <c r="BG16" t="s">
        <v>1091</v>
      </c>
      <c r="BH16" s="1" t="s">
        <v>57</v>
      </c>
      <c r="BI16" t="s">
        <v>57</v>
      </c>
      <c r="BJ16" s="1" t="str">
        <f>HYPERLINK("http://exon.niaid.nih.gov/transcriptome/T_rubida/S1/links/CDD/Triru-contig_77-CDD.txt","Triabin")</f>
        <v>Triabin</v>
      </c>
      <c r="BK16" t="str">
        <f>HYPERLINK("http://www.ncbi.nlm.nih.gov/Structure/cdd/cddsrv.cgi?uid=pfam03973&amp;version=v4.0","9E-026")</f>
        <v>9E-026</v>
      </c>
      <c r="BL16" t="s">
        <v>1092</v>
      </c>
      <c r="BM16" s="1" t="str">
        <f>HYPERLINK("http://exon.niaid.nih.gov/transcriptome/T_rubida/S1/links/KOG/Triru-contig_77-KOG.txt","emp24/gp25L/p24 family of membrane trafficking proteins")</f>
        <v>emp24/gp25L/p24 family of membrane trafficking proteins</v>
      </c>
      <c r="BN16" t="str">
        <f>HYPERLINK("http://www.ncbi.nlm.nih.gov/COG/grace/shokog.cgi?KOG1691","0.24")</f>
        <v>0.24</v>
      </c>
      <c r="BO16" t="s">
        <v>1082</v>
      </c>
      <c r="BP16" s="1" t="str">
        <f>HYPERLINK("http://exon.niaid.nih.gov/transcriptome/T_rubida/S1/links/PFAM/Triru-contig_77-PFAM.txt","Triabin")</f>
        <v>Triabin</v>
      </c>
      <c r="BQ16" t="str">
        <f>HYPERLINK("http://pfam.sanger.ac.uk/family?acc=PF03973","2E-026")</f>
        <v>2E-026</v>
      </c>
      <c r="BR16" s="1" t="str">
        <f>HYPERLINK("http://exon.niaid.nih.gov/transcriptome/T_rubida/S1/links/SMART/Triru-contig_77-SMART.txt","TR_FER")</f>
        <v>TR_FER</v>
      </c>
      <c r="BS16" t="str">
        <f>HYPERLINK("http://smart.embl-heidelberg.de/smart/do_annotation.pl?DOMAIN=TR_FER&amp;BLAST=DUMMY","0.004")</f>
        <v>0.004</v>
      </c>
      <c r="BT16" s="1" t="str">
        <f>HYPERLINK("http://exon.niaid.nih.gov/transcriptome/T_rubida/S1/links/PRK/Triru-contig_77-PRK.txt","acetohydroxyacid synthase large subunit.")</f>
        <v>acetohydroxyacid synthase large subunit.</v>
      </c>
      <c r="BU16">
        <v>0.88</v>
      </c>
      <c r="BV16" s="1" t="s">
        <v>57</v>
      </c>
      <c r="BW16" t="s">
        <v>57</v>
      </c>
      <c r="BX16" s="1" t="s">
        <v>57</v>
      </c>
      <c r="BY16" t="s">
        <v>57</v>
      </c>
    </row>
    <row r="17" spans="1:77">
      <c r="A17" t="str">
        <f>HYPERLINK("http://exon.niaid.nih.gov/transcriptome/T_rubida/S1/links/Triru/Triru-contig_74.txt","Triru-contig_74")</f>
        <v>Triru-contig_74</v>
      </c>
      <c r="B17">
        <v>3</v>
      </c>
      <c r="C17" t="str">
        <f>HYPERLINK("http://exon.niaid.nih.gov/transcriptome/T_rubida/S1/links/Triru/Triru-5-48-asb-74.txt","Contig-74")</f>
        <v>Contig-74</v>
      </c>
      <c r="D17" t="str">
        <f>HYPERLINK("http://exon.niaid.nih.gov/transcriptome/T_rubida/S1/links/Triru/Triru-5-48-74-CLU.txt","Contig74")</f>
        <v>Contig74</v>
      </c>
      <c r="E17" t="str">
        <f>HYPERLINK("http://exon.niaid.nih.gov/transcriptome/T_rubida/S1/links/Triru/Triru-5-48-74-qual.txt","82.7")</f>
        <v>82.7</v>
      </c>
      <c r="F17" t="s">
        <v>10</v>
      </c>
      <c r="G17">
        <v>68</v>
      </c>
      <c r="H17">
        <v>449</v>
      </c>
      <c r="I17" t="s">
        <v>86</v>
      </c>
      <c r="J17">
        <v>455</v>
      </c>
      <c r="K17">
        <v>469</v>
      </c>
      <c r="L17">
        <v>411</v>
      </c>
      <c r="M17" t="s">
        <v>5071</v>
      </c>
      <c r="N17" s="15">
        <v>2</v>
      </c>
      <c r="O17" s="14" t="str">
        <f>HYPERLINK("http://exon.niaid.nih.gov/transcriptome/T_rubida/S1/links/Sigp/TRIRU-CONTIG_74-SigP.txt","Cyt")</f>
        <v>Cyt</v>
      </c>
      <c r="Q17" s="5" t="s">
        <v>4831</v>
      </c>
      <c r="R17" t="s">
        <v>5719</v>
      </c>
      <c r="S17" t="str">
        <f>HYPERLINK("http://exon.niaid.nih.gov/transcriptome/T_rubida/S1/links/NR/Triru-contig_74-NR.txt","NR")</f>
        <v>NR</v>
      </c>
      <c r="T17" s="23">
        <v>5.0000000000000003E-34</v>
      </c>
      <c r="U17">
        <v>76.900000000000006</v>
      </c>
      <c r="V17" s="1" t="str">
        <f>HYPERLINK("http://exon.niaid.nih.gov/transcriptome/T_rubida/S1/links/NR/Triru-contig_74-NR.txt","lipocalin-like TiLipo37")</f>
        <v>lipocalin-like TiLipo37</v>
      </c>
      <c r="W17" t="str">
        <f>HYPERLINK("http://www.ncbi.nlm.nih.gov/sutils/blink.cgi?pid=34421652","5E-034")</f>
        <v>5E-034</v>
      </c>
      <c r="X17" t="str">
        <f>HYPERLINK("http://www.ncbi.nlm.nih.gov/protein/34421652","gi|34421652")</f>
        <v>gi|34421652</v>
      </c>
      <c r="Y17">
        <v>147</v>
      </c>
      <c r="Z17">
        <v>133</v>
      </c>
      <c r="AA17">
        <v>178</v>
      </c>
      <c r="AB17">
        <v>56</v>
      </c>
      <c r="AC17">
        <v>75</v>
      </c>
      <c r="AD17">
        <v>59</v>
      </c>
      <c r="AE17">
        <v>0</v>
      </c>
      <c r="AF17">
        <v>45</v>
      </c>
      <c r="AG17">
        <v>2</v>
      </c>
      <c r="AH17">
        <v>1</v>
      </c>
      <c r="AI17">
        <v>2</v>
      </c>
      <c r="AJ17" t="s">
        <v>11</v>
      </c>
      <c r="AL17" t="s">
        <v>1067</v>
      </c>
      <c r="AM17" t="s">
        <v>1073</v>
      </c>
      <c r="AN17" t="s">
        <v>1069</v>
      </c>
      <c r="AO17" s="1" t="str">
        <f>HYPERLINK("http://exon.niaid.nih.gov/transcriptome/T_rubida/S1/links/SWISSP/Triru-contig_74-SWISSP.txt","Procalin")</f>
        <v>Procalin</v>
      </c>
      <c r="AP17" t="str">
        <f>HYPERLINK("http://www.uniprot.org/uniprot/Q9U6R6","3E-020")</f>
        <v>3E-020</v>
      </c>
      <c r="AQ17" t="s">
        <v>703</v>
      </c>
      <c r="AR17">
        <v>97.8</v>
      </c>
      <c r="AS17">
        <v>125</v>
      </c>
      <c r="AT17">
        <v>39</v>
      </c>
      <c r="AU17">
        <v>75</v>
      </c>
      <c r="AV17">
        <v>77</v>
      </c>
      <c r="AW17">
        <v>0</v>
      </c>
      <c r="AX17">
        <v>43</v>
      </c>
      <c r="AY17">
        <v>2</v>
      </c>
      <c r="AZ17">
        <v>1</v>
      </c>
      <c r="BA17">
        <v>2</v>
      </c>
      <c r="BB17" t="s">
        <v>11</v>
      </c>
      <c r="BD17" t="s">
        <v>704</v>
      </c>
      <c r="BE17" t="s">
        <v>705</v>
      </c>
      <c r="BF17" t="s">
        <v>1074</v>
      </c>
      <c r="BG17" t="s">
        <v>1075</v>
      </c>
      <c r="BH17" s="1" t="s">
        <v>57</v>
      </c>
      <c r="BI17" t="s">
        <v>57</v>
      </c>
      <c r="BJ17" s="1" t="str">
        <f>HYPERLINK("http://exon.niaid.nih.gov/transcriptome/T_rubida/S1/links/CDD/Triru-contig_74-CDD.txt","Triabin")</f>
        <v>Triabin</v>
      </c>
      <c r="BK17" t="str">
        <f>HYPERLINK("http://www.ncbi.nlm.nih.gov/Structure/cdd/cddsrv.cgi?uid=pfam03973&amp;version=v4.0","1E-017")</f>
        <v>1E-017</v>
      </c>
      <c r="BL17" t="s">
        <v>1076</v>
      </c>
      <c r="BM17" s="1" t="str">
        <f>HYPERLINK("http://exon.niaid.nih.gov/transcriptome/T_rubida/S1/links/KOG/Triru-contig_74-KOG.txt","Inositol 1,4,5-trisphosphate receptor")</f>
        <v>Inositol 1,4,5-trisphosphate receptor</v>
      </c>
      <c r="BN17" t="str">
        <f>HYPERLINK("http://www.ncbi.nlm.nih.gov/COG/grace/shokog.cgi?KOG3533","0.18")</f>
        <v>0.18</v>
      </c>
      <c r="BO17" t="s">
        <v>728</v>
      </c>
      <c r="BP17" s="1" t="str">
        <f>HYPERLINK("http://exon.niaid.nih.gov/transcriptome/T_rubida/S1/links/PFAM/Triru-contig_74-PFAM.txt","Triabin")</f>
        <v>Triabin</v>
      </c>
      <c r="BQ17" t="str">
        <f>HYPERLINK("http://pfam.sanger.ac.uk/family?acc=PF03973","2E-018")</f>
        <v>2E-018</v>
      </c>
      <c r="BR17" s="1" t="str">
        <f>HYPERLINK("http://exon.niaid.nih.gov/transcriptome/T_rubida/S1/links/SMART/Triru-contig_74-SMART.txt","TR_FER")</f>
        <v>TR_FER</v>
      </c>
      <c r="BS17" t="str">
        <f>HYPERLINK("http://smart.embl-heidelberg.de/smart/do_annotation.pl?DOMAIN=TR_FER&amp;BLAST=DUMMY","0.011")</f>
        <v>0.011</v>
      </c>
      <c r="BT17" s="1" t="str">
        <f>HYPERLINK("http://exon.niaid.nih.gov/transcriptome/T_rubida/S1/links/PRK/Triru-contig_74-PRK.txt","DNA primase large subunit")</f>
        <v>DNA primase large subunit</v>
      </c>
      <c r="BU17">
        <v>0.17</v>
      </c>
      <c r="BV17" s="1" t="s">
        <v>57</v>
      </c>
      <c r="BW17" t="s">
        <v>57</v>
      </c>
      <c r="BX17" s="1" t="s">
        <v>57</v>
      </c>
      <c r="BY17" t="s">
        <v>57</v>
      </c>
    </row>
    <row r="18" spans="1:77">
      <c r="A18" t="str">
        <f>HYPERLINK("http://exon.niaid.nih.gov/transcriptome/T_rubida/S1/links/Triru/Triru-contig_79.txt","Triru-contig_79")</f>
        <v>Triru-contig_79</v>
      </c>
      <c r="B18">
        <v>3</v>
      </c>
      <c r="C18" t="str">
        <f>HYPERLINK("http://exon.niaid.nih.gov/transcriptome/T_rubida/S1/links/Triru/Triru-5-48-asb-79.txt","Contig-79")</f>
        <v>Contig-79</v>
      </c>
      <c r="D18" t="str">
        <f>HYPERLINK("http://exon.niaid.nih.gov/transcriptome/T_rubida/S1/links/Triru/Triru-5-48-79-CLU.txt","Contig79")</f>
        <v>Contig79</v>
      </c>
      <c r="E18" t="str">
        <f>HYPERLINK("http://exon.niaid.nih.gov/transcriptome/T_rubida/S1/links/Triru/Triru-5-48-79-qual.txt","89.")</f>
        <v>89.</v>
      </c>
      <c r="F18" t="s">
        <v>10</v>
      </c>
      <c r="G18">
        <v>69.599999999999994</v>
      </c>
      <c r="H18">
        <v>373</v>
      </c>
      <c r="I18" t="s">
        <v>91</v>
      </c>
      <c r="J18">
        <v>404</v>
      </c>
      <c r="K18">
        <v>392</v>
      </c>
      <c r="L18">
        <v>330</v>
      </c>
      <c r="M18" t="s">
        <v>5073</v>
      </c>
      <c r="N18" s="15">
        <v>3</v>
      </c>
      <c r="O18" s="14" t="str">
        <f>HYPERLINK("http://exon.niaid.nih.gov/transcriptome/T_rubida/S1/links/Sigp/TRIRU-CONTIG_79-SigP.txt","Cyt")</f>
        <v>Cyt</v>
      </c>
      <c r="Q18" s="5" t="s">
        <v>4831</v>
      </c>
      <c r="R18" t="s">
        <v>5719</v>
      </c>
      <c r="S18" t="str">
        <f>HYPERLINK("http://exon.niaid.nih.gov/transcriptome/T_rubida/S1/links/NR/Triru-contig_79-NR.txt","NR")</f>
        <v>NR</v>
      </c>
      <c r="T18" s="23">
        <v>2.0000000000000001E-27</v>
      </c>
      <c r="U18">
        <v>61.2</v>
      </c>
      <c r="V18" s="1" t="str">
        <f>HYPERLINK("http://exon.niaid.nih.gov/transcriptome/T_rubida/S1/links/NR/Triru-contig_79-NR.txt","lipocalin-like TiLipo37")</f>
        <v>lipocalin-like TiLipo37</v>
      </c>
      <c r="W18" t="str">
        <f>HYPERLINK("http://www.ncbi.nlm.nih.gov/sutils/blink.cgi?pid=34421652","2E-027")</f>
        <v>2E-027</v>
      </c>
      <c r="X18" t="str">
        <f>HYPERLINK("http://www.ncbi.nlm.nih.gov/protein/34421652","gi|34421652")</f>
        <v>gi|34421652</v>
      </c>
      <c r="Y18">
        <v>125</v>
      </c>
      <c r="Z18">
        <v>108</v>
      </c>
      <c r="AA18">
        <v>178</v>
      </c>
      <c r="AB18">
        <v>56</v>
      </c>
      <c r="AC18">
        <v>61</v>
      </c>
      <c r="AD18">
        <v>47</v>
      </c>
      <c r="AE18">
        <v>0</v>
      </c>
      <c r="AF18">
        <v>70</v>
      </c>
      <c r="AG18">
        <v>6</v>
      </c>
      <c r="AH18">
        <v>1</v>
      </c>
      <c r="AI18">
        <v>3</v>
      </c>
      <c r="AJ18" t="s">
        <v>11</v>
      </c>
      <c r="AL18" t="s">
        <v>1067</v>
      </c>
      <c r="AM18" t="s">
        <v>1098</v>
      </c>
      <c r="AN18" t="s">
        <v>1099</v>
      </c>
      <c r="AO18" s="1" t="str">
        <f>HYPERLINK("http://exon.niaid.nih.gov/transcriptome/T_rubida/S1/links/SWISSP/Triru-contig_79-SWISSP.txt","Procalin")</f>
        <v>Procalin</v>
      </c>
      <c r="AP18" t="str">
        <f>HYPERLINK("http://www.uniprot.org/uniprot/Q9U6R6","1E-013")</f>
        <v>1E-013</v>
      </c>
      <c r="AQ18" t="s">
        <v>703</v>
      </c>
      <c r="AR18">
        <v>75.5</v>
      </c>
      <c r="AS18">
        <v>100</v>
      </c>
      <c r="AT18">
        <v>37</v>
      </c>
      <c r="AU18">
        <v>60</v>
      </c>
      <c r="AV18">
        <v>64</v>
      </c>
      <c r="AW18">
        <v>2</v>
      </c>
      <c r="AX18">
        <v>68</v>
      </c>
      <c r="AY18">
        <v>6</v>
      </c>
      <c r="AZ18">
        <v>1</v>
      </c>
      <c r="BA18">
        <v>3</v>
      </c>
      <c r="BB18" t="s">
        <v>11</v>
      </c>
      <c r="BD18" t="s">
        <v>704</v>
      </c>
      <c r="BE18" t="s">
        <v>705</v>
      </c>
      <c r="BF18" t="s">
        <v>1100</v>
      </c>
      <c r="BG18" t="s">
        <v>1101</v>
      </c>
      <c r="BH18" s="1" t="s">
        <v>57</v>
      </c>
      <c r="BI18" t="s">
        <v>57</v>
      </c>
      <c r="BJ18" s="1" t="str">
        <f>HYPERLINK("http://exon.niaid.nih.gov/transcriptome/T_rubida/S1/links/CDD/Triru-contig_79-CDD.txt","Triabin")</f>
        <v>Triabin</v>
      </c>
      <c r="BK18" t="str">
        <f>HYPERLINK("http://www.ncbi.nlm.nih.gov/Structure/cdd/cddsrv.cgi?uid=pfam03973&amp;version=v4.0","6E-011")</f>
        <v>6E-011</v>
      </c>
      <c r="BL18" t="s">
        <v>1102</v>
      </c>
      <c r="BM18" s="1" t="str">
        <f>HYPERLINK("http://exon.niaid.nih.gov/transcriptome/T_rubida/S1/links/KOG/Triru-contig_79-KOG.txt","Permease of the major facilitator superfamily")</f>
        <v>Permease of the major facilitator superfamily</v>
      </c>
      <c r="BN18" t="str">
        <f>HYPERLINK("http://www.ncbi.nlm.nih.gov/COG/grace/shokog.cgi?KOG2532","0.13")</f>
        <v>0.13</v>
      </c>
      <c r="BO18" t="s">
        <v>946</v>
      </c>
      <c r="BP18" s="1" t="str">
        <f>HYPERLINK("http://exon.niaid.nih.gov/transcriptome/T_rubida/S1/links/PFAM/Triru-contig_79-PFAM.txt","Triabin")</f>
        <v>Triabin</v>
      </c>
      <c r="BQ18" t="str">
        <f>HYPERLINK("http://pfam.sanger.ac.uk/family?acc=PF03973","1E-011")</f>
        <v>1E-011</v>
      </c>
      <c r="BR18" s="1" t="str">
        <f>HYPERLINK("http://exon.niaid.nih.gov/transcriptome/T_rubida/S1/links/SMART/Triru-contig_79-SMART.txt","MYSc")</f>
        <v>MYSc</v>
      </c>
      <c r="BS18" t="str">
        <f>HYPERLINK("http://smart.embl-heidelberg.de/smart/do_annotation.pl?DOMAIN=MYSc&amp;BLAST=DUMMY","0.010")</f>
        <v>0.010</v>
      </c>
      <c r="BT18" s="1" t="str">
        <f>HYPERLINK("http://exon.niaid.nih.gov/transcriptome/T_rubida/S1/links/PRK/Triru-contig_79-PRK.txt","putative fimbrial-like adhesin protein")</f>
        <v>putative fimbrial-like adhesin protein</v>
      </c>
      <c r="BU18">
        <v>0.1</v>
      </c>
      <c r="BV18" s="1" t="s">
        <v>57</v>
      </c>
      <c r="BW18" t="s">
        <v>57</v>
      </c>
      <c r="BX18" s="1" t="s">
        <v>57</v>
      </c>
      <c r="BY18" t="s">
        <v>57</v>
      </c>
    </row>
    <row r="19" spans="1:77">
      <c r="A19" t="str">
        <f>HYPERLINK("http://exon.niaid.nih.gov/transcriptome/T_rubida/S1/links/Triru/Triru-contig_54.txt","Triru-contig_54")</f>
        <v>Triru-contig_54</v>
      </c>
      <c r="B19">
        <v>3</v>
      </c>
      <c r="C19" t="str">
        <f>HYPERLINK("http://exon.niaid.nih.gov/transcriptome/T_rubida/S1/links/Triru/Triru-5-48-asb-54.txt","Contig-54")</f>
        <v>Contig-54</v>
      </c>
      <c r="D19" t="str">
        <f>HYPERLINK("http://exon.niaid.nih.gov/transcriptome/T_rubida/S1/links/Triru/Triru-5-48-54-CLU.txt","Contig54")</f>
        <v>Contig54</v>
      </c>
      <c r="E19" t="str">
        <f>HYPERLINK("http://exon.niaid.nih.gov/transcriptome/T_rubida/S1/links/Triru/Triru-5-48-54-qual.txt","78.9")</f>
        <v>78.9</v>
      </c>
      <c r="F19" t="s">
        <v>10</v>
      </c>
      <c r="G19">
        <v>68.7</v>
      </c>
      <c r="H19">
        <v>514</v>
      </c>
      <c r="I19" t="s">
        <v>66</v>
      </c>
      <c r="J19">
        <v>524</v>
      </c>
      <c r="K19">
        <v>534</v>
      </c>
      <c r="L19">
        <v>453</v>
      </c>
      <c r="M19" t="s">
        <v>5082</v>
      </c>
      <c r="N19" s="15">
        <v>1</v>
      </c>
      <c r="O19" s="14" t="str">
        <f>HYPERLINK("http://exon.niaid.nih.gov/transcriptome/T_rubida/S1/links/Sigp/TRIRU-CONTIG_54-SigP.txt","Cyt")</f>
        <v>Cyt</v>
      </c>
      <c r="Q19" s="5" t="s">
        <v>4829</v>
      </c>
      <c r="R19" t="s">
        <v>5719</v>
      </c>
      <c r="S19" t="str">
        <f>HYPERLINK("http://exon.niaid.nih.gov/transcriptome/T_rubida/S1/links/NR/Triru-contig_54-NR.txt","NR")</f>
        <v>NR</v>
      </c>
      <c r="T19" s="23">
        <v>2.0000000000000002E-43</v>
      </c>
      <c r="U19">
        <v>77.400000000000006</v>
      </c>
      <c r="V19" s="1" t="str">
        <f>HYPERLINK("http://exon.niaid.nih.gov/transcriptome/T_rubida/S1/links/NR/Triru-contig_54-NR.txt","unnamed protein product")</f>
        <v>unnamed protein product</v>
      </c>
      <c r="W19" t="str">
        <f>HYPERLINK("http://www.ncbi.nlm.nih.gov/sutils/blink.cgi?pid=270046188","2E-054")</f>
        <v>2E-054</v>
      </c>
      <c r="X19" t="str">
        <f>HYPERLINK("http://www.ncbi.nlm.nih.gov/protein/270046188","gi|270046188")</f>
        <v>gi|270046188</v>
      </c>
      <c r="Y19">
        <v>216</v>
      </c>
      <c r="Z19">
        <v>150</v>
      </c>
      <c r="AA19">
        <v>197</v>
      </c>
      <c r="AB19">
        <v>66</v>
      </c>
      <c r="AC19">
        <v>77</v>
      </c>
      <c r="AD19">
        <v>50</v>
      </c>
      <c r="AE19">
        <v>1</v>
      </c>
      <c r="AF19">
        <v>47</v>
      </c>
      <c r="AG19">
        <v>1</v>
      </c>
      <c r="AH19">
        <v>1</v>
      </c>
      <c r="AI19">
        <v>1</v>
      </c>
      <c r="AJ19" t="s">
        <v>11</v>
      </c>
      <c r="AL19" t="s">
        <v>700</v>
      </c>
      <c r="AM19" t="s">
        <v>969</v>
      </c>
      <c r="AN19" t="s">
        <v>948</v>
      </c>
      <c r="AO19" s="1" t="str">
        <f>HYPERLINK("http://exon.niaid.nih.gov/transcriptome/T_rubida/S1/links/SWISSP/Triru-contig_54-SWISSP.txt","Triabin")</f>
        <v>Triabin</v>
      </c>
      <c r="AP19" t="str">
        <f>HYPERLINK("http://www.uniprot.org/uniprot/Q27049","4E-004")</f>
        <v>4E-004</v>
      </c>
      <c r="AQ19" t="s">
        <v>970</v>
      </c>
      <c r="AR19">
        <v>44.7</v>
      </c>
      <c r="AS19">
        <v>118</v>
      </c>
      <c r="AT19">
        <v>23</v>
      </c>
      <c r="AU19">
        <v>74</v>
      </c>
      <c r="AV19">
        <v>101</v>
      </c>
      <c r="AW19">
        <v>3</v>
      </c>
      <c r="AX19">
        <v>41</v>
      </c>
      <c r="AY19">
        <v>1</v>
      </c>
      <c r="AZ19">
        <v>1</v>
      </c>
      <c r="BA19">
        <v>1</v>
      </c>
      <c r="BB19" t="s">
        <v>11</v>
      </c>
      <c r="BD19" t="s">
        <v>704</v>
      </c>
      <c r="BE19" t="s">
        <v>971</v>
      </c>
      <c r="BF19" t="s">
        <v>972</v>
      </c>
      <c r="BG19" t="s">
        <v>973</v>
      </c>
      <c r="BH19" s="1" t="s">
        <v>57</v>
      </c>
      <c r="BI19" t="s">
        <v>57</v>
      </c>
      <c r="BJ19" s="1" t="str">
        <f>HYPERLINK("http://exon.niaid.nih.gov/transcriptome/T_rubida/S1/links/CDD/Triru-contig_54-CDD.txt","Triabin")</f>
        <v>Triabin</v>
      </c>
      <c r="BK19" t="str">
        <f>HYPERLINK("http://www.ncbi.nlm.nih.gov/Structure/cdd/cddsrv.cgi?uid=pfam03973&amp;version=v4.0","2E-015")</f>
        <v>2E-015</v>
      </c>
      <c r="BL19" t="s">
        <v>974</v>
      </c>
      <c r="BM19" s="1" t="str">
        <f>HYPERLINK("http://exon.niaid.nih.gov/transcriptome/T_rubida/S1/links/KOG/Triru-contig_54-KOG.txt","Lipid exporter ABCA1 and related proteins, ABC superfamily")</f>
        <v>Lipid exporter ABCA1 and related proteins, ABC superfamily</v>
      </c>
      <c r="BN19" t="str">
        <f>HYPERLINK("http://www.ncbi.nlm.nih.gov/COG/grace/shokog.cgi?KOG0059","0.26")</f>
        <v>0.26</v>
      </c>
      <c r="BO19" t="s">
        <v>962</v>
      </c>
      <c r="BP19" s="1" t="str">
        <f>HYPERLINK("http://exon.niaid.nih.gov/transcriptome/T_rubida/S1/links/PFAM/Triru-contig_54-PFAM.txt","Triabin")</f>
        <v>Triabin</v>
      </c>
      <c r="BQ19" t="str">
        <f>HYPERLINK("http://pfam.sanger.ac.uk/family?acc=PF03973","4E-016")</f>
        <v>4E-016</v>
      </c>
      <c r="BR19" s="1" t="str">
        <f>HYPERLINK("http://exon.niaid.nih.gov/transcriptome/T_rubida/S1/links/SMART/Triru-contig_54-SMART.txt","ZnF_TAZ")</f>
        <v>ZnF_TAZ</v>
      </c>
      <c r="BS19" t="str">
        <f>HYPERLINK("http://smart.embl-heidelberg.de/smart/do_annotation.pl?DOMAIN=ZnF_TAZ&amp;BLAST=DUMMY","0.067")</f>
        <v>0.067</v>
      </c>
      <c r="BT19" s="1" t="str">
        <f>HYPERLINK("http://exon.niaid.nih.gov/transcriptome/T_rubida/S1/links/PRK/Triru-contig_54-PRK.txt","NADH dehydrogenase subunit 4L")</f>
        <v>NADH dehydrogenase subunit 4L</v>
      </c>
      <c r="BU19">
        <v>0.25</v>
      </c>
      <c r="BV19" s="1" t="s">
        <v>57</v>
      </c>
      <c r="BW19" t="s">
        <v>57</v>
      </c>
      <c r="BX19" s="1" t="s">
        <v>57</v>
      </c>
      <c r="BY19" t="s">
        <v>57</v>
      </c>
    </row>
    <row r="20" spans="1:77">
      <c r="A20" t="str">
        <f>HYPERLINK("http://exon.niaid.nih.gov/transcriptome/T_rubida/S1/links/Triru/Triru-contig_55.txt","Triru-contig_55")</f>
        <v>Triru-contig_55</v>
      </c>
      <c r="B20">
        <v>3</v>
      </c>
      <c r="C20" t="str">
        <f>HYPERLINK("http://exon.niaid.nih.gov/transcriptome/T_rubida/S1/links/Triru/Triru-5-48-asb-55.txt","Contig-55")</f>
        <v>Contig-55</v>
      </c>
      <c r="D20" t="str">
        <f>HYPERLINK("http://exon.niaid.nih.gov/transcriptome/T_rubida/S1/links/Triru/Triru-5-48-55-CLU.txt","Contig55")</f>
        <v>Contig55</v>
      </c>
      <c r="E20" t="str">
        <f>HYPERLINK("http://exon.niaid.nih.gov/transcriptome/T_rubida/S1/links/Triru/Triru-5-48-55-qual.txt","87.6")</f>
        <v>87.6</v>
      </c>
      <c r="F20" t="s">
        <v>10</v>
      </c>
      <c r="G20">
        <v>71.900000000000006</v>
      </c>
      <c r="H20">
        <v>341</v>
      </c>
      <c r="I20" t="s">
        <v>67</v>
      </c>
      <c r="J20">
        <v>363</v>
      </c>
      <c r="K20">
        <v>360</v>
      </c>
      <c r="L20">
        <v>273</v>
      </c>
      <c r="M20" t="s">
        <v>5092</v>
      </c>
      <c r="N20" s="15">
        <v>2</v>
      </c>
      <c r="O20" s="14" t="str">
        <f>HYPERLINK("http://exon.niaid.nih.gov/transcriptome/T_rubida/S1/links/Sigp/TRIRU-CONTIG_55-SigP.txt","Cyt")</f>
        <v>Cyt</v>
      </c>
      <c r="Q20" s="5" t="s">
        <v>4829</v>
      </c>
      <c r="R20" t="s">
        <v>5719</v>
      </c>
      <c r="S20" t="str">
        <f>HYPERLINK("http://exon.niaid.nih.gov/transcriptome/T_rubida/S1/links/NR/Triru-contig_55-NR.txt","NR")</f>
        <v>NR</v>
      </c>
      <c r="T20" s="23">
        <v>3.9999999999999998E-20</v>
      </c>
      <c r="U20">
        <v>45.1</v>
      </c>
      <c r="V20" s="1" t="str">
        <f>HYPERLINK("http://exon.niaid.nih.gov/transcriptome/T_rubida/S1/links/NR/Triru-contig_55-NR.txt","unnamed protein product")</f>
        <v>unnamed protein product</v>
      </c>
      <c r="W20" t="str">
        <f>HYPERLINK("http://www.ncbi.nlm.nih.gov/sutils/blink.cgi?pid=270046188","2E-027")</f>
        <v>2E-027</v>
      </c>
      <c r="X20" t="str">
        <f>HYPERLINK("http://www.ncbi.nlm.nih.gov/protein/270046188","gi|270046188")</f>
        <v>gi|270046188</v>
      </c>
      <c r="Y20">
        <v>125</v>
      </c>
      <c r="Z20">
        <v>86</v>
      </c>
      <c r="AA20">
        <v>197</v>
      </c>
      <c r="AB20">
        <v>66</v>
      </c>
      <c r="AC20">
        <v>44</v>
      </c>
      <c r="AD20">
        <v>29</v>
      </c>
      <c r="AE20">
        <v>0</v>
      </c>
      <c r="AF20">
        <v>111</v>
      </c>
      <c r="AG20">
        <v>11</v>
      </c>
      <c r="AH20">
        <v>1</v>
      </c>
      <c r="AI20">
        <v>2</v>
      </c>
      <c r="AJ20" t="s">
        <v>11</v>
      </c>
      <c r="AL20" t="s">
        <v>700</v>
      </c>
      <c r="AM20" t="s">
        <v>975</v>
      </c>
      <c r="AN20" t="s">
        <v>948</v>
      </c>
      <c r="AO20" s="1" t="str">
        <f>HYPERLINK("http://exon.niaid.nih.gov/transcriptome/T_rubida/S1/links/SWISSP/Triru-contig_55-SWISSP.txt","Uncharacterized protein C1D4.14")</f>
        <v>Uncharacterized protein C1D4.14</v>
      </c>
      <c r="AP20" t="str">
        <f>HYPERLINK("http://www.uniprot.org/uniprot/Q09779","0.56")</f>
        <v>0.56</v>
      </c>
      <c r="AQ20" t="s">
        <v>976</v>
      </c>
      <c r="AR20">
        <v>33.1</v>
      </c>
      <c r="AS20">
        <v>79</v>
      </c>
      <c r="AT20">
        <v>28</v>
      </c>
      <c r="AU20">
        <v>5</v>
      </c>
      <c r="AV20">
        <v>59</v>
      </c>
      <c r="AW20">
        <v>6</v>
      </c>
      <c r="AX20">
        <v>281</v>
      </c>
      <c r="AY20">
        <v>8</v>
      </c>
      <c r="AZ20">
        <v>1</v>
      </c>
      <c r="BA20">
        <v>2</v>
      </c>
      <c r="BB20" t="s">
        <v>11</v>
      </c>
      <c r="BD20" t="s">
        <v>704</v>
      </c>
      <c r="BE20" t="s">
        <v>950</v>
      </c>
      <c r="BF20" t="s">
        <v>977</v>
      </c>
      <c r="BG20" t="s">
        <v>978</v>
      </c>
      <c r="BH20" s="1" t="s">
        <v>57</v>
      </c>
      <c r="BI20" t="s">
        <v>57</v>
      </c>
      <c r="BJ20" s="1" t="str">
        <f>HYPERLINK("http://exon.niaid.nih.gov/transcriptome/T_rubida/S1/links/CDD/Triru-contig_55-CDD.txt","Triabin")</f>
        <v>Triabin</v>
      </c>
      <c r="BK20" t="str">
        <f>HYPERLINK("http://www.ncbi.nlm.nih.gov/Structure/cdd/cddsrv.cgi?uid=pfam03973&amp;version=v4.0","1E-008")</f>
        <v>1E-008</v>
      </c>
      <c r="BL20" t="s">
        <v>979</v>
      </c>
      <c r="BM20" s="1" t="str">
        <f>HYPERLINK("http://exon.niaid.nih.gov/transcriptome/T_rubida/S1/links/KOG/Triru-contig_55-KOG.txt","Voltage-gated Ca2+ channels, alpha1 subunits")</f>
        <v>Voltage-gated Ca2+ channels, alpha1 subunits</v>
      </c>
      <c r="BN20" t="str">
        <f>HYPERLINK("http://www.ncbi.nlm.nih.gov/COG/grace/shokog.cgi?KOG2301","0.074")</f>
        <v>0.074</v>
      </c>
      <c r="BO20" t="s">
        <v>720</v>
      </c>
      <c r="BP20" s="1" t="str">
        <f>HYPERLINK("http://exon.niaid.nih.gov/transcriptome/T_rubida/S1/links/PFAM/Triru-contig_55-PFAM.txt","Triabin")</f>
        <v>Triabin</v>
      </c>
      <c r="BQ20" t="str">
        <f>HYPERLINK("http://pfam.sanger.ac.uk/family?acc=PF03973","3E-009")</f>
        <v>3E-009</v>
      </c>
      <c r="BR20" s="1" t="str">
        <f>HYPERLINK("http://exon.niaid.nih.gov/transcriptome/T_rubida/S1/links/SMART/Triru-contig_55-SMART.txt","DENN")</f>
        <v>DENN</v>
      </c>
      <c r="BS20" t="str">
        <f>HYPERLINK("http://smart.embl-heidelberg.de/smart/do_annotation.pl?DOMAIN=DENN&amp;BLAST=DUMMY","0.20")</f>
        <v>0.20</v>
      </c>
      <c r="BT20" s="1" t="str">
        <f>HYPERLINK("http://exon.niaid.nih.gov/transcriptome/T_rubida/S1/links/PRK/Triru-contig_55-PRK.txt","hypothetical protein")</f>
        <v>hypothetical protein</v>
      </c>
      <c r="BU20">
        <v>0.27</v>
      </c>
      <c r="BV20" s="1" t="s">
        <v>57</v>
      </c>
      <c r="BW20" t="s">
        <v>57</v>
      </c>
      <c r="BX20" s="1" t="s">
        <v>57</v>
      </c>
      <c r="BY20" t="s">
        <v>57</v>
      </c>
    </row>
    <row r="21" spans="1:77">
      <c r="A21" t="str">
        <f>HYPERLINK("http://exon.niaid.nih.gov/transcriptome/T_rubida/S1/links/Triru/Triru-contig_75.txt","Triru-contig_75")</f>
        <v>Triru-contig_75</v>
      </c>
      <c r="B21">
        <v>3</v>
      </c>
      <c r="C21" t="str">
        <f>HYPERLINK("http://exon.niaid.nih.gov/transcriptome/T_rubida/S1/links/Triru/Triru-5-48-asb-75.txt","Contig-75")</f>
        <v>Contig-75</v>
      </c>
      <c r="D21" t="str">
        <f>HYPERLINK("http://exon.niaid.nih.gov/transcriptome/T_rubida/S1/links/Triru/Triru-5-48-75-CLU.txt","Contig75")</f>
        <v>Contig75</v>
      </c>
      <c r="E21" t="str">
        <f>HYPERLINK("http://exon.niaid.nih.gov/transcriptome/T_rubida/S1/links/Triru/Triru-5-48-75-qual.txt","91.6")</f>
        <v>91.6</v>
      </c>
      <c r="F21" t="s">
        <v>10</v>
      </c>
      <c r="G21">
        <v>67.599999999999994</v>
      </c>
      <c r="H21">
        <v>429</v>
      </c>
      <c r="I21" t="s">
        <v>87</v>
      </c>
      <c r="J21">
        <v>429</v>
      </c>
      <c r="K21">
        <v>448</v>
      </c>
      <c r="L21">
        <v>384</v>
      </c>
      <c r="M21" t="s">
        <v>5097</v>
      </c>
      <c r="N21" s="15">
        <v>1</v>
      </c>
      <c r="O21" s="14" t="str">
        <f>HYPERLINK("http://exon.niaid.nih.gov/transcriptome/T_rubida/S1/links/Sigp/TRIRU-CONTIG_75-SigP.txt","Cyt")</f>
        <v>Cyt</v>
      </c>
      <c r="Q21" s="5" t="s">
        <v>4829</v>
      </c>
      <c r="R21" t="s">
        <v>5719</v>
      </c>
      <c r="S21" t="str">
        <f>HYPERLINK("http://exon.niaid.nih.gov/transcriptome/T_rubida/S1/links/NR/Triru-contig_75-NR.txt","NR")</f>
        <v>NR</v>
      </c>
      <c r="T21" s="23">
        <v>2.0000000000000002E-30</v>
      </c>
      <c r="U21">
        <v>72</v>
      </c>
      <c r="V21" s="1" t="str">
        <f>HYPERLINK("http://exon.niaid.nih.gov/transcriptome/T_rubida/S1/links/NR/Triru-contig_75-NR.txt","salivary lipocalin")</f>
        <v>salivary lipocalin</v>
      </c>
      <c r="W21" t="str">
        <f>HYPERLINK("http://www.ncbi.nlm.nih.gov/sutils/blink.cgi?pid=149689058","2E-030")</f>
        <v>2E-030</v>
      </c>
      <c r="X21" t="str">
        <f>HYPERLINK("http://www.ncbi.nlm.nih.gov/protein/149689058","gi|149689058")</f>
        <v>gi|149689058</v>
      </c>
      <c r="Y21">
        <v>135</v>
      </c>
      <c r="Z21">
        <v>126</v>
      </c>
      <c r="AA21">
        <v>179</v>
      </c>
      <c r="AB21">
        <v>56</v>
      </c>
      <c r="AC21">
        <v>71</v>
      </c>
      <c r="AD21">
        <v>56</v>
      </c>
      <c r="AE21">
        <v>3</v>
      </c>
      <c r="AF21">
        <v>53</v>
      </c>
      <c r="AG21">
        <v>7</v>
      </c>
      <c r="AH21">
        <v>1</v>
      </c>
      <c r="AI21">
        <v>1</v>
      </c>
      <c r="AJ21" t="s">
        <v>11</v>
      </c>
      <c r="AL21" t="s">
        <v>1067</v>
      </c>
      <c r="AM21" t="s">
        <v>1077</v>
      </c>
      <c r="AN21" t="s">
        <v>1078</v>
      </c>
      <c r="AO21" s="1" t="str">
        <f>HYPERLINK("http://exon.niaid.nih.gov/transcriptome/T_rubida/S1/links/SWISSP/Triru-contig_75-SWISSP.txt","Procalin")</f>
        <v>Procalin</v>
      </c>
      <c r="AP21" t="str">
        <f>HYPERLINK("http://www.uniprot.org/uniprot/Q9U6R6","2E-014")</f>
        <v>2E-014</v>
      </c>
      <c r="AQ21" t="s">
        <v>703</v>
      </c>
      <c r="AR21">
        <v>78.2</v>
      </c>
      <c r="AS21">
        <v>123</v>
      </c>
      <c r="AT21">
        <v>35</v>
      </c>
      <c r="AU21">
        <v>73</v>
      </c>
      <c r="AV21">
        <v>80</v>
      </c>
      <c r="AW21">
        <v>6</v>
      </c>
      <c r="AX21">
        <v>45</v>
      </c>
      <c r="AY21">
        <v>7</v>
      </c>
      <c r="AZ21">
        <v>1</v>
      </c>
      <c r="BA21">
        <v>1</v>
      </c>
      <c r="BB21" t="s">
        <v>11</v>
      </c>
      <c r="BD21" t="s">
        <v>704</v>
      </c>
      <c r="BE21" t="s">
        <v>705</v>
      </c>
      <c r="BF21" t="s">
        <v>1079</v>
      </c>
      <c r="BG21" t="s">
        <v>1080</v>
      </c>
      <c r="BH21" s="1" t="s">
        <v>57</v>
      </c>
      <c r="BI21" t="s">
        <v>57</v>
      </c>
      <c r="BJ21" s="1" t="str">
        <f>HYPERLINK("http://exon.niaid.nih.gov/transcriptome/T_rubida/S1/links/CDD/Triru-contig_75-CDD.txt","Triabin")</f>
        <v>Triabin</v>
      </c>
      <c r="BK21" t="str">
        <f>HYPERLINK("http://www.ncbi.nlm.nih.gov/Structure/cdd/cddsrv.cgi?uid=pfam03973&amp;version=v4.0","1E-017")</f>
        <v>1E-017</v>
      </c>
      <c r="BL21" t="s">
        <v>1081</v>
      </c>
      <c r="BM21" s="1" t="str">
        <f>HYPERLINK("http://exon.niaid.nih.gov/transcriptome/T_rubida/S1/links/KOG/Triru-contig_75-KOG.txt","emp24/gp25L/p24 family of membrane trafficking proteins")</f>
        <v>emp24/gp25L/p24 family of membrane trafficking proteins</v>
      </c>
      <c r="BN21" t="str">
        <f>HYPERLINK("http://www.ncbi.nlm.nih.gov/COG/grace/shokog.cgi?KOG1691","0.043")</f>
        <v>0.043</v>
      </c>
      <c r="BO21" t="s">
        <v>1082</v>
      </c>
      <c r="BP21" s="1" t="str">
        <f>HYPERLINK("http://exon.niaid.nih.gov/transcriptome/T_rubida/S1/links/PFAM/Triru-contig_75-PFAM.txt","Triabin")</f>
        <v>Triabin</v>
      </c>
      <c r="BQ21" t="str">
        <f>HYPERLINK("http://pfam.sanger.ac.uk/family?acc=PF03973","3E-018")</f>
        <v>3E-018</v>
      </c>
      <c r="BR21" s="1" t="str">
        <f>HYPERLINK("http://exon.niaid.nih.gov/transcriptome/T_rubida/S1/links/SMART/Triru-contig_75-SMART.txt","PSN")</f>
        <v>PSN</v>
      </c>
      <c r="BS21" t="str">
        <f>HYPERLINK("http://smart.embl-heidelberg.de/smart/do_annotation.pl?DOMAIN=PSN&amp;BLAST=DUMMY","0.042")</f>
        <v>0.042</v>
      </c>
      <c r="BT21" s="1" t="str">
        <f>HYPERLINK("http://exon.niaid.nih.gov/transcriptome/T_rubida/S1/links/PRK/Triru-contig_75-PRK.txt","NADH dehydrogenase subunit 4")</f>
        <v>NADH dehydrogenase subunit 4</v>
      </c>
      <c r="BU21">
        <v>0.72</v>
      </c>
      <c r="BV21" s="1" t="s">
        <v>57</v>
      </c>
      <c r="BW21" t="s">
        <v>57</v>
      </c>
      <c r="BX21" s="1" t="s">
        <v>57</v>
      </c>
      <c r="BY21" t="s">
        <v>57</v>
      </c>
    </row>
    <row r="22" spans="1:77">
      <c r="A22" t="str">
        <f>HYPERLINK("http://exon.niaid.nih.gov/transcriptome/T_rubida/S1/links/Triru/Triru-contig_78.txt","Triru-contig_78")</f>
        <v>Triru-contig_78</v>
      </c>
      <c r="B22">
        <v>2</v>
      </c>
      <c r="C22" t="str">
        <f>HYPERLINK("http://exon.niaid.nih.gov/transcriptome/T_rubida/S1/links/Triru/Triru-5-48-asb-78.txt","Contig-78")</f>
        <v>Contig-78</v>
      </c>
      <c r="D22" t="str">
        <f>HYPERLINK("http://exon.niaid.nih.gov/transcriptome/T_rubida/S1/links/Triru/Triru-5-48-78-CLU.txt","Contig78")</f>
        <v>Contig78</v>
      </c>
      <c r="E22" t="str">
        <f>HYPERLINK("http://exon.niaid.nih.gov/transcriptome/T_rubida/S1/links/Triru/Triru-5-48-78-qual.txt","84.2")</f>
        <v>84.2</v>
      </c>
      <c r="F22" t="s">
        <v>10</v>
      </c>
      <c r="G22">
        <v>68.400000000000006</v>
      </c>
      <c r="H22">
        <v>459</v>
      </c>
      <c r="I22" t="s">
        <v>90</v>
      </c>
      <c r="J22">
        <v>452</v>
      </c>
      <c r="K22">
        <v>478</v>
      </c>
      <c r="L22">
        <v>393</v>
      </c>
      <c r="M22" t="s">
        <v>5072</v>
      </c>
      <c r="N22" s="15">
        <v>1</v>
      </c>
      <c r="O22" s="14" t="str">
        <f>HYPERLINK("http://exon.niaid.nih.gov/transcriptome/T_rubida/S1/links/Sigp/TRIRU-CONTIG_78-SigP.txt","Cyt")</f>
        <v>Cyt</v>
      </c>
      <c r="Q22" s="5" t="s">
        <v>4831</v>
      </c>
      <c r="R22" t="s">
        <v>5719</v>
      </c>
      <c r="S22" t="str">
        <f>HYPERLINK("http://exon.niaid.nih.gov/transcriptome/T_rubida/S1/links/NR/Triru-contig_78-NR.txt","NR")</f>
        <v>NR</v>
      </c>
      <c r="T22" s="23">
        <v>1.0000000000000001E-32</v>
      </c>
      <c r="U22">
        <v>76.900000000000006</v>
      </c>
      <c r="V22" s="1" t="str">
        <f>HYPERLINK("http://exon.niaid.nih.gov/transcriptome/T_rubida/S1/links/NR/Triru-contig_78-NR.txt","lipocalin-like TiLipo37")</f>
        <v>lipocalin-like TiLipo37</v>
      </c>
      <c r="W22" t="str">
        <f>HYPERLINK("http://www.ncbi.nlm.nih.gov/sutils/blink.cgi?pid=34421652","1E-032")</f>
        <v>1E-032</v>
      </c>
      <c r="X22" t="str">
        <f>HYPERLINK("http://www.ncbi.nlm.nih.gov/protein/34421652","gi|34421652")</f>
        <v>gi|34421652</v>
      </c>
      <c r="Y22">
        <v>142</v>
      </c>
      <c r="Z22">
        <v>135</v>
      </c>
      <c r="AA22">
        <v>178</v>
      </c>
      <c r="AB22">
        <v>52</v>
      </c>
      <c r="AC22">
        <v>76</v>
      </c>
      <c r="AD22">
        <v>65</v>
      </c>
      <c r="AE22">
        <v>0</v>
      </c>
      <c r="AF22">
        <v>43</v>
      </c>
      <c r="AG22">
        <v>7</v>
      </c>
      <c r="AH22">
        <v>1</v>
      </c>
      <c r="AI22">
        <v>1</v>
      </c>
      <c r="AJ22" t="s">
        <v>11</v>
      </c>
      <c r="AK22">
        <v>0.74099999999999999</v>
      </c>
      <c r="AL22" t="s">
        <v>1067</v>
      </c>
      <c r="AM22" t="s">
        <v>1093</v>
      </c>
      <c r="AN22" t="s">
        <v>1094</v>
      </c>
      <c r="AO22" s="1" t="str">
        <f>HYPERLINK("http://exon.niaid.nih.gov/transcriptome/T_rubida/S1/links/SWISSP/Triru-contig_78-SWISSP.txt","Procalin")</f>
        <v>Procalin</v>
      </c>
      <c r="AP22" t="str">
        <f>HYPERLINK("http://www.uniprot.org/uniprot/Q9U6R6","1E-016")</f>
        <v>1E-016</v>
      </c>
      <c r="AQ22" t="s">
        <v>703</v>
      </c>
      <c r="AR22">
        <v>85.5</v>
      </c>
      <c r="AS22">
        <v>127</v>
      </c>
      <c r="AT22">
        <v>36</v>
      </c>
      <c r="AU22">
        <v>76</v>
      </c>
      <c r="AV22">
        <v>83</v>
      </c>
      <c r="AW22">
        <v>2</v>
      </c>
      <c r="AX22">
        <v>41</v>
      </c>
      <c r="AY22">
        <v>7</v>
      </c>
      <c r="AZ22">
        <v>1</v>
      </c>
      <c r="BA22">
        <v>1</v>
      </c>
      <c r="BB22" t="s">
        <v>11</v>
      </c>
      <c r="BD22" t="s">
        <v>704</v>
      </c>
      <c r="BE22" t="s">
        <v>705</v>
      </c>
      <c r="BF22" t="s">
        <v>1095</v>
      </c>
      <c r="BG22" t="s">
        <v>1096</v>
      </c>
      <c r="BH22" s="1" t="s">
        <v>57</v>
      </c>
      <c r="BI22" t="s">
        <v>57</v>
      </c>
      <c r="BJ22" s="1" t="str">
        <f>HYPERLINK("http://exon.niaid.nih.gov/transcriptome/T_rubida/S1/links/CDD/Triru-contig_78-CDD.txt","Triabin")</f>
        <v>Triabin</v>
      </c>
      <c r="BK22" t="str">
        <f>HYPERLINK("http://www.ncbi.nlm.nih.gov/Structure/cdd/cddsrv.cgi?uid=pfam03973&amp;version=v4.0","1E-019")</f>
        <v>1E-019</v>
      </c>
      <c r="BL22" t="s">
        <v>1097</v>
      </c>
      <c r="BM22" s="1" t="str">
        <f>HYPERLINK("http://exon.niaid.nih.gov/transcriptome/T_rubida/S1/links/KOG/Triru-contig_78-KOG.txt","Apolipoprotein D/Lipocalin")</f>
        <v>Apolipoprotein D/Lipocalin</v>
      </c>
      <c r="BN22" t="str">
        <f>HYPERLINK("http://www.ncbi.nlm.nih.gov/COG/grace/shokog.cgi?KOG4824","0.35")</f>
        <v>0.35</v>
      </c>
      <c r="BO22" t="s">
        <v>760</v>
      </c>
      <c r="BP22" s="1" t="str">
        <f>HYPERLINK("http://exon.niaid.nih.gov/transcriptome/T_rubida/S1/links/PFAM/Triru-contig_78-PFAM.txt","Triabin")</f>
        <v>Triabin</v>
      </c>
      <c r="BQ22" t="str">
        <f>HYPERLINK("http://pfam.sanger.ac.uk/family?acc=PF03973","2E-020")</f>
        <v>2E-020</v>
      </c>
      <c r="BR22" s="1" t="str">
        <f>HYPERLINK("http://exon.niaid.nih.gov/transcriptome/T_rubida/S1/links/SMART/Triru-contig_78-SMART.txt","TR_FER")</f>
        <v>TR_FER</v>
      </c>
      <c r="BS22" t="str">
        <f>HYPERLINK("http://smart.embl-heidelberg.de/smart/do_annotation.pl?DOMAIN=TR_FER&amp;BLAST=DUMMY","0.006")</f>
        <v>0.006</v>
      </c>
      <c r="BT22" s="1" t="str">
        <f>HYPERLINK("http://exon.niaid.nih.gov/transcriptome/T_rubida/S1/links/PRK/Triru-contig_78-PRK.txt","hypothetical protein")</f>
        <v>hypothetical protein</v>
      </c>
      <c r="BU22">
        <v>2.9000000000000001E-2</v>
      </c>
      <c r="BV22" s="1" t="s">
        <v>57</v>
      </c>
      <c r="BW22" t="s">
        <v>57</v>
      </c>
      <c r="BX22" s="1" t="s">
        <v>57</v>
      </c>
      <c r="BY22" t="s">
        <v>57</v>
      </c>
    </row>
    <row r="23" spans="1:77">
      <c r="A23" t="str">
        <f>HYPERLINK("http://exon.niaid.nih.gov/transcriptome/T_rubida/S1/links/Triru/Triru-contig_57.txt","Triru-contig_57")</f>
        <v>Triru-contig_57</v>
      </c>
      <c r="B23">
        <v>2</v>
      </c>
      <c r="C23" t="str">
        <f>HYPERLINK("http://exon.niaid.nih.gov/transcriptome/T_rubida/S1/links/Triru/Triru-5-48-asb-57.txt","Contig-57")</f>
        <v>Contig-57</v>
      </c>
      <c r="D23" t="str">
        <f>HYPERLINK("http://exon.niaid.nih.gov/transcriptome/T_rubida/S1/links/Triru/Triru-5-48-57-CLU.txt","Contig57")</f>
        <v>Contig57</v>
      </c>
      <c r="E23" t="str">
        <f>HYPERLINK("http://exon.niaid.nih.gov/transcriptome/T_rubida/S1/links/Triru/Triru-5-48-57-qual.txt","57.1")</f>
        <v>57.1</v>
      </c>
      <c r="F23" t="s">
        <v>10</v>
      </c>
      <c r="G23">
        <v>67</v>
      </c>
      <c r="H23">
        <v>614</v>
      </c>
      <c r="I23" t="s">
        <v>69</v>
      </c>
      <c r="J23">
        <v>614</v>
      </c>
      <c r="K23">
        <v>633</v>
      </c>
      <c r="L23">
        <v>351</v>
      </c>
      <c r="M23" t="s">
        <v>5080</v>
      </c>
      <c r="N23" s="15">
        <v>3</v>
      </c>
      <c r="O23" s="14" t="str">
        <f>HYPERLINK("http://exon.niaid.nih.gov/transcriptome/T_rubida/S1/links/Sigp/TRIRU-CONTIG_57-SigP.txt","Cyt")</f>
        <v>Cyt</v>
      </c>
      <c r="Q23" s="5" t="s">
        <v>4829</v>
      </c>
      <c r="R23" t="s">
        <v>5719</v>
      </c>
      <c r="S23" t="str">
        <f>HYPERLINK("http://exon.niaid.nih.gov/transcriptome/T_rubida/S1/links/NR/Triru-contig_57-NR.txt","NR")</f>
        <v>NR</v>
      </c>
      <c r="T23" s="23">
        <v>5.9999999999999997E-46</v>
      </c>
      <c r="U23">
        <v>60</v>
      </c>
      <c r="V23" s="1" t="str">
        <f>HYPERLINK("http://exon.niaid.nih.gov/transcriptome/T_rubida/S1/links/NR/Triru-contig_57-NR.txt","unnamed protein product")</f>
        <v>unnamed protein product</v>
      </c>
      <c r="W23" t="str">
        <f>HYPERLINK("http://www.ncbi.nlm.nih.gov/sutils/blink.cgi?pid=270046188","4E-058")</f>
        <v>4E-058</v>
      </c>
      <c r="X23" t="str">
        <f>HYPERLINK("http://www.ncbi.nlm.nih.gov/protein/270046188","gi|270046188")</f>
        <v>gi|270046188</v>
      </c>
      <c r="Y23">
        <v>165</v>
      </c>
      <c r="Z23">
        <v>176</v>
      </c>
      <c r="AA23">
        <v>197</v>
      </c>
      <c r="AB23">
        <v>67</v>
      </c>
      <c r="AC23">
        <v>90</v>
      </c>
      <c r="AD23">
        <v>38</v>
      </c>
      <c r="AE23">
        <v>0</v>
      </c>
      <c r="AF23">
        <v>21</v>
      </c>
      <c r="AG23">
        <v>17</v>
      </c>
      <c r="AH23">
        <v>2</v>
      </c>
      <c r="AI23">
        <v>3</v>
      </c>
      <c r="AJ23" t="s">
        <v>888</v>
      </c>
      <c r="AL23" t="s">
        <v>700</v>
      </c>
      <c r="AM23" t="s">
        <v>985</v>
      </c>
      <c r="AN23" t="s">
        <v>948</v>
      </c>
      <c r="AO23" s="1" t="str">
        <f>HYPERLINK("http://exon.niaid.nih.gov/transcriptome/T_rubida/S1/links/SWISSP/Triru-contig_57-SWISSP.txt","Nitrophorin-3")</f>
        <v>Nitrophorin-3</v>
      </c>
      <c r="AP23" t="str">
        <f>HYPERLINK("http://www.uniprot.org/uniprot/Q94733","1.2")</f>
        <v>1.2</v>
      </c>
      <c r="AQ23" t="s">
        <v>986</v>
      </c>
      <c r="AR23">
        <v>33.5</v>
      </c>
      <c r="AS23">
        <v>51</v>
      </c>
      <c r="AT23">
        <v>31</v>
      </c>
      <c r="AU23">
        <v>26</v>
      </c>
      <c r="AV23">
        <v>37</v>
      </c>
      <c r="AW23">
        <v>0</v>
      </c>
      <c r="AX23">
        <v>23</v>
      </c>
      <c r="AY23">
        <v>32</v>
      </c>
      <c r="AZ23">
        <v>1</v>
      </c>
      <c r="BA23">
        <v>2</v>
      </c>
      <c r="BB23" t="s">
        <v>11</v>
      </c>
      <c r="BD23" t="s">
        <v>704</v>
      </c>
      <c r="BE23" t="s">
        <v>958</v>
      </c>
      <c r="BF23" t="s">
        <v>987</v>
      </c>
      <c r="BG23" t="s">
        <v>988</v>
      </c>
      <c r="BH23" s="1" t="s">
        <v>57</v>
      </c>
      <c r="BI23" t="s">
        <v>57</v>
      </c>
      <c r="BJ23" s="1" t="str">
        <f>HYPERLINK("http://exon.niaid.nih.gov/transcriptome/T_rubida/S1/links/CDD/Triru-contig_57-CDD.txt","Triabin")</f>
        <v>Triabin</v>
      </c>
      <c r="BK23" t="str">
        <f>HYPERLINK("http://www.ncbi.nlm.nih.gov/Structure/cdd/cddsrv.cgi?uid=pfam03973&amp;version=v4.0","2E-009")</f>
        <v>2E-009</v>
      </c>
      <c r="BL23" t="s">
        <v>989</v>
      </c>
      <c r="BM23" s="1" t="str">
        <f>HYPERLINK("http://exon.niaid.nih.gov/transcriptome/T_rubida/S1/links/KOG/Triru-contig_57-KOG.txt","Voltage-gated Ca2+ channels, alpha1 subunits")</f>
        <v>Voltage-gated Ca2+ channels, alpha1 subunits</v>
      </c>
      <c r="BN23" t="str">
        <f>HYPERLINK("http://www.ncbi.nlm.nih.gov/COG/grace/shokog.cgi?KOG2301","0.68")</f>
        <v>0.68</v>
      </c>
      <c r="BO23" t="s">
        <v>720</v>
      </c>
      <c r="BP23" s="1" t="str">
        <f>HYPERLINK("http://exon.niaid.nih.gov/transcriptome/T_rubida/S1/links/PFAM/Triru-contig_57-PFAM.txt","Triabin")</f>
        <v>Triabin</v>
      </c>
      <c r="BQ23" t="str">
        <f>HYPERLINK("http://pfam.sanger.ac.uk/family?acc=PF03973","4E-010")</f>
        <v>4E-010</v>
      </c>
      <c r="BR23" s="1" t="str">
        <f>HYPERLINK("http://exon.niaid.nih.gov/transcriptome/T_rubida/S1/links/SMART/Triru-contig_57-SMART.txt","PLCXc")</f>
        <v>PLCXc</v>
      </c>
      <c r="BS23" t="str">
        <f>HYPERLINK("http://smart.embl-heidelberg.de/smart/do_annotation.pl?DOMAIN=PLCXc&amp;BLAST=DUMMY","0.39")</f>
        <v>0.39</v>
      </c>
      <c r="BT23" s="1" t="str">
        <f>HYPERLINK("http://exon.niaid.nih.gov/transcriptome/T_rubida/S1/links/PRK/Triru-contig_57-PRK.txt","hypothetical protein")</f>
        <v>hypothetical protein</v>
      </c>
      <c r="BU23">
        <v>0.19</v>
      </c>
      <c r="BV23" s="1" t="s">
        <v>57</v>
      </c>
      <c r="BW23" t="s">
        <v>57</v>
      </c>
      <c r="BX23" s="1" t="s">
        <v>57</v>
      </c>
      <c r="BY23" t="s">
        <v>57</v>
      </c>
    </row>
    <row r="24" spans="1:77">
      <c r="A24" t="str">
        <f>HYPERLINK("http://exon.niaid.nih.gov/transcriptome/T_rubida/S1/links/Triru/Triru-contig_53.txt","Triru-contig_53")</f>
        <v>Triru-contig_53</v>
      </c>
      <c r="B24">
        <v>2</v>
      </c>
      <c r="C24" t="str">
        <f>HYPERLINK("http://exon.niaid.nih.gov/transcriptome/T_rubida/S1/links/Triru/Triru-5-48-asb-53.txt","Contig-53")</f>
        <v>Contig-53</v>
      </c>
      <c r="D24" t="str">
        <f>HYPERLINK("http://exon.niaid.nih.gov/transcriptome/T_rubida/S1/links/Triru/Triru-5-48-53-CLU.txt","Contig53")</f>
        <v>Contig53</v>
      </c>
      <c r="E24" t="str">
        <f>HYPERLINK("http://exon.niaid.nih.gov/transcriptome/T_rubida/S1/links/Triru/Triru-5-48-53-qual.txt","80.")</f>
        <v>80.</v>
      </c>
      <c r="F24" t="s">
        <v>10</v>
      </c>
      <c r="G24">
        <v>68.400000000000006</v>
      </c>
      <c r="H24">
        <v>455</v>
      </c>
      <c r="I24" t="s">
        <v>65</v>
      </c>
      <c r="J24">
        <v>482</v>
      </c>
      <c r="K24">
        <v>474</v>
      </c>
      <c r="L24">
        <v>390</v>
      </c>
      <c r="M24" t="s">
        <v>5085</v>
      </c>
      <c r="N24" s="15">
        <v>1</v>
      </c>
      <c r="O24" s="14" t="str">
        <f>HYPERLINK("http://exon.niaid.nih.gov/transcriptome/T_rubida/S1/links/Sigp/TRIRU-CONTIG_53-SigP.txt","Cyt")</f>
        <v>Cyt</v>
      </c>
      <c r="Q24" s="5" t="s">
        <v>4829</v>
      </c>
      <c r="R24" t="s">
        <v>5719</v>
      </c>
      <c r="S24" t="str">
        <f>HYPERLINK("http://exon.niaid.nih.gov/transcriptome/T_rubida/S1/links/NR/Triru-contig_53-NR.txt","NR")</f>
        <v>NR</v>
      </c>
      <c r="T24" s="23">
        <v>2.0000000000000001E-32</v>
      </c>
      <c r="U24">
        <v>65.599999999999994</v>
      </c>
      <c r="V24" s="1" t="str">
        <f>HYPERLINK("http://exon.niaid.nih.gov/transcriptome/T_rubida/S1/links/NR/Triru-contig_53-NR.txt","unnamed protein product")</f>
        <v>unnamed protein product</v>
      </c>
      <c r="W24" t="str">
        <f>HYPERLINK("http://www.ncbi.nlm.nih.gov/sutils/blink.cgi?pid=270046188","8E-041")</f>
        <v>8E-041</v>
      </c>
      <c r="X24" t="str">
        <f>HYPERLINK("http://www.ncbi.nlm.nih.gov/protein/270046188","gi|270046188")</f>
        <v>gi|270046188</v>
      </c>
      <c r="Y24">
        <v>170</v>
      </c>
      <c r="Z24">
        <v>127</v>
      </c>
      <c r="AA24">
        <v>197</v>
      </c>
      <c r="AB24">
        <v>63</v>
      </c>
      <c r="AC24">
        <v>65</v>
      </c>
      <c r="AD24">
        <v>47</v>
      </c>
      <c r="AE24">
        <v>1</v>
      </c>
      <c r="AF24">
        <v>70</v>
      </c>
      <c r="AG24">
        <v>7</v>
      </c>
      <c r="AH24">
        <v>1</v>
      </c>
      <c r="AI24">
        <v>1</v>
      </c>
      <c r="AJ24" t="s">
        <v>11</v>
      </c>
      <c r="AL24" t="s">
        <v>700</v>
      </c>
      <c r="AM24" t="s">
        <v>963</v>
      </c>
      <c r="AN24" t="s">
        <v>964</v>
      </c>
      <c r="AO24" s="1" t="str">
        <f>HYPERLINK("http://exon.niaid.nih.gov/transcriptome/T_rubida/S1/links/SWISSP/Triru-contig_53-SWISSP.txt","Apolipoprotein D")</f>
        <v>Apolipoprotein D</v>
      </c>
      <c r="AP24" t="str">
        <f>HYPERLINK("http://www.uniprot.org/uniprot/P51910","0.27")</f>
        <v>0.27</v>
      </c>
      <c r="AQ24" t="s">
        <v>965</v>
      </c>
      <c r="AR24">
        <v>34.700000000000003</v>
      </c>
      <c r="AS24">
        <v>123</v>
      </c>
      <c r="AT24">
        <v>28</v>
      </c>
      <c r="AU24">
        <v>66</v>
      </c>
      <c r="AV24">
        <v>94</v>
      </c>
      <c r="AW24">
        <v>15</v>
      </c>
      <c r="AX24">
        <v>62</v>
      </c>
      <c r="AY24">
        <v>34</v>
      </c>
      <c r="AZ24">
        <v>1</v>
      </c>
      <c r="BA24">
        <v>1</v>
      </c>
      <c r="BB24" t="s">
        <v>11</v>
      </c>
      <c r="BD24" t="s">
        <v>704</v>
      </c>
      <c r="BE24" t="s">
        <v>807</v>
      </c>
      <c r="BF24" t="s">
        <v>966</v>
      </c>
      <c r="BG24" t="s">
        <v>967</v>
      </c>
      <c r="BH24" s="1" t="s">
        <v>57</v>
      </c>
      <c r="BI24" t="s">
        <v>57</v>
      </c>
      <c r="BJ24" s="1" t="str">
        <f>HYPERLINK("http://exon.niaid.nih.gov/transcriptome/T_rubida/S1/links/CDD/Triru-contig_53-CDD.txt","Triabin")</f>
        <v>Triabin</v>
      </c>
      <c r="BK24" t="str">
        <f>HYPERLINK("http://www.ncbi.nlm.nih.gov/Structure/cdd/cddsrv.cgi?uid=pfam03973&amp;version=v4.0","1E-012")</f>
        <v>1E-012</v>
      </c>
      <c r="BL24" t="s">
        <v>968</v>
      </c>
      <c r="BM24" s="1" t="str">
        <f>HYPERLINK("http://exon.niaid.nih.gov/transcriptome/T_rubida/S1/links/KOG/Triru-contig_53-KOG.txt","Voltage-gated Ca2+ channels, alpha1 subunits")</f>
        <v>Voltage-gated Ca2+ channels, alpha1 subunits</v>
      </c>
      <c r="BN24" t="str">
        <f>HYPERLINK("http://www.ncbi.nlm.nih.gov/COG/grace/shokog.cgi?KOG2301","0.30")</f>
        <v>0.30</v>
      </c>
      <c r="BO24" t="s">
        <v>720</v>
      </c>
      <c r="BP24" s="1" t="str">
        <f>HYPERLINK("http://exon.niaid.nih.gov/transcriptome/T_rubida/S1/links/PFAM/Triru-contig_53-PFAM.txt","Triabin")</f>
        <v>Triabin</v>
      </c>
      <c r="BQ24" t="str">
        <f>HYPERLINK("http://pfam.sanger.ac.uk/family?acc=PF03973","3E-013")</f>
        <v>3E-013</v>
      </c>
      <c r="BR24" s="1" t="str">
        <f>HYPERLINK("http://exon.niaid.nih.gov/transcriptome/T_rubida/S1/links/SMART/Triru-contig_53-SMART.txt","ZnF_TAZ")</f>
        <v>ZnF_TAZ</v>
      </c>
      <c r="BS24" t="str">
        <f>HYPERLINK("http://smart.embl-heidelberg.de/smart/do_annotation.pl?DOMAIN=ZnF_TAZ&amp;BLAST=DUMMY","0.046")</f>
        <v>0.046</v>
      </c>
      <c r="BT24" s="1" t="str">
        <f>HYPERLINK("http://exon.niaid.nih.gov/transcriptome/T_rubida/S1/links/PRK/Triru-contig_53-PRK.txt","ATP synthase F0 subunit 6")</f>
        <v>ATP synthase F0 subunit 6</v>
      </c>
      <c r="BU24">
        <v>0.13</v>
      </c>
      <c r="BV24" s="1" t="s">
        <v>57</v>
      </c>
      <c r="BW24" t="s">
        <v>57</v>
      </c>
      <c r="BX24" s="1" t="s">
        <v>57</v>
      </c>
      <c r="BY24" t="s">
        <v>57</v>
      </c>
    </row>
    <row r="25" spans="1:77">
      <c r="A25" t="str">
        <f>HYPERLINK("http://exon.niaid.nih.gov/transcriptome/T_rubida/S1/links/Triru/Triru-contig_59.txt","Triru-contig_59")</f>
        <v>Triru-contig_59</v>
      </c>
      <c r="B25">
        <v>2</v>
      </c>
      <c r="C25" t="str">
        <f>HYPERLINK("http://exon.niaid.nih.gov/transcriptome/T_rubida/S1/links/Triru/Triru-5-48-asb-59.txt","Contig-59")</f>
        <v>Contig-59</v>
      </c>
      <c r="D25" t="str">
        <f>HYPERLINK("http://exon.niaid.nih.gov/transcriptome/T_rubida/S1/links/Triru/Triru-5-48-59-CLU.txt","Contig59")</f>
        <v>Contig59</v>
      </c>
      <c r="E25" t="str">
        <f>HYPERLINK("http://exon.niaid.nih.gov/transcriptome/T_rubida/S1/links/Triru/Triru-5-48-59-qual.txt","85.")</f>
        <v>85.</v>
      </c>
      <c r="F25" t="s">
        <v>10</v>
      </c>
      <c r="G25">
        <v>69.2</v>
      </c>
      <c r="H25">
        <v>351</v>
      </c>
      <c r="I25" t="s">
        <v>71</v>
      </c>
      <c r="J25">
        <v>351</v>
      </c>
      <c r="K25">
        <v>370</v>
      </c>
      <c r="L25">
        <v>288</v>
      </c>
      <c r="M25" t="s">
        <v>5093</v>
      </c>
      <c r="N25" s="15">
        <v>1</v>
      </c>
      <c r="Q25" s="5" t="s">
        <v>4829</v>
      </c>
      <c r="R25" t="s">
        <v>5719</v>
      </c>
      <c r="S25" t="str">
        <f>HYPERLINK("http://exon.niaid.nih.gov/transcriptome/T_rubida/S1/links/NR/Triru-contig_59-NR.txt","NR")</f>
        <v>NR</v>
      </c>
      <c r="T25" s="23">
        <v>5.0000000000000004E-19</v>
      </c>
      <c r="U25">
        <v>45.1</v>
      </c>
      <c r="V25" s="1" t="str">
        <f>HYPERLINK("http://exon.niaid.nih.gov/transcriptome/T_rubida/S1/links/NR/Triru-contig_59-NR.txt","unnamed protein product")</f>
        <v>unnamed protein product</v>
      </c>
      <c r="W25" t="str">
        <f>HYPERLINK("http://www.ncbi.nlm.nih.gov/sutils/blink.cgi?pid=270046188","5E-025")</f>
        <v>5E-025</v>
      </c>
      <c r="X25" t="str">
        <f>HYPERLINK("http://www.ncbi.nlm.nih.gov/protein/270046188","gi|270046188")</f>
        <v>gi|270046188</v>
      </c>
      <c r="Y25">
        <v>117</v>
      </c>
      <c r="Z25">
        <v>86</v>
      </c>
      <c r="AA25">
        <v>197</v>
      </c>
      <c r="AB25">
        <v>63</v>
      </c>
      <c r="AC25">
        <v>44</v>
      </c>
      <c r="AD25">
        <v>32</v>
      </c>
      <c r="AE25">
        <v>0</v>
      </c>
      <c r="AF25">
        <v>111</v>
      </c>
      <c r="AG25">
        <v>25</v>
      </c>
      <c r="AH25">
        <v>1</v>
      </c>
      <c r="AI25">
        <v>1</v>
      </c>
      <c r="AJ25" t="s">
        <v>11</v>
      </c>
      <c r="AL25" t="s">
        <v>700</v>
      </c>
      <c r="AM25" t="s">
        <v>975</v>
      </c>
      <c r="AN25" t="s">
        <v>948</v>
      </c>
      <c r="AO25" s="1" t="str">
        <f>HYPERLINK("http://exon.niaid.nih.gov/transcriptome/T_rubida/S1/links/SWISSP/Triru-contig_59-SWISSP.txt","Crustacyanin-A2 subunit")</f>
        <v>Crustacyanin-A2 subunit</v>
      </c>
      <c r="AP25" t="str">
        <f>HYPERLINK("http://www.uniprot.org/uniprot/P80007","0.43")</f>
        <v>0.43</v>
      </c>
      <c r="AQ25" t="s">
        <v>991</v>
      </c>
      <c r="AR25">
        <v>33.5</v>
      </c>
      <c r="AS25">
        <v>56</v>
      </c>
      <c r="AT25">
        <v>29</v>
      </c>
      <c r="AU25">
        <v>33</v>
      </c>
      <c r="AV25">
        <v>40</v>
      </c>
      <c r="AW25">
        <v>3</v>
      </c>
      <c r="AX25">
        <v>106</v>
      </c>
      <c r="AY25">
        <v>97</v>
      </c>
      <c r="AZ25">
        <v>1</v>
      </c>
      <c r="BA25">
        <v>1</v>
      </c>
      <c r="BB25" t="s">
        <v>11</v>
      </c>
      <c r="BD25" t="s">
        <v>704</v>
      </c>
      <c r="BE25" t="s">
        <v>992</v>
      </c>
      <c r="BF25" t="s">
        <v>996</v>
      </c>
      <c r="BG25" t="s">
        <v>997</v>
      </c>
      <c r="BH25" s="1" t="s">
        <v>57</v>
      </c>
      <c r="BI25" t="s">
        <v>57</v>
      </c>
      <c r="BJ25" s="1" t="str">
        <f>HYPERLINK("http://exon.niaid.nih.gov/transcriptome/T_rubida/S1/links/CDD/Triru-contig_59-CDD.txt","Triabin")</f>
        <v>Triabin</v>
      </c>
      <c r="BK25" t="str">
        <f>HYPERLINK("http://www.ncbi.nlm.nih.gov/Structure/cdd/cddsrv.cgi?uid=pfam03973&amp;version=v4.0","7E-008")</f>
        <v>7E-008</v>
      </c>
      <c r="BL25" t="s">
        <v>998</v>
      </c>
      <c r="BM25" s="1" t="str">
        <f>HYPERLINK("http://exon.niaid.nih.gov/transcriptome/T_rubida/S1/links/KOG/Triru-contig_59-KOG.txt","Voltage-gated Ca2+ channels, alpha1 subunits")</f>
        <v>Voltage-gated Ca2+ channels, alpha1 subunits</v>
      </c>
      <c r="BN25" t="str">
        <f>HYPERLINK("http://www.ncbi.nlm.nih.gov/COG/grace/shokog.cgi?KOG2301","0.57")</f>
        <v>0.57</v>
      </c>
      <c r="BO25" t="s">
        <v>720</v>
      </c>
      <c r="BP25" s="1" t="str">
        <f>HYPERLINK("http://exon.niaid.nih.gov/transcriptome/T_rubida/S1/links/PFAM/Triru-contig_59-PFAM.txt","Triabin")</f>
        <v>Triabin</v>
      </c>
      <c r="BQ25" t="str">
        <f>HYPERLINK("http://pfam.sanger.ac.uk/family?acc=PF03973","2E-008")</f>
        <v>2E-008</v>
      </c>
      <c r="BR25" s="1" t="str">
        <f>HYPERLINK("http://exon.niaid.nih.gov/transcriptome/T_rubida/S1/links/SMART/Triru-contig_59-SMART.txt","PP2Ac")</f>
        <v>PP2Ac</v>
      </c>
      <c r="BS25" t="str">
        <f>HYPERLINK("http://smart.embl-heidelberg.de/smart/do_annotation.pl?DOMAIN=PP2Ac&amp;BLAST=DUMMY","0.16")</f>
        <v>0.16</v>
      </c>
      <c r="BT25" s="1" t="str">
        <f>HYPERLINK("http://exon.niaid.nih.gov/transcriptome/T_rubida/S1/links/PRK/Triru-contig_59-PRK.txt","acetate kinase A/propionate kinase 2")</f>
        <v>acetate kinase A/propionate kinase 2</v>
      </c>
      <c r="BU25">
        <v>0.17</v>
      </c>
      <c r="BV25" s="1" t="s">
        <v>57</v>
      </c>
      <c r="BW25" t="s">
        <v>57</v>
      </c>
      <c r="BX25" s="1" t="s">
        <v>57</v>
      </c>
      <c r="BY25" t="s">
        <v>57</v>
      </c>
    </row>
    <row r="26" spans="1:77">
      <c r="A26" t="str">
        <f>HYPERLINK("http://exon.niaid.nih.gov/transcriptome/T_rubida/S1/links/Triru/Triru-contig_91.txt","Triru-contig_91")</f>
        <v>Triru-contig_91</v>
      </c>
      <c r="B26">
        <v>2</v>
      </c>
      <c r="C26" t="str">
        <f>HYPERLINK("http://exon.niaid.nih.gov/transcriptome/T_rubida/S1/links/Triru/Triru-5-48-asb-91.txt","Contig-91")</f>
        <v>Contig-91</v>
      </c>
      <c r="D26" t="str">
        <f>HYPERLINK("http://exon.niaid.nih.gov/transcriptome/T_rubida/S1/links/Triru/Triru-5-48-91-CLU.txt","Contig91")</f>
        <v>Contig91</v>
      </c>
      <c r="E26" t="str">
        <f>HYPERLINK("http://exon.niaid.nih.gov/transcriptome/T_rubida/S1/links/Triru/Triru-5-48-91-qual.txt","78.2")</f>
        <v>78.2</v>
      </c>
      <c r="F26" t="s">
        <v>10</v>
      </c>
      <c r="G26">
        <v>66.900000000000006</v>
      </c>
      <c r="H26">
        <v>373</v>
      </c>
      <c r="I26" t="s">
        <v>103</v>
      </c>
      <c r="J26">
        <v>384</v>
      </c>
      <c r="K26">
        <v>396</v>
      </c>
      <c r="L26">
        <v>300</v>
      </c>
      <c r="M26" t="s">
        <v>5099</v>
      </c>
      <c r="N26" s="15">
        <v>2</v>
      </c>
      <c r="Q26" s="5" t="s">
        <v>4829</v>
      </c>
      <c r="R26" t="s">
        <v>5719</v>
      </c>
      <c r="S26" t="str">
        <f>HYPERLINK("http://exon.niaid.nih.gov/transcriptome/T_rubida/S1/links/NR/Triru-contig_91-NR.txt","NR")</f>
        <v>NR</v>
      </c>
      <c r="T26" s="23">
        <v>7.0000000000000007E-21</v>
      </c>
      <c r="U26">
        <v>55.4</v>
      </c>
      <c r="V26" s="1" t="str">
        <f>HYPERLINK("http://exon.niaid.nih.gov/transcriptome/T_rubida/S1/links/NR/Triru-contig_91-NR.txt","pallidipin 2")</f>
        <v>pallidipin 2</v>
      </c>
      <c r="W26" t="str">
        <f>HYPERLINK("http://www.ncbi.nlm.nih.gov/sutils/blink.cgi?pid=388359","2E-023")</f>
        <v>2E-023</v>
      </c>
      <c r="X26" t="str">
        <f>HYPERLINK("http://www.ncbi.nlm.nih.gov/protein/388359","gi|388359")</f>
        <v>gi|388359</v>
      </c>
      <c r="Y26">
        <v>112</v>
      </c>
      <c r="Z26">
        <v>99</v>
      </c>
      <c r="AA26">
        <v>188</v>
      </c>
      <c r="AB26">
        <v>55</v>
      </c>
      <c r="AC26">
        <v>53</v>
      </c>
      <c r="AD26">
        <v>45</v>
      </c>
      <c r="AE26">
        <v>2</v>
      </c>
      <c r="AF26">
        <v>85</v>
      </c>
      <c r="AG26">
        <v>5</v>
      </c>
      <c r="AH26">
        <v>1</v>
      </c>
      <c r="AI26">
        <v>2</v>
      </c>
      <c r="AJ26" t="s">
        <v>11</v>
      </c>
      <c r="AL26" t="s">
        <v>971</v>
      </c>
      <c r="AM26" t="s">
        <v>1186</v>
      </c>
      <c r="AN26" t="s">
        <v>1187</v>
      </c>
      <c r="AO26" s="1" t="str">
        <f>HYPERLINK("http://exon.niaid.nih.gov/transcriptome/T_rubida/S1/links/SWISSP/Triru-contig_91-SWISSP.txt","Allergen Bla g 4 (Fragment)")</f>
        <v>Allergen Bla g 4 (Fragment)</v>
      </c>
      <c r="AP26" t="str">
        <f>HYPERLINK("http://www.uniprot.org/uniprot/P54962","1.2")</f>
        <v>1.2</v>
      </c>
      <c r="AQ26" t="s">
        <v>1188</v>
      </c>
      <c r="AR26">
        <v>32</v>
      </c>
      <c r="AS26">
        <v>33</v>
      </c>
      <c r="AT26">
        <v>41</v>
      </c>
      <c r="AU26">
        <v>19</v>
      </c>
      <c r="AV26">
        <v>20</v>
      </c>
      <c r="AW26">
        <v>0</v>
      </c>
      <c r="AX26">
        <v>93</v>
      </c>
      <c r="AY26">
        <v>80</v>
      </c>
      <c r="AZ26">
        <v>1</v>
      </c>
      <c r="BA26">
        <v>2</v>
      </c>
      <c r="BB26" t="s">
        <v>11</v>
      </c>
      <c r="BD26" t="s">
        <v>704</v>
      </c>
      <c r="BE26" t="s">
        <v>1189</v>
      </c>
      <c r="BF26" t="s">
        <v>1190</v>
      </c>
      <c r="BG26" t="s">
        <v>1191</v>
      </c>
      <c r="BH26" s="1" t="s">
        <v>57</v>
      </c>
      <c r="BI26" t="s">
        <v>57</v>
      </c>
      <c r="BJ26" s="1" t="str">
        <f>HYPERLINK("http://exon.niaid.nih.gov/transcriptome/T_rubida/S1/links/CDD/Triru-contig_91-CDD.txt","Triabin")</f>
        <v>Triabin</v>
      </c>
      <c r="BK26" t="str">
        <f>HYPERLINK("http://www.ncbi.nlm.nih.gov/Structure/cdd/cddsrv.cgi?uid=pfam03973&amp;version=v4.0","3E-012")</f>
        <v>3E-012</v>
      </c>
      <c r="BL26" t="s">
        <v>1192</v>
      </c>
      <c r="BM26" s="1" t="str">
        <f>HYPERLINK("http://exon.niaid.nih.gov/transcriptome/T_rubida/S1/links/KOG/Triru-contig_91-KOG.txt","Uncharacterized conserved protein")</f>
        <v>Uncharacterized conserved protein</v>
      </c>
      <c r="BN26" t="str">
        <f>HYPERLINK("http://www.ncbi.nlm.nih.gov/COG/grace/shokog.cgi?KOG1788","0.54")</f>
        <v>0.54</v>
      </c>
      <c r="BO26" t="s">
        <v>737</v>
      </c>
      <c r="BP26" s="1" t="str">
        <f>HYPERLINK("http://exon.niaid.nih.gov/transcriptome/T_rubida/S1/links/PFAM/Triru-contig_91-PFAM.txt","Triabin")</f>
        <v>Triabin</v>
      </c>
      <c r="BQ26" t="str">
        <f>HYPERLINK("http://pfam.sanger.ac.uk/family?acc=PF03973","7E-013")</f>
        <v>7E-013</v>
      </c>
      <c r="BR26" s="1" t="str">
        <f>HYPERLINK("http://exon.niaid.nih.gov/transcriptome/T_rubida/S1/links/SMART/Triru-contig_91-SMART.txt","DSL")</f>
        <v>DSL</v>
      </c>
      <c r="BS26" t="str">
        <f>HYPERLINK("http://smart.embl-heidelberg.de/smart/do_annotation.pl?DOMAIN=DSL&amp;BLAST=DUMMY","0.15")</f>
        <v>0.15</v>
      </c>
      <c r="BT26" s="1" t="str">
        <f>HYPERLINK("http://exon.niaid.nih.gov/transcriptome/T_rubida/S1/links/PRK/Triru-contig_91-PRK.txt","PII uridylyl-transferase")</f>
        <v>PII uridylyl-transferase</v>
      </c>
      <c r="BU26">
        <v>0.45</v>
      </c>
      <c r="BV26" s="1" t="s">
        <v>57</v>
      </c>
      <c r="BW26" t="s">
        <v>57</v>
      </c>
      <c r="BX26" s="1" t="s">
        <v>57</v>
      </c>
      <c r="BY26" t="s">
        <v>57</v>
      </c>
    </row>
    <row r="27" spans="1:77">
      <c r="A27" t="str">
        <f>HYPERLINK("http://exon.niaid.nih.gov/transcriptome/T_rubida/S1/links/Triru/Triru-contig_82.txt","Triru-contig_82")</f>
        <v>Triru-contig_82</v>
      </c>
      <c r="B27">
        <v>1</v>
      </c>
      <c r="C27" t="str">
        <f>HYPERLINK("http://exon.niaid.nih.gov/transcriptome/T_rubida/S1/links/Triru/Triru-5-48-asb-82.txt","Contig-82")</f>
        <v>Contig-82</v>
      </c>
      <c r="D27" t="str">
        <f>HYPERLINK("http://exon.niaid.nih.gov/transcriptome/T_rubida/S1/links/Triru/Triru-5-48-82-CLU.txt","Contig82")</f>
        <v>Contig82</v>
      </c>
      <c r="E27" t="str">
        <f>HYPERLINK("http://exon.niaid.nih.gov/transcriptome/T_rubida/S1/links/Triru/Triru-5-48-82-qual.txt","62.4")</f>
        <v>62.4</v>
      </c>
      <c r="F27" t="s">
        <v>10</v>
      </c>
      <c r="G27">
        <v>66.900000000000006</v>
      </c>
      <c r="H27">
        <v>356</v>
      </c>
      <c r="I27" t="s">
        <v>94</v>
      </c>
      <c r="J27">
        <v>356</v>
      </c>
      <c r="K27">
        <v>375</v>
      </c>
      <c r="L27">
        <v>285</v>
      </c>
      <c r="M27" t="s">
        <v>5074</v>
      </c>
      <c r="N27" s="15">
        <v>1</v>
      </c>
      <c r="O27" s="14" t="str">
        <f>HYPERLINK("http://exon.niaid.nih.gov/transcriptome/T_rubida/S1/links/Sigp/TRIRU-CONTIG_82-SigP.txt","Cyt")</f>
        <v>Cyt</v>
      </c>
      <c r="Q27" s="5" t="s">
        <v>4831</v>
      </c>
      <c r="R27" t="s">
        <v>5719</v>
      </c>
      <c r="S27" t="str">
        <f>HYPERLINK("http://exon.niaid.nih.gov/transcriptome/T_rubida/S1/links/NR/Triru-contig_82-NR.txt","NR")</f>
        <v>NR</v>
      </c>
      <c r="T27" s="23">
        <v>9.9999999999999991E-22</v>
      </c>
      <c r="U27">
        <v>48.3</v>
      </c>
      <c r="V27" s="1" t="str">
        <f>HYPERLINK("http://exon.niaid.nih.gov/transcriptome/T_rubida/S1/links/NR/Triru-contig_82-NR.txt","lipocalin-like TiLipo37")</f>
        <v>lipocalin-like TiLipo37</v>
      </c>
      <c r="W27" t="str">
        <f>HYPERLINK("http://www.ncbi.nlm.nih.gov/sutils/blink.cgi?pid=34421652","1E-021")</f>
        <v>1E-021</v>
      </c>
      <c r="X27" t="str">
        <f>HYPERLINK("http://www.ncbi.nlm.nih.gov/protein/34421652","gi|34421652")</f>
        <v>gi|34421652</v>
      </c>
      <c r="Y27">
        <v>106</v>
      </c>
      <c r="Z27">
        <v>82</v>
      </c>
      <c r="AA27">
        <v>178</v>
      </c>
      <c r="AB27">
        <v>63</v>
      </c>
      <c r="AC27">
        <v>47</v>
      </c>
      <c r="AD27">
        <v>31</v>
      </c>
      <c r="AE27">
        <v>0</v>
      </c>
      <c r="AF27">
        <v>94</v>
      </c>
      <c r="AG27">
        <v>28</v>
      </c>
      <c r="AH27">
        <v>1</v>
      </c>
      <c r="AI27">
        <v>1</v>
      </c>
      <c r="AJ27" t="s">
        <v>11</v>
      </c>
      <c r="AL27" t="s">
        <v>1067</v>
      </c>
      <c r="AM27" t="s">
        <v>1116</v>
      </c>
      <c r="AN27" t="s">
        <v>1117</v>
      </c>
      <c r="AO27" s="1" t="str">
        <f>HYPERLINK("http://exon.niaid.nih.gov/transcriptome/T_rubida/S1/links/SWISSP/Triru-contig_82-SWISSP.txt","Procalin")</f>
        <v>Procalin</v>
      </c>
      <c r="AP27" t="str">
        <f>HYPERLINK("http://www.uniprot.org/uniprot/Q9U6R6","5E-013")</f>
        <v>5E-013</v>
      </c>
      <c r="AQ27" t="s">
        <v>703</v>
      </c>
      <c r="AR27">
        <v>73.2</v>
      </c>
      <c r="AS27">
        <v>82</v>
      </c>
      <c r="AT27">
        <v>42</v>
      </c>
      <c r="AU27">
        <v>49</v>
      </c>
      <c r="AV27">
        <v>48</v>
      </c>
      <c r="AW27">
        <v>0</v>
      </c>
      <c r="AX27">
        <v>86</v>
      </c>
      <c r="AY27">
        <v>13</v>
      </c>
      <c r="AZ27">
        <v>1</v>
      </c>
      <c r="BA27">
        <v>1</v>
      </c>
      <c r="BB27" t="s">
        <v>11</v>
      </c>
      <c r="BD27" t="s">
        <v>704</v>
      </c>
      <c r="BE27" t="s">
        <v>705</v>
      </c>
      <c r="BF27" t="s">
        <v>1118</v>
      </c>
      <c r="BG27" t="s">
        <v>1119</v>
      </c>
      <c r="BH27" s="1" t="s">
        <v>57</v>
      </c>
      <c r="BI27" t="s">
        <v>57</v>
      </c>
      <c r="BJ27" s="1" t="str">
        <f>HYPERLINK("http://exon.niaid.nih.gov/transcriptome/T_rubida/S1/links/CDD/Triru-contig_82-CDD.txt","Triabin")</f>
        <v>Triabin</v>
      </c>
      <c r="BK27" t="str">
        <f>HYPERLINK("http://www.ncbi.nlm.nih.gov/Structure/cdd/cddsrv.cgi?uid=pfam03973&amp;version=v4.0","2E-009")</f>
        <v>2E-009</v>
      </c>
      <c r="BL27" t="s">
        <v>1120</v>
      </c>
      <c r="BM27" s="1" t="str">
        <f>HYPERLINK("http://exon.niaid.nih.gov/transcriptome/T_rubida/S1/links/KOG/Triru-contig_82-KOG.txt","P-type ATPase")</f>
        <v>P-type ATPase</v>
      </c>
      <c r="BN27" t="str">
        <f>HYPERLINK("http://www.ncbi.nlm.nih.gov/COG/grace/shokog.cgi?KOG0206","0.065")</f>
        <v>0.065</v>
      </c>
      <c r="BO27" t="s">
        <v>750</v>
      </c>
      <c r="BP27" s="1" t="str">
        <f>HYPERLINK("http://exon.niaid.nih.gov/transcriptome/T_rubida/S1/links/PFAM/Triru-contig_82-PFAM.txt","Triabin")</f>
        <v>Triabin</v>
      </c>
      <c r="BQ27" t="str">
        <f>HYPERLINK("http://pfam.sanger.ac.uk/family?acc=PF03973","6E-010")</f>
        <v>6E-010</v>
      </c>
      <c r="BR27" s="1" t="str">
        <f>HYPERLINK("http://exon.niaid.nih.gov/transcriptome/T_rubida/S1/links/SMART/Triru-contig_82-SMART.txt","IGv")</f>
        <v>IGv</v>
      </c>
      <c r="BS27" t="str">
        <f>HYPERLINK("http://smart.embl-heidelberg.de/smart/do_annotation.pl?DOMAIN=IGv&amp;BLAST=DUMMY","0.011")</f>
        <v>0.011</v>
      </c>
      <c r="BT27" s="1" t="str">
        <f>HYPERLINK("http://exon.niaid.nih.gov/transcriptome/T_rubida/S1/links/PRK/Triru-contig_82-PRK.txt","hypothetical protein")</f>
        <v>hypothetical protein</v>
      </c>
      <c r="BU27">
        <v>0.36</v>
      </c>
      <c r="BV27" s="1" t="s">
        <v>57</v>
      </c>
      <c r="BW27" t="s">
        <v>57</v>
      </c>
      <c r="BX27" s="1" t="s">
        <v>57</v>
      </c>
      <c r="BY27" t="s">
        <v>57</v>
      </c>
    </row>
    <row r="28" spans="1:77">
      <c r="A28" t="str">
        <f>HYPERLINK("http://exon.niaid.nih.gov/transcriptome/T_rubida/S1/links/Triru/Triru-contig_414.txt","Triru-contig_414")</f>
        <v>Triru-contig_414</v>
      </c>
      <c r="B28">
        <v>1</v>
      </c>
      <c r="C28" t="str">
        <f>HYPERLINK("http://exon.niaid.nih.gov/transcriptome/T_rubida/S1/links/Triru/Triru-5-48-asb-414.txt","Contig-414")</f>
        <v>Contig-414</v>
      </c>
      <c r="D28" t="str">
        <f>HYPERLINK("http://exon.niaid.nih.gov/transcriptome/T_rubida/S1/links/Triru/Triru-5-48-414-CLU.txt","Contig414")</f>
        <v>Contig414</v>
      </c>
      <c r="E28" t="str">
        <f>HYPERLINK("http://exon.niaid.nih.gov/transcriptome/T_rubida/S1/links/Triru/Triru-5-48-414-qual.txt","20.")</f>
        <v>20.</v>
      </c>
      <c r="F28" t="s">
        <v>10</v>
      </c>
      <c r="G28">
        <v>70.400000000000006</v>
      </c>
      <c r="H28">
        <v>504</v>
      </c>
      <c r="I28" t="s">
        <v>426</v>
      </c>
      <c r="J28">
        <v>504</v>
      </c>
      <c r="K28">
        <v>523</v>
      </c>
      <c r="L28">
        <v>141</v>
      </c>
      <c r="M28" t="s">
        <v>5075</v>
      </c>
      <c r="N28" s="15">
        <v>1</v>
      </c>
      <c r="O28" s="14" t="str">
        <f>HYPERLINK("http://exon.niaid.nih.gov/transcriptome/T_rubida/S1/links/Sigp/TRIRU-CONTIG_414-SigP.txt","SIG")</f>
        <v>SIG</v>
      </c>
      <c r="P28" t="s">
        <v>5057</v>
      </c>
      <c r="Q28" s="5" t="s">
        <v>4831</v>
      </c>
      <c r="R28" t="s">
        <v>5719</v>
      </c>
      <c r="S28" t="str">
        <f>HYPERLINK("http://exon.niaid.nih.gov/transcriptome/T_rubida/S1/links/NR/Triru-contig_414-NR.txt","NR")</f>
        <v>NR</v>
      </c>
      <c r="T28" s="23">
        <v>4.0000000000000002E-9</v>
      </c>
      <c r="U28">
        <v>22.4</v>
      </c>
      <c r="V28" s="1" t="str">
        <f>HYPERLINK("http://exon.niaid.nih.gov/transcriptome/T_rubida/S1/links/NR/Triru-contig_414-NR.txt","lipocalin-like TiLipo37")</f>
        <v>lipocalin-like TiLipo37</v>
      </c>
      <c r="W28" t="str">
        <f>HYPERLINK("http://www.ncbi.nlm.nih.gov/sutils/blink.cgi?pid=34421652","4E-009")</f>
        <v>4E-009</v>
      </c>
      <c r="X28" t="str">
        <f>HYPERLINK("http://www.ncbi.nlm.nih.gov/protein/34421652","gi|34421652")</f>
        <v>gi|34421652</v>
      </c>
      <c r="Y28">
        <v>60.5</v>
      </c>
      <c r="Z28">
        <v>71</v>
      </c>
      <c r="AA28">
        <v>178</v>
      </c>
      <c r="AB28">
        <v>75</v>
      </c>
      <c r="AC28">
        <v>40</v>
      </c>
      <c r="AD28">
        <v>10</v>
      </c>
      <c r="AE28">
        <v>1</v>
      </c>
      <c r="AF28">
        <v>107</v>
      </c>
      <c r="AG28">
        <v>260</v>
      </c>
      <c r="AH28">
        <v>2</v>
      </c>
      <c r="AI28">
        <v>2</v>
      </c>
      <c r="AJ28" t="s">
        <v>888</v>
      </c>
      <c r="AL28" t="s">
        <v>1067</v>
      </c>
      <c r="AM28" t="s">
        <v>3284</v>
      </c>
      <c r="AN28" t="s">
        <v>3285</v>
      </c>
      <c r="AO28" s="1" t="str">
        <f>HYPERLINK("http://exon.niaid.nih.gov/transcriptome/T_rubida/S1/links/SWISSP/Triru-contig_414-SWISSP.txt","Triabin")</f>
        <v>Triabin</v>
      </c>
      <c r="AP28" t="str">
        <f>HYPERLINK("http://www.uniprot.org/uniprot/Q27049","0.032")</f>
        <v>0.032</v>
      </c>
      <c r="AQ28" t="s">
        <v>970</v>
      </c>
      <c r="AR28">
        <v>38.1</v>
      </c>
      <c r="AS28">
        <v>44</v>
      </c>
      <c r="AT28">
        <v>37</v>
      </c>
      <c r="AU28">
        <v>28</v>
      </c>
      <c r="AV28">
        <v>28</v>
      </c>
      <c r="AW28">
        <v>0</v>
      </c>
      <c r="AX28">
        <v>103</v>
      </c>
      <c r="AY28">
        <v>242</v>
      </c>
      <c r="AZ28">
        <v>1</v>
      </c>
      <c r="BA28">
        <v>2</v>
      </c>
      <c r="BB28" t="s">
        <v>11</v>
      </c>
      <c r="BC28">
        <v>2.2730000000000001</v>
      </c>
      <c r="BD28" t="s">
        <v>704</v>
      </c>
      <c r="BE28" t="s">
        <v>971</v>
      </c>
      <c r="BF28" t="s">
        <v>3286</v>
      </c>
      <c r="BG28" t="s">
        <v>3287</v>
      </c>
      <c r="BH28" s="1" t="s">
        <v>57</v>
      </c>
      <c r="BI28" t="s">
        <v>57</v>
      </c>
      <c r="BJ28" s="1" t="str">
        <f>HYPERLINK("http://exon.niaid.nih.gov/transcriptome/T_rubida/S1/links/CDD/Triru-contig_414-CDD.txt","Triabin")</f>
        <v>Triabin</v>
      </c>
      <c r="BK28" t="str">
        <f>HYPERLINK("http://www.ncbi.nlm.nih.gov/Structure/cdd/cddsrv.cgi?uid=pfam03973&amp;version=v4.0","9E-006")</f>
        <v>9E-006</v>
      </c>
      <c r="BL28" t="s">
        <v>3288</v>
      </c>
      <c r="BM28" s="1" t="str">
        <f>HYPERLINK("http://exon.niaid.nih.gov/transcriptome/T_rubida/S1/links/KOG/Triru-contig_414-KOG.txt","Histone acetyltransferase type b catalytic subunit")</f>
        <v>Histone acetyltransferase type b catalytic subunit</v>
      </c>
      <c r="BN28" t="str">
        <f>HYPERLINK("http://www.ncbi.nlm.nih.gov/COG/grace/shokog.cgi?KOG2696","1.5")</f>
        <v>1.5</v>
      </c>
      <c r="BO28" t="s">
        <v>1238</v>
      </c>
      <c r="BP28" s="1" t="str">
        <f>HYPERLINK("http://exon.niaid.nih.gov/transcriptome/T_rubida/S1/links/PFAM/Triru-contig_414-PFAM.txt","Triabin")</f>
        <v>Triabin</v>
      </c>
      <c r="BQ28" t="str">
        <f>HYPERLINK("http://pfam.sanger.ac.uk/family?acc=PF03973","2E-006")</f>
        <v>2E-006</v>
      </c>
      <c r="BR28" s="1" t="str">
        <f>HYPERLINK("http://exon.niaid.nih.gov/transcriptome/T_rubida/S1/links/SMART/Triru-contig_414-SMART.txt","AgrB")</f>
        <v>AgrB</v>
      </c>
      <c r="BS28" t="str">
        <f>HYPERLINK("http://smart.embl-heidelberg.de/smart/do_annotation.pl?DOMAIN=AgrB&amp;BLAST=DUMMY","0.010")</f>
        <v>0.010</v>
      </c>
      <c r="BT28" s="1" t="str">
        <f>HYPERLINK("http://exon.niaid.nih.gov/transcriptome/T_rubida/S1/links/PRK/Triru-contig_414-PRK.txt","variable surface protein Vir21")</f>
        <v>variable surface protein Vir21</v>
      </c>
      <c r="BU28">
        <v>0.3</v>
      </c>
      <c r="BV28" s="1" t="s">
        <v>57</v>
      </c>
      <c r="BW28" t="s">
        <v>57</v>
      </c>
      <c r="BX28" s="1" t="s">
        <v>57</v>
      </c>
      <c r="BY28" t="s">
        <v>57</v>
      </c>
    </row>
    <row r="29" spans="1:77">
      <c r="A29" t="str">
        <f>HYPERLINK("http://exon.niaid.nih.gov/transcriptome/T_rubida/S1/links/Triru/Triru-contig_71.txt","Triru-contig_71")</f>
        <v>Triru-contig_71</v>
      </c>
      <c r="B29">
        <v>1</v>
      </c>
      <c r="C29" t="str">
        <f>HYPERLINK("http://exon.niaid.nih.gov/transcriptome/T_rubida/S1/links/Triru/Triru-5-48-asb-71.txt","Contig-71")</f>
        <v>Contig-71</v>
      </c>
      <c r="D29" t="str">
        <f>HYPERLINK("http://exon.niaid.nih.gov/transcriptome/T_rubida/S1/links/Triru/Triru-5-48-71-CLU.txt","Contig71")</f>
        <v>Contig71</v>
      </c>
      <c r="E29" t="str">
        <f>HYPERLINK("http://exon.niaid.nih.gov/transcriptome/T_rubida/S1/links/Triru/Triru-5-48-71-qual.txt","58.3")</f>
        <v>58.3</v>
      </c>
      <c r="F29" t="s">
        <v>10</v>
      </c>
      <c r="G29">
        <v>66.900000000000006</v>
      </c>
      <c r="H29">
        <v>655</v>
      </c>
      <c r="I29" t="s">
        <v>83</v>
      </c>
      <c r="J29">
        <v>655</v>
      </c>
      <c r="K29">
        <v>674</v>
      </c>
      <c r="L29">
        <v>468</v>
      </c>
      <c r="M29" t="s">
        <v>5084</v>
      </c>
      <c r="N29" s="15">
        <v>3</v>
      </c>
      <c r="O29" s="14" t="str">
        <f>HYPERLINK("http://exon.niaid.nih.gov/transcriptome/T_rubida/S1/links/Sigp/TRIRU-CONTIG_71-SigP.txt","Cyt")</f>
        <v>Cyt</v>
      </c>
      <c r="Q29" s="5" t="s">
        <v>4829</v>
      </c>
      <c r="R29" t="s">
        <v>5719</v>
      </c>
      <c r="S29" t="str">
        <f>HYPERLINK("http://exon.niaid.nih.gov/transcriptome/T_rubida/S1/links/NR/Triru-contig_71-NR.txt","NR")</f>
        <v>NR</v>
      </c>
      <c r="T29" s="23">
        <v>2.0000000000000001E-33</v>
      </c>
      <c r="U29">
        <v>76.599999999999994</v>
      </c>
      <c r="V29" s="1" t="str">
        <f>HYPERLINK("http://exon.niaid.nih.gov/transcriptome/T_rubida/S1/links/NR/Triru-contig_71-NR.txt","unnamed protein product")</f>
        <v>unnamed protein product</v>
      </c>
      <c r="W29" t="str">
        <f>HYPERLINK("http://www.ncbi.nlm.nih.gov/sutils/blink.cgi?pid=270046202","2E-042")</f>
        <v>2E-042</v>
      </c>
      <c r="X29" t="str">
        <f>HYPERLINK("http://www.ncbi.nlm.nih.gov/protein/270046202","gi|270046202")</f>
        <v>gi|270046202</v>
      </c>
      <c r="Y29">
        <v>176</v>
      </c>
      <c r="Z29">
        <v>157</v>
      </c>
      <c r="AA29">
        <v>200</v>
      </c>
      <c r="AB29">
        <v>57</v>
      </c>
      <c r="AC29">
        <v>79</v>
      </c>
      <c r="AD29">
        <v>68</v>
      </c>
      <c r="AE29">
        <v>4</v>
      </c>
      <c r="AF29">
        <v>43</v>
      </c>
      <c r="AG29">
        <v>6</v>
      </c>
      <c r="AH29">
        <v>1</v>
      </c>
      <c r="AI29">
        <v>3</v>
      </c>
      <c r="AJ29" t="s">
        <v>11</v>
      </c>
      <c r="AL29" t="s">
        <v>700</v>
      </c>
      <c r="AM29" t="s">
        <v>1058</v>
      </c>
      <c r="AN29" t="s">
        <v>1059</v>
      </c>
      <c r="AO29" s="1" t="str">
        <f>HYPERLINK("http://exon.niaid.nih.gov/transcriptome/T_rubida/S1/links/SWISSP/Triru-contig_71-SWISSP.txt","Procalin")</f>
        <v>Procalin</v>
      </c>
      <c r="AP29" t="str">
        <f>HYPERLINK("http://www.uniprot.org/uniprot/Q9U6R6","5E-005")</f>
        <v>5E-005</v>
      </c>
      <c r="AQ29" t="s">
        <v>703</v>
      </c>
      <c r="AR29">
        <v>48.1</v>
      </c>
      <c r="AS29">
        <v>124</v>
      </c>
      <c r="AT29">
        <v>24</v>
      </c>
      <c r="AU29">
        <v>74</v>
      </c>
      <c r="AV29">
        <v>101</v>
      </c>
      <c r="AW29">
        <v>1</v>
      </c>
      <c r="AX29">
        <v>38</v>
      </c>
      <c r="AY29">
        <v>6</v>
      </c>
      <c r="AZ29">
        <v>1</v>
      </c>
      <c r="BA29">
        <v>3</v>
      </c>
      <c r="BB29" t="s">
        <v>11</v>
      </c>
      <c r="BD29" t="s">
        <v>704</v>
      </c>
      <c r="BE29" t="s">
        <v>705</v>
      </c>
      <c r="BF29" t="s">
        <v>1060</v>
      </c>
      <c r="BG29" t="s">
        <v>1061</v>
      </c>
      <c r="BH29" s="1" t="s">
        <v>57</v>
      </c>
      <c r="BI29" t="s">
        <v>57</v>
      </c>
      <c r="BJ29" s="1" t="str">
        <f>HYPERLINK("http://exon.niaid.nih.gov/transcriptome/T_rubida/S1/links/CDD/Triru-contig_71-CDD.txt","Triabin")</f>
        <v>Triabin</v>
      </c>
      <c r="BK29" t="str">
        <f>HYPERLINK("http://www.ncbi.nlm.nih.gov/Structure/cdd/cddsrv.cgi?uid=pfam03973&amp;version=v4.0","4E-014")</f>
        <v>4E-014</v>
      </c>
      <c r="BL29" t="s">
        <v>1062</v>
      </c>
      <c r="BM29" s="1" t="str">
        <f>HYPERLINK("http://exon.niaid.nih.gov/transcriptome/T_rubida/S1/links/KOG/Triru-contig_71-KOG.txt","K+/Cl- cotransporter KCC1 and related transporters")</f>
        <v>K+/Cl- cotransporter KCC1 and related transporters</v>
      </c>
      <c r="BN29" t="str">
        <f>HYPERLINK("http://www.ncbi.nlm.nih.gov/COG/grace/shokog.cgi?KOG2082","0.55")</f>
        <v>0.55</v>
      </c>
      <c r="BO29" t="s">
        <v>849</v>
      </c>
      <c r="BP29" s="1" t="str">
        <f>HYPERLINK("http://exon.niaid.nih.gov/transcriptome/T_rubida/S1/links/PFAM/Triru-contig_71-PFAM.txt","Triabin")</f>
        <v>Triabin</v>
      </c>
      <c r="BQ29" t="str">
        <f>HYPERLINK("http://pfam.sanger.ac.uk/family?acc=PF03973","8E-015")</f>
        <v>8E-015</v>
      </c>
      <c r="BR29" s="1" t="str">
        <f>HYPERLINK("http://exon.niaid.nih.gov/transcriptome/T_rubida/S1/links/SMART/Triru-contig_71-SMART.txt","Cog4")</f>
        <v>Cog4</v>
      </c>
      <c r="BS29" t="str">
        <f>HYPERLINK("http://smart.embl-heidelberg.de/smart/do_annotation.pl?DOMAIN=Cog4&amp;BLAST=DUMMY","0.37")</f>
        <v>0.37</v>
      </c>
      <c r="BT29" s="1" t="str">
        <f>HYPERLINK("http://exon.niaid.nih.gov/transcriptome/T_rubida/S1/links/PRK/Triru-contig_71-PRK.txt","putative monovalent cation/H+ antiporter subunit D")</f>
        <v>putative monovalent cation/H+ antiporter subunit D</v>
      </c>
      <c r="BU29">
        <v>0.1</v>
      </c>
      <c r="BV29" s="1" t="s">
        <v>57</v>
      </c>
      <c r="BW29" t="s">
        <v>57</v>
      </c>
      <c r="BX29" s="1" t="s">
        <v>57</v>
      </c>
      <c r="BY29" t="s">
        <v>57</v>
      </c>
    </row>
    <row r="30" spans="1:77">
      <c r="A30" t="str">
        <f>HYPERLINK("http://exon.niaid.nih.gov/transcriptome/T_rubida/S1/links/Triru/Triru-contig_61.txt","Triru-contig_61")</f>
        <v>Triru-contig_61</v>
      </c>
      <c r="B30">
        <v>1</v>
      </c>
      <c r="C30" t="str">
        <f>HYPERLINK("http://exon.niaid.nih.gov/transcriptome/T_rubida/S1/links/Triru/Triru-5-48-asb-61.txt","Contig-61")</f>
        <v>Contig-61</v>
      </c>
      <c r="D30" t="str">
        <f>HYPERLINK("http://exon.niaid.nih.gov/transcriptome/T_rubida/S1/links/Triru/Triru-5-48-61-CLU.txt","Contig61")</f>
        <v>Contig61</v>
      </c>
      <c r="E30" t="str">
        <f>HYPERLINK("http://exon.niaid.nih.gov/transcriptome/T_rubida/S1/links/Triru/Triru-5-48-61-qual.txt","56.5")</f>
        <v>56.5</v>
      </c>
      <c r="F30">
        <v>0.4</v>
      </c>
      <c r="G30">
        <v>66</v>
      </c>
      <c r="H30">
        <v>475</v>
      </c>
      <c r="I30" t="s">
        <v>73</v>
      </c>
      <c r="J30">
        <v>475</v>
      </c>
      <c r="K30">
        <v>494</v>
      </c>
      <c r="L30">
        <v>420</v>
      </c>
      <c r="M30" t="s">
        <v>5086</v>
      </c>
      <c r="N30" s="15">
        <v>2</v>
      </c>
      <c r="O30" s="14" t="str">
        <f>HYPERLINK("http://exon.niaid.nih.gov/transcriptome/T_rubida/S1/links/Sigp/TRIRU-CONTIG_61-SigP.txt","Cyt")</f>
        <v>Cyt</v>
      </c>
      <c r="Q30" s="5" t="s">
        <v>4829</v>
      </c>
      <c r="R30" t="s">
        <v>5719</v>
      </c>
      <c r="S30" t="str">
        <f>HYPERLINK("http://exon.niaid.nih.gov/transcriptome/T_rubida/S1/links/NR/Triru-contig_61-NR.txt","NR")</f>
        <v>NR</v>
      </c>
      <c r="T30" s="23">
        <v>1.9999999999999999E-28</v>
      </c>
      <c r="U30">
        <v>65.900000000000006</v>
      </c>
      <c r="V30" s="1" t="str">
        <f>HYPERLINK("http://exon.niaid.nih.gov/transcriptome/T_rubida/S1/links/NR/Triru-contig_61-NR.txt","unnamed protein product")</f>
        <v>unnamed protein product</v>
      </c>
      <c r="W30" t="str">
        <f>HYPERLINK("http://www.ncbi.nlm.nih.gov/sutils/blink.cgi?pid=270046188","1E-039")</f>
        <v>1E-039</v>
      </c>
      <c r="X30" t="str">
        <f>HYPERLINK("http://www.ncbi.nlm.nih.gov/protein/270046188","gi|270046188")</f>
        <v>gi|270046188</v>
      </c>
      <c r="Y30">
        <v>166</v>
      </c>
      <c r="Z30">
        <v>129</v>
      </c>
      <c r="AA30">
        <v>197</v>
      </c>
      <c r="AB30">
        <v>57</v>
      </c>
      <c r="AC30">
        <v>66</v>
      </c>
      <c r="AD30">
        <v>55</v>
      </c>
      <c r="AE30">
        <v>1</v>
      </c>
      <c r="AF30">
        <v>68</v>
      </c>
      <c r="AG30">
        <v>32</v>
      </c>
      <c r="AH30">
        <v>1</v>
      </c>
      <c r="AI30">
        <v>2</v>
      </c>
      <c r="AJ30" t="s">
        <v>11</v>
      </c>
      <c r="AL30" t="s">
        <v>700</v>
      </c>
      <c r="AM30" t="s">
        <v>1003</v>
      </c>
      <c r="AN30" t="s">
        <v>948</v>
      </c>
      <c r="AO30" s="1" t="str">
        <f>HYPERLINK("http://exon.niaid.nih.gov/transcriptome/T_rubida/S1/links/SWISSP/Triru-contig_61-SWISSP.txt","Polyadenylate-binding protein, cytoplasmic and nuclear")</f>
        <v>Polyadenylate-binding protein, cytoplasmic and nuclear</v>
      </c>
      <c r="AP30" t="str">
        <f>HYPERLINK("http://www.uniprot.org/uniprot/Q8SR30","0.67")</f>
        <v>0.67</v>
      </c>
      <c r="AQ30" t="s">
        <v>1004</v>
      </c>
      <c r="AR30">
        <v>33.5</v>
      </c>
      <c r="AS30">
        <v>127</v>
      </c>
      <c r="AT30">
        <v>26</v>
      </c>
      <c r="AU30">
        <v>25</v>
      </c>
      <c r="AV30">
        <v>95</v>
      </c>
      <c r="AW30">
        <v>6</v>
      </c>
      <c r="AX30">
        <v>99</v>
      </c>
      <c r="AY30">
        <v>35</v>
      </c>
      <c r="AZ30">
        <v>1</v>
      </c>
      <c r="BA30">
        <v>2</v>
      </c>
      <c r="BB30" t="s">
        <v>11</v>
      </c>
      <c r="BD30" t="s">
        <v>704</v>
      </c>
      <c r="BE30" t="s">
        <v>1005</v>
      </c>
      <c r="BF30" t="s">
        <v>1006</v>
      </c>
      <c r="BG30" t="s">
        <v>1007</v>
      </c>
      <c r="BH30" s="1" t="s">
        <v>57</v>
      </c>
      <c r="BI30" t="s">
        <v>57</v>
      </c>
      <c r="BJ30" s="1" t="str">
        <f>HYPERLINK("http://exon.niaid.nih.gov/transcriptome/T_rubida/S1/links/CDD/Triru-contig_61-CDD.txt","Triabin")</f>
        <v>Triabin</v>
      </c>
      <c r="BK30" t="str">
        <f>HYPERLINK("http://www.ncbi.nlm.nih.gov/Structure/cdd/cddsrv.cgi?uid=pfam03973&amp;version=v4.0","6E-012")</f>
        <v>6E-012</v>
      </c>
      <c r="BL30" t="s">
        <v>1008</v>
      </c>
      <c r="BM30" s="1" t="str">
        <f>HYPERLINK("http://exon.niaid.nih.gov/transcriptome/T_rubida/S1/links/KOG/Triru-contig_61-KOG.txt","Predicted serine protease")</f>
        <v>Predicted serine protease</v>
      </c>
      <c r="BN30" t="str">
        <f>HYPERLINK("http://www.ncbi.nlm.nih.gov/COG/grace/shokog.cgi?KOG2237","0.55")</f>
        <v>0.55</v>
      </c>
      <c r="BO30" t="s">
        <v>954</v>
      </c>
      <c r="BP30" s="1" t="str">
        <f>HYPERLINK("http://exon.niaid.nih.gov/transcriptome/T_rubida/S1/links/PFAM/Triru-contig_61-PFAM.txt","Triabin")</f>
        <v>Triabin</v>
      </c>
      <c r="BQ30" t="str">
        <f>HYPERLINK("http://pfam.sanger.ac.uk/family?acc=PF03973","1E-012")</f>
        <v>1E-012</v>
      </c>
      <c r="BR30" s="1" t="str">
        <f>HYPERLINK("http://exon.niaid.nih.gov/transcriptome/T_rubida/S1/links/SMART/Triru-contig_61-SMART.txt","LPD_N")</f>
        <v>LPD_N</v>
      </c>
      <c r="BS30" t="str">
        <f>HYPERLINK("http://smart.embl-heidelberg.de/smart/do_annotation.pl?DOMAIN=LPD_N&amp;BLAST=DUMMY","0.055")</f>
        <v>0.055</v>
      </c>
      <c r="BT30" s="1" t="str">
        <f>HYPERLINK("http://exon.niaid.nih.gov/transcriptome/T_rubida/S1/links/PRK/Triru-contig_61-PRK.txt","NADH dehydrogenase subunit 4")</f>
        <v>NADH dehydrogenase subunit 4</v>
      </c>
      <c r="BU30">
        <v>0.12</v>
      </c>
      <c r="BV30" s="1" t="s">
        <v>57</v>
      </c>
      <c r="BW30" t="s">
        <v>57</v>
      </c>
      <c r="BX30" s="1" t="s">
        <v>57</v>
      </c>
      <c r="BY30" t="s">
        <v>57</v>
      </c>
    </row>
    <row r="31" spans="1:77">
      <c r="A31" t="str">
        <f>HYPERLINK("http://exon.niaid.nih.gov/transcriptome/T_rubida/S1/links/Triru/Triru-contig_655.txt","Triru-contig_655")</f>
        <v>Triru-contig_655</v>
      </c>
      <c r="B31">
        <v>1</v>
      </c>
      <c r="C31" t="str">
        <f>HYPERLINK("http://exon.niaid.nih.gov/transcriptome/T_rubida/S1/links/Triru/Triru-5-48-asb-655.txt","Contig-655")</f>
        <v>Contig-655</v>
      </c>
      <c r="D31" t="str">
        <f>HYPERLINK("http://exon.niaid.nih.gov/transcriptome/T_rubida/S1/links/Triru/Triru-5-48-655-CLU.txt","Contig655")</f>
        <v>Contig655</v>
      </c>
      <c r="E31" t="str">
        <f>HYPERLINK("http://exon.niaid.nih.gov/transcriptome/T_rubida/S1/links/Triru/Triru-5-48-655-qual.txt","59.9")</f>
        <v>59.9</v>
      </c>
      <c r="F31">
        <v>0.6</v>
      </c>
      <c r="G31">
        <v>61.4</v>
      </c>
      <c r="H31">
        <v>344</v>
      </c>
      <c r="I31" t="s">
        <v>667</v>
      </c>
      <c r="J31">
        <v>344</v>
      </c>
      <c r="K31">
        <v>363</v>
      </c>
      <c r="L31">
        <v>324</v>
      </c>
      <c r="M31" t="s">
        <v>5095</v>
      </c>
      <c r="N31" s="15">
        <v>1</v>
      </c>
      <c r="O31" s="14" t="str">
        <f>HYPERLINK("http://exon.niaid.nih.gov/transcriptome/T_rubida/S1/links/Sigp/TRIRU-CONTIG_655-SigP.txt","Cyt")</f>
        <v>Cyt</v>
      </c>
      <c r="Q31" s="5" t="s">
        <v>4829</v>
      </c>
      <c r="R31" t="s">
        <v>5719</v>
      </c>
      <c r="S31" t="str">
        <f>HYPERLINK("http://exon.niaid.nih.gov/transcriptome/T_rubida/S1/links/NR/Triru-contig_655-NR.txt","NR")</f>
        <v>NR</v>
      </c>
      <c r="T31" s="23">
        <v>6.9999999999999996E-10</v>
      </c>
      <c r="U31">
        <v>40.299999999999997</v>
      </c>
      <c r="V31" s="1" t="str">
        <f>HYPERLINK("http://exon.niaid.nih.gov/transcriptome/T_rubida/S1/links/NR/Triru-contig_655-NR.txt","unnamed protein product")</f>
        <v>unnamed protein product</v>
      </c>
      <c r="W31" t="str">
        <f>HYPERLINK("http://www.ncbi.nlm.nih.gov/sutils/blink.cgi?pid=270046200","3E-014")</f>
        <v>3E-014</v>
      </c>
      <c r="X31" t="str">
        <f>HYPERLINK("http://www.ncbi.nlm.nih.gov/protein/270046200","gi|270046200")</f>
        <v>gi|270046200</v>
      </c>
      <c r="Y31">
        <v>82</v>
      </c>
      <c r="Z31">
        <v>87</v>
      </c>
      <c r="AA31">
        <v>200</v>
      </c>
      <c r="AB31">
        <v>51</v>
      </c>
      <c r="AC31">
        <v>44</v>
      </c>
      <c r="AD31">
        <v>43</v>
      </c>
      <c r="AE31">
        <v>4</v>
      </c>
      <c r="AF31">
        <v>113</v>
      </c>
      <c r="AG31">
        <v>46</v>
      </c>
      <c r="AH31">
        <v>1</v>
      </c>
      <c r="AI31">
        <v>1</v>
      </c>
      <c r="AJ31" t="s">
        <v>11</v>
      </c>
      <c r="AL31" t="s">
        <v>700</v>
      </c>
      <c r="AM31" t="s">
        <v>4794</v>
      </c>
      <c r="AN31" t="s">
        <v>1059</v>
      </c>
      <c r="AO31" s="1" t="str">
        <f>HYPERLINK("http://exon.niaid.nih.gov/transcriptome/T_rubida/S1/links/SWISSP/Triru-contig_655-SWISSP.txt","Crustacyanin-C1 subunit")</f>
        <v>Crustacyanin-C1 subunit</v>
      </c>
      <c r="AP31" t="str">
        <f>HYPERLINK("http://www.uniprot.org/uniprot/P80029","0.56")</f>
        <v>0.56</v>
      </c>
      <c r="AQ31" t="s">
        <v>4795</v>
      </c>
      <c r="AR31">
        <v>33.1</v>
      </c>
      <c r="AS31">
        <v>78</v>
      </c>
      <c r="AT31">
        <v>29</v>
      </c>
      <c r="AU31">
        <v>44</v>
      </c>
      <c r="AV31">
        <v>56</v>
      </c>
      <c r="AW31">
        <v>2</v>
      </c>
      <c r="AX31">
        <v>101</v>
      </c>
      <c r="AY31">
        <v>67</v>
      </c>
      <c r="AZ31">
        <v>1</v>
      </c>
      <c r="BA31">
        <v>1</v>
      </c>
      <c r="BB31" t="s">
        <v>11</v>
      </c>
      <c r="BD31" t="s">
        <v>704</v>
      </c>
      <c r="BE31" t="s">
        <v>992</v>
      </c>
      <c r="BF31" t="s">
        <v>4796</v>
      </c>
      <c r="BG31" t="s">
        <v>4797</v>
      </c>
      <c r="BH31" s="1" t="s">
        <v>57</v>
      </c>
      <c r="BI31" t="s">
        <v>57</v>
      </c>
      <c r="BJ31" s="1" t="str">
        <f>HYPERLINK("http://exon.niaid.nih.gov/transcriptome/T_rubida/S1/links/CDD/Triru-contig_655-CDD.txt","Triabin")</f>
        <v>Triabin</v>
      </c>
      <c r="BK31" t="str">
        <f>HYPERLINK("http://www.ncbi.nlm.nih.gov/Structure/cdd/cddsrv.cgi?uid=pfam03973&amp;version=v4.0","0.001")</f>
        <v>0.001</v>
      </c>
      <c r="BL31" t="s">
        <v>4798</v>
      </c>
      <c r="BM31" s="1" t="str">
        <f>HYPERLINK("http://exon.niaid.nih.gov/transcriptome/T_rubida/S1/links/KOG/Triru-contig_655-KOG.txt","Apolipoprotein D/Lipocalin")</f>
        <v>Apolipoprotein D/Lipocalin</v>
      </c>
      <c r="BN31" t="str">
        <f>HYPERLINK("http://www.ncbi.nlm.nih.gov/COG/grace/shokog.cgi?KOG4824","0.24")</f>
        <v>0.24</v>
      </c>
      <c r="BO31" t="s">
        <v>760</v>
      </c>
      <c r="BP31" s="1" t="str">
        <f>HYPERLINK("http://exon.niaid.nih.gov/transcriptome/T_rubida/S1/links/PFAM/Triru-contig_655-PFAM.txt","Triabin")</f>
        <v>Triabin</v>
      </c>
      <c r="BQ31" t="str">
        <f>HYPERLINK("http://pfam.sanger.ac.uk/family?acc=PF03973","3E-004")</f>
        <v>3E-004</v>
      </c>
      <c r="BR31" s="1" t="str">
        <f>HYPERLINK("http://exon.niaid.nih.gov/transcriptome/T_rubida/S1/links/SMART/Triru-contig_655-SMART.txt","LNS2")</f>
        <v>LNS2</v>
      </c>
      <c r="BS31" t="str">
        <f>HYPERLINK("http://smart.embl-heidelberg.de/smart/do_annotation.pl?DOMAIN=LNS2&amp;BLAST=DUMMY","0.10")</f>
        <v>0.10</v>
      </c>
      <c r="BT31" s="1" t="str">
        <f>HYPERLINK("http://exon.niaid.nih.gov/transcriptome/T_rubida/S1/links/PRK/Triru-contig_655-PRK.txt","DNA polymerase delta catalytic subunit")</f>
        <v>DNA polymerase delta catalytic subunit</v>
      </c>
      <c r="BU31">
        <v>0.39</v>
      </c>
      <c r="BV31" s="1" t="s">
        <v>57</v>
      </c>
      <c r="BW31" t="s">
        <v>57</v>
      </c>
      <c r="BX31" s="1" t="s">
        <v>57</v>
      </c>
      <c r="BY31" t="s">
        <v>57</v>
      </c>
    </row>
    <row r="32" spans="1:77">
      <c r="A32" t="str">
        <f>HYPERLINK("http://exon.niaid.nih.gov/transcriptome/T_rubida/S1/links/Triru/Triru-contig_285.txt","Triru-contig_285")</f>
        <v>Triru-contig_285</v>
      </c>
      <c r="B32">
        <v>1</v>
      </c>
      <c r="C32" t="str">
        <f>HYPERLINK("http://exon.niaid.nih.gov/transcriptome/T_rubida/S1/links/Triru/Triru-5-48-asb-285.txt","Contig-285")</f>
        <v>Contig-285</v>
      </c>
      <c r="D32" t="str">
        <f>HYPERLINK("http://exon.niaid.nih.gov/transcriptome/T_rubida/S1/links/Triru/Triru-5-48-285-CLU.txt","Contig285")</f>
        <v>Contig285</v>
      </c>
      <c r="E32" t="str">
        <f>HYPERLINK("http://exon.niaid.nih.gov/transcriptome/T_rubida/S1/links/Triru/Triru-5-48-285-qual.txt","19.7")</f>
        <v>19.7</v>
      </c>
      <c r="F32" t="s">
        <v>10</v>
      </c>
      <c r="G32">
        <v>69.099999999999994</v>
      </c>
      <c r="H32">
        <v>308</v>
      </c>
      <c r="I32" t="s">
        <v>297</v>
      </c>
      <c r="J32">
        <v>308</v>
      </c>
      <c r="K32">
        <v>327</v>
      </c>
      <c r="L32">
        <v>216</v>
      </c>
      <c r="M32" t="s">
        <v>5096</v>
      </c>
      <c r="N32" s="15">
        <v>3</v>
      </c>
      <c r="Q32" s="5" t="s">
        <v>4829</v>
      </c>
      <c r="R32" t="s">
        <v>5719</v>
      </c>
      <c r="S32" t="str">
        <f>HYPERLINK("http://exon.niaid.nih.gov/transcriptome/T_rubida/S1/links/NR/Triru-contig_285-NR.txt","NR")</f>
        <v>NR</v>
      </c>
      <c r="T32" s="23">
        <v>1.0000000000000001E-5</v>
      </c>
      <c r="U32">
        <v>26.6</v>
      </c>
      <c r="V32" s="1" t="str">
        <f>HYPERLINK("http://exon.niaid.nih.gov/transcriptome/T_rubida/S1/links/NR/Triru-contig_285-NR.txt","unnamed protein product")</f>
        <v>unnamed protein product</v>
      </c>
      <c r="W32" t="str">
        <f>HYPERLINK("http://www.ncbi.nlm.nih.gov/sutils/blink.cgi?pid=270046188","1E-011")</f>
        <v>1E-011</v>
      </c>
      <c r="X32" t="str">
        <f>HYPERLINK("http://www.ncbi.nlm.nih.gov/protein/270046188","gi|270046188")</f>
        <v>gi|270046188</v>
      </c>
      <c r="Y32">
        <v>65.900000000000006</v>
      </c>
      <c r="Z32">
        <v>75</v>
      </c>
      <c r="AA32">
        <v>197</v>
      </c>
      <c r="AB32">
        <v>63</v>
      </c>
      <c r="AC32">
        <v>39</v>
      </c>
      <c r="AD32">
        <v>20</v>
      </c>
      <c r="AE32">
        <v>0</v>
      </c>
      <c r="AF32">
        <v>122</v>
      </c>
      <c r="AG32">
        <v>11</v>
      </c>
      <c r="AH32">
        <v>2</v>
      </c>
      <c r="AI32">
        <v>3</v>
      </c>
      <c r="AJ32" t="s">
        <v>888</v>
      </c>
      <c r="AK32">
        <v>2.6669999999999998</v>
      </c>
      <c r="AL32" t="s">
        <v>700</v>
      </c>
      <c r="AM32" t="s">
        <v>2400</v>
      </c>
      <c r="AN32" t="s">
        <v>1059</v>
      </c>
      <c r="AO32" s="1" t="str">
        <f>HYPERLINK("http://exon.niaid.nih.gov/transcriptome/T_rubida/S1/links/SWISSP/Triru-contig_285-SWISSP.txt","Probable tRNA threonylcarbamoyladenosine biosynthesis protein osgepl1")</f>
        <v>Probable tRNA threonylcarbamoyladenosine biosynthesis protein osgepl1</v>
      </c>
      <c r="AP32" t="str">
        <f>HYPERLINK("http://www.uniprot.org/uniprot/Q32LQ3","11")</f>
        <v>11</v>
      </c>
      <c r="AQ32" t="s">
        <v>2401</v>
      </c>
      <c r="AR32">
        <v>28.9</v>
      </c>
      <c r="AS32">
        <v>51</v>
      </c>
      <c r="AT32">
        <v>33</v>
      </c>
      <c r="AU32">
        <v>13</v>
      </c>
      <c r="AV32">
        <v>35</v>
      </c>
      <c r="AW32">
        <v>0</v>
      </c>
      <c r="AX32">
        <v>275</v>
      </c>
      <c r="AY32">
        <v>24</v>
      </c>
      <c r="AZ32">
        <v>1</v>
      </c>
      <c r="BA32">
        <v>3</v>
      </c>
      <c r="BB32" t="s">
        <v>11</v>
      </c>
      <c r="BD32" t="s">
        <v>704</v>
      </c>
      <c r="BE32" t="s">
        <v>1556</v>
      </c>
      <c r="BF32" t="s">
        <v>2402</v>
      </c>
      <c r="BG32" t="s">
        <v>2403</v>
      </c>
      <c r="BH32" s="1" t="s">
        <v>57</v>
      </c>
      <c r="BI32" t="s">
        <v>57</v>
      </c>
      <c r="BJ32" s="1" t="str">
        <f>HYPERLINK("http://exon.niaid.nih.gov/transcriptome/T_rubida/S1/links/CDD/Triru-contig_285-CDD.txt","DUF1157")</f>
        <v>DUF1157</v>
      </c>
      <c r="BK32" t="str">
        <f>HYPERLINK("http://www.ncbi.nlm.nih.gov/Structure/cdd/cddsrv.cgi?uid=pfam06636&amp;version=v4.0","0.26")</f>
        <v>0.26</v>
      </c>
      <c r="BL32" t="s">
        <v>2404</v>
      </c>
      <c r="BM32" s="1" t="str">
        <f>HYPERLINK("http://exon.niaid.nih.gov/transcriptome/T_rubida/S1/links/KOG/Triru-contig_285-KOG.txt","Negative regulator of transcription")</f>
        <v>Negative regulator of transcription</v>
      </c>
      <c r="BN32" t="str">
        <f>HYPERLINK("http://www.ncbi.nlm.nih.gov/COG/grace/shokog.cgi?KOG1831","0.49")</f>
        <v>0.49</v>
      </c>
      <c r="BO32" t="s">
        <v>790</v>
      </c>
      <c r="BP32" s="1" t="str">
        <f>HYPERLINK("http://exon.niaid.nih.gov/transcriptome/T_rubida/S1/links/PFAM/Triru-contig_285-PFAM.txt","DUF1157")</f>
        <v>DUF1157</v>
      </c>
      <c r="BQ32" t="str">
        <f>HYPERLINK("http://pfam.sanger.ac.uk/family?acc=PF06636","0.055")</f>
        <v>0.055</v>
      </c>
      <c r="BR32" s="1" t="str">
        <f>HYPERLINK("http://exon.niaid.nih.gov/transcriptome/T_rubida/S1/links/SMART/Triru-contig_285-SMART.txt","RasGAP")</f>
        <v>RasGAP</v>
      </c>
      <c r="BS32" t="str">
        <f>HYPERLINK("http://smart.embl-heidelberg.de/smart/do_annotation.pl?DOMAIN=RasGAP&amp;BLAST=DUMMY","0.25")</f>
        <v>0.25</v>
      </c>
      <c r="BT32" s="1" t="str">
        <f>HYPERLINK("http://exon.niaid.nih.gov/transcriptome/T_rubida/S1/links/PRK/Triru-contig_285-PRK.txt","7-cyano-7-deazaguanine tRNA-ribosyltransferase")</f>
        <v>7-cyano-7-deazaguanine tRNA-ribosyltransferase</v>
      </c>
      <c r="BU32">
        <v>0.17</v>
      </c>
      <c r="BV32" s="1" t="s">
        <v>57</v>
      </c>
      <c r="BW32" t="s">
        <v>57</v>
      </c>
      <c r="BX32" s="1" t="s">
        <v>57</v>
      </c>
      <c r="BY32" t="s">
        <v>57</v>
      </c>
    </row>
    <row r="33" spans="1:77">
      <c r="A33" t="str">
        <f>HYPERLINK("http://exon.niaid.nih.gov/transcriptome/T_rubida/S1/links/Triru/Triru-contig_81.txt","Triru-contig_81")</f>
        <v>Triru-contig_81</v>
      </c>
      <c r="B33">
        <v>1</v>
      </c>
      <c r="C33" t="str">
        <f>HYPERLINK("http://exon.niaid.nih.gov/transcriptome/T_rubida/S1/links/Triru/Triru-5-48-asb-81.txt","Contig-81")</f>
        <v>Contig-81</v>
      </c>
      <c r="D33" t="str">
        <f>HYPERLINK("http://exon.niaid.nih.gov/transcriptome/T_rubida/S1/links/Triru/Triru-5-48-81-CLU.txt","Contig81")</f>
        <v>Contig81</v>
      </c>
      <c r="E33" t="str">
        <f>HYPERLINK("http://exon.niaid.nih.gov/transcriptome/T_rubida/S1/links/Triru/Triru-5-48-81-qual.txt","63.5")</f>
        <v>63.5</v>
      </c>
      <c r="F33" t="s">
        <v>10</v>
      </c>
      <c r="G33">
        <v>66.5</v>
      </c>
      <c r="H33">
        <v>342</v>
      </c>
      <c r="I33" t="s">
        <v>93</v>
      </c>
      <c r="J33">
        <v>342</v>
      </c>
      <c r="K33">
        <v>361</v>
      </c>
      <c r="L33">
        <v>264</v>
      </c>
      <c r="M33" t="s">
        <v>5098</v>
      </c>
      <c r="N33" s="15">
        <v>3</v>
      </c>
      <c r="O33" s="14" t="str">
        <f>HYPERLINK("http://exon.niaid.nih.gov/transcriptome/T_rubida/S1/links/Sigp/TRIRU-CONTIG_81-SigP.txt","Cyt")</f>
        <v>Cyt</v>
      </c>
      <c r="Q33" s="5" t="s">
        <v>4829</v>
      </c>
      <c r="R33" t="s">
        <v>5719</v>
      </c>
      <c r="S33" t="str">
        <f>HYPERLINK("http://exon.niaid.nih.gov/transcriptome/T_rubida/S1/links/NR/Triru-contig_81-NR.txt","NR")</f>
        <v>NR</v>
      </c>
      <c r="T33" s="23">
        <v>2E-19</v>
      </c>
      <c r="U33">
        <v>48</v>
      </c>
      <c r="V33" s="1" t="str">
        <f>HYPERLINK("http://exon.niaid.nih.gov/transcriptome/T_rubida/S1/links/NR/Triru-contig_81-NR.txt","salivary lipocalin")</f>
        <v>salivary lipocalin</v>
      </c>
      <c r="W33" t="str">
        <f>HYPERLINK("http://www.ncbi.nlm.nih.gov/sutils/blink.cgi?pid=149689058","2E-019")</f>
        <v>2E-019</v>
      </c>
      <c r="X33" t="str">
        <f>HYPERLINK("http://www.ncbi.nlm.nih.gov/protein/149689058","gi|149689058")</f>
        <v>gi|149689058</v>
      </c>
      <c r="Y33">
        <v>99</v>
      </c>
      <c r="Z33">
        <v>84</v>
      </c>
      <c r="AA33">
        <v>179</v>
      </c>
      <c r="AB33">
        <v>55</v>
      </c>
      <c r="AC33">
        <v>47</v>
      </c>
      <c r="AD33">
        <v>38</v>
      </c>
      <c r="AE33">
        <v>0</v>
      </c>
      <c r="AF33">
        <v>85</v>
      </c>
      <c r="AG33">
        <v>3</v>
      </c>
      <c r="AH33">
        <v>1</v>
      </c>
      <c r="AI33">
        <v>3</v>
      </c>
      <c r="AJ33" t="s">
        <v>11</v>
      </c>
      <c r="AL33" t="s">
        <v>1067</v>
      </c>
      <c r="AM33" t="s">
        <v>1112</v>
      </c>
      <c r="AN33" t="s">
        <v>1084</v>
      </c>
      <c r="AO33" s="1" t="str">
        <f>HYPERLINK("http://exon.niaid.nih.gov/transcriptome/T_rubida/S1/links/SWISSP/Triru-contig_81-SWISSP.txt","Procalin")</f>
        <v>Procalin</v>
      </c>
      <c r="AP33" t="str">
        <f>HYPERLINK("http://www.uniprot.org/uniprot/Q9U6R6","1E-010")</f>
        <v>1E-010</v>
      </c>
      <c r="AQ33" t="s">
        <v>703</v>
      </c>
      <c r="AR33">
        <v>65.5</v>
      </c>
      <c r="AS33">
        <v>83</v>
      </c>
      <c r="AT33">
        <v>39</v>
      </c>
      <c r="AU33">
        <v>50</v>
      </c>
      <c r="AV33">
        <v>51</v>
      </c>
      <c r="AW33">
        <v>3</v>
      </c>
      <c r="AX33">
        <v>83</v>
      </c>
      <c r="AY33">
        <v>18</v>
      </c>
      <c r="AZ33">
        <v>1</v>
      </c>
      <c r="BA33">
        <v>3</v>
      </c>
      <c r="BB33" t="s">
        <v>11</v>
      </c>
      <c r="BD33" t="s">
        <v>704</v>
      </c>
      <c r="BE33" t="s">
        <v>705</v>
      </c>
      <c r="BF33" t="s">
        <v>1113</v>
      </c>
      <c r="BG33" t="s">
        <v>1114</v>
      </c>
      <c r="BH33" s="1" t="s">
        <v>57</v>
      </c>
      <c r="BI33" t="s">
        <v>57</v>
      </c>
      <c r="BJ33" s="1" t="str">
        <f>HYPERLINK("http://exon.niaid.nih.gov/transcriptome/T_rubida/S1/links/CDD/Triru-contig_81-CDD.txt","Triabin")</f>
        <v>Triabin</v>
      </c>
      <c r="BK33" t="str">
        <f>HYPERLINK("http://www.ncbi.nlm.nih.gov/Structure/cdd/cddsrv.cgi?uid=pfam03973&amp;version=v4.0","8E-011")</f>
        <v>8E-011</v>
      </c>
      <c r="BL33" t="s">
        <v>1115</v>
      </c>
      <c r="BM33" s="1" t="str">
        <f>HYPERLINK("http://exon.niaid.nih.gov/transcriptome/T_rubida/S1/links/KOG/Triru-contig_81-KOG.txt","Amino acid transporters")</f>
        <v>Amino acid transporters</v>
      </c>
      <c r="BN33" t="str">
        <f>HYPERLINK("http://www.ncbi.nlm.nih.gov/COG/grace/shokog.cgi?KOG1288","1.8")</f>
        <v>1.8</v>
      </c>
      <c r="BO33" t="s">
        <v>839</v>
      </c>
      <c r="BP33" s="1" t="str">
        <f>HYPERLINK("http://exon.niaid.nih.gov/transcriptome/T_rubida/S1/links/PFAM/Triru-contig_81-PFAM.txt","Triabin")</f>
        <v>Triabin</v>
      </c>
      <c r="BQ33" t="str">
        <f>HYPERLINK("http://pfam.sanger.ac.uk/family?acc=PF03973","2E-011")</f>
        <v>2E-011</v>
      </c>
      <c r="BR33" s="1" t="str">
        <f>HYPERLINK("http://exon.niaid.nih.gov/transcriptome/T_rubida/S1/links/SMART/Triru-contig_81-SMART.txt","IGv")</f>
        <v>IGv</v>
      </c>
      <c r="BS33" t="str">
        <f>HYPERLINK("http://smart.embl-heidelberg.de/smart/do_annotation.pl?DOMAIN=IGv&amp;BLAST=DUMMY","0.20")</f>
        <v>0.20</v>
      </c>
      <c r="BT33" s="1" t="str">
        <f>HYPERLINK("http://exon.niaid.nih.gov/transcriptome/T_rubida/S1/links/PRK/Triru-contig_81-PRK.txt","transcriptional regulator")</f>
        <v>transcriptional regulator</v>
      </c>
      <c r="BU33">
        <v>0.34</v>
      </c>
      <c r="BV33" s="1" t="s">
        <v>57</v>
      </c>
      <c r="BW33" t="s">
        <v>57</v>
      </c>
      <c r="BX33" s="1" t="s">
        <v>57</v>
      </c>
      <c r="BY33" t="s">
        <v>57</v>
      </c>
    </row>
    <row r="34" spans="1:77">
      <c r="A34" t="str">
        <f>HYPERLINK("http://exon.niaid.nih.gov/transcriptome/T_rubida/S1/links/Triru/Triru-contig_471.txt","Triru-contig_471")</f>
        <v>Triru-contig_471</v>
      </c>
      <c r="B34">
        <v>1</v>
      </c>
      <c r="C34" t="str">
        <f>HYPERLINK("http://exon.niaid.nih.gov/transcriptome/T_rubida/S1/links/Triru/Triru-5-48-asb-471.txt","Contig-471")</f>
        <v>Contig-471</v>
      </c>
      <c r="D34" t="str">
        <f>HYPERLINK("http://exon.niaid.nih.gov/transcriptome/T_rubida/S1/links/Triru/Triru-5-48-471-CLU.txt","Contig471")</f>
        <v>Contig471</v>
      </c>
      <c r="E34" t="str">
        <f>HYPERLINK("http://exon.niaid.nih.gov/transcriptome/T_rubida/S1/links/Triru/Triru-5-48-471-qual.txt","54.")</f>
        <v>54.</v>
      </c>
      <c r="F34" t="s">
        <v>10</v>
      </c>
      <c r="G34">
        <v>61.9</v>
      </c>
      <c r="H34">
        <v>314</v>
      </c>
      <c r="I34" t="s">
        <v>483</v>
      </c>
      <c r="J34">
        <v>314</v>
      </c>
      <c r="K34">
        <v>333</v>
      </c>
      <c r="L34">
        <v>246</v>
      </c>
      <c r="M34" t="s">
        <v>5100</v>
      </c>
      <c r="N34" s="15">
        <v>3</v>
      </c>
      <c r="Q34" s="5" t="s">
        <v>4979</v>
      </c>
      <c r="R34" t="s">
        <v>5719</v>
      </c>
      <c r="S34" t="str">
        <f>HYPERLINK("http://exon.niaid.nih.gov/transcriptome/T_rubida/S1/links/NR/Triru-contig_471-NR.txt","NR")</f>
        <v>NR</v>
      </c>
      <c r="T34" s="23">
        <v>2.0000000000000001E-9</v>
      </c>
      <c r="U34">
        <v>35.299999999999997</v>
      </c>
      <c r="V34" s="1" t="str">
        <f>HYPERLINK("http://exon.niaid.nih.gov/transcriptome/T_rubida/S1/links/NR/Triru-contig_471-NR.txt","salivary secreted protein")</f>
        <v>salivary secreted protein</v>
      </c>
      <c r="W34" t="str">
        <f>HYPERLINK("http://www.ncbi.nlm.nih.gov/sutils/blink.cgi?pid=149689148","2E-009")</f>
        <v>2E-009</v>
      </c>
      <c r="X34" t="str">
        <f>HYPERLINK("http://www.ncbi.nlm.nih.gov/protein/149689148","gi|149689148")</f>
        <v>gi|149689148</v>
      </c>
      <c r="Y34">
        <v>65.900000000000006</v>
      </c>
      <c r="Z34">
        <v>65</v>
      </c>
      <c r="AA34">
        <v>198</v>
      </c>
      <c r="AB34">
        <v>54</v>
      </c>
      <c r="AC34">
        <v>33</v>
      </c>
      <c r="AD34">
        <v>32</v>
      </c>
      <c r="AE34">
        <v>0</v>
      </c>
      <c r="AF34">
        <v>130</v>
      </c>
      <c r="AG34">
        <v>27</v>
      </c>
      <c r="AH34">
        <v>1</v>
      </c>
      <c r="AI34">
        <v>3</v>
      </c>
      <c r="AJ34" t="s">
        <v>11</v>
      </c>
      <c r="AL34" t="s">
        <v>1067</v>
      </c>
      <c r="AM34" t="s">
        <v>3663</v>
      </c>
      <c r="AN34" t="s">
        <v>3664</v>
      </c>
      <c r="AO34" s="1" t="str">
        <f>HYPERLINK("http://exon.niaid.nih.gov/transcriptome/T_rubida/S1/links/SWISSP/Triru-contig_471-SWISSP.txt","Phosphoenolpyruvate carboxykinase")</f>
        <v>Phosphoenolpyruvate carboxykinase</v>
      </c>
      <c r="AP34" t="str">
        <f>HYPERLINK("http://www.uniprot.org/uniprot/A8G1J1","0.25")</f>
        <v>0.25</v>
      </c>
      <c r="AQ34" t="s">
        <v>3665</v>
      </c>
      <c r="AR34">
        <v>34.299999999999997</v>
      </c>
      <c r="AS34">
        <v>57</v>
      </c>
      <c r="AT34">
        <v>34</v>
      </c>
      <c r="AU34">
        <v>11</v>
      </c>
      <c r="AV34">
        <v>38</v>
      </c>
      <c r="AW34">
        <v>0</v>
      </c>
      <c r="AX34">
        <v>11</v>
      </c>
      <c r="AY34">
        <v>39</v>
      </c>
      <c r="AZ34">
        <v>1</v>
      </c>
      <c r="BA34">
        <v>3</v>
      </c>
      <c r="BB34" t="s">
        <v>11</v>
      </c>
      <c r="BD34" t="s">
        <v>704</v>
      </c>
      <c r="BE34" t="s">
        <v>3666</v>
      </c>
      <c r="BF34" t="s">
        <v>3667</v>
      </c>
      <c r="BG34" t="s">
        <v>3668</v>
      </c>
      <c r="BH34" s="1" t="s">
        <v>57</v>
      </c>
      <c r="BI34" t="s">
        <v>57</v>
      </c>
      <c r="BJ34" s="1" t="str">
        <f>HYPERLINK("http://exon.niaid.nih.gov/transcriptome/T_rubida/S1/links/CDD/Triru-contig_471-CDD.txt","PRK06076")</f>
        <v>PRK06076</v>
      </c>
      <c r="BK34" t="str">
        <f>HYPERLINK("http://www.ncbi.nlm.nih.gov/Structure/cdd/cddsrv.cgi?uid=PRK06076&amp;version=v4.0","0.007")</f>
        <v>0.007</v>
      </c>
      <c r="BL34" t="s">
        <v>3669</v>
      </c>
      <c r="BM34" s="1" t="str">
        <f>HYPERLINK("http://exon.niaid.nih.gov/transcriptome/T_rubida/S1/links/KOG/Triru-contig_471-KOG.txt","Helix loop helix transcription factor")</f>
        <v>Helix loop helix transcription factor</v>
      </c>
      <c r="BN34" t="str">
        <f>HYPERLINK("http://www.ncbi.nlm.nih.gov/COG/grace/shokog.cgi?KOG3910","0.017")</f>
        <v>0.017</v>
      </c>
      <c r="BO34" t="s">
        <v>790</v>
      </c>
      <c r="BP34" s="1" t="str">
        <f>HYPERLINK("http://exon.niaid.nih.gov/transcriptome/T_rubida/S1/links/PFAM/Triru-contig_471-PFAM.txt","DUF3430")</f>
        <v>DUF3430</v>
      </c>
      <c r="BQ34" t="str">
        <f>HYPERLINK("http://pfam.sanger.ac.uk/family?acc=PF11912","0.16")</f>
        <v>0.16</v>
      </c>
      <c r="BR34" s="1" t="str">
        <f>HYPERLINK("http://exon.niaid.nih.gov/transcriptome/T_rubida/S1/links/SMART/Triru-contig_471-SMART.txt","PSI")</f>
        <v>PSI</v>
      </c>
      <c r="BS34" t="str">
        <f>HYPERLINK("http://smart.embl-heidelberg.de/smart/do_annotation.pl?DOMAIN=PSI&amp;BLAST=DUMMY","0.005")</f>
        <v>0.005</v>
      </c>
      <c r="BT34" s="1" t="str">
        <f>HYPERLINK("http://exon.niaid.nih.gov/transcriptome/T_rubida/S1/links/PRK/Triru-contig_471-PRK.txt","NADH:ubiquinone oxidoreductase subunit H")</f>
        <v>NADH:ubiquinone oxidoreductase subunit H</v>
      </c>
      <c r="BU34">
        <v>3.0000000000000001E-3</v>
      </c>
      <c r="BV34" s="1" t="s">
        <v>57</v>
      </c>
      <c r="BW34" t="s">
        <v>57</v>
      </c>
      <c r="BX34" s="1" t="s">
        <v>57</v>
      </c>
      <c r="BY34" t="s">
        <v>57</v>
      </c>
    </row>
    <row r="35" spans="1:77">
      <c r="A35" t="str">
        <f>HYPERLINK("http://exon.niaid.nih.gov/transcriptome/T_rubida/S1/links/Triru/Triru-contig_70.txt","Triru-contig_70")</f>
        <v>Triru-contig_70</v>
      </c>
      <c r="B35">
        <v>1</v>
      </c>
      <c r="C35" t="str">
        <f>HYPERLINK("http://exon.niaid.nih.gov/transcriptome/T_rubida/S1/links/Triru/Triru-5-48-asb-70.txt","Contig-70")</f>
        <v>Contig-70</v>
      </c>
      <c r="D35" t="str">
        <f>HYPERLINK("http://exon.niaid.nih.gov/transcriptome/T_rubida/S1/links/Triru/Triru-5-48-70-CLU.txt","Contig70")</f>
        <v>Contig70</v>
      </c>
      <c r="E35" t="str">
        <f>HYPERLINK("http://exon.niaid.nih.gov/transcriptome/T_rubida/S1/links/Triru/Triru-5-48-70-qual.txt","56.1")</f>
        <v>56.1</v>
      </c>
      <c r="F35" t="s">
        <v>10</v>
      </c>
      <c r="G35">
        <v>65.7</v>
      </c>
      <c r="H35">
        <v>613</v>
      </c>
      <c r="I35" t="s">
        <v>82</v>
      </c>
      <c r="J35">
        <v>613</v>
      </c>
      <c r="K35">
        <v>632</v>
      </c>
      <c r="L35">
        <v>429</v>
      </c>
      <c r="M35" t="s">
        <v>5108</v>
      </c>
      <c r="N35" s="15">
        <v>3</v>
      </c>
      <c r="O35" s="14" t="str">
        <f>HYPERLINK("http://exon.niaid.nih.gov/transcriptome/T_rubida/S1/links/Sigp/TRIRU-CONTIG_70-SigP.txt","Cyt")</f>
        <v>Cyt</v>
      </c>
      <c r="Q35" s="5" t="s">
        <v>4830</v>
      </c>
      <c r="R35" t="s">
        <v>5719</v>
      </c>
      <c r="S35" t="str">
        <f>HYPERLINK("http://exon.niaid.nih.gov/transcriptome/T_rubida/S1/links/NR/Triru-contig_70-NR.txt","NR")</f>
        <v>NR</v>
      </c>
      <c r="T35" s="23">
        <v>9.0000000000000003E-19</v>
      </c>
      <c r="U35">
        <v>58.8</v>
      </c>
      <c r="V35" s="1" t="str">
        <f>HYPERLINK("http://exon.niaid.nih.gov/transcriptome/T_rubida/S1/links/NR/Triru-contig_70-NR.txt","unnamed protein product")</f>
        <v>unnamed protein product</v>
      </c>
      <c r="W35" t="str">
        <f>HYPERLINK("http://www.ncbi.nlm.nih.gov/sutils/blink.cgi?pid=270046202","4E-028")</f>
        <v>4E-028</v>
      </c>
      <c r="X35" t="str">
        <f>HYPERLINK("http://www.ncbi.nlm.nih.gov/protein/270046202","gi|270046202")</f>
        <v>gi|270046202</v>
      </c>
      <c r="Y35">
        <v>118</v>
      </c>
      <c r="Z35">
        <v>136</v>
      </c>
      <c r="AA35">
        <v>200</v>
      </c>
      <c r="AB35">
        <v>52</v>
      </c>
      <c r="AC35">
        <v>69</v>
      </c>
      <c r="AD35">
        <v>56</v>
      </c>
      <c r="AE35">
        <v>2</v>
      </c>
      <c r="AF35">
        <v>64</v>
      </c>
      <c r="AG35">
        <v>29</v>
      </c>
      <c r="AH35">
        <v>2</v>
      </c>
      <c r="AI35">
        <v>3</v>
      </c>
      <c r="AJ35" t="s">
        <v>888</v>
      </c>
      <c r="AL35" t="s">
        <v>700</v>
      </c>
      <c r="AM35" t="s">
        <v>1053</v>
      </c>
      <c r="AN35" t="s">
        <v>1054</v>
      </c>
      <c r="AO35" s="1" t="str">
        <f>HYPERLINK("http://exon.niaid.nih.gov/transcriptome/T_rubida/S1/links/SWISSP/Triru-contig_70-SWISSP.txt","Lazarillo protein")</f>
        <v>Lazarillo protein</v>
      </c>
      <c r="AP35" t="str">
        <f>HYPERLINK("http://www.uniprot.org/uniprot/P49291","0.016")</f>
        <v>0.016</v>
      </c>
      <c r="AQ35" t="s">
        <v>1033</v>
      </c>
      <c r="AR35">
        <v>39.700000000000003</v>
      </c>
      <c r="AS35">
        <v>58</v>
      </c>
      <c r="AT35">
        <v>28</v>
      </c>
      <c r="AU35">
        <v>28</v>
      </c>
      <c r="AV35">
        <v>42</v>
      </c>
      <c r="AW35">
        <v>0</v>
      </c>
      <c r="AX35">
        <v>123</v>
      </c>
      <c r="AY35">
        <v>213</v>
      </c>
      <c r="AZ35">
        <v>1</v>
      </c>
      <c r="BA35">
        <v>3</v>
      </c>
      <c r="BB35" t="s">
        <v>11</v>
      </c>
      <c r="BD35" t="s">
        <v>704</v>
      </c>
      <c r="BE35" t="s">
        <v>1034</v>
      </c>
      <c r="BF35" t="s">
        <v>1055</v>
      </c>
      <c r="BG35" t="s">
        <v>1056</v>
      </c>
      <c r="BH35" s="1" t="s">
        <v>57</v>
      </c>
      <c r="BI35" t="s">
        <v>57</v>
      </c>
      <c r="BJ35" s="1" t="str">
        <f>HYPERLINK("http://exon.niaid.nih.gov/transcriptome/T_rubida/S1/links/CDD/Triru-contig_70-CDD.txt","Triabin")</f>
        <v>Triabin</v>
      </c>
      <c r="BK35" t="str">
        <f>HYPERLINK("http://www.ncbi.nlm.nih.gov/Structure/cdd/cddsrv.cgi?uid=pfam03973&amp;version=v4.0","9E-007")</f>
        <v>9E-007</v>
      </c>
      <c r="BL35" t="s">
        <v>1057</v>
      </c>
      <c r="BM35" s="1" t="str">
        <f>HYPERLINK("http://exon.niaid.nih.gov/transcriptome/T_rubida/S1/links/KOG/Triru-contig_70-KOG.txt","Lipid exporter ABCA1 and related proteins, ABC superfamily")</f>
        <v>Lipid exporter ABCA1 and related proteins, ABC superfamily</v>
      </c>
      <c r="BN35" t="str">
        <f>HYPERLINK("http://www.ncbi.nlm.nih.gov/COG/grace/shokog.cgi?KOG0059","0.37")</f>
        <v>0.37</v>
      </c>
      <c r="BO35" t="s">
        <v>962</v>
      </c>
      <c r="BP35" s="1" t="str">
        <f>HYPERLINK("http://exon.niaid.nih.gov/transcriptome/T_rubida/S1/links/PFAM/Triru-contig_70-PFAM.txt","Triabin")</f>
        <v>Triabin</v>
      </c>
      <c r="BQ35" t="str">
        <f>HYPERLINK("http://pfam.sanger.ac.uk/family?acc=PF03973","2E-007")</f>
        <v>2E-007</v>
      </c>
      <c r="BR35" s="1" t="str">
        <f>HYPERLINK("http://exon.niaid.nih.gov/transcriptome/T_rubida/S1/links/SMART/Triru-contig_70-SMART.txt","RL11")</f>
        <v>RL11</v>
      </c>
      <c r="BS35" t="str">
        <f>HYPERLINK("http://smart.embl-heidelberg.de/smart/do_annotation.pl?DOMAIN=RL11&amp;BLAST=DUMMY","0.22")</f>
        <v>0.22</v>
      </c>
      <c r="BT35" s="1" t="str">
        <f>HYPERLINK("http://exon.niaid.nih.gov/transcriptome/T_rubida/S1/links/PRK/Triru-contig_70-PRK.txt","phosphatidylserine decarboxylase")</f>
        <v>phosphatidylserine decarboxylase</v>
      </c>
      <c r="BU35">
        <v>0.11</v>
      </c>
      <c r="BV35" s="1" t="s">
        <v>57</v>
      </c>
      <c r="BW35" t="s">
        <v>57</v>
      </c>
      <c r="BX35" s="1" t="s">
        <v>57</v>
      </c>
      <c r="BY35" t="s">
        <v>57</v>
      </c>
    </row>
    <row r="36" spans="1:77">
      <c r="A36" t="str">
        <f>HYPERLINK("http://exon.niaid.nih.gov/transcriptome/T_rubida/S1/links/Triru/Triru-contig_72.txt","Triru-contig_72")</f>
        <v>Triru-contig_72</v>
      </c>
      <c r="B36">
        <v>1</v>
      </c>
      <c r="C36" t="str">
        <f>HYPERLINK("http://exon.niaid.nih.gov/transcriptome/T_rubida/S1/links/Triru/Triru-5-48-asb-72.txt","Contig-72")</f>
        <v>Contig-72</v>
      </c>
      <c r="D36" t="str">
        <f>HYPERLINK("http://exon.niaid.nih.gov/transcriptome/T_rubida/S1/links/Triru/Triru-5-48-72-CLU.txt","Contig72")</f>
        <v>Contig72</v>
      </c>
      <c r="E36" t="str">
        <f>HYPERLINK("http://exon.niaid.nih.gov/transcriptome/T_rubida/S1/links/Triru/Triru-5-48-72-qual.txt","51.8")</f>
        <v>51.8</v>
      </c>
      <c r="F36" t="s">
        <v>10</v>
      </c>
      <c r="G36">
        <v>67.900000000000006</v>
      </c>
      <c r="H36">
        <v>486</v>
      </c>
      <c r="I36" t="s">
        <v>84</v>
      </c>
      <c r="J36">
        <v>486</v>
      </c>
      <c r="K36">
        <v>505</v>
      </c>
      <c r="L36">
        <v>309</v>
      </c>
      <c r="M36" t="s">
        <v>5109</v>
      </c>
      <c r="N36" s="15">
        <v>3</v>
      </c>
      <c r="O36" s="14" t="str">
        <f>HYPERLINK("http://exon.niaid.nih.gov/transcriptome/T_rubida/S1/links/Sigp/TRIRU-CONTIG_72-SigP.txt","Cyt")</f>
        <v>Cyt</v>
      </c>
      <c r="Q36" s="5" t="s">
        <v>4830</v>
      </c>
      <c r="R36" t="s">
        <v>5719</v>
      </c>
      <c r="S36" t="str">
        <f>HYPERLINK("http://exon.niaid.nih.gov/transcriptome/T_rubida/S1/links/NR/Triru-contig_72-NR.txt","NR")</f>
        <v>NR</v>
      </c>
      <c r="T36" s="23">
        <v>2.9999999999999998E-15</v>
      </c>
      <c r="U36">
        <v>45.9</v>
      </c>
      <c r="V36" s="1" t="str">
        <f>HYPERLINK("http://exon.niaid.nih.gov/transcriptome/T_rubida/S1/links/NR/Triru-contig_72-NR.txt","unnamed protein product")</f>
        <v>unnamed protein product</v>
      </c>
      <c r="W36" t="str">
        <f>HYPERLINK("http://www.ncbi.nlm.nih.gov/sutils/blink.cgi?pid=270046200","9E-021")</f>
        <v>9E-021</v>
      </c>
      <c r="X36" t="str">
        <f>HYPERLINK("http://www.ncbi.nlm.nih.gov/protein/270046200","gi|270046200")</f>
        <v>gi|270046200</v>
      </c>
      <c r="Y36">
        <v>103</v>
      </c>
      <c r="Z36">
        <v>99</v>
      </c>
      <c r="AA36">
        <v>200</v>
      </c>
      <c r="AB36">
        <v>52</v>
      </c>
      <c r="AC36">
        <v>50</v>
      </c>
      <c r="AD36">
        <v>48</v>
      </c>
      <c r="AE36">
        <v>2</v>
      </c>
      <c r="AF36">
        <v>101</v>
      </c>
      <c r="AG36">
        <v>15</v>
      </c>
      <c r="AH36">
        <v>1</v>
      </c>
      <c r="AI36">
        <v>3</v>
      </c>
      <c r="AJ36" t="s">
        <v>11</v>
      </c>
      <c r="AL36" t="s">
        <v>700</v>
      </c>
      <c r="AM36" t="s">
        <v>1063</v>
      </c>
      <c r="AN36" t="s">
        <v>1054</v>
      </c>
      <c r="AO36" s="1" t="str">
        <f>HYPERLINK("http://exon.niaid.nih.gov/transcriptome/T_rubida/S1/links/SWISSP/Triru-contig_72-SWISSP.txt","Lazarillo protein")</f>
        <v>Lazarillo protein</v>
      </c>
      <c r="AP36" t="str">
        <f>HYPERLINK("http://www.uniprot.org/uniprot/P49291","0.010")</f>
        <v>0.010</v>
      </c>
      <c r="AQ36" t="s">
        <v>1033</v>
      </c>
      <c r="AR36">
        <v>39.700000000000003</v>
      </c>
      <c r="AS36">
        <v>58</v>
      </c>
      <c r="AT36">
        <v>28</v>
      </c>
      <c r="AU36">
        <v>28</v>
      </c>
      <c r="AV36">
        <v>42</v>
      </c>
      <c r="AW36">
        <v>0</v>
      </c>
      <c r="AX36">
        <v>123</v>
      </c>
      <c r="AY36">
        <v>93</v>
      </c>
      <c r="AZ36">
        <v>1</v>
      </c>
      <c r="BA36">
        <v>3</v>
      </c>
      <c r="BB36" t="s">
        <v>11</v>
      </c>
      <c r="BD36" t="s">
        <v>704</v>
      </c>
      <c r="BE36" t="s">
        <v>1034</v>
      </c>
      <c r="BF36" t="s">
        <v>1064</v>
      </c>
      <c r="BG36" t="s">
        <v>1065</v>
      </c>
      <c r="BH36" s="1" t="s">
        <v>57</v>
      </c>
      <c r="BI36" t="s">
        <v>57</v>
      </c>
      <c r="BJ36" s="1" t="str">
        <f>HYPERLINK("http://exon.niaid.nih.gov/transcriptome/T_rubida/S1/links/CDD/Triru-contig_72-CDD.txt","Triabin")</f>
        <v>Triabin</v>
      </c>
      <c r="BK36" t="str">
        <f>HYPERLINK("http://www.ncbi.nlm.nih.gov/Structure/cdd/cddsrv.cgi?uid=pfam03973&amp;version=v4.0","1E-006")</f>
        <v>1E-006</v>
      </c>
      <c r="BL36" t="s">
        <v>1066</v>
      </c>
      <c r="BM36" s="1" t="str">
        <f>HYPERLINK("http://exon.niaid.nih.gov/transcriptome/T_rubida/S1/links/KOG/Triru-contig_72-KOG.txt","Cyclic nucleotide-gated cation channel CNCG4")</f>
        <v>Cyclic nucleotide-gated cation channel CNCG4</v>
      </c>
      <c r="BN36" t="str">
        <f>HYPERLINK("http://www.ncbi.nlm.nih.gov/COG/grace/shokog.cgi?KOG0499","0.64")</f>
        <v>0.64</v>
      </c>
      <c r="BO36" t="s">
        <v>720</v>
      </c>
      <c r="BP36" s="1" t="str">
        <f>HYPERLINK("http://exon.niaid.nih.gov/transcriptome/T_rubida/S1/links/PFAM/Triru-contig_72-PFAM.txt","Triabin")</f>
        <v>Triabin</v>
      </c>
      <c r="BQ36" t="str">
        <f>HYPERLINK("http://pfam.sanger.ac.uk/family?acc=PF03973","2E-007")</f>
        <v>2E-007</v>
      </c>
      <c r="BR36" s="1" t="str">
        <f>HYPERLINK("http://exon.niaid.nih.gov/transcriptome/T_rubida/S1/links/SMART/Triru-contig_72-SMART.txt","small_GTPase")</f>
        <v>small_GTPase</v>
      </c>
      <c r="BS36" t="str">
        <f>HYPERLINK("http://smart.embl-heidelberg.de/smart/do_annotation.pl?DOMAIN=small_GTPase&amp;BLAST=DUMMY","0.19")</f>
        <v>0.19</v>
      </c>
      <c r="BT36" s="1" t="str">
        <f>HYPERLINK("http://exon.niaid.nih.gov/transcriptome/T_rubida/S1/links/PRK/Triru-contig_72-PRK.txt","NADH dehydrogenase subunit 4")</f>
        <v>NADH dehydrogenase subunit 4</v>
      </c>
      <c r="BU36">
        <v>0.15</v>
      </c>
      <c r="BV36" s="1" t="s">
        <v>57</v>
      </c>
      <c r="BW36" t="s">
        <v>57</v>
      </c>
      <c r="BX36" s="1" t="s">
        <v>57</v>
      </c>
      <c r="BY36" t="s">
        <v>57</v>
      </c>
    </row>
    <row r="37" spans="1:77" s="3" customFormat="1">
      <c r="A37" s="13" t="s">
        <v>5746</v>
      </c>
      <c r="T37" s="22"/>
    </row>
    <row r="38" spans="1:77">
      <c r="A38" t="str">
        <f>HYPERLINK("http://exon.niaid.nih.gov/transcriptome/T_rubida/S1/links/Triru/Triru-contig_10.txt","Triru-contig_10")</f>
        <v>Triru-contig_10</v>
      </c>
      <c r="B38">
        <v>158</v>
      </c>
      <c r="C38" t="str">
        <f>HYPERLINK("http://exon.niaid.nih.gov/transcriptome/T_rubida/S1/links/Triru/Triru-5-48-asb-10.txt","Contig-10")</f>
        <v>Contig-10</v>
      </c>
      <c r="D38" t="str">
        <f>HYPERLINK("http://exon.niaid.nih.gov/transcriptome/T_rubida/S1/links/Triru/Triru-5-48-10-CLU.txt","Contig10")</f>
        <v>Contig10</v>
      </c>
      <c r="E38" t="str">
        <f>HYPERLINK("http://exon.niaid.nih.gov/transcriptome/T_rubida/S1/links/Triru/Triru-5-48-10-qual.txt","87.8")</f>
        <v>87.8</v>
      </c>
      <c r="F38" t="s">
        <v>10</v>
      </c>
      <c r="G38">
        <v>62.7</v>
      </c>
      <c r="H38">
        <v>626</v>
      </c>
      <c r="I38" t="s">
        <v>21</v>
      </c>
      <c r="J38">
        <v>980</v>
      </c>
      <c r="K38">
        <v>664</v>
      </c>
      <c r="L38">
        <v>531</v>
      </c>
      <c r="M38" t="s">
        <v>5113</v>
      </c>
      <c r="N38" s="15">
        <v>3</v>
      </c>
      <c r="O38" s="14" t="str">
        <f>HYPERLINK("http://exon.niaid.nih.gov/transcriptome/T_rubida/S1/links/Sigp/TRIRU-CONTIG_10-SigP.txt","SIG")</f>
        <v>SIG</v>
      </c>
      <c r="P38" t="s">
        <v>5059</v>
      </c>
      <c r="Q38" s="5" t="s">
        <v>4818</v>
      </c>
      <c r="R38" t="s">
        <v>5719</v>
      </c>
      <c r="S38" t="str">
        <f>HYPERLINK("http://exon.niaid.nih.gov/transcriptome/T_rubida/S1/links/PFAM/Triru-contig_10-PFAM.txt","PFAM")</f>
        <v>PFAM</v>
      </c>
      <c r="T38" s="23">
        <v>1.0000000000000001E-17</v>
      </c>
      <c r="U38">
        <v>95.2</v>
      </c>
      <c r="V38" s="1" t="str">
        <f>HYPERLINK("http://exon.niaid.nih.gov/transcriptome/T_rubida/S1/links/NR/Triru-contig_10-NR.txt","unnamed protein product")</f>
        <v>unnamed protein product</v>
      </c>
      <c r="W38" t="str">
        <f>HYPERLINK("http://www.ncbi.nlm.nih.gov/sutils/blink.cgi?pid=270046178","3E-044")</f>
        <v>3E-044</v>
      </c>
      <c r="X38" t="str">
        <f>HYPERLINK("http://www.ncbi.nlm.nih.gov/protein/270046178","gi|270046178")</f>
        <v>gi|270046178</v>
      </c>
      <c r="Y38">
        <v>182</v>
      </c>
      <c r="Z38">
        <v>176</v>
      </c>
      <c r="AA38">
        <v>178</v>
      </c>
      <c r="AB38">
        <v>53</v>
      </c>
      <c r="AC38">
        <v>99</v>
      </c>
      <c r="AD38">
        <v>84</v>
      </c>
      <c r="AE38">
        <v>9</v>
      </c>
      <c r="AF38">
        <v>1</v>
      </c>
      <c r="AG38">
        <v>33</v>
      </c>
      <c r="AH38">
        <v>1</v>
      </c>
      <c r="AI38">
        <v>3</v>
      </c>
      <c r="AJ38" t="s">
        <v>11</v>
      </c>
      <c r="AL38" t="s">
        <v>700</v>
      </c>
      <c r="AM38" t="s">
        <v>746</v>
      </c>
      <c r="AN38" t="s">
        <v>702</v>
      </c>
      <c r="AO38" s="1" t="str">
        <f>HYPERLINK("http://exon.niaid.nih.gov/transcriptome/T_rubida/S1/links/SWISSP/Triru-contig_10-SWISSP.txt","Procalin")</f>
        <v>Procalin</v>
      </c>
      <c r="AP38" t="str">
        <f>HYPERLINK("http://www.uniprot.org/uniprot/Q9U6R6","1E-029")</f>
        <v>1E-029</v>
      </c>
      <c r="AQ38" t="s">
        <v>703</v>
      </c>
      <c r="AR38">
        <v>129</v>
      </c>
      <c r="AS38">
        <v>167</v>
      </c>
      <c r="AT38">
        <v>39</v>
      </c>
      <c r="AU38">
        <v>99</v>
      </c>
      <c r="AV38">
        <v>107</v>
      </c>
      <c r="AW38">
        <v>5</v>
      </c>
      <c r="AX38">
        <v>1</v>
      </c>
      <c r="AY38">
        <v>33</v>
      </c>
      <c r="AZ38">
        <v>1</v>
      </c>
      <c r="BA38">
        <v>3</v>
      </c>
      <c r="BB38" t="s">
        <v>11</v>
      </c>
      <c r="BD38" t="s">
        <v>704</v>
      </c>
      <c r="BE38" t="s">
        <v>705</v>
      </c>
      <c r="BF38" t="s">
        <v>747</v>
      </c>
      <c r="BG38" t="s">
        <v>748</v>
      </c>
      <c r="BH38" s="1" t="s">
        <v>57</v>
      </c>
      <c r="BI38" t="s">
        <v>57</v>
      </c>
      <c r="BJ38" s="1" t="str">
        <f>HYPERLINK("http://exon.niaid.nih.gov/transcriptome/T_rubida/S1/links/CDD/Triru-contig_10-CDD.txt","Triabin")</f>
        <v>Triabin</v>
      </c>
      <c r="BK38" t="str">
        <f>HYPERLINK("http://www.ncbi.nlm.nih.gov/Structure/cdd/cddsrv.cgi?uid=pfam03973&amp;version=v4.0","5E-017")</f>
        <v>5E-017</v>
      </c>
      <c r="BL38" t="s">
        <v>749</v>
      </c>
      <c r="BM38" s="1" t="str">
        <f>HYPERLINK("http://exon.niaid.nih.gov/transcriptome/T_rubida/S1/links/KOG/Triru-contig_10-KOG.txt","Sortilin and related receptors")</f>
        <v>Sortilin and related receptors</v>
      </c>
      <c r="BN38" t="str">
        <f>HYPERLINK("http://www.ncbi.nlm.nih.gov/COG/grace/shokog.cgi?KOG3511","0.31")</f>
        <v>0.31</v>
      </c>
      <c r="BO38" t="s">
        <v>750</v>
      </c>
      <c r="BP38" s="1" t="str">
        <f>HYPERLINK("http://exon.niaid.nih.gov/transcriptome/T_rubida/S1/links/PFAM/Triru-contig_10-PFAM.txt","Triabin")</f>
        <v>Triabin</v>
      </c>
      <c r="BQ38" t="str">
        <f>HYPERLINK("http://pfam.sanger.ac.uk/family?acc=PF03973","1E-017")</f>
        <v>1E-017</v>
      </c>
      <c r="BR38" s="1" t="str">
        <f>HYPERLINK("http://exon.niaid.nih.gov/transcriptome/T_rubida/S1/links/SMART/Triru-contig_10-SMART.txt","IGc1")</f>
        <v>IGc1</v>
      </c>
      <c r="BS38" t="str">
        <f>HYPERLINK("http://smart.embl-heidelberg.de/smart/do_annotation.pl?DOMAIN=IGc1&amp;BLAST=DUMMY","0.25")</f>
        <v>0.25</v>
      </c>
      <c r="BT38" s="1" t="str">
        <f>HYPERLINK("http://exon.niaid.nih.gov/transcriptome/T_rubida/S1/links/PRK/Triru-contig_10-PRK.txt","tRNA modification GTPase TrmE")</f>
        <v>tRNA modification GTPase TrmE</v>
      </c>
      <c r="BU38">
        <v>0.94</v>
      </c>
      <c r="BV38" s="1" t="s">
        <v>57</v>
      </c>
      <c r="BW38" t="s">
        <v>57</v>
      </c>
      <c r="BX38" s="1" t="s">
        <v>57</v>
      </c>
      <c r="BY38" t="s">
        <v>57</v>
      </c>
    </row>
    <row r="39" spans="1:77">
      <c r="A39" t="str">
        <f>HYPERLINK("http://exon.niaid.nih.gov/transcriptome/T_rubida/S1/links/Triru/Triru-contig_1.txt","Triru-contig_1")</f>
        <v>Triru-contig_1</v>
      </c>
      <c r="B39">
        <v>119</v>
      </c>
      <c r="C39" t="str">
        <f>HYPERLINK("http://exon.niaid.nih.gov/transcriptome/T_rubida/S1/links/Triru/Triru-5-48-asb-1.txt","Contig-1")</f>
        <v>Contig-1</v>
      </c>
      <c r="D39" t="str">
        <f>HYPERLINK("http://exon.niaid.nih.gov/transcriptome/T_rubida/S1/links/Triru/Triru-5-48-1-CLU.txt","Contig1")</f>
        <v>Contig1</v>
      </c>
      <c r="E39" t="str">
        <f>HYPERLINK("http://exon.niaid.nih.gov/transcriptome/T_rubida/S1/links/Triru/Triru-5-48-1-qual.txt","90.5")</f>
        <v>90.5</v>
      </c>
      <c r="F39" t="s">
        <v>10</v>
      </c>
      <c r="G39">
        <v>63.6</v>
      </c>
      <c r="H39">
        <v>627</v>
      </c>
      <c r="I39" t="s">
        <v>12</v>
      </c>
      <c r="J39">
        <v>669</v>
      </c>
      <c r="K39">
        <v>665</v>
      </c>
      <c r="L39">
        <v>549</v>
      </c>
      <c r="M39" t="s">
        <v>5129</v>
      </c>
      <c r="N39" s="15">
        <v>1</v>
      </c>
      <c r="O39" s="14" t="str">
        <f>HYPERLINK("http://exon.niaid.nih.gov/transcriptome/T_rubida/S1/links/Sigp/TRIRU-CONTIG_1-SigP.txt","SIG")</f>
        <v>SIG</v>
      </c>
      <c r="P39" t="s">
        <v>5057</v>
      </c>
      <c r="Q39" s="5" t="s">
        <v>4818</v>
      </c>
      <c r="R39" t="s">
        <v>5719</v>
      </c>
      <c r="S39" t="str">
        <f>HYPERLINK("http://exon.niaid.nih.gov/transcriptome/T_rubida/S1/links/PFAM/Triru-contig_1-PFAM.txt","PFAM")</f>
        <v>PFAM</v>
      </c>
      <c r="T39" s="23">
        <v>2.9999999999999998E-18</v>
      </c>
      <c r="U39">
        <v>94.5</v>
      </c>
      <c r="V39" s="1" t="str">
        <f>HYPERLINK("http://exon.niaid.nih.gov/transcriptome/T_rubida/S1/links/NR/Triru-contig_1-NR.txt","unnamed protein product")</f>
        <v>unnamed protein product</v>
      </c>
      <c r="W39" t="str">
        <f>HYPERLINK("http://www.ncbi.nlm.nih.gov/sutils/blink.cgi?pid=270046178","8E-035")</f>
        <v>8E-035</v>
      </c>
      <c r="X39" t="str">
        <f>HYPERLINK("http://www.ncbi.nlm.nih.gov/protein/270046178","gi|270046178")</f>
        <v>gi|270046178</v>
      </c>
      <c r="Y39">
        <v>151</v>
      </c>
      <c r="Z39">
        <v>176</v>
      </c>
      <c r="AA39">
        <v>178</v>
      </c>
      <c r="AB39">
        <v>47</v>
      </c>
      <c r="AC39">
        <v>99</v>
      </c>
      <c r="AD39">
        <v>95</v>
      </c>
      <c r="AE39">
        <v>9</v>
      </c>
      <c r="AF39">
        <v>1</v>
      </c>
      <c r="AG39">
        <v>34</v>
      </c>
      <c r="AH39">
        <v>1</v>
      </c>
      <c r="AI39">
        <v>1</v>
      </c>
      <c r="AJ39" t="s">
        <v>11</v>
      </c>
      <c r="AL39" t="s">
        <v>700</v>
      </c>
      <c r="AM39" t="s">
        <v>701</v>
      </c>
      <c r="AN39" t="s">
        <v>702</v>
      </c>
      <c r="AO39" s="1" t="str">
        <f>HYPERLINK("http://exon.niaid.nih.gov/transcriptome/T_rubida/S1/links/SWISSP/Triru-contig_1-SWISSP.txt","Procalin")</f>
        <v>Procalin</v>
      </c>
      <c r="AP39" t="str">
        <f>HYPERLINK("http://www.uniprot.org/uniprot/Q9U6R6","2E-023")</f>
        <v>2E-023</v>
      </c>
      <c r="AQ39" t="s">
        <v>703</v>
      </c>
      <c r="AR39">
        <v>108</v>
      </c>
      <c r="AS39">
        <v>167</v>
      </c>
      <c r="AT39">
        <v>35</v>
      </c>
      <c r="AU39">
        <v>99</v>
      </c>
      <c r="AV39">
        <v>115</v>
      </c>
      <c r="AW39">
        <v>5</v>
      </c>
      <c r="AX39">
        <v>1</v>
      </c>
      <c r="AY39">
        <v>34</v>
      </c>
      <c r="AZ39">
        <v>1</v>
      </c>
      <c r="BA39">
        <v>1</v>
      </c>
      <c r="BB39" t="s">
        <v>11</v>
      </c>
      <c r="BD39" t="s">
        <v>704</v>
      </c>
      <c r="BE39" t="s">
        <v>705</v>
      </c>
      <c r="BF39" t="s">
        <v>706</v>
      </c>
      <c r="BG39" t="s">
        <v>707</v>
      </c>
      <c r="BH39" s="1" t="s">
        <v>57</v>
      </c>
      <c r="BI39" t="s">
        <v>57</v>
      </c>
      <c r="BJ39" s="1" t="str">
        <f>HYPERLINK("http://exon.niaid.nih.gov/transcriptome/T_rubida/S1/links/CDD/Triru-contig_1-CDD.txt","Triabin")</f>
        <v>Triabin</v>
      </c>
      <c r="BK39" t="str">
        <f>HYPERLINK("http://www.ncbi.nlm.nih.gov/Structure/cdd/cddsrv.cgi?uid=pfam03973&amp;version=v4.0","1E-017")</f>
        <v>1E-017</v>
      </c>
      <c r="BL39" t="s">
        <v>708</v>
      </c>
      <c r="BM39" s="1" t="str">
        <f>HYPERLINK("http://exon.niaid.nih.gov/transcriptome/T_rubida/S1/links/KOG/Triru-contig_1-KOG.txt","Carnitine O-acyltransferase CPTI")</f>
        <v>Carnitine O-acyltransferase CPTI</v>
      </c>
      <c r="BN39" t="str">
        <f>HYPERLINK("http://www.ncbi.nlm.nih.gov/COG/grace/shokog.cgi?KOG3716","0.32")</f>
        <v>0.32</v>
      </c>
      <c r="BO39" t="s">
        <v>709</v>
      </c>
      <c r="BP39" s="1" t="str">
        <f>HYPERLINK("http://exon.niaid.nih.gov/transcriptome/T_rubida/S1/links/PFAM/Triru-contig_1-PFAM.txt","Triabin")</f>
        <v>Triabin</v>
      </c>
      <c r="BQ39" t="str">
        <f>HYPERLINK("http://pfam.sanger.ac.uk/family?acc=PF03973","3E-018")</f>
        <v>3E-018</v>
      </c>
      <c r="BR39" s="1" t="str">
        <f>HYPERLINK("http://exon.niaid.nih.gov/transcriptome/T_rubida/S1/links/SMART/Triru-contig_1-SMART.txt","CARP")</f>
        <v>CARP</v>
      </c>
      <c r="BS39" t="str">
        <f>HYPERLINK("http://smart.embl-heidelberg.de/smart/do_annotation.pl?DOMAIN=CARP&amp;BLAST=DUMMY","0.026")</f>
        <v>0.026</v>
      </c>
      <c r="BT39" s="1" t="str">
        <f>HYPERLINK("http://exon.niaid.nih.gov/transcriptome/T_rubida/S1/links/PRK/Triru-contig_1-PRK.txt","NADH dehydrogenase subunit 5")</f>
        <v>NADH dehydrogenase subunit 5</v>
      </c>
      <c r="BU39" s="2">
        <v>6.9999999999999999E-4</v>
      </c>
      <c r="BV39" s="1" t="s">
        <v>57</v>
      </c>
      <c r="BW39" t="s">
        <v>57</v>
      </c>
      <c r="BX39" s="1" t="s">
        <v>57</v>
      </c>
      <c r="BY39" t="s">
        <v>57</v>
      </c>
    </row>
    <row r="40" spans="1:77">
      <c r="A40" t="str">
        <f>HYPERLINK("http://exon.niaid.nih.gov/transcriptome/T_rubida/S1/links/Triru/Triru-contig_33.txt","Triru-contig_33")</f>
        <v>Triru-contig_33</v>
      </c>
      <c r="B40">
        <v>72</v>
      </c>
      <c r="C40" t="str">
        <f>HYPERLINK("http://exon.niaid.nih.gov/transcriptome/T_rubida/S1/links/Triru/Triru-5-48-asb-33.txt","Contig-33")</f>
        <v>Contig-33</v>
      </c>
      <c r="D40" t="str">
        <f>HYPERLINK("http://exon.niaid.nih.gov/transcriptome/T_rubida/S1/links/Triru/Triru-5-48-33-CLU.txt","Contig33")</f>
        <v>Contig33</v>
      </c>
      <c r="E40" t="str">
        <f>HYPERLINK("http://exon.niaid.nih.gov/transcriptome/T_rubida/S1/links/Triru/Triru-5-48-33-qual.txt","91.6")</f>
        <v>91.6</v>
      </c>
      <c r="F40" t="s">
        <v>10</v>
      </c>
      <c r="G40">
        <v>64.7</v>
      </c>
      <c r="H40">
        <v>528</v>
      </c>
      <c r="I40" t="s">
        <v>44</v>
      </c>
      <c r="J40">
        <v>582</v>
      </c>
      <c r="K40">
        <v>555</v>
      </c>
      <c r="L40">
        <v>465</v>
      </c>
      <c r="M40" t="s">
        <v>5124</v>
      </c>
      <c r="N40" s="15">
        <v>2</v>
      </c>
      <c r="O40" s="14" t="str">
        <f>HYPERLINK("http://exon.niaid.nih.gov/transcriptome/T_rubida/S1/links/Sigp/TRIRU-CONTIG_33-SigP.txt","Cyt")</f>
        <v>Cyt</v>
      </c>
      <c r="Q40" s="5" t="s">
        <v>4818</v>
      </c>
      <c r="R40" t="s">
        <v>5719</v>
      </c>
      <c r="S40" t="str">
        <f>HYPERLINK("http://exon.niaid.nih.gov/transcriptome/T_rubida/S1/links/PFAM/Triru-contig_33-PFAM.txt","PFAM")</f>
        <v>PFAM</v>
      </c>
      <c r="T40" s="23">
        <v>2E-12</v>
      </c>
      <c r="U40">
        <v>96</v>
      </c>
      <c r="V40" s="1" t="str">
        <f>HYPERLINK("http://exon.niaid.nih.gov/transcriptome/T_rubida/S1/links/NR/Triru-contig_33-NR.txt","unnamed protein product")</f>
        <v>unnamed protein product</v>
      </c>
      <c r="W40" t="str">
        <f>HYPERLINK("http://www.ncbi.nlm.nih.gov/sutils/blink.cgi?pid=270046166","2E-037")</f>
        <v>2E-037</v>
      </c>
      <c r="X40" t="str">
        <f>HYPERLINK("http://www.ncbi.nlm.nih.gov/protein/270046166","gi|270046166")</f>
        <v>gi|270046166</v>
      </c>
      <c r="Y40">
        <v>159</v>
      </c>
      <c r="Z40">
        <v>160</v>
      </c>
      <c r="AA40">
        <v>177</v>
      </c>
      <c r="AB40">
        <v>48</v>
      </c>
      <c r="AC40">
        <v>91</v>
      </c>
      <c r="AD40">
        <v>83</v>
      </c>
      <c r="AE40">
        <v>9</v>
      </c>
      <c r="AF40">
        <v>16</v>
      </c>
      <c r="AG40">
        <v>5</v>
      </c>
      <c r="AH40">
        <v>1</v>
      </c>
      <c r="AI40">
        <v>2</v>
      </c>
      <c r="AJ40" t="s">
        <v>11</v>
      </c>
      <c r="AL40" t="s">
        <v>700</v>
      </c>
      <c r="AM40" t="s">
        <v>854</v>
      </c>
      <c r="AN40" t="s">
        <v>841</v>
      </c>
      <c r="AO40" s="1" t="str">
        <f>HYPERLINK("http://exon.niaid.nih.gov/transcriptome/T_rubida/S1/links/SWISSP/Triru-contig_33-SWISSP.txt","Procalin")</f>
        <v>Procalin</v>
      </c>
      <c r="AP40" t="str">
        <f>HYPERLINK("http://www.uniprot.org/uniprot/Q9U6R6","3E-024")</f>
        <v>3E-024</v>
      </c>
      <c r="AQ40" t="s">
        <v>703</v>
      </c>
      <c r="AR40">
        <v>111</v>
      </c>
      <c r="AS40">
        <v>148</v>
      </c>
      <c r="AT40">
        <v>37</v>
      </c>
      <c r="AU40">
        <v>88</v>
      </c>
      <c r="AV40">
        <v>94</v>
      </c>
      <c r="AW40">
        <v>6</v>
      </c>
      <c r="AX40">
        <v>20</v>
      </c>
      <c r="AY40">
        <v>29</v>
      </c>
      <c r="AZ40">
        <v>1</v>
      </c>
      <c r="BA40">
        <v>2</v>
      </c>
      <c r="BB40" t="s">
        <v>11</v>
      </c>
      <c r="BD40" t="s">
        <v>704</v>
      </c>
      <c r="BE40" t="s">
        <v>705</v>
      </c>
      <c r="BF40" t="s">
        <v>855</v>
      </c>
      <c r="BG40" t="s">
        <v>856</v>
      </c>
      <c r="BH40" s="1" t="s">
        <v>57</v>
      </c>
      <c r="BI40" t="s">
        <v>57</v>
      </c>
      <c r="BJ40" s="1" t="str">
        <f>HYPERLINK("http://exon.niaid.nih.gov/transcriptome/T_rubida/S1/links/CDD/Triru-contig_33-CDD.txt","Triabin")</f>
        <v>Triabin</v>
      </c>
      <c r="BK40" t="str">
        <f>HYPERLINK("http://www.ncbi.nlm.nih.gov/Structure/cdd/cddsrv.cgi?uid=pfam03973&amp;version=v4.0","1E-011")</f>
        <v>1E-011</v>
      </c>
      <c r="BL40" t="s">
        <v>857</v>
      </c>
      <c r="BM40" s="1" t="str">
        <f>HYPERLINK("http://exon.niaid.nih.gov/transcriptome/T_rubida/S1/links/KOG/Triru-contig_33-KOG.txt","Predicted membrane proteins, contain hemolysin III domain")</f>
        <v>Predicted membrane proteins, contain hemolysin III domain</v>
      </c>
      <c r="BN40" t="str">
        <f>HYPERLINK("http://www.ncbi.nlm.nih.gov/COG/grace/shokog.cgi?KOG0748","0.36")</f>
        <v>0.36</v>
      </c>
      <c r="BO40" t="s">
        <v>858</v>
      </c>
      <c r="BP40" s="1" t="str">
        <f>HYPERLINK("http://exon.niaid.nih.gov/transcriptome/T_rubida/S1/links/PFAM/Triru-contig_33-PFAM.txt","Triabin")</f>
        <v>Triabin</v>
      </c>
      <c r="BQ40" t="str">
        <f>HYPERLINK("http://pfam.sanger.ac.uk/family?acc=PF03973","2E-012")</f>
        <v>2E-012</v>
      </c>
      <c r="BR40" s="1" t="str">
        <f>HYPERLINK("http://exon.niaid.nih.gov/transcriptome/T_rubida/S1/links/SMART/Triru-contig_33-SMART.txt","SprT")</f>
        <v>SprT</v>
      </c>
      <c r="BS40" t="str">
        <f>HYPERLINK("http://smart.embl-heidelberg.de/smart/do_annotation.pl?DOMAIN=SprT&amp;BLAST=DUMMY","0.17")</f>
        <v>0.17</v>
      </c>
      <c r="BT40" s="1" t="str">
        <f>HYPERLINK("http://exon.niaid.nih.gov/transcriptome/T_rubida/S1/links/PRK/Triru-contig_33-PRK.txt","NTP-binding motif containing protein.")</f>
        <v>NTP-binding motif containing protein.</v>
      </c>
      <c r="BU40">
        <v>7.6999999999999999E-2</v>
      </c>
      <c r="BV40" s="1" t="s">
        <v>57</v>
      </c>
      <c r="BW40" t="s">
        <v>57</v>
      </c>
      <c r="BX40" s="1" t="s">
        <v>57</v>
      </c>
      <c r="BY40" t="s">
        <v>57</v>
      </c>
    </row>
    <row r="41" spans="1:77">
      <c r="A41" t="str">
        <f>HYPERLINK("http://exon.niaid.nih.gov/transcriptome/T_rubida/S1/links/Triru/Triru-contig_17.txt","Triru-contig_17")</f>
        <v>Triru-contig_17</v>
      </c>
      <c r="B41">
        <v>56</v>
      </c>
      <c r="C41" t="str">
        <f>HYPERLINK("http://exon.niaid.nih.gov/transcriptome/T_rubida/S1/links/Triru/Triru-5-48-asb-17.txt","Contig-17")</f>
        <v>Contig-17</v>
      </c>
      <c r="D41" t="str">
        <f>HYPERLINK("http://exon.niaid.nih.gov/transcriptome/T_rubida/S1/links/Triru/Triru-5-48-17-CLU.txt","Contig17")</f>
        <v>Contig17</v>
      </c>
      <c r="E41" t="str">
        <f>HYPERLINK("http://exon.niaid.nih.gov/transcriptome/T_rubida/S1/links/Triru/Triru-5-48-17-qual.txt","91.9")</f>
        <v>91.9</v>
      </c>
      <c r="F41" t="s">
        <v>10</v>
      </c>
      <c r="G41">
        <v>62.5</v>
      </c>
      <c r="H41">
        <v>627</v>
      </c>
      <c r="I41" t="s">
        <v>28</v>
      </c>
      <c r="J41">
        <v>753</v>
      </c>
      <c r="K41">
        <v>664</v>
      </c>
      <c r="L41">
        <v>549</v>
      </c>
      <c r="M41" t="s">
        <v>5118</v>
      </c>
      <c r="N41" s="15">
        <v>1</v>
      </c>
      <c r="O41" s="14" t="str">
        <f>HYPERLINK("http://exon.niaid.nih.gov/transcriptome/T_rubida/S1/links/Sigp/TRIRU-CONTIG_17-SigP.txt","SIG")</f>
        <v>SIG</v>
      </c>
      <c r="P41" t="s">
        <v>5057</v>
      </c>
      <c r="Q41" s="5" t="s">
        <v>4818</v>
      </c>
      <c r="R41" t="s">
        <v>5719</v>
      </c>
      <c r="S41" t="str">
        <f>HYPERLINK("http://exon.niaid.nih.gov/transcriptome/T_rubida/S1/links/PFAM/Triru-contig_17-PFAM.txt","PFAM")</f>
        <v>PFAM</v>
      </c>
      <c r="T41" s="23">
        <v>3.0000000000000001E-17</v>
      </c>
      <c r="U41">
        <v>95.2</v>
      </c>
      <c r="V41" s="1" t="str">
        <f>HYPERLINK("http://exon.niaid.nih.gov/transcriptome/T_rubida/S1/links/NR/Triru-contig_17-NR.txt","unnamed protein product")</f>
        <v>unnamed protein product</v>
      </c>
      <c r="W41" t="str">
        <f>HYPERLINK("http://www.ncbi.nlm.nih.gov/sutils/blink.cgi?pid=270046244","2E-043")</f>
        <v>2E-043</v>
      </c>
      <c r="X41" t="str">
        <f>HYPERLINK("http://www.ncbi.nlm.nih.gov/protein/270046244","gi|270046244")</f>
        <v>gi|270046244</v>
      </c>
      <c r="Y41">
        <v>179</v>
      </c>
      <c r="Z41">
        <v>175</v>
      </c>
      <c r="AA41">
        <v>177</v>
      </c>
      <c r="AB41">
        <v>53</v>
      </c>
      <c r="AC41">
        <v>99</v>
      </c>
      <c r="AD41">
        <v>84</v>
      </c>
      <c r="AE41">
        <v>9</v>
      </c>
      <c r="AF41">
        <v>1</v>
      </c>
      <c r="AG41">
        <v>34</v>
      </c>
      <c r="AH41">
        <v>1</v>
      </c>
      <c r="AI41">
        <v>1</v>
      </c>
      <c r="AJ41" t="s">
        <v>11</v>
      </c>
      <c r="AL41" t="s">
        <v>700</v>
      </c>
      <c r="AM41" t="s">
        <v>765</v>
      </c>
      <c r="AN41" t="s">
        <v>702</v>
      </c>
      <c r="AO41" s="1" t="str">
        <f>HYPERLINK("http://exon.niaid.nih.gov/transcriptome/T_rubida/S1/links/SWISSP/Triru-contig_17-SWISSP.txt","Procalin")</f>
        <v>Procalin</v>
      </c>
      <c r="AP41" t="str">
        <f>HYPERLINK("http://www.uniprot.org/uniprot/Q9U6R6","3E-028")</f>
        <v>3E-028</v>
      </c>
      <c r="AQ41" t="s">
        <v>703</v>
      </c>
      <c r="AR41">
        <v>125</v>
      </c>
      <c r="AS41">
        <v>167</v>
      </c>
      <c r="AT41">
        <v>38</v>
      </c>
      <c r="AU41">
        <v>99</v>
      </c>
      <c r="AV41">
        <v>109</v>
      </c>
      <c r="AW41">
        <v>5</v>
      </c>
      <c r="AX41">
        <v>1</v>
      </c>
      <c r="AY41">
        <v>34</v>
      </c>
      <c r="AZ41">
        <v>1</v>
      </c>
      <c r="BA41">
        <v>1</v>
      </c>
      <c r="BB41" t="s">
        <v>11</v>
      </c>
      <c r="BD41" t="s">
        <v>704</v>
      </c>
      <c r="BE41" t="s">
        <v>705</v>
      </c>
      <c r="BF41" t="s">
        <v>766</v>
      </c>
      <c r="BG41" t="s">
        <v>767</v>
      </c>
      <c r="BH41" s="1" t="s">
        <v>57</v>
      </c>
      <c r="BI41" t="s">
        <v>57</v>
      </c>
      <c r="BJ41" s="1" t="str">
        <f>HYPERLINK("http://exon.niaid.nih.gov/transcriptome/T_rubida/S1/links/CDD/Triru-contig_17-CDD.txt","Triabin")</f>
        <v>Triabin</v>
      </c>
      <c r="BK41" t="str">
        <f>HYPERLINK("http://www.ncbi.nlm.nih.gov/Structure/cdd/cddsrv.cgi?uid=pfam03973&amp;version=v4.0","2E-016")</f>
        <v>2E-016</v>
      </c>
      <c r="BL41" t="s">
        <v>768</v>
      </c>
      <c r="BM41" s="1" t="str">
        <f>HYPERLINK("http://exon.niaid.nih.gov/transcriptome/T_rubida/S1/links/KOG/Triru-contig_17-KOG.txt","Voltage-gated Ca2+ channels, alpha1 subunits")</f>
        <v>Voltage-gated Ca2+ channels, alpha1 subunits</v>
      </c>
      <c r="BN41" t="str">
        <f>HYPERLINK("http://www.ncbi.nlm.nih.gov/COG/grace/shokog.cgi?KOG2301","1.1")</f>
        <v>1.1</v>
      </c>
      <c r="BO41" t="s">
        <v>720</v>
      </c>
      <c r="BP41" s="1" t="str">
        <f>HYPERLINK("http://exon.niaid.nih.gov/transcriptome/T_rubida/S1/links/PFAM/Triru-contig_17-PFAM.txt","Triabin")</f>
        <v>Triabin</v>
      </c>
      <c r="BQ41" t="str">
        <f>HYPERLINK("http://pfam.sanger.ac.uk/family?acc=PF03973","3E-017")</f>
        <v>3E-017</v>
      </c>
      <c r="BR41" s="1" t="str">
        <f>HYPERLINK("http://exon.niaid.nih.gov/transcriptome/T_rubida/S1/links/SMART/Triru-contig_17-SMART.txt","RIO")</f>
        <v>RIO</v>
      </c>
      <c r="BS41" t="str">
        <f>HYPERLINK("http://smart.embl-heidelberg.de/smart/do_annotation.pl?DOMAIN=RIO&amp;BLAST=DUMMY","0.10")</f>
        <v>0.10</v>
      </c>
      <c r="BT41" s="1" t="str">
        <f>HYPERLINK("http://exon.niaid.nih.gov/transcriptome/T_rubida/S1/links/PRK/Triru-contig_17-PRK.txt","galactose-1-phosphate uridylyltransferase")</f>
        <v>galactose-1-phosphate uridylyltransferase</v>
      </c>
      <c r="BU41">
        <v>0.63</v>
      </c>
      <c r="BV41" s="1" t="s">
        <v>57</v>
      </c>
      <c r="BW41" t="s">
        <v>57</v>
      </c>
      <c r="BX41" s="1" t="s">
        <v>57</v>
      </c>
      <c r="BY41" t="s">
        <v>57</v>
      </c>
    </row>
    <row r="42" spans="1:77">
      <c r="A42" t="str">
        <f>HYPERLINK("http://exon.niaid.nih.gov/transcriptome/T_rubida/S1/links/Triru/Triru-contig_6.txt","Triru-contig_6")</f>
        <v>Triru-contig_6</v>
      </c>
      <c r="B42">
        <v>32</v>
      </c>
      <c r="C42" t="str">
        <f>HYPERLINK("http://exon.niaid.nih.gov/transcriptome/T_rubida/S1/links/Triru/Triru-5-48-asb-6.txt","Contig-6")</f>
        <v>Contig-6</v>
      </c>
      <c r="D42" t="str">
        <f>HYPERLINK("http://exon.niaid.nih.gov/transcriptome/T_rubida/S1/links/Triru/Triru-5-48-6-CLU.txt","Contig6")</f>
        <v>Contig6</v>
      </c>
      <c r="E42" t="str">
        <f>HYPERLINK("http://exon.niaid.nih.gov/transcriptome/T_rubida/S1/links/Triru/Triru-5-48-6-qual.txt","90.2")</f>
        <v>90.2</v>
      </c>
      <c r="F42" t="s">
        <v>10</v>
      </c>
      <c r="G42">
        <v>63.1</v>
      </c>
      <c r="H42">
        <v>538</v>
      </c>
      <c r="I42" t="s">
        <v>17</v>
      </c>
      <c r="J42">
        <v>539</v>
      </c>
      <c r="K42">
        <v>558</v>
      </c>
      <c r="L42">
        <v>444</v>
      </c>
      <c r="M42" t="s">
        <v>5136</v>
      </c>
      <c r="N42" s="15">
        <v>2</v>
      </c>
      <c r="O42" s="14" t="str">
        <f>HYPERLINK("http://exon.niaid.nih.gov/transcriptome/T_rubida/S1/links/Sigp/TRIRU-CONTIG_6-SigP.txt","Cyt")</f>
        <v>Cyt</v>
      </c>
      <c r="Q42" s="5" t="s">
        <v>4818</v>
      </c>
      <c r="R42" t="s">
        <v>5719</v>
      </c>
      <c r="S42" t="str">
        <f>HYPERLINK("http://exon.niaid.nih.gov/transcriptome/T_rubida/S1/links/PFAM/Triru-contig_6-PFAM.txt","PFAM")</f>
        <v>PFAM</v>
      </c>
      <c r="T42" s="23">
        <v>3.0000000000000001E-17</v>
      </c>
      <c r="U42">
        <v>89</v>
      </c>
      <c r="V42" s="1" t="str">
        <f>HYPERLINK("http://exon.niaid.nih.gov/transcriptome/T_rubida/S1/links/NR/Triru-contig_6-NR.txt","unnamed protein product")</f>
        <v>unnamed protein product</v>
      </c>
      <c r="W42" t="str">
        <f>HYPERLINK("http://www.ncbi.nlm.nih.gov/sutils/blink.cgi?pid=270046164","2E-025")</f>
        <v>2E-025</v>
      </c>
      <c r="X42" t="str">
        <f>HYPERLINK("http://www.ncbi.nlm.nih.gov/protein/270046164","gi|270046164")</f>
        <v>gi|270046164</v>
      </c>
      <c r="Y42">
        <v>119</v>
      </c>
      <c r="Z42">
        <v>146</v>
      </c>
      <c r="AA42">
        <v>177</v>
      </c>
      <c r="AB42">
        <v>43</v>
      </c>
      <c r="AC42">
        <v>83</v>
      </c>
      <c r="AD42">
        <v>84</v>
      </c>
      <c r="AE42">
        <v>8</v>
      </c>
      <c r="AF42">
        <v>31</v>
      </c>
      <c r="AG42">
        <v>38</v>
      </c>
      <c r="AH42">
        <v>1</v>
      </c>
      <c r="AI42">
        <v>2</v>
      </c>
      <c r="AJ42" t="s">
        <v>11</v>
      </c>
      <c r="AL42" t="s">
        <v>700</v>
      </c>
      <c r="AM42" t="s">
        <v>729</v>
      </c>
      <c r="AN42" t="s">
        <v>730</v>
      </c>
      <c r="AO42" s="1" t="str">
        <f>HYPERLINK("http://exon.niaid.nih.gov/transcriptome/T_rubida/S1/links/SWISSP/Triru-contig_6-SWISSP.txt","Procalin")</f>
        <v>Procalin</v>
      </c>
      <c r="AP42" t="str">
        <f>HYPERLINK("http://www.uniprot.org/uniprot/Q9U6R6","8E-018")</f>
        <v>8E-018</v>
      </c>
      <c r="AQ42" t="s">
        <v>703</v>
      </c>
      <c r="AR42">
        <v>90.1</v>
      </c>
      <c r="AS42">
        <v>141</v>
      </c>
      <c r="AT42">
        <v>33</v>
      </c>
      <c r="AU42">
        <v>84</v>
      </c>
      <c r="AV42">
        <v>96</v>
      </c>
      <c r="AW42">
        <v>5</v>
      </c>
      <c r="AX42">
        <v>27</v>
      </c>
      <c r="AY42">
        <v>38</v>
      </c>
      <c r="AZ42">
        <v>1</v>
      </c>
      <c r="BA42">
        <v>2</v>
      </c>
      <c r="BB42" t="s">
        <v>11</v>
      </c>
      <c r="BD42" t="s">
        <v>704</v>
      </c>
      <c r="BE42" t="s">
        <v>705</v>
      </c>
      <c r="BF42" t="s">
        <v>731</v>
      </c>
      <c r="BG42" t="s">
        <v>732</v>
      </c>
      <c r="BH42" s="1" t="s">
        <v>57</v>
      </c>
      <c r="BI42" t="s">
        <v>57</v>
      </c>
      <c r="BJ42" s="1" t="str">
        <f>HYPERLINK("http://exon.niaid.nih.gov/transcriptome/T_rubida/S1/links/CDD/Triru-contig_6-CDD.txt","Triabin")</f>
        <v>Triabin</v>
      </c>
      <c r="BK42" t="str">
        <f>HYPERLINK("http://www.ncbi.nlm.nih.gov/Structure/cdd/cddsrv.cgi?uid=pfam03973&amp;version=v4.0","2E-016")</f>
        <v>2E-016</v>
      </c>
      <c r="BL42" t="s">
        <v>733</v>
      </c>
      <c r="BM42" s="1" t="str">
        <f>HYPERLINK("http://exon.niaid.nih.gov/transcriptome/T_rubida/S1/links/KOG/Triru-contig_6-KOG.txt","Receptor-activated Ca2+-permeable cation channels (STRPC family)")</f>
        <v>Receptor-activated Ca2+-permeable cation channels (STRPC family)</v>
      </c>
      <c r="BN42" t="str">
        <f>HYPERLINK("http://www.ncbi.nlm.nih.gov/COG/grace/shokog.cgi?KOG3609","0.25")</f>
        <v>0.25</v>
      </c>
      <c r="BO42" t="s">
        <v>720</v>
      </c>
      <c r="BP42" s="1" t="str">
        <f>HYPERLINK("http://exon.niaid.nih.gov/transcriptome/T_rubida/S1/links/PFAM/Triru-contig_6-PFAM.txt","Triabin")</f>
        <v>Triabin</v>
      </c>
      <c r="BQ42" t="str">
        <f>HYPERLINK("http://pfam.sanger.ac.uk/family?acc=PF03973","3E-017")</f>
        <v>3E-017</v>
      </c>
      <c r="BR42" s="1" t="str">
        <f>HYPERLINK("http://exon.niaid.nih.gov/transcriptome/T_rubida/S1/links/SMART/Triru-contig_6-SMART.txt","RIBOc")</f>
        <v>RIBOc</v>
      </c>
      <c r="BS42" t="str">
        <f>HYPERLINK("http://smart.embl-heidelberg.de/smart/do_annotation.pl?DOMAIN=RIBOc&amp;BLAST=DUMMY","0.039")</f>
        <v>0.039</v>
      </c>
      <c r="BT42" s="1" t="str">
        <f>HYPERLINK("http://exon.niaid.nih.gov/transcriptome/T_rubida/S1/links/PRK/Triru-contig_6-PRK.txt","NADH dehydrogenase subunit 5")</f>
        <v>NADH dehydrogenase subunit 5</v>
      </c>
      <c r="BU42">
        <v>7.0000000000000001E-3</v>
      </c>
      <c r="BV42" s="1" t="s">
        <v>57</v>
      </c>
      <c r="BW42" t="s">
        <v>57</v>
      </c>
      <c r="BX42" s="1" t="s">
        <v>57</v>
      </c>
      <c r="BY42" t="s">
        <v>57</v>
      </c>
    </row>
    <row r="43" spans="1:77">
      <c r="A43" t="str">
        <f>HYPERLINK("http://exon.niaid.nih.gov/transcriptome/T_rubida/S1/links/Triru/Triru-contig_32.txt","Triru-contig_32")</f>
        <v>Triru-contig_32</v>
      </c>
      <c r="B43">
        <v>26</v>
      </c>
      <c r="C43" t="str">
        <f>HYPERLINK("http://exon.niaid.nih.gov/transcriptome/T_rubida/S1/links/Triru/Triru-5-48-asb-32.txt","Contig-32")</f>
        <v>Contig-32</v>
      </c>
      <c r="D43" t="str">
        <f>HYPERLINK("http://exon.niaid.nih.gov/transcriptome/T_rubida/S1/links/Triru/Triru-5-48-32-CLU.txt","Contig32")</f>
        <v>Contig32</v>
      </c>
      <c r="E43" t="str">
        <f>HYPERLINK("http://exon.niaid.nih.gov/transcriptome/T_rubida/S1/links/Triru/Triru-5-48-32-qual.txt","91.4")</f>
        <v>91.4</v>
      </c>
      <c r="F43" t="s">
        <v>10</v>
      </c>
      <c r="G43">
        <v>64.400000000000006</v>
      </c>
      <c r="H43">
        <v>476</v>
      </c>
      <c r="I43" t="s">
        <v>43</v>
      </c>
      <c r="J43">
        <v>478</v>
      </c>
      <c r="K43">
        <v>497</v>
      </c>
      <c r="L43">
        <v>411</v>
      </c>
      <c r="M43" t="s">
        <v>5127</v>
      </c>
      <c r="N43" s="15">
        <v>3</v>
      </c>
      <c r="O43" s="14" t="str">
        <f>HYPERLINK("http://exon.niaid.nih.gov/transcriptome/T_rubida/S1/links/Sigp/TRIRU-CONTIG_32-SigP.txt","Cyt")</f>
        <v>Cyt</v>
      </c>
      <c r="Q43" s="5" t="s">
        <v>4818</v>
      </c>
      <c r="R43" t="s">
        <v>5719</v>
      </c>
      <c r="S43" t="str">
        <f>HYPERLINK("http://exon.niaid.nih.gov/transcriptome/T_rubida/S1/links/PFAM/Triru-contig_32-PFAM.txt","PFAM")</f>
        <v>PFAM</v>
      </c>
      <c r="T43" s="23">
        <v>4E-14</v>
      </c>
      <c r="U43">
        <v>88.4</v>
      </c>
      <c r="V43" s="1" t="str">
        <f>HYPERLINK("http://exon.niaid.nih.gov/transcriptome/T_rubida/S1/links/NR/Triru-contig_32-NR.txt","unnamed protein product")</f>
        <v>unnamed protein product</v>
      </c>
      <c r="W43" t="str">
        <f>HYPERLINK("http://www.ncbi.nlm.nih.gov/sutils/blink.cgi?pid=270046166","4E-036")</f>
        <v>4E-036</v>
      </c>
      <c r="X43" t="str">
        <f>HYPERLINK("http://www.ncbi.nlm.nih.gov/protein/270046166","gi|270046166")</f>
        <v>gi|270046166</v>
      </c>
      <c r="Y43">
        <v>154</v>
      </c>
      <c r="Z43">
        <v>144</v>
      </c>
      <c r="AA43">
        <v>177</v>
      </c>
      <c r="AB43">
        <v>51</v>
      </c>
      <c r="AC43">
        <v>82</v>
      </c>
      <c r="AD43">
        <v>71</v>
      </c>
      <c r="AE43">
        <v>9</v>
      </c>
      <c r="AF43">
        <v>32</v>
      </c>
      <c r="AG43">
        <v>3</v>
      </c>
      <c r="AH43">
        <v>1</v>
      </c>
      <c r="AI43">
        <v>3</v>
      </c>
      <c r="AJ43" t="s">
        <v>11</v>
      </c>
      <c r="AL43" t="s">
        <v>700</v>
      </c>
      <c r="AM43" t="s">
        <v>850</v>
      </c>
      <c r="AN43" t="s">
        <v>841</v>
      </c>
      <c r="AO43" s="1" t="str">
        <f>HYPERLINK("http://exon.niaid.nih.gov/transcriptome/T_rubida/S1/links/SWISSP/Triru-contig_32-SWISSP.txt","Procalin")</f>
        <v>Procalin</v>
      </c>
      <c r="AP43" t="str">
        <f>HYPERLINK("http://www.uniprot.org/uniprot/Q9U6R6","6E-023")</f>
        <v>6E-023</v>
      </c>
      <c r="AQ43" t="s">
        <v>703</v>
      </c>
      <c r="AR43">
        <v>106</v>
      </c>
      <c r="AS43">
        <v>138</v>
      </c>
      <c r="AT43">
        <v>37</v>
      </c>
      <c r="AU43">
        <v>82</v>
      </c>
      <c r="AV43">
        <v>87</v>
      </c>
      <c r="AW43">
        <v>6</v>
      </c>
      <c r="AX43">
        <v>30</v>
      </c>
      <c r="AY43">
        <v>9</v>
      </c>
      <c r="AZ43">
        <v>1</v>
      </c>
      <c r="BA43">
        <v>3</v>
      </c>
      <c r="BB43" t="s">
        <v>11</v>
      </c>
      <c r="BD43" t="s">
        <v>704</v>
      </c>
      <c r="BE43" t="s">
        <v>705</v>
      </c>
      <c r="BF43" t="s">
        <v>851</v>
      </c>
      <c r="BG43" t="s">
        <v>852</v>
      </c>
      <c r="BH43" s="1" t="s">
        <v>57</v>
      </c>
      <c r="BI43" t="s">
        <v>57</v>
      </c>
      <c r="BJ43" s="1" t="str">
        <f>HYPERLINK("http://exon.niaid.nih.gov/transcriptome/T_rubida/S1/links/CDD/Triru-contig_32-CDD.txt","Triabin")</f>
        <v>Triabin</v>
      </c>
      <c r="BK43" t="str">
        <f>HYPERLINK("http://www.ncbi.nlm.nih.gov/Structure/cdd/cddsrv.cgi?uid=pfam03973&amp;version=v4.0","2E-013")</f>
        <v>2E-013</v>
      </c>
      <c r="BL43" t="s">
        <v>853</v>
      </c>
      <c r="BM43" s="1" t="str">
        <f>HYPERLINK("http://exon.niaid.nih.gov/transcriptome/T_rubida/S1/links/KOG/Triru-contig_32-KOG.txt","RhoGEF GTPase")</f>
        <v>RhoGEF GTPase</v>
      </c>
      <c r="BN43" t="str">
        <f>HYPERLINK("http://www.ncbi.nlm.nih.gov/COG/grace/shokog.cgi?KOG4305","0.30")</f>
        <v>0.30</v>
      </c>
      <c r="BO43" t="s">
        <v>728</v>
      </c>
      <c r="BP43" s="1" t="str">
        <f>HYPERLINK("http://exon.niaid.nih.gov/transcriptome/T_rubida/S1/links/PFAM/Triru-contig_32-PFAM.txt","Triabin")</f>
        <v>Triabin</v>
      </c>
      <c r="BQ43" t="str">
        <f>HYPERLINK("http://pfam.sanger.ac.uk/family?acc=PF03973","4E-014")</f>
        <v>4E-014</v>
      </c>
      <c r="BR43" s="1" t="str">
        <f>HYPERLINK("http://exon.niaid.nih.gov/transcriptome/T_rubida/S1/links/SMART/Triru-contig_32-SMART.txt","SprT")</f>
        <v>SprT</v>
      </c>
      <c r="BS43" t="str">
        <f>HYPERLINK("http://smart.embl-heidelberg.de/smart/do_annotation.pl?DOMAIN=SprT&amp;BLAST=DUMMY","0.15")</f>
        <v>0.15</v>
      </c>
      <c r="BT43" s="1" t="str">
        <f>HYPERLINK("http://exon.niaid.nih.gov/transcriptome/T_rubida/S1/links/PRK/Triru-contig_32-PRK.txt","NTP-binding motif containing protein.")</f>
        <v>NTP-binding motif containing protein.</v>
      </c>
      <c r="BU43">
        <v>6.4000000000000001E-2</v>
      </c>
      <c r="BV43" s="1" t="s">
        <v>57</v>
      </c>
      <c r="BW43" t="s">
        <v>57</v>
      </c>
      <c r="BX43" s="1" t="s">
        <v>57</v>
      </c>
      <c r="BY43" t="s">
        <v>57</v>
      </c>
    </row>
    <row r="44" spans="1:77">
      <c r="A44" t="str">
        <f>HYPERLINK("http://exon.niaid.nih.gov/transcriptome/T_rubida/S1/links/Triru/Triru-contig_14.txt","Triru-contig_14")</f>
        <v>Triru-contig_14</v>
      </c>
      <c r="B44">
        <v>17</v>
      </c>
      <c r="C44" t="str">
        <f>HYPERLINK("http://exon.niaid.nih.gov/transcriptome/T_rubida/S1/links/Triru/Triru-5-48-asb-14.txt","Contig-14")</f>
        <v>Contig-14</v>
      </c>
      <c r="D44" t="str">
        <f>HYPERLINK("http://exon.niaid.nih.gov/transcriptome/T_rubida/S1/links/Triru/Triru-5-48-14-CLU.txt","Contig14")</f>
        <v>Contig14</v>
      </c>
      <c r="E44" t="str">
        <f>HYPERLINK("http://exon.niaid.nih.gov/transcriptome/T_rubida/S1/links/Triru/Triru-5-48-14-qual.txt","89.")</f>
        <v>89.</v>
      </c>
      <c r="F44" t="s">
        <v>10</v>
      </c>
      <c r="G44">
        <v>61.7</v>
      </c>
      <c r="H44">
        <v>629</v>
      </c>
      <c r="I44" t="s">
        <v>25</v>
      </c>
      <c r="J44">
        <v>639</v>
      </c>
      <c r="K44">
        <v>655</v>
      </c>
      <c r="L44">
        <v>534</v>
      </c>
      <c r="M44" t="s">
        <v>5112</v>
      </c>
      <c r="N44" s="15">
        <v>3</v>
      </c>
      <c r="O44" s="14" t="str">
        <f>HYPERLINK("http://exon.niaid.nih.gov/transcriptome/T_rubida/S1/links/Sigp/TRIRU-CONTIG_14-SigP.txt","SIG")</f>
        <v>SIG</v>
      </c>
      <c r="P44" t="s">
        <v>5059</v>
      </c>
      <c r="Q44" s="5" t="s">
        <v>4818</v>
      </c>
      <c r="R44" t="s">
        <v>5719</v>
      </c>
      <c r="S44" t="str">
        <f>HYPERLINK("http://exon.niaid.nih.gov/transcriptome/T_rubida/S1/links/PFAM/Triru-contig_14-PFAM.txt","PFAM")</f>
        <v>PFAM</v>
      </c>
      <c r="T44" s="23">
        <v>7.0000000000000003E-16</v>
      </c>
      <c r="U44">
        <v>95.9</v>
      </c>
      <c r="V44" s="1" t="str">
        <f>HYPERLINK("http://exon.niaid.nih.gov/transcriptome/T_rubida/S1/links/NR/Triru-contig_14-NR.txt","unnamed protein product")</f>
        <v>unnamed protein product</v>
      </c>
      <c r="W44" t="str">
        <f>HYPERLINK("http://www.ncbi.nlm.nih.gov/sutils/blink.cgi?pid=270046244","1E-044")</f>
        <v>1E-044</v>
      </c>
      <c r="X44" t="str">
        <f>HYPERLINK("http://www.ncbi.nlm.nih.gov/protein/270046244","gi|270046244")</f>
        <v>gi|270046244</v>
      </c>
      <c r="Y44">
        <v>184</v>
      </c>
      <c r="Z44">
        <v>175</v>
      </c>
      <c r="AA44">
        <v>177</v>
      </c>
      <c r="AB44">
        <v>54</v>
      </c>
      <c r="AC44">
        <v>99</v>
      </c>
      <c r="AD44">
        <v>83</v>
      </c>
      <c r="AE44">
        <v>8</v>
      </c>
      <c r="AF44">
        <v>1</v>
      </c>
      <c r="AG44">
        <v>33</v>
      </c>
      <c r="AH44">
        <v>1</v>
      </c>
      <c r="AI44">
        <v>3</v>
      </c>
      <c r="AJ44" t="s">
        <v>11</v>
      </c>
      <c r="AL44" t="s">
        <v>700</v>
      </c>
      <c r="AM44" t="s">
        <v>761</v>
      </c>
      <c r="AN44" t="s">
        <v>702</v>
      </c>
      <c r="AO44" s="1" t="str">
        <f>HYPERLINK("http://exon.niaid.nih.gov/transcriptome/T_rubida/S1/links/SWISSP/Triru-contig_14-SWISSP.txt","Procalin")</f>
        <v>Procalin</v>
      </c>
      <c r="AP44" t="str">
        <f>HYPERLINK("http://www.uniprot.org/uniprot/Q9U6R6","2E-027")</f>
        <v>2E-027</v>
      </c>
      <c r="AQ44" t="s">
        <v>703</v>
      </c>
      <c r="AR44">
        <v>122</v>
      </c>
      <c r="AS44">
        <v>167</v>
      </c>
      <c r="AT44">
        <v>38</v>
      </c>
      <c r="AU44">
        <v>99</v>
      </c>
      <c r="AV44">
        <v>110</v>
      </c>
      <c r="AW44">
        <v>5</v>
      </c>
      <c r="AX44">
        <v>1</v>
      </c>
      <c r="AY44">
        <v>33</v>
      </c>
      <c r="AZ44">
        <v>1</v>
      </c>
      <c r="BA44">
        <v>3</v>
      </c>
      <c r="BB44" t="s">
        <v>11</v>
      </c>
      <c r="BD44" t="s">
        <v>704</v>
      </c>
      <c r="BE44" t="s">
        <v>705</v>
      </c>
      <c r="BF44" t="s">
        <v>762</v>
      </c>
      <c r="BG44" t="s">
        <v>763</v>
      </c>
      <c r="BH44" s="1" t="s">
        <v>57</v>
      </c>
      <c r="BI44" t="s">
        <v>57</v>
      </c>
      <c r="BJ44" s="1" t="str">
        <f>HYPERLINK("http://exon.niaid.nih.gov/transcriptome/T_rubida/S1/links/CDD/Triru-contig_14-CDD.txt","Triabin")</f>
        <v>Triabin</v>
      </c>
      <c r="BK44" t="str">
        <f>HYPERLINK("http://www.ncbi.nlm.nih.gov/Structure/cdd/cddsrv.cgi?uid=pfam03973&amp;version=v4.0","4E-015")</f>
        <v>4E-015</v>
      </c>
      <c r="BL44" t="s">
        <v>764</v>
      </c>
      <c r="BM44" s="1" t="str">
        <f>HYPERLINK("http://exon.niaid.nih.gov/transcriptome/T_rubida/S1/links/KOG/Triru-contig_14-KOG.txt","Voltage-gated Ca2+ channels, alpha1 subunits")</f>
        <v>Voltage-gated Ca2+ channels, alpha1 subunits</v>
      </c>
      <c r="BN44" t="str">
        <f>HYPERLINK("http://www.ncbi.nlm.nih.gov/COG/grace/shokog.cgi?KOG2301","1.5")</f>
        <v>1.5</v>
      </c>
      <c r="BO44" t="s">
        <v>720</v>
      </c>
      <c r="BP44" s="1" t="str">
        <f>HYPERLINK("http://exon.niaid.nih.gov/transcriptome/T_rubida/S1/links/PFAM/Triru-contig_14-PFAM.txt","Triabin")</f>
        <v>Triabin</v>
      </c>
      <c r="BQ44" t="str">
        <f>HYPERLINK("http://pfam.sanger.ac.uk/family?acc=PF03973","7E-016")</f>
        <v>7E-016</v>
      </c>
      <c r="BR44" s="1" t="str">
        <f>HYPERLINK("http://exon.niaid.nih.gov/transcriptome/T_rubida/S1/links/SMART/Triru-contig_14-SMART.txt","RIO")</f>
        <v>RIO</v>
      </c>
      <c r="BS44" t="str">
        <f>HYPERLINK("http://smart.embl-heidelberg.de/smart/do_annotation.pl?DOMAIN=RIO&amp;BLAST=DUMMY","0.10")</f>
        <v>0.10</v>
      </c>
      <c r="BT44" s="1" t="str">
        <f>HYPERLINK("http://exon.niaid.nih.gov/transcriptome/T_rubida/S1/links/PRK/Triru-contig_14-PRK.txt","NADH dehydrogenase subunit 2")</f>
        <v>NADH dehydrogenase subunit 2</v>
      </c>
      <c r="BU44">
        <v>6.4000000000000001E-2</v>
      </c>
      <c r="BV44" s="1" t="s">
        <v>57</v>
      </c>
      <c r="BW44" t="s">
        <v>57</v>
      </c>
      <c r="BX44" s="1" t="s">
        <v>57</v>
      </c>
      <c r="BY44" t="s">
        <v>57</v>
      </c>
    </row>
    <row r="45" spans="1:77">
      <c r="A45" t="str">
        <f>HYPERLINK("http://exon.niaid.nih.gov/transcriptome/T_rubida/S1/links/Triru/Triru-contig_7.txt","Triru-contig_7")</f>
        <v>Triru-contig_7</v>
      </c>
      <c r="B45">
        <v>16</v>
      </c>
      <c r="C45" t="str">
        <f>HYPERLINK("http://exon.niaid.nih.gov/transcriptome/T_rubida/S1/links/Triru/Triru-5-48-asb-7.txt","Contig-7")</f>
        <v>Contig-7</v>
      </c>
      <c r="D45" t="str">
        <f>HYPERLINK("http://exon.niaid.nih.gov/transcriptome/T_rubida/S1/links/Triru/Triru-5-48-7-CLU.txt","Contig7")</f>
        <v>Contig7</v>
      </c>
      <c r="E45" t="str">
        <f>HYPERLINK("http://exon.niaid.nih.gov/transcriptome/T_rubida/S1/links/Triru/Triru-5-48-7-qual.txt","83.6")</f>
        <v>83.6</v>
      </c>
      <c r="F45" t="s">
        <v>10</v>
      </c>
      <c r="G45">
        <v>62.9</v>
      </c>
      <c r="H45">
        <v>526</v>
      </c>
      <c r="I45" t="s">
        <v>18</v>
      </c>
      <c r="J45">
        <v>559</v>
      </c>
      <c r="K45">
        <v>547</v>
      </c>
      <c r="L45">
        <v>468</v>
      </c>
      <c r="M45" t="s">
        <v>5135</v>
      </c>
      <c r="N45" s="15">
        <v>2</v>
      </c>
      <c r="O45" s="14" t="str">
        <f>HYPERLINK("http://exon.niaid.nih.gov/transcriptome/T_rubida/S1/links/Sigp/TRIRU-CONTIG_7-SigP.txt","Cyt")</f>
        <v>Cyt</v>
      </c>
      <c r="Q45" s="5" t="s">
        <v>4818</v>
      </c>
      <c r="R45" t="s">
        <v>5719</v>
      </c>
      <c r="S45" t="str">
        <f>HYPERLINK("http://exon.niaid.nih.gov/transcriptome/T_rubida/S1/links/PFAM/Triru-contig_7-PFAM.txt","PFAM")</f>
        <v>PFAM</v>
      </c>
      <c r="T45" s="23">
        <v>2.0000000000000001E-17</v>
      </c>
      <c r="U45">
        <v>93</v>
      </c>
      <c r="V45" s="1" t="str">
        <f>HYPERLINK("http://exon.niaid.nih.gov/transcriptome/T_rubida/S1/links/NR/Triru-contig_7-NR.txt","unnamed protein product")</f>
        <v>unnamed protein product</v>
      </c>
      <c r="W45" t="str">
        <f>HYPERLINK("http://www.ncbi.nlm.nih.gov/sutils/blink.cgi?pid=270046164","9E-026")</f>
        <v>9E-026</v>
      </c>
      <c r="X45" t="str">
        <f>HYPERLINK("http://www.ncbi.nlm.nih.gov/protein/270046164","gi|270046164")</f>
        <v>gi|270046164</v>
      </c>
      <c r="Y45">
        <v>120</v>
      </c>
      <c r="Z45">
        <v>146</v>
      </c>
      <c r="AA45">
        <v>177</v>
      </c>
      <c r="AB45">
        <v>44</v>
      </c>
      <c r="AC45">
        <v>83</v>
      </c>
      <c r="AD45">
        <v>82</v>
      </c>
      <c r="AE45">
        <v>9</v>
      </c>
      <c r="AF45">
        <v>31</v>
      </c>
      <c r="AG45">
        <v>38</v>
      </c>
      <c r="AH45">
        <v>1</v>
      </c>
      <c r="AI45">
        <v>2</v>
      </c>
      <c r="AJ45" t="s">
        <v>11</v>
      </c>
      <c r="AL45" t="s">
        <v>700</v>
      </c>
      <c r="AM45" t="s">
        <v>734</v>
      </c>
      <c r="AN45" t="s">
        <v>735</v>
      </c>
      <c r="AO45" s="1" t="str">
        <f>HYPERLINK("http://exon.niaid.nih.gov/transcriptome/T_rubida/S1/links/SWISSP/Triru-contig_7-SWISSP.txt","Procalin")</f>
        <v>Procalin</v>
      </c>
      <c r="AP45" t="str">
        <f>HYPERLINK("http://www.uniprot.org/uniprot/Q9U6R6","5E-018")</f>
        <v>5E-018</v>
      </c>
      <c r="AQ45" t="s">
        <v>703</v>
      </c>
      <c r="AR45">
        <v>90.9</v>
      </c>
      <c r="AS45">
        <v>148</v>
      </c>
      <c r="AT45">
        <v>33</v>
      </c>
      <c r="AU45">
        <v>88</v>
      </c>
      <c r="AV45">
        <v>102</v>
      </c>
      <c r="AW45">
        <v>5</v>
      </c>
      <c r="AX45">
        <v>20</v>
      </c>
      <c r="AY45">
        <v>11</v>
      </c>
      <c r="AZ45">
        <v>1</v>
      </c>
      <c r="BA45">
        <v>2</v>
      </c>
      <c r="BB45" t="s">
        <v>11</v>
      </c>
      <c r="BD45" t="s">
        <v>704</v>
      </c>
      <c r="BE45" t="s">
        <v>705</v>
      </c>
      <c r="BF45" t="s">
        <v>731</v>
      </c>
      <c r="BG45" t="s">
        <v>732</v>
      </c>
      <c r="BH45" s="1" t="s">
        <v>57</v>
      </c>
      <c r="BI45" t="s">
        <v>57</v>
      </c>
      <c r="BJ45" s="1" t="str">
        <f>HYPERLINK("http://exon.niaid.nih.gov/transcriptome/T_rubida/S1/links/CDD/Triru-contig_7-CDD.txt","Triabin")</f>
        <v>Triabin</v>
      </c>
      <c r="BK45" t="str">
        <f>HYPERLINK("http://www.ncbi.nlm.nih.gov/Structure/cdd/cddsrv.cgi?uid=pfam03973&amp;version=v4.0","9E-017")</f>
        <v>9E-017</v>
      </c>
      <c r="BL45" t="s">
        <v>736</v>
      </c>
      <c r="BM45" s="1" t="str">
        <f>HYPERLINK("http://exon.niaid.nih.gov/transcriptome/T_rubida/S1/links/KOG/Triru-contig_7-KOG.txt","Uncharacterized conserved protein")</f>
        <v>Uncharacterized conserved protein</v>
      </c>
      <c r="BN45" t="str">
        <f>HYPERLINK("http://www.ncbi.nlm.nih.gov/COG/grace/shokog.cgi?KOG4615","0.86")</f>
        <v>0.86</v>
      </c>
      <c r="BO45" t="s">
        <v>737</v>
      </c>
      <c r="BP45" s="1" t="str">
        <f>HYPERLINK("http://exon.niaid.nih.gov/transcriptome/T_rubida/S1/links/PFAM/Triru-contig_7-PFAM.txt","Triabin")</f>
        <v>Triabin</v>
      </c>
      <c r="BQ45" t="str">
        <f>HYPERLINK("http://pfam.sanger.ac.uk/family?acc=PF03973","2E-017")</f>
        <v>2E-017</v>
      </c>
      <c r="BR45" s="1" t="str">
        <f>HYPERLINK("http://exon.niaid.nih.gov/transcriptome/T_rubida/S1/links/SMART/Triru-contig_7-SMART.txt","RIBOc")</f>
        <v>RIBOc</v>
      </c>
      <c r="BS45" t="str">
        <f>HYPERLINK("http://smart.embl-heidelberg.de/smart/do_annotation.pl?DOMAIN=RIBOc&amp;BLAST=DUMMY","0.037")</f>
        <v>0.037</v>
      </c>
      <c r="BT45" s="1" t="str">
        <f>HYPERLINK("http://exon.niaid.nih.gov/transcriptome/T_rubida/S1/links/PRK/Triru-contig_7-PRK.txt","NADH dehydrogenase subunit 5")</f>
        <v>NADH dehydrogenase subunit 5</v>
      </c>
      <c r="BU45">
        <v>3.0000000000000001E-3</v>
      </c>
      <c r="BV45" s="1" t="s">
        <v>57</v>
      </c>
      <c r="BW45" t="s">
        <v>57</v>
      </c>
      <c r="BX45" s="1" t="s">
        <v>57</v>
      </c>
      <c r="BY45" t="s">
        <v>57</v>
      </c>
    </row>
    <row r="46" spans="1:77">
      <c r="A46" t="str">
        <f>HYPERLINK("http://exon.niaid.nih.gov/transcriptome/T_rubida/S1/links/Triru/Triru-contig_8.txt","Triru-contig_8")</f>
        <v>Triru-contig_8</v>
      </c>
      <c r="B46">
        <v>12</v>
      </c>
      <c r="C46" t="str">
        <f>HYPERLINK("http://exon.niaid.nih.gov/transcriptome/T_rubida/S1/links/Triru/Triru-5-48-asb-8.txt","Contig-8")</f>
        <v>Contig-8</v>
      </c>
      <c r="D46" t="str">
        <f>HYPERLINK("http://exon.niaid.nih.gov/transcriptome/T_rubida/S1/links/Triru/Triru-5-48-8-CLU.txt","Contig8")</f>
        <v>Contig8</v>
      </c>
      <c r="E46" t="str">
        <f>HYPERLINK("http://exon.niaid.nih.gov/transcriptome/T_rubida/S1/links/Triru/Triru-5-48-8-qual.txt","58.2")</f>
        <v>58.2</v>
      </c>
      <c r="F46">
        <v>0.1</v>
      </c>
      <c r="G46">
        <v>64.3</v>
      </c>
      <c r="H46">
        <v>529</v>
      </c>
      <c r="I46" t="s">
        <v>19</v>
      </c>
      <c r="J46">
        <v>688</v>
      </c>
      <c r="K46">
        <v>901</v>
      </c>
      <c r="L46">
        <v>444</v>
      </c>
      <c r="M46" t="s">
        <v>5137</v>
      </c>
      <c r="N46" s="15">
        <v>2</v>
      </c>
      <c r="O46" s="14" t="str">
        <f>HYPERLINK("http://exon.niaid.nih.gov/transcriptome/T_rubida/S1/links/Sigp/TRIRU-CONTIG_8-SigP.txt","Cyt")</f>
        <v>Cyt</v>
      </c>
      <c r="Q46" s="5" t="s">
        <v>4818</v>
      </c>
      <c r="R46" t="s">
        <v>5719</v>
      </c>
      <c r="S46" t="str">
        <f>HYPERLINK("http://exon.niaid.nih.gov/transcriptome/T_rubida/S1/links/PFAM/Triru-contig_8-PFAM.txt","PFAM")</f>
        <v>PFAM</v>
      </c>
      <c r="T46" s="23">
        <v>4.9999999999999999E-17</v>
      </c>
      <c r="U46">
        <v>95.2</v>
      </c>
      <c r="V46" s="1" t="str">
        <f>HYPERLINK("http://exon.niaid.nih.gov/transcriptome/T_rubida/S1/links/NR/Triru-contig_8-NR.txt","unnamed protein product")</f>
        <v>unnamed protein product</v>
      </c>
      <c r="W46" t="str">
        <f>HYPERLINK("http://www.ncbi.nlm.nih.gov/sutils/blink.cgi?pid=270046164","1E-024")</f>
        <v>1E-024</v>
      </c>
      <c r="X46" t="str">
        <f>HYPERLINK("http://www.ncbi.nlm.nih.gov/protein/270046164","gi|270046164")</f>
        <v>gi|270046164</v>
      </c>
      <c r="Y46">
        <v>118</v>
      </c>
      <c r="Z46">
        <v>146</v>
      </c>
      <c r="AA46">
        <v>177</v>
      </c>
      <c r="AB46">
        <v>43</v>
      </c>
      <c r="AC46">
        <v>83</v>
      </c>
      <c r="AD46">
        <v>84</v>
      </c>
      <c r="AE46">
        <v>8</v>
      </c>
      <c r="AF46">
        <v>31</v>
      </c>
      <c r="AG46">
        <v>35</v>
      </c>
      <c r="AH46">
        <v>1</v>
      </c>
      <c r="AI46">
        <v>2</v>
      </c>
      <c r="AJ46" t="s">
        <v>11</v>
      </c>
      <c r="AL46" t="s">
        <v>700</v>
      </c>
      <c r="AM46" t="s">
        <v>738</v>
      </c>
      <c r="AN46" t="s">
        <v>735</v>
      </c>
      <c r="AO46" s="1" t="str">
        <f>HYPERLINK("http://exon.niaid.nih.gov/transcriptome/T_rubida/S1/links/SWISSP/Triru-contig_8-SWISSP.txt","Procalin")</f>
        <v>Procalin</v>
      </c>
      <c r="AP46" t="str">
        <f>HYPERLINK("http://www.uniprot.org/uniprot/Q9U6R6","2E-017")</f>
        <v>2E-017</v>
      </c>
      <c r="AQ46" t="s">
        <v>703</v>
      </c>
      <c r="AR46">
        <v>90.1</v>
      </c>
      <c r="AS46">
        <v>141</v>
      </c>
      <c r="AT46">
        <v>33</v>
      </c>
      <c r="AU46">
        <v>84</v>
      </c>
      <c r="AV46">
        <v>96</v>
      </c>
      <c r="AW46">
        <v>5</v>
      </c>
      <c r="AX46">
        <v>27</v>
      </c>
      <c r="AY46">
        <v>35</v>
      </c>
      <c r="AZ46">
        <v>1</v>
      </c>
      <c r="BA46">
        <v>2</v>
      </c>
      <c r="BB46" t="s">
        <v>11</v>
      </c>
      <c r="BD46" t="s">
        <v>704</v>
      </c>
      <c r="BE46" t="s">
        <v>705</v>
      </c>
      <c r="BF46" t="s">
        <v>739</v>
      </c>
      <c r="BG46" t="s">
        <v>740</v>
      </c>
      <c r="BH46" s="1" t="s">
        <v>57</v>
      </c>
      <c r="BI46" t="s">
        <v>57</v>
      </c>
      <c r="BJ46" s="1" t="str">
        <f>HYPERLINK("http://exon.niaid.nih.gov/transcriptome/T_rubida/S1/links/CDD/Triru-contig_8-CDD.txt","Triabin")</f>
        <v>Triabin</v>
      </c>
      <c r="BK46" t="str">
        <f>HYPERLINK("http://www.ncbi.nlm.nih.gov/Structure/cdd/cddsrv.cgi?uid=pfam03973&amp;version=v4.0","2E-016")</f>
        <v>2E-016</v>
      </c>
      <c r="BL46" t="s">
        <v>741</v>
      </c>
      <c r="BM46" s="1" t="str">
        <f>HYPERLINK("http://exon.niaid.nih.gov/transcriptome/T_rubida/S1/links/KOG/Triru-contig_8-KOG.txt","Receptor-activated Ca2+-permeable cation channels (STRPC family)")</f>
        <v>Receptor-activated Ca2+-permeable cation channels (STRPC family)</v>
      </c>
      <c r="BN46" t="str">
        <f>HYPERLINK("http://www.ncbi.nlm.nih.gov/COG/grace/shokog.cgi?KOG3609","0.51")</f>
        <v>0.51</v>
      </c>
      <c r="BO46" t="s">
        <v>720</v>
      </c>
      <c r="BP46" s="1" t="str">
        <f>HYPERLINK("http://exon.niaid.nih.gov/transcriptome/T_rubida/S1/links/PFAM/Triru-contig_8-PFAM.txt","Triabin")</f>
        <v>Triabin</v>
      </c>
      <c r="BQ46" t="str">
        <f>HYPERLINK("http://pfam.sanger.ac.uk/family?acc=PF03973","5E-017")</f>
        <v>5E-017</v>
      </c>
      <c r="BR46" s="1" t="str">
        <f>HYPERLINK("http://exon.niaid.nih.gov/transcriptome/T_rubida/S1/links/SMART/Triru-contig_8-SMART.txt","RIBOc")</f>
        <v>RIBOc</v>
      </c>
      <c r="BS46" t="str">
        <f>HYPERLINK("http://smart.embl-heidelberg.de/smart/do_annotation.pl?DOMAIN=RIBOc&amp;BLAST=DUMMY","0.067")</f>
        <v>0.067</v>
      </c>
      <c r="BT46" s="1" t="str">
        <f>HYPERLINK("http://exon.niaid.nih.gov/transcriptome/T_rubida/S1/links/PRK/Triru-contig_8-PRK.txt","NADH dehydrogenase subunit 5")</f>
        <v>NADH dehydrogenase subunit 5</v>
      </c>
      <c r="BU46">
        <v>1.4E-2</v>
      </c>
      <c r="BV46" s="1" t="s">
        <v>57</v>
      </c>
      <c r="BW46" t="s">
        <v>57</v>
      </c>
      <c r="BX46" s="1" t="s">
        <v>57</v>
      </c>
      <c r="BY46" t="s">
        <v>57</v>
      </c>
    </row>
    <row r="47" spans="1:77">
      <c r="A47" t="str">
        <f>HYPERLINK("http://exon.niaid.nih.gov/transcriptome/T_rubida/S1/links/Triru/Triru-contig_19.txt","Triru-contig_19")</f>
        <v>Triru-contig_19</v>
      </c>
      <c r="B47">
        <v>10</v>
      </c>
      <c r="C47" t="str">
        <f>HYPERLINK("http://exon.niaid.nih.gov/transcriptome/T_rubida/S1/links/Triru/Triru-5-48-asb-19.txt","Contig-19")</f>
        <v>Contig-19</v>
      </c>
      <c r="D47" t="str">
        <f>HYPERLINK("http://exon.niaid.nih.gov/transcriptome/T_rubida/S1/links/Triru/Triru-5-48-19-CLU.txt","Contig19")</f>
        <v>Contig19</v>
      </c>
      <c r="E47" t="str">
        <f>HYPERLINK("http://exon.niaid.nih.gov/transcriptome/T_rubida/S1/links/Triru/Triru-5-48-19-qual.txt","85.4")</f>
        <v>85.4</v>
      </c>
      <c r="F47" t="s">
        <v>10</v>
      </c>
      <c r="G47">
        <v>62.3</v>
      </c>
      <c r="H47">
        <v>632</v>
      </c>
      <c r="I47" t="s">
        <v>30</v>
      </c>
      <c r="J47">
        <v>632</v>
      </c>
      <c r="K47">
        <v>658</v>
      </c>
      <c r="L47">
        <v>546</v>
      </c>
      <c r="M47" t="s">
        <v>5121</v>
      </c>
      <c r="N47" s="15">
        <v>3</v>
      </c>
      <c r="O47" s="14" t="str">
        <f>HYPERLINK("http://exon.niaid.nih.gov/transcriptome/T_rubida/S1/links/Sigp/TRIRU-CONTIG_19-SigP.txt","SIG")</f>
        <v>SIG</v>
      </c>
      <c r="P47" t="s">
        <v>5059</v>
      </c>
      <c r="Q47" s="5" t="s">
        <v>4818</v>
      </c>
      <c r="R47" t="s">
        <v>5719</v>
      </c>
      <c r="S47" t="str">
        <f>HYPERLINK("http://exon.niaid.nih.gov/transcriptome/T_rubida/S1/links/PFAM/Triru-contig_19-PFAM.txt","PFAM")</f>
        <v>PFAM</v>
      </c>
      <c r="T47" s="23">
        <v>9.9999999999999998E-17</v>
      </c>
      <c r="U47">
        <v>93.8</v>
      </c>
      <c r="V47" s="1" t="str">
        <f>HYPERLINK("http://exon.niaid.nih.gov/transcriptome/T_rubida/S1/links/NR/Triru-contig_19-NR.txt","unnamed protein product")</f>
        <v>unnamed protein product</v>
      </c>
      <c r="W47" t="str">
        <f>HYPERLINK("http://www.ncbi.nlm.nih.gov/sutils/blink.cgi?pid=270046244","1E-041")</f>
        <v>1E-041</v>
      </c>
      <c r="X47" t="str">
        <f>HYPERLINK("http://www.ncbi.nlm.nih.gov/protein/270046244","gi|270046244")</f>
        <v>gi|270046244</v>
      </c>
      <c r="Y47">
        <v>174</v>
      </c>
      <c r="Z47">
        <v>176</v>
      </c>
      <c r="AA47">
        <v>177</v>
      </c>
      <c r="AB47">
        <v>52</v>
      </c>
      <c r="AC47">
        <v>100</v>
      </c>
      <c r="AD47">
        <v>86</v>
      </c>
      <c r="AE47">
        <v>9</v>
      </c>
      <c r="AF47">
        <v>1</v>
      </c>
      <c r="AG47">
        <v>33</v>
      </c>
      <c r="AH47">
        <v>1</v>
      </c>
      <c r="AI47">
        <v>3</v>
      </c>
      <c r="AJ47" t="s">
        <v>11</v>
      </c>
      <c r="AL47" t="s">
        <v>700</v>
      </c>
      <c r="AM47" t="s">
        <v>777</v>
      </c>
      <c r="AN47" t="s">
        <v>702</v>
      </c>
      <c r="AO47" s="1" t="str">
        <f>HYPERLINK("http://exon.niaid.nih.gov/transcriptome/T_rubida/S1/links/SWISSP/Triru-contig_19-SWISSP.txt","Procalin")</f>
        <v>Procalin</v>
      </c>
      <c r="AP47" t="str">
        <f>HYPERLINK("http://www.uniprot.org/uniprot/Q9U6R6","5E-029")</f>
        <v>5E-029</v>
      </c>
      <c r="AQ47" t="s">
        <v>703</v>
      </c>
      <c r="AR47">
        <v>127</v>
      </c>
      <c r="AS47">
        <v>167</v>
      </c>
      <c r="AT47">
        <v>39</v>
      </c>
      <c r="AU47">
        <v>99</v>
      </c>
      <c r="AV47">
        <v>107</v>
      </c>
      <c r="AW47">
        <v>5</v>
      </c>
      <c r="AX47">
        <v>1</v>
      </c>
      <c r="AY47">
        <v>33</v>
      </c>
      <c r="AZ47">
        <v>1</v>
      </c>
      <c r="BA47">
        <v>3</v>
      </c>
      <c r="BB47" t="s">
        <v>11</v>
      </c>
      <c r="BD47" t="s">
        <v>704</v>
      </c>
      <c r="BE47" t="s">
        <v>705</v>
      </c>
      <c r="BF47" t="s">
        <v>778</v>
      </c>
      <c r="BG47" t="s">
        <v>779</v>
      </c>
      <c r="BH47" s="1" t="s">
        <v>57</v>
      </c>
      <c r="BI47" t="s">
        <v>57</v>
      </c>
      <c r="BJ47" s="1" t="str">
        <f>HYPERLINK("http://exon.niaid.nih.gov/transcriptome/T_rubida/S1/links/CDD/Triru-contig_19-CDD.txt","Triabin")</f>
        <v>Triabin</v>
      </c>
      <c r="BK47" t="str">
        <f>HYPERLINK("http://www.ncbi.nlm.nih.gov/Structure/cdd/cddsrv.cgi?uid=pfam03973&amp;version=v4.0","7E-016")</f>
        <v>7E-016</v>
      </c>
      <c r="BL47" t="s">
        <v>780</v>
      </c>
      <c r="BM47" s="1" t="str">
        <f>HYPERLINK("http://exon.niaid.nih.gov/transcriptome/T_rubida/S1/links/KOG/Triru-contig_19-KOG.txt","Voltage-gated Ca2+ channels, alpha1 subunits")</f>
        <v>Voltage-gated Ca2+ channels, alpha1 subunits</v>
      </c>
      <c r="BN47" t="str">
        <f>HYPERLINK("http://www.ncbi.nlm.nih.gov/COG/grace/shokog.cgi?KOG2301","0.94")</f>
        <v>0.94</v>
      </c>
      <c r="BO47" t="s">
        <v>720</v>
      </c>
      <c r="BP47" s="1" t="str">
        <f>HYPERLINK("http://exon.niaid.nih.gov/transcriptome/T_rubida/S1/links/PFAM/Triru-contig_19-PFAM.txt","Triabin")</f>
        <v>Triabin</v>
      </c>
      <c r="BQ47" t="str">
        <f>HYPERLINK("http://pfam.sanger.ac.uk/family?acc=PF03973","1E-016")</f>
        <v>1E-016</v>
      </c>
      <c r="BR47" s="1" t="str">
        <f>HYPERLINK("http://exon.niaid.nih.gov/transcriptome/T_rubida/S1/links/SMART/Triru-contig_19-SMART.txt","RIO")</f>
        <v>RIO</v>
      </c>
      <c r="BS47" t="str">
        <f>HYPERLINK("http://smart.embl-heidelberg.de/smart/do_annotation.pl?DOMAIN=RIO&amp;BLAST=DUMMY","0.080")</f>
        <v>0.080</v>
      </c>
      <c r="BT47" s="1" t="str">
        <f>HYPERLINK("http://exon.niaid.nih.gov/transcriptome/T_rubida/S1/links/PRK/Triru-contig_19-PRK.txt","phosphoribose diphosphate:decaprenyl-phosphate phosphoribosyltransferase")</f>
        <v>phosphoribose diphosphate:decaprenyl-phosphate phosphoribosyltransferase</v>
      </c>
      <c r="BU47">
        <v>0.76</v>
      </c>
      <c r="BV47" s="1" t="s">
        <v>57</v>
      </c>
      <c r="BW47" t="s">
        <v>57</v>
      </c>
      <c r="BX47" s="1" t="s">
        <v>57</v>
      </c>
      <c r="BY47" t="s">
        <v>57</v>
      </c>
    </row>
    <row r="48" spans="1:77">
      <c r="A48" t="str">
        <f>HYPERLINK("http://exon.niaid.nih.gov/transcriptome/T_rubida/S1/links/Triru/Triru-contig_30.txt","Triru-contig_30")</f>
        <v>Triru-contig_30</v>
      </c>
      <c r="B48">
        <v>9</v>
      </c>
      <c r="C48" t="str">
        <f>HYPERLINK("http://exon.niaid.nih.gov/transcriptome/T_rubida/S1/links/Triru/Triru-5-48-asb-30.txt","Contig-30")</f>
        <v>Contig-30</v>
      </c>
      <c r="D48" t="str">
        <f>HYPERLINK("http://exon.niaid.nih.gov/transcriptome/T_rubida/S1/links/Triru/Triru-5-48-30-CLU.txt","Contig30")</f>
        <v>Contig30</v>
      </c>
      <c r="E48" t="str">
        <f>HYPERLINK("http://exon.niaid.nih.gov/transcriptome/T_rubida/S1/links/Triru/Triru-5-48-30-qual.txt","92.1")</f>
        <v>92.1</v>
      </c>
      <c r="F48" t="s">
        <v>10</v>
      </c>
      <c r="G48">
        <v>63.5</v>
      </c>
      <c r="H48">
        <v>594</v>
      </c>
      <c r="I48" t="s">
        <v>41</v>
      </c>
      <c r="J48">
        <v>597</v>
      </c>
      <c r="K48">
        <v>614</v>
      </c>
      <c r="L48">
        <v>528</v>
      </c>
      <c r="M48" t="s">
        <v>5111</v>
      </c>
      <c r="N48" s="15">
        <v>3</v>
      </c>
      <c r="O48" s="14" t="str">
        <f>HYPERLINK("http://exon.niaid.nih.gov/transcriptome/T_rubida/S1/links/Sigp/TRIRU-CONTIG_30-SigP.txt","SIG")</f>
        <v>SIG</v>
      </c>
      <c r="P48" t="s">
        <v>5059</v>
      </c>
      <c r="Q48" s="5" t="s">
        <v>4818</v>
      </c>
      <c r="R48" t="s">
        <v>5719</v>
      </c>
      <c r="S48" t="str">
        <f>HYPERLINK("http://exon.niaid.nih.gov/transcriptome/T_rubida/S1/links/PFAM/Triru-contig_30-PFAM.txt","PFAM")</f>
        <v>PFAM</v>
      </c>
      <c r="T48" s="23">
        <v>7.0000000000000005E-14</v>
      </c>
      <c r="U48">
        <v>89</v>
      </c>
      <c r="V48" s="1" t="str">
        <f>HYPERLINK("http://exon.niaid.nih.gov/transcriptome/T_rubida/S1/links/NR/Triru-contig_30-NR.txt","unnamed protein product")</f>
        <v>unnamed protein product</v>
      </c>
      <c r="W48" t="str">
        <f>HYPERLINK("http://www.ncbi.nlm.nih.gov/sutils/blink.cgi?pid=270046166","4E-047")</f>
        <v>4E-047</v>
      </c>
      <c r="X48" t="str">
        <f>HYPERLINK("http://www.ncbi.nlm.nih.gov/protein/270046166","gi|270046166")</f>
        <v>gi|270046166</v>
      </c>
      <c r="Y48">
        <v>191</v>
      </c>
      <c r="Z48">
        <v>175</v>
      </c>
      <c r="AA48">
        <v>177</v>
      </c>
      <c r="AB48">
        <v>53</v>
      </c>
      <c r="AC48">
        <v>99</v>
      </c>
      <c r="AD48">
        <v>82</v>
      </c>
      <c r="AE48">
        <v>9</v>
      </c>
      <c r="AF48">
        <v>1</v>
      </c>
      <c r="AG48">
        <v>30</v>
      </c>
      <c r="AH48">
        <v>1</v>
      </c>
      <c r="AI48">
        <v>3</v>
      </c>
      <c r="AJ48" t="s">
        <v>11</v>
      </c>
      <c r="AL48" t="s">
        <v>700</v>
      </c>
      <c r="AM48" t="s">
        <v>840</v>
      </c>
      <c r="AN48" t="s">
        <v>841</v>
      </c>
      <c r="AO48" s="1" t="str">
        <f>HYPERLINK("http://exon.niaid.nih.gov/transcriptome/T_rubida/S1/links/SWISSP/Triru-contig_30-SWISSP.txt","Procalin")</f>
        <v>Procalin</v>
      </c>
      <c r="AP48" t="str">
        <f>HYPERLINK("http://www.uniprot.org/uniprot/Q9U6R6","8E-031")</f>
        <v>8E-031</v>
      </c>
      <c r="AQ48" t="s">
        <v>703</v>
      </c>
      <c r="AR48">
        <v>133</v>
      </c>
      <c r="AS48">
        <v>167</v>
      </c>
      <c r="AT48">
        <v>40</v>
      </c>
      <c r="AU48">
        <v>99</v>
      </c>
      <c r="AV48">
        <v>103</v>
      </c>
      <c r="AW48">
        <v>6</v>
      </c>
      <c r="AX48">
        <v>1</v>
      </c>
      <c r="AY48">
        <v>30</v>
      </c>
      <c r="AZ48">
        <v>1</v>
      </c>
      <c r="BA48">
        <v>3</v>
      </c>
      <c r="BB48" t="s">
        <v>11</v>
      </c>
      <c r="BD48" t="s">
        <v>704</v>
      </c>
      <c r="BE48" t="s">
        <v>705</v>
      </c>
      <c r="BF48" t="s">
        <v>842</v>
      </c>
      <c r="BG48" t="s">
        <v>843</v>
      </c>
      <c r="BH48" s="1" t="s">
        <v>57</v>
      </c>
      <c r="BI48" t="s">
        <v>57</v>
      </c>
      <c r="BJ48" s="1" t="str">
        <f>HYPERLINK("http://exon.niaid.nih.gov/transcriptome/T_rubida/S1/links/CDD/Triru-contig_30-CDD.txt","Triabin")</f>
        <v>Triabin</v>
      </c>
      <c r="BK48" t="str">
        <f>HYPERLINK("http://www.ncbi.nlm.nih.gov/Structure/cdd/cddsrv.cgi?uid=pfam03973&amp;version=v4.0","4E-013")</f>
        <v>4E-013</v>
      </c>
      <c r="BL48" t="s">
        <v>844</v>
      </c>
      <c r="BM48" s="1" t="str">
        <f>HYPERLINK("http://exon.niaid.nih.gov/transcriptome/T_rubida/S1/links/KOG/Triru-contig_30-KOG.txt","Apolipoprotein D/Lipocalin")</f>
        <v>Apolipoprotein D/Lipocalin</v>
      </c>
      <c r="BN48" t="str">
        <f>HYPERLINK("http://www.ncbi.nlm.nih.gov/COG/grace/shokog.cgi?KOG4824","0.030")</f>
        <v>0.030</v>
      </c>
      <c r="BO48" t="s">
        <v>760</v>
      </c>
      <c r="BP48" s="1" t="str">
        <f>HYPERLINK("http://exon.niaid.nih.gov/transcriptome/T_rubida/S1/links/PFAM/Triru-contig_30-PFAM.txt","Triabin")</f>
        <v>Triabin</v>
      </c>
      <c r="BQ48" t="str">
        <f>HYPERLINK("http://pfam.sanger.ac.uk/family?acc=PF03973","7E-014")</f>
        <v>7E-014</v>
      </c>
      <c r="BR48" s="1" t="str">
        <f>HYPERLINK("http://exon.niaid.nih.gov/transcriptome/T_rubida/S1/links/SMART/Triru-contig_30-SMART.txt","SEC14")</f>
        <v>SEC14</v>
      </c>
      <c r="BS48" t="str">
        <f>HYPERLINK("http://smart.embl-heidelberg.de/smart/do_annotation.pl?DOMAIN=SEC14&amp;BLAST=DUMMY","0.003")</f>
        <v>0.003</v>
      </c>
      <c r="BT48" s="1" t="str">
        <f>HYPERLINK("http://exon.niaid.nih.gov/transcriptome/T_rubida/S1/links/PRK/Triru-contig_30-PRK.txt","xanthine dehydrogenase subunit XdhA")</f>
        <v>xanthine dehydrogenase subunit XdhA</v>
      </c>
      <c r="BU48">
        <v>0.82</v>
      </c>
      <c r="BV48" s="1" t="s">
        <v>57</v>
      </c>
      <c r="BW48" t="s">
        <v>57</v>
      </c>
      <c r="BX48" s="1" t="s">
        <v>57</v>
      </c>
      <c r="BY48" t="s">
        <v>57</v>
      </c>
    </row>
    <row r="49" spans="1:77">
      <c r="A49" t="str">
        <f>HYPERLINK("http://exon.niaid.nih.gov/transcriptome/T_rubida/S1/links/Triru/Triru-contig_9.txt","Triru-contig_9")</f>
        <v>Triru-contig_9</v>
      </c>
      <c r="B49">
        <v>8</v>
      </c>
      <c r="C49" t="str">
        <f>HYPERLINK("http://exon.niaid.nih.gov/transcriptome/T_rubida/S1/links/Triru/Triru-5-48-asb-9.txt","Contig-9")</f>
        <v>Contig-9</v>
      </c>
      <c r="D49" t="str">
        <f>HYPERLINK("http://exon.niaid.nih.gov/transcriptome/T_rubida/S1/links/Triru/Triru-5-48-9-CLU.txt","Contig9")</f>
        <v>Contig9</v>
      </c>
      <c r="E49" t="str">
        <f>HYPERLINK("http://exon.niaid.nih.gov/transcriptome/T_rubida/S1/links/Triru/Triru-5-48-9-qual.txt","82.7")</f>
        <v>82.7</v>
      </c>
      <c r="F49" t="s">
        <v>10</v>
      </c>
      <c r="G49">
        <v>61.8</v>
      </c>
      <c r="H49">
        <v>625</v>
      </c>
      <c r="I49" t="s">
        <v>20</v>
      </c>
      <c r="J49">
        <v>642</v>
      </c>
      <c r="K49">
        <v>651</v>
      </c>
      <c r="L49">
        <v>531</v>
      </c>
      <c r="M49" t="s">
        <v>5117</v>
      </c>
      <c r="N49" s="15">
        <v>2</v>
      </c>
      <c r="O49" s="14" t="str">
        <f>HYPERLINK("http://exon.niaid.nih.gov/transcriptome/T_rubida/S1/links/Sigp/TRIRU-CONTIG_9-SigP.txt","SIG")</f>
        <v>SIG</v>
      </c>
      <c r="P49" t="s">
        <v>5058</v>
      </c>
      <c r="Q49" s="5" t="s">
        <v>4818</v>
      </c>
      <c r="R49" t="s">
        <v>5719</v>
      </c>
      <c r="S49" t="str">
        <f>HYPERLINK("http://exon.niaid.nih.gov/transcriptome/T_rubida/S1/links/PFAM/Triru-contig_9-PFAM.txt","PFAM")</f>
        <v>PFAM</v>
      </c>
      <c r="T49" s="23">
        <v>3.0000000000000001E-17</v>
      </c>
      <c r="U49">
        <v>95.2</v>
      </c>
      <c r="V49" s="1" t="str">
        <f>HYPERLINK("http://exon.niaid.nih.gov/transcriptome/T_rubida/S1/links/NR/Triru-contig_9-NR.txt","unnamed protein product")</f>
        <v>unnamed protein product</v>
      </c>
      <c r="W49" t="str">
        <f>HYPERLINK("http://www.ncbi.nlm.nih.gov/sutils/blink.cgi?pid=270046244","9E-044")</f>
        <v>9E-044</v>
      </c>
      <c r="X49" t="str">
        <f>HYPERLINK("http://www.ncbi.nlm.nih.gov/protein/270046244","gi|270046244")</f>
        <v>gi|270046244</v>
      </c>
      <c r="Y49">
        <v>181</v>
      </c>
      <c r="Z49">
        <v>175</v>
      </c>
      <c r="AA49">
        <v>177</v>
      </c>
      <c r="AB49">
        <v>54</v>
      </c>
      <c r="AC49">
        <v>99</v>
      </c>
      <c r="AD49">
        <v>83</v>
      </c>
      <c r="AE49">
        <v>9</v>
      </c>
      <c r="AF49">
        <v>1</v>
      </c>
      <c r="AG49">
        <v>32</v>
      </c>
      <c r="AH49">
        <v>1</v>
      </c>
      <c r="AI49">
        <v>2</v>
      </c>
      <c r="AJ49" t="s">
        <v>11</v>
      </c>
      <c r="AL49" t="s">
        <v>700</v>
      </c>
      <c r="AM49" t="s">
        <v>742</v>
      </c>
      <c r="AN49" t="s">
        <v>702</v>
      </c>
      <c r="AO49" s="1" t="str">
        <f>HYPERLINK("http://exon.niaid.nih.gov/transcriptome/T_rubida/S1/links/SWISSP/Triru-contig_9-SWISSP.txt","Procalin")</f>
        <v>Procalin</v>
      </c>
      <c r="AP49" t="str">
        <f>HYPERLINK("http://www.uniprot.org/uniprot/Q9U6R6","4E-028")</f>
        <v>4E-028</v>
      </c>
      <c r="AQ49" t="s">
        <v>703</v>
      </c>
      <c r="AR49">
        <v>124</v>
      </c>
      <c r="AS49">
        <v>167</v>
      </c>
      <c r="AT49">
        <v>38</v>
      </c>
      <c r="AU49">
        <v>99</v>
      </c>
      <c r="AV49">
        <v>109</v>
      </c>
      <c r="AW49">
        <v>5</v>
      </c>
      <c r="AX49">
        <v>1</v>
      </c>
      <c r="AY49">
        <v>32</v>
      </c>
      <c r="AZ49">
        <v>1</v>
      </c>
      <c r="BA49">
        <v>2</v>
      </c>
      <c r="BB49" t="s">
        <v>11</v>
      </c>
      <c r="BD49" t="s">
        <v>704</v>
      </c>
      <c r="BE49" t="s">
        <v>705</v>
      </c>
      <c r="BF49" t="s">
        <v>743</v>
      </c>
      <c r="BG49" t="s">
        <v>744</v>
      </c>
      <c r="BH49" s="1" t="s">
        <v>57</v>
      </c>
      <c r="BI49" t="s">
        <v>57</v>
      </c>
      <c r="BJ49" s="1" t="str">
        <f>HYPERLINK("http://exon.niaid.nih.gov/transcriptome/T_rubida/S1/links/CDD/Triru-contig_9-CDD.txt","Triabin")</f>
        <v>Triabin</v>
      </c>
      <c r="BK49" t="str">
        <f>HYPERLINK("http://www.ncbi.nlm.nih.gov/Structure/cdd/cddsrv.cgi?uid=pfam03973&amp;version=v4.0","2E-016")</f>
        <v>2E-016</v>
      </c>
      <c r="BL49" t="s">
        <v>745</v>
      </c>
      <c r="BM49" s="1" t="str">
        <f>HYPERLINK("http://exon.niaid.nih.gov/transcriptome/T_rubida/S1/links/KOG/Triru-contig_9-KOG.txt","Voltage-gated Ca2+ channels, alpha1 subunits")</f>
        <v>Voltage-gated Ca2+ channels, alpha1 subunits</v>
      </c>
      <c r="BN49" t="str">
        <f>HYPERLINK("http://www.ncbi.nlm.nih.gov/COG/grace/shokog.cgi?KOG2301","1.5")</f>
        <v>1.5</v>
      </c>
      <c r="BO49" t="s">
        <v>720</v>
      </c>
      <c r="BP49" s="1" t="str">
        <f>HYPERLINK("http://exon.niaid.nih.gov/transcriptome/T_rubida/S1/links/PFAM/Triru-contig_9-PFAM.txt","Triabin")</f>
        <v>Triabin</v>
      </c>
      <c r="BQ49" t="str">
        <f>HYPERLINK("http://pfam.sanger.ac.uk/family?acc=PF03973","3E-017")</f>
        <v>3E-017</v>
      </c>
      <c r="BR49" s="1" t="str">
        <f>HYPERLINK("http://exon.niaid.nih.gov/transcriptome/T_rubida/S1/links/SMART/Triru-contig_9-SMART.txt","RIO")</f>
        <v>RIO</v>
      </c>
      <c r="BS49" t="str">
        <f>HYPERLINK("http://smart.embl-heidelberg.de/smart/do_annotation.pl?DOMAIN=RIO&amp;BLAST=DUMMY","0.10")</f>
        <v>0.10</v>
      </c>
      <c r="BT49" s="1" t="str">
        <f>HYPERLINK("http://exon.niaid.nih.gov/transcriptome/T_rubida/S1/links/PRK/Triru-contig_9-PRK.txt","galactose-1-phosphate uridylyltransferase")</f>
        <v>galactose-1-phosphate uridylyltransferase</v>
      </c>
      <c r="BU49">
        <v>0.61</v>
      </c>
      <c r="BV49" s="1" t="s">
        <v>57</v>
      </c>
      <c r="BW49" t="s">
        <v>57</v>
      </c>
      <c r="BX49" s="1" t="s">
        <v>57</v>
      </c>
      <c r="BY49" t="s">
        <v>57</v>
      </c>
    </row>
    <row r="50" spans="1:77">
      <c r="A50" t="str">
        <f>HYPERLINK("http://exon.niaid.nih.gov/transcriptome/T_rubida/S1/links/Triru/Triru-contig_15.txt","Triru-contig_15")</f>
        <v>Triru-contig_15</v>
      </c>
      <c r="B50">
        <v>7</v>
      </c>
      <c r="C50" t="str">
        <f>HYPERLINK("http://exon.niaid.nih.gov/transcriptome/T_rubida/S1/links/Triru/Triru-5-48-asb-15.txt","Contig-15")</f>
        <v>Contig-15</v>
      </c>
      <c r="D50" t="str">
        <f>HYPERLINK("http://exon.niaid.nih.gov/transcriptome/T_rubida/S1/links/Triru/Triru-5-48-15-CLU.txt","Contig15")</f>
        <v>Contig15</v>
      </c>
      <c r="E50" t="str">
        <f>HYPERLINK("http://exon.niaid.nih.gov/transcriptome/T_rubida/S1/links/Triru/Triru-5-48-15-qual.txt","85.3")</f>
        <v>85.3</v>
      </c>
      <c r="F50">
        <v>0.2</v>
      </c>
      <c r="G50">
        <v>61.8</v>
      </c>
      <c r="H50">
        <v>606</v>
      </c>
      <c r="I50" t="s">
        <v>26</v>
      </c>
      <c r="J50">
        <v>619</v>
      </c>
      <c r="K50">
        <v>626</v>
      </c>
      <c r="L50">
        <v>534</v>
      </c>
      <c r="M50" t="s">
        <v>5119</v>
      </c>
      <c r="N50" s="15">
        <v>1</v>
      </c>
      <c r="O50" s="14" t="str">
        <f>HYPERLINK("http://exon.niaid.nih.gov/transcriptome/T_rubida/S1/links/Sigp/TRIRU-CONTIG_15-SigP.txt","Cyt")</f>
        <v>Cyt</v>
      </c>
      <c r="Q50" s="5" t="s">
        <v>4818</v>
      </c>
      <c r="R50" t="s">
        <v>5719</v>
      </c>
      <c r="S50" t="str">
        <f>HYPERLINK("http://exon.niaid.nih.gov/transcriptome/T_rubida/S1/links/PFAM/Triru-contig_15-PFAM.txt","PFAM")</f>
        <v>PFAM</v>
      </c>
      <c r="T50" s="23">
        <v>3.0000000000000001E-17</v>
      </c>
      <c r="U50">
        <v>95.2</v>
      </c>
      <c r="V50" s="1" t="str">
        <f>HYPERLINK("http://exon.niaid.nih.gov/transcriptome/T_rubida/S1/links/NR/Triru-contig_15-NR.txt","unnamed protein product")</f>
        <v>unnamed protein product</v>
      </c>
      <c r="W50" t="str">
        <f>HYPERLINK("http://www.ncbi.nlm.nih.gov/sutils/blink.cgi?pid=270046244","7E-043")</f>
        <v>7E-043</v>
      </c>
      <c r="X50" t="str">
        <f>HYPERLINK("http://www.ncbi.nlm.nih.gov/protein/270046244","gi|270046244")</f>
        <v>gi|270046244</v>
      </c>
      <c r="Y50">
        <v>177</v>
      </c>
      <c r="Z50">
        <v>174</v>
      </c>
      <c r="AA50">
        <v>177</v>
      </c>
      <c r="AB50">
        <v>53</v>
      </c>
      <c r="AC50">
        <v>99</v>
      </c>
      <c r="AD50">
        <v>84</v>
      </c>
      <c r="AE50">
        <v>9</v>
      </c>
      <c r="AF50">
        <v>2</v>
      </c>
      <c r="AG50">
        <v>22</v>
      </c>
      <c r="AH50">
        <v>1</v>
      </c>
      <c r="AI50">
        <v>1</v>
      </c>
      <c r="AJ50" t="s">
        <v>11</v>
      </c>
      <c r="AL50" t="s">
        <v>700</v>
      </c>
      <c r="AM50" t="s">
        <v>765</v>
      </c>
      <c r="AN50" t="s">
        <v>702</v>
      </c>
      <c r="AO50" s="1" t="str">
        <f>HYPERLINK("http://exon.niaid.nih.gov/transcriptome/T_rubida/S1/links/SWISSP/Triru-contig_15-SWISSP.txt","Procalin")</f>
        <v>Procalin</v>
      </c>
      <c r="AP50" t="str">
        <f>HYPERLINK("http://www.uniprot.org/uniprot/Q9U6R6","1E-027")</f>
        <v>1E-027</v>
      </c>
      <c r="AQ50" t="s">
        <v>703</v>
      </c>
      <c r="AR50">
        <v>123</v>
      </c>
      <c r="AS50">
        <v>166</v>
      </c>
      <c r="AT50">
        <v>38</v>
      </c>
      <c r="AU50">
        <v>99</v>
      </c>
      <c r="AV50">
        <v>109</v>
      </c>
      <c r="AW50">
        <v>5</v>
      </c>
      <c r="AX50">
        <v>2</v>
      </c>
      <c r="AY50">
        <v>22</v>
      </c>
      <c r="AZ50">
        <v>1</v>
      </c>
      <c r="BA50">
        <v>1</v>
      </c>
      <c r="BB50" t="s">
        <v>11</v>
      </c>
      <c r="BD50" t="s">
        <v>704</v>
      </c>
      <c r="BE50" t="s">
        <v>705</v>
      </c>
      <c r="BF50" t="s">
        <v>766</v>
      </c>
      <c r="BG50" t="s">
        <v>767</v>
      </c>
      <c r="BH50" s="1" t="s">
        <v>57</v>
      </c>
      <c r="BI50" t="s">
        <v>57</v>
      </c>
      <c r="BJ50" s="1" t="str">
        <f>HYPERLINK("http://exon.niaid.nih.gov/transcriptome/T_rubida/S1/links/CDD/Triru-contig_15-CDD.txt","Triabin")</f>
        <v>Triabin</v>
      </c>
      <c r="BK50" t="str">
        <f>HYPERLINK("http://www.ncbi.nlm.nih.gov/Structure/cdd/cddsrv.cgi?uid=pfam03973&amp;version=v4.0","2E-016")</f>
        <v>2E-016</v>
      </c>
      <c r="BL50" t="s">
        <v>768</v>
      </c>
      <c r="BM50" s="1" t="str">
        <f>HYPERLINK("http://exon.niaid.nih.gov/transcriptome/T_rubida/S1/links/KOG/Triru-contig_15-KOG.txt","Permease of the drug/metabolite transporter (DMT) superfamily")</f>
        <v>Permease of the drug/metabolite transporter (DMT) superfamily</v>
      </c>
      <c r="BN50" t="str">
        <f>HYPERLINK("http://www.ncbi.nlm.nih.gov/COG/grace/shokog.cgi?KOG4510","1.7")</f>
        <v>1.7</v>
      </c>
      <c r="BO50" t="s">
        <v>750</v>
      </c>
      <c r="BP50" s="1" t="str">
        <f>HYPERLINK("http://exon.niaid.nih.gov/transcriptome/T_rubida/S1/links/PFAM/Triru-contig_15-PFAM.txt","Triabin")</f>
        <v>Triabin</v>
      </c>
      <c r="BQ50" t="str">
        <f>HYPERLINK("http://pfam.sanger.ac.uk/family?acc=PF03973","3E-017")</f>
        <v>3E-017</v>
      </c>
      <c r="BR50" s="1" t="str">
        <f>HYPERLINK("http://exon.niaid.nih.gov/transcriptome/T_rubida/S1/links/SMART/Triru-contig_15-SMART.txt","RIO")</f>
        <v>RIO</v>
      </c>
      <c r="BS50" t="str">
        <f>HYPERLINK("http://smart.embl-heidelberg.de/smart/do_annotation.pl?DOMAIN=RIO&amp;BLAST=DUMMY","0.096")</f>
        <v>0.096</v>
      </c>
      <c r="BT50" s="1" t="str">
        <f>HYPERLINK("http://exon.niaid.nih.gov/transcriptome/T_rubida/S1/links/PRK/Triru-contig_15-PRK.txt","galactose-1-phosphate uridylyltransferase")</f>
        <v>galactose-1-phosphate uridylyltransferase</v>
      </c>
      <c r="BU50">
        <v>0.57999999999999996</v>
      </c>
      <c r="BV50" s="1" t="s">
        <v>57</v>
      </c>
      <c r="BW50" t="s">
        <v>57</v>
      </c>
      <c r="BX50" s="1" t="s">
        <v>57</v>
      </c>
      <c r="BY50" t="s">
        <v>57</v>
      </c>
    </row>
    <row r="51" spans="1:77">
      <c r="A51" t="str">
        <f>HYPERLINK("http://exon.niaid.nih.gov/transcriptome/T_rubida/S1/links/Triru/Triru-contig_92.txt","Triru-contig_92")</f>
        <v>Triru-contig_92</v>
      </c>
      <c r="B51">
        <v>7</v>
      </c>
      <c r="C51" t="str">
        <f>HYPERLINK("http://exon.niaid.nih.gov/transcriptome/T_rubida/S1/links/Triru/Triru-5-48-asb-92.txt","Contig-92")</f>
        <v>Contig-92</v>
      </c>
      <c r="D51" t="str">
        <f>HYPERLINK("http://exon.niaid.nih.gov/transcriptome/T_rubida/S1/links/Triru/Triru-5-48-92-CLU.txt","Contig92")</f>
        <v>Contig92</v>
      </c>
      <c r="E51" t="str">
        <f>HYPERLINK("http://exon.niaid.nih.gov/transcriptome/T_rubida/S1/links/Triru/Triru-5-48-92-qual.txt","83.1")</f>
        <v>83.1</v>
      </c>
      <c r="F51" t="s">
        <v>10</v>
      </c>
      <c r="G51">
        <v>67.900000000000006</v>
      </c>
      <c r="H51">
        <v>506</v>
      </c>
      <c r="I51" t="s">
        <v>104</v>
      </c>
      <c r="J51">
        <v>523</v>
      </c>
      <c r="K51">
        <v>535</v>
      </c>
      <c r="L51">
        <v>432</v>
      </c>
      <c r="M51" t="s">
        <v>5140</v>
      </c>
      <c r="N51" s="15">
        <v>2</v>
      </c>
      <c r="O51" s="14" t="str">
        <f>HYPERLINK("http://exon.niaid.nih.gov/transcriptome/T_rubida/S1/links/Sigp/TRIRU-CONTIG_92-SigP.txt","Cyt")</f>
        <v>Cyt</v>
      </c>
      <c r="Q51" s="5" t="s">
        <v>4818</v>
      </c>
      <c r="R51" t="s">
        <v>5719</v>
      </c>
      <c r="S51" t="str">
        <f>HYPERLINK("http://exon.niaid.nih.gov/transcriptome/T_rubida/S1/links/PFAM/Triru-contig_92-PFAM.txt","PFAM")</f>
        <v>PFAM</v>
      </c>
      <c r="T51" s="23">
        <v>3.0000000000000003E-20</v>
      </c>
      <c r="U51">
        <v>80.2</v>
      </c>
      <c r="V51" s="1" t="str">
        <f>HYPERLINK("http://exon.niaid.nih.gov/transcriptome/T_rubida/S1/links/NR/Triru-contig_92-NR.txt","pallidipin 2")</f>
        <v>pallidipin 2</v>
      </c>
      <c r="W51" t="str">
        <f>HYPERLINK("http://www.ncbi.nlm.nih.gov/sutils/blink.cgi?pid=388359","3E-035")</f>
        <v>3E-035</v>
      </c>
      <c r="X51" t="str">
        <f>HYPERLINK("http://www.ncbi.nlm.nih.gov/protein/388359","gi|388359")</f>
        <v>gi|388359</v>
      </c>
      <c r="Y51">
        <v>152</v>
      </c>
      <c r="Z51">
        <v>146</v>
      </c>
      <c r="AA51">
        <v>188</v>
      </c>
      <c r="AB51">
        <v>54</v>
      </c>
      <c r="AC51">
        <v>78</v>
      </c>
      <c r="AD51">
        <v>67</v>
      </c>
      <c r="AE51">
        <v>6</v>
      </c>
      <c r="AF51">
        <v>38</v>
      </c>
      <c r="AG51">
        <v>8</v>
      </c>
      <c r="AH51">
        <v>1</v>
      </c>
      <c r="AI51">
        <v>2</v>
      </c>
      <c r="AJ51" t="s">
        <v>11</v>
      </c>
      <c r="AL51" t="s">
        <v>971</v>
      </c>
      <c r="AM51" t="s">
        <v>1193</v>
      </c>
      <c r="AN51" t="s">
        <v>1194</v>
      </c>
      <c r="AO51" s="1" t="str">
        <f>HYPERLINK("http://exon.niaid.nih.gov/transcriptome/T_rubida/S1/links/SWISSP/Triru-contig_92-SWISSP.txt","PHD finger protein 20-like protein 1")</f>
        <v>PHD finger protein 20-like protein 1</v>
      </c>
      <c r="AP51" t="str">
        <f>HYPERLINK("http://www.uniprot.org/uniprot/Q5F3G6","0.47")</f>
        <v>0.47</v>
      </c>
      <c r="AQ51" t="s">
        <v>1195</v>
      </c>
      <c r="AR51">
        <v>34.299999999999997</v>
      </c>
      <c r="AS51">
        <v>102</v>
      </c>
      <c r="AT51">
        <v>29</v>
      </c>
      <c r="AU51">
        <v>14</v>
      </c>
      <c r="AV51">
        <v>76</v>
      </c>
      <c r="AW51">
        <v>5</v>
      </c>
      <c r="AX51">
        <v>360</v>
      </c>
      <c r="AY51">
        <v>44</v>
      </c>
      <c r="AZ51">
        <v>1</v>
      </c>
      <c r="BA51">
        <v>2</v>
      </c>
      <c r="BB51" t="s">
        <v>11</v>
      </c>
      <c r="BD51" t="s">
        <v>704</v>
      </c>
      <c r="BE51" t="s">
        <v>1196</v>
      </c>
      <c r="BF51" t="s">
        <v>1197</v>
      </c>
      <c r="BG51" t="s">
        <v>1198</v>
      </c>
      <c r="BH51" s="1" t="s">
        <v>57</v>
      </c>
      <c r="BI51" t="s">
        <v>57</v>
      </c>
      <c r="BJ51" s="1" t="str">
        <f>HYPERLINK("http://exon.niaid.nih.gov/transcriptome/T_rubida/S1/links/CDD/Triru-contig_92-CDD.txt","Triabin")</f>
        <v>Triabin</v>
      </c>
      <c r="BK51" t="str">
        <f>HYPERLINK("http://www.ncbi.nlm.nih.gov/Structure/cdd/cddsrv.cgi?uid=pfam03973&amp;version=v4.0","1E-019")</f>
        <v>1E-019</v>
      </c>
      <c r="BL51" t="s">
        <v>1199</v>
      </c>
      <c r="BM51" s="1" t="str">
        <f>HYPERLINK("http://exon.niaid.nih.gov/transcriptome/T_rubida/S1/links/KOG/Triru-contig_92-KOG.txt","Uncharacterized conserved protein")</f>
        <v>Uncharacterized conserved protein</v>
      </c>
      <c r="BN51" t="str">
        <f>HYPERLINK("http://www.ncbi.nlm.nih.gov/COG/grace/shokog.cgi?KOG4740","2.1")</f>
        <v>2.1</v>
      </c>
      <c r="BO51" t="s">
        <v>737</v>
      </c>
      <c r="BP51" s="1" t="str">
        <f>HYPERLINK("http://exon.niaid.nih.gov/transcriptome/T_rubida/S1/links/PFAM/Triru-contig_92-PFAM.txt","Triabin")</f>
        <v>Triabin</v>
      </c>
      <c r="BQ51" t="str">
        <f>HYPERLINK("http://pfam.sanger.ac.uk/family?acc=PF03973","3E-020")</f>
        <v>3E-020</v>
      </c>
      <c r="BR51" s="1" t="str">
        <f>HYPERLINK("http://exon.niaid.nih.gov/transcriptome/T_rubida/S1/links/SMART/Triru-contig_92-SMART.txt","MIF4G")</f>
        <v>MIF4G</v>
      </c>
      <c r="BS51" t="str">
        <f>HYPERLINK("http://smart.embl-heidelberg.de/smart/do_annotation.pl?DOMAIN=MIF4G&amp;BLAST=DUMMY","0.16")</f>
        <v>0.16</v>
      </c>
      <c r="BT51" s="1" t="str">
        <f>HYPERLINK("http://exon.niaid.nih.gov/transcriptome/T_rubida/S1/links/PRK/Triru-contig_92-PRK.txt","flagellar basal body P-ring biosynthesis protein FlgA")</f>
        <v>flagellar basal body P-ring biosynthesis protein FlgA</v>
      </c>
      <c r="BU51">
        <v>0.2</v>
      </c>
      <c r="BV51" s="1" t="s">
        <v>57</v>
      </c>
      <c r="BW51" t="s">
        <v>57</v>
      </c>
      <c r="BX51" s="1" t="s">
        <v>57</v>
      </c>
      <c r="BY51" t="s">
        <v>57</v>
      </c>
    </row>
    <row r="52" spans="1:77">
      <c r="A52" t="str">
        <f>HYPERLINK("http://exon.niaid.nih.gov/transcriptome/T_rubida/S1/links/Triru/Triru-contig_11.txt","Triru-contig_11")</f>
        <v>Triru-contig_11</v>
      </c>
      <c r="B52">
        <v>6</v>
      </c>
      <c r="C52" t="str">
        <f>HYPERLINK("http://exon.niaid.nih.gov/transcriptome/T_rubida/S1/links/Triru/Triru-5-48-asb-11.txt","Contig-11")</f>
        <v>Contig-11</v>
      </c>
      <c r="D52" t="str">
        <f>HYPERLINK("http://exon.niaid.nih.gov/transcriptome/T_rubida/S1/links/Triru/Triru-5-48-11-CLU.txt","Contig11")</f>
        <v>Contig11</v>
      </c>
      <c r="E52" t="str">
        <f>HYPERLINK("http://exon.niaid.nih.gov/transcriptome/T_rubida/S1/links/Triru/Triru-5-48-11-qual.txt","93.7")</f>
        <v>93.7</v>
      </c>
      <c r="F52" t="s">
        <v>10</v>
      </c>
      <c r="G52">
        <v>62.4</v>
      </c>
      <c r="H52">
        <v>537</v>
      </c>
      <c r="I52" t="s">
        <v>22</v>
      </c>
      <c r="J52">
        <v>537</v>
      </c>
      <c r="K52">
        <v>556</v>
      </c>
      <c r="L52">
        <v>450</v>
      </c>
      <c r="M52" t="s">
        <v>5125</v>
      </c>
      <c r="N52" s="15">
        <v>3</v>
      </c>
      <c r="O52" s="14" t="str">
        <f>HYPERLINK("http://exon.niaid.nih.gov/transcriptome/T_rubida/S1/links/Sigp/TRIRU-CONTIG_11-SigP.txt","Cyt")</f>
        <v>Cyt</v>
      </c>
      <c r="Q52" s="5" t="s">
        <v>4818</v>
      </c>
      <c r="R52" t="s">
        <v>5719</v>
      </c>
      <c r="S52" t="str">
        <f>HYPERLINK("http://exon.niaid.nih.gov/transcriptome/T_rubida/S1/links/PFAM/Triru-contig_11-PFAM.txt","PFAM")</f>
        <v>PFAM</v>
      </c>
      <c r="T52" s="23">
        <v>6.9999999999999997E-18</v>
      </c>
      <c r="U52">
        <v>95.2</v>
      </c>
      <c r="V52" s="1" t="str">
        <f>HYPERLINK("http://exon.niaid.nih.gov/transcriptome/T_rubida/S1/links/NR/Triru-contig_11-NR.txt","unnamed protein product")</f>
        <v>unnamed protein product</v>
      </c>
      <c r="W52" t="str">
        <f>HYPERLINK("http://www.ncbi.nlm.nih.gov/sutils/blink.cgi?pid=270046244","1E-036")</f>
        <v>1E-036</v>
      </c>
      <c r="X52" t="str">
        <f>HYPERLINK("http://www.ncbi.nlm.nih.gov/protein/270046244","gi|270046244")</f>
        <v>gi|270046244</v>
      </c>
      <c r="Y52">
        <v>156</v>
      </c>
      <c r="Z52">
        <v>145</v>
      </c>
      <c r="AA52">
        <v>177</v>
      </c>
      <c r="AB52">
        <v>54</v>
      </c>
      <c r="AC52">
        <v>82</v>
      </c>
      <c r="AD52">
        <v>67</v>
      </c>
      <c r="AE52">
        <v>9</v>
      </c>
      <c r="AF52">
        <v>31</v>
      </c>
      <c r="AG52">
        <v>36</v>
      </c>
      <c r="AH52">
        <v>1</v>
      </c>
      <c r="AI52">
        <v>3</v>
      </c>
      <c r="AJ52" t="s">
        <v>11</v>
      </c>
      <c r="AL52" t="s">
        <v>700</v>
      </c>
      <c r="AM52" t="s">
        <v>751</v>
      </c>
      <c r="AN52" t="s">
        <v>702</v>
      </c>
      <c r="AO52" s="1" t="str">
        <f>HYPERLINK("http://exon.niaid.nih.gov/transcriptome/T_rubida/S1/links/SWISSP/Triru-contig_11-SWISSP.txt","Procalin")</f>
        <v>Procalin</v>
      </c>
      <c r="AP52" t="str">
        <f>HYPERLINK("http://www.uniprot.org/uniprot/Q9U6R6","5E-023")</f>
        <v>5E-023</v>
      </c>
      <c r="AQ52" t="s">
        <v>703</v>
      </c>
      <c r="AR52">
        <v>107</v>
      </c>
      <c r="AS52">
        <v>141</v>
      </c>
      <c r="AT52">
        <v>37</v>
      </c>
      <c r="AU52">
        <v>84</v>
      </c>
      <c r="AV52">
        <v>90</v>
      </c>
      <c r="AW52">
        <v>5</v>
      </c>
      <c r="AX52">
        <v>27</v>
      </c>
      <c r="AY52">
        <v>36</v>
      </c>
      <c r="AZ52">
        <v>1</v>
      </c>
      <c r="BA52">
        <v>3</v>
      </c>
      <c r="BB52" t="s">
        <v>11</v>
      </c>
      <c r="BD52" t="s">
        <v>704</v>
      </c>
      <c r="BE52" t="s">
        <v>705</v>
      </c>
      <c r="BF52" t="s">
        <v>752</v>
      </c>
      <c r="BG52" t="s">
        <v>753</v>
      </c>
      <c r="BH52" s="1" t="s">
        <v>57</v>
      </c>
      <c r="BI52" t="s">
        <v>57</v>
      </c>
      <c r="BJ52" s="1" t="str">
        <f>HYPERLINK("http://exon.niaid.nih.gov/transcriptome/T_rubida/S1/links/CDD/Triru-contig_11-CDD.txt","Triabin")</f>
        <v>Triabin</v>
      </c>
      <c r="BK52" t="str">
        <f>HYPERLINK("http://www.ncbi.nlm.nih.gov/Structure/cdd/cddsrv.cgi?uid=pfam03973&amp;version=v4.0","4E-017")</f>
        <v>4E-017</v>
      </c>
      <c r="BL52" t="s">
        <v>754</v>
      </c>
      <c r="BM52" s="1" t="str">
        <f>HYPERLINK("http://exon.niaid.nih.gov/transcriptome/T_rubida/S1/links/KOG/Triru-contig_11-KOG.txt","Sortilin and related receptors")</f>
        <v>Sortilin and related receptors</v>
      </c>
      <c r="BN52" t="str">
        <f>HYPERLINK("http://www.ncbi.nlm.nih.gov/COG/grace/shokog.cgi?KOG3511","0.24")</f>
        <v>0.24</v>
      </c>
      <c r="BO52" t="s">
        <v>750</v>
      </c>
      <c r="BP52" s="1" t="str">
        <f>HYPERLINK("http://exon.niaid.nih.gov/transcriptome/T_rubida/S1/links/PFAM/Triru-contig_11-PFAM.txt","Triabin")</f>
        <v>Triabin</v>
      </c>
      <c r="BQ52" t="str">
        <f>HYPERLINK("http://pfam.sanger.ac.uk/family?acc=PF03973","7E-018")</f>
        <v>7E-018</v>
      </c>
      <c r="BR52" s="1" t="str">
        <f>HYPERLINK("http://exon.niaid.nih.gov/transcriptome/T_rubida/S1/links/SMART/Triru-contig_11-SMART.txt","IGc1")</f>
        <v>IGc1</v>
      </c>
      <c r="BS52" t="str">
        <f>HYPERLINK("http://smart.embl-heidelberg.de/smart/do_annotation.pl?DOMAIN=IGc1&amp;BLAST=DUMMY","0.20")</f>
        <v>0.20</v>
      </c>
      <c r="BT52" s="1" t="str">
        <f>HYPERLINK("http://exon.niaid.nih.gov/transcriptome/T_rubida/S1/links/PRK/Triru-contig_11-PRK.txt","tRNA modification GTPase TrmE")</f>
        <v>tRNA modification GTPase TrmE</v>
      </c>
      <c r="BU52">
        <v>0.71</v>
      </c>
      <c r="BV52" s="1" t="s">
        <v>57</v>
      </c>
      <c r="BW52" t="s">
        <v>57</v>
      </c>
      <c r="BX52" s="1" t="s">
        <v>57</v>
      </c>
      <c r="BY52" t="s">
        <v>57</v>
      </c>
    </row>
    <row r="53" spans="1:77">
      <c r="A53" t="str">
        <f>HYPERLINK("http://exon.niaid.nih.gov/transcriptome/T_rubida/S1/links/Triru/Triru-contig_96.txt","Triru-contig_96")</f>
        <v>Triru-contig_96</v>
      </c>
      <c r="B53">
        <v>6</v>
      </c>
      <c r="C53" t="str">
        <f>HYPERLINK("http://exon.niaid.nih.gov/transcriptome/T_rubida/S1/links/Triru/Triru-5-48-asb-96.txt","Contig-96")</f>
        <v>Contig-96</v>
      </c>
      <c r="D53" t="str">
        <f>HYPERLINK("http://exon.niaid.nih.gov/transcriptome/T_rubida/S1/links/Triru/Triru-5-48-96-CLU.txt","Contig96")</f>
        <v>Contig96</v>
      </c>
      <c r="E53" t="str">
        <f>HYPERLINK("http://exon.niaid.nih.gov/transcriptome/T_rubida/S1/links/Triru/Triru-5-48-96-qual.txt","86.5")</f>
        <v>86.5</v>
      </c>
      <c r="F53" t="s">
        <v>10</v>
      </c>
      <c r="G53">
        <v>63.5</v>
      </c>
      <c r="H53">
        <v>370</v>
      </c>
      <c r="I53" t="s">
        <v>108</v>
      </c>
      <c r="J53">
        <v>339</v>
      </c>
      <c r="K53">
        <v>389</v>
      </c>
      <c r="L53">
        <v>315</v>
      </c>
      <c r="M53" t="s">
        <v>5138</v>
      </c>
      <c r="N53" s="15">
        <v>3</v>
      </c>
      <c r="O53" s="14" t="str">
        <f>HYPERLINK("http://exon.niaid.nih.gov/transcriptome/T_rubida/S1/links/Sigp/TRIRU-CONTIG_96-SigP.txt","Cyt")</f>
        <v>Cyt</v>
      </c>
      <c r="Q53" s="5" t="s">
        <v>4818</v>
      </c>
      <c r="R53" t="s">
        <v>5719</v>
      </c>
      <c r="S53" t="str">
        <f>HYPERLINK("http://exon.niaid.nih.gov/transcriptome/T_rubida/S1/links/PFAM/Triru-contig_96-PFAM.txt","PFAM")</f>
        <v>PFAM</v>
      </c>
      <c r="T53" s="23">
        <v>5.0000000000000001E-9</v>
      </c>
      <c r="U53">
        <v>63.9</v>
      </c>
      <c r="V53" s="1" t="str">
        <f>HYPERLINK("http://exon.niaid.nih.gov/transcriptome/T_rubida/S1/links/NR/Triru-contig_96-NR.txt","unnamed protein product")</f>
        <v>unnamed protein product</v>
      </c>
      <c r="W53" t="str">
        <f>HYPERLINK("http://www.ncbi.nlm.nih.gov/sutils/blink.cgi?pid=270046158","2E-018")</f>
        <v>2E-018</v>
      </c>
      <c r="X53" t="str">
        <f>HYPERLINK("http://www.ncbi.nlm.nih.gov/protein/270046158","gi|270046158")</f>
        <v>gi|270046158</v>
      </c>
      <c r="Y53">
        <v>95.9</v>
      </c>
      <c r="Z53">
        <v>107</v>
      </c>
      <c r="AA53">
        <v>174</v>
      </c>
      <c r="AB53">
        <v>48</v>
      </c>
      <c r="AC53">
        <v>62</v>
      </c>
      <c r="AD53">
        <v>56</v>
      </c>
      <c r="AE53">
        <v>7</v>
      </c>
      <c r="AF53">
        <v>64</v>
      </c>
      <c r="AG53">
        <v>9</v>
      </c>
      <c r="AH53">
        <v>1</v>
      </c>
      <c r="AI53">
        <v>3</v>
      </c>
      <c r="AJ53" t="s">
        <v>11</v>
      </c>
      <c r="AL53" t="s">
        <v>700</v>
      </c>
      <c r="AM53" t="s">
        <v>1225</v>
      </c>
      <c r="AN53" t="s">
        <v>702</v>
      </c>
      <c r="AO53" s="1" t="str">
        <f>HYPERLINK("http://exon.niaid.nih.gov/transcriptome/T_rubida/S1/links/SWISSP/Triru-contig_96-SWISSP.txt","Procalin")</f>
        <v>Procalin</v>
      </c>
      <c r="AP53" t="str">
        <f>HYPERLINK("http://www.uniprot.org/uniprot/Q9U6R6","9E-012")</f>
        <v>9E-012</v>
      </c>
      <c r="AQ53" t="s">
        <v>703</v>
      </c>
      <c r="AR53">
        <v>68.900000000000006</v>
      </c>
      <c r="AS53">
        <v>108</v>
      </c>
      <c r="AT53">
        <v>34</v>
      </c>
      <c r="AU53">
        <v>64</v>
      </c>
      <c r="AV53">
        <v>71</v>
      </c>
      <c r="AW53">
        <v>6</v>
      </c>
      <c r="AX53">
        <v>60</v>
      </c>
      <c r="AY53">
        <v>3</v>
      </c>
      <c r="AZ53">
        <v>1</v>
      </c>
      <c r="BA53">
        <v>3</v>
      </c>
      <c r="BB53" t="s">
        <v>11</v>
      </c>
      <c r="BD53" t="s">
        <v>704</v>
      </c>
      <c r="BE53" t="s">
        <v>705</v>
      </c>
      <c r="BF53" t="s">
        <v>1226</v>
      </c>
      <c r="BG53" t="s">
        <v>1227</v>
      </c>
      <c r="BH53" s="1" t="s">
        <v>57</v>
      </c>
      <c r="BI53" t="s">
        <v>57</v>
      </c>
      <c r="BJ53" s="1" t="str">
        <f>HYPERLINK("http://exon.niaid.nih.gov/transcriptome/T_rubida/S1/links/CDD/Triru-contig_96-CDD.txt","Triabin")</f>
        <v>Triabin</v>
      </c>
      <c r="BK53" t="str">
        <f>HYPERLINK("http://www.ncbi.nlm.nih.gov/Structure/cdd/cddsrv.cgi?uid=pfam03973&amp;version=v4.0","2E-008")</f>
        <v>2E-008</v>
      </c>
      <c r="BL53" t="s">
        <v>1228</v>
      </c>
      <c r="BM53" s="1" t="str">
        <f>HYPERLINK("http://exon.niaid.nih.gov/transcriptome/T_rubida/S1/links/KOG/Triru-contig_96-KOG.txt","Glycosylphosphatidylinositol anchor synthesis protein")</f>
        <v>Glycosylphosphatidylinositol anchor synthesis protein</v>
      </c>
      <c r="BN53" t="str">
        <f>HYPERLINK("http://www.ncbi.nlm.nih.gov/COG/grace/shokog.cgi?KOG2126","0.17")</f>
        <v>0.17</v>
      </c>
      <c r="BO53" t="s">
        <v>728</v>
      </c>
      <c r="BP53" s="1" t="str">
        <f>HYPERLINK("http://exon.niaid.nih.gov/transcriptome/T_rubida/S1/links/PFAM/Triru-contig_96-PFAM.txt","Triabin")</f>
        <v>Triabin</v>
      </c>
      <c r="BQ53" t="str">
        <f>HYPERLINK("http://pfam.sanger.ac.uk/family?acc=PF03973","5E-009")</f>
        <v>5E-009</v>
      </c>
      <c r="BR53" s="1" t="str">
        <f>HYPERLINK("http://exon.niaid.nih.gov/transcriptome/T_rubida/S1/links/SMART/Triru-contig_96-SMART.txt","RNAse_Pc")</f>
        <v>RNAse_Pc</v>
      </c>
      <c r="BS53" t="str">
        <f>HYPERLINK("http://smart.embl-heidelberg.de/smart/do_annotation.pl?DOMAIN=RNAse_Pc&amp;BLAST=DUMMY","0.15")</f>
        <v>0.15</v>
      </c>
      <c r="BT53" s="1" t="str">
        <f>HYPERLINK("http://exon.niaid.nih.gov/transcriptome/T_rubida/S1/links/PRK/Triru-contig_96-PRK.txt","uncharacterized protein")</f>
        <v>uncharacterized protein</v>
      </c>
      <c r="BU53">
        <v>0.3</v>
      </c>
      <c r="BV53" s="1" t="s">
        <v>57</v>
      </c>
      <c r="BW53" t="s">
        <v>57</v>
      </c>
      <c r="BX53" s="1" t="s">
        <v>57</v>
      </c>
      <c r="BY53" t="s">
        <v>57</v>
      </c>
    </row>
    <row r="54" spans="1:77">
      <c r="A54" t="str">
        <f>HYPERLINK("http://exon.niaid.nih.gov/transcriptome/T_rubida/S1/links/Triru/Triru-contig_12.txt","Triru-contig_12")</f>
        <v>Triru-contig_12</v>
      </c>
      <c r="B54">
        <v>5</v>
      </c>
      <c r="C54" t="str">
        <f>HYPERLINK("http://exon.niaid.nih.gov/transcriptome/T_rubida/S1/links/Triru/Triru-5-48-asb-12.txt","Contig-12")</f>
        <v>Contig-12</v>
      </c>
      <c r="D54" t="str">
        <f>HYPERLINK("http://exon.niaid.nih.gov/transcriptome/T_rubida/S1/links/Triru/Triru-5-48-12-CLU.txt","Contig12")</f>
        <v>Contig12</v>
      </c>
      <c r="E54" t="str">
        <f>HYPERLINK("http://exon.niaid.nih.gov/transcriptome/T_rubida/S1/links/Triru/Triru-5-48-12-qual.txt","86.4")</f>
        <v>86.4</v>
      </c>
      <c r="F54" t="s">
        <v>10</v>
      </c>
      <c r="G54">
        <v>61.4</v>
      </c>
      <c r="H54">
        <v>536</v>
      </c>
      <c r="I54" t="s">
        <v>23</v>
      </c>
      <c r="J54">
        <v>535</v>
      </c>
      <c r="K54">
        <v>555</v>
      </c>
      <c r="L54">
        <v>462</v>
      </c>
      <c r="M54" t="s">
        <v>5126</v>
      </c>
      <c r="N54" s="15">
        <v>3</v>
      </c>
      <c r="O54" s="14" t="str">
        <f>HYPERLINK("http://exon.niaid.nih.gov/transcriptome/T_rubida/S1/links/Sigp/TRIRU-CONTIG_12-SigP.txt","Cyt")</f>
        <v>Cyt</v>
      </c>
      <c r="Q54" s="5" t="s">
        <v>4818</v>
      </c>
      <c r="R54" t="s">
        <v>5719</v>
      </c>
      <c r="S54" t="str">
        <f>HYPERLINK("http://exon.niaid.nih.gov/transcriptome/T_rubida/S1/links/PFAM/Triru-contig_12-PFAM.txt","PFAM")</f>
        <v>PFAM</v>
      </c>
      <c r="T54" s="23">
        <v>6.9999999999999997E-18</v>
      </c>
      <c r="U54">
        <v>95.2</v>
      </c>
      <c r="V54" s="1" t="str">
        <f>HYPERLINK("http://exon.niaid.nih.gov/transcriptome/T_rubida/S1/links/NR/Triru-contig_12-NR.txt","unnamed protein product")</f>
        <v>unnamed protein product</v>
      </c>
      <c r="W54" t="str">
        <f>HYPERLINK("http://www.ncbi.nlm.nih.gov/sutils/blink.cgi?pid=270046244","1E-036")</f>
        <v>1E-036</v>
      </c>
      <c r="X54" t="str">
        <f>HYPERLINK("http://www.ncbi.nlm.nih.gov/protein/270046244","gi|270046244")</f>
        <v>gi|270046244</v>
      </c>
      <c r="Y54">
        <v>156</v>
      </c>
      <c r="Z54">
        <v>145</v>
      </c>
      <c r="AA54">
        <v>177</v>
      </c>
      <c r="AB54">
        <v>54</v>
      </c>
      <c r="AC54">
        <v>82</v>
      </c>
      <c r="AD54">
        <v>67</v>
      </c>
      <c r="AE54">
        <v>9</v>
      </c>
      <c r="AF54">
        <v>31</v>
      </c>
      <c r="AG54">
        <v>48</v>
      </c>
      <c r="AH54">
        <v>1</v>
      </c>
      <c r="AI54">
        <v>3</v>
      </c>
      <c r="AJ54" t="s">
        <v>11</v>
      </c>
      <c r="AL54" t="s">
        <v>700</v>
      </c>
      <c r="AM54" t="s">
        <v>751</v>
      </c>
      <c r="AN54" t="s">
        <v>702</v>
      </c>
      <c r="AO54" s="1" t="str">
        <f>HYPERLINK("http://exon.niaid.nih.gov/transcriptome/T_rubida/S1/links/SWISSP/Triru-contig_12-SWISSP.txt","Procalin")</f>
        <v>Procalin</v>
      </c>
      <c r="AP54" t="str">
        <f>HYPERLINK("http://www.uniprot.org/uniprot/Q9U6R6","5E-023")</f>
        <v>5E-023</v>
      </c>
      <c r="AQ54" t="s">
        <v>703</v>
      </c>
      <c r="AR54">
        <v>107</v>
      </c>
      <c r="AS54">
        <v>141</v>
      </c>
      <c r="AT54">
        <v>37</v>
      </c>
      <c r="AU54">
        <v>84</v>
      </c>
      <c r="AV54">
        <v>90</v>
      </c>
      <c r="AW54">
        <v>5</v>
      </c>
      <c r="AX54">
        <v>27</v>
      </c>
      <c r="AY54">
        <v>48</v>
      </c>
      <c r="AZ54">
        <v>1</v>
      </c>
      <c r="BA54">
        <v>3</v>
      </c>
      <c r="BB54" t="s">
        <v>11</v>
      </c>
      <c r="BD54" t="s">
        <v>704</v>
      </c>
      <c r="BE54" t="s">
        <v>705</v>
      </c>
      <c r="BF54" t="s">
        <v>752</v>
      </c>
      <c r="BG54" t="s">
        <v>753</v>
      </c>
      <c r="BH54" s="1" t="s">
        <v>57</v>
      </c>
      <c r="BI54" t="s">
        <v>57</v>
      </c>
      <c r="BJ54" s="1" t="str">
        <f>HYPERLINK("http://exon.niaid.nih.gov/transcriptome/T_rubida/S1/links/CDD/Triru-contig_12-CDD.txt","Triabin")</f>
        <v>Triabin</v>
      </c>
      <c r="BK54" t="str">
        <f>HYPERLINK("http://www.ncbi.nlm.nih.gov/Structure/cdd/cddsrv.cgi?uid=pfam03973&amp;version=v4.0","4E-017")</f>
        <v>4E-017</v>
      </c>
      <c r="BL54" t="s">
        <v>755</v>
      </c>
      <c r="BM54" s="1" t="str">
        <f>HYPERLINK("http://exon.niaid.nih.gov/transcriptome/T_rubida/S1/links/KOG/Triru-contig_12-KOG.txt","Sortilin and related receptors")</f>
        <v>Sortilin and related receptors</v>
      </c>
      <c r="BN54" t="str">
        <f>HYPERLINK("http://www.ncbi.nlm.nih.gov/COG/grace/shokog.cgi?KOG3511","0.24")</f>
        <v>0.24</v>
      </c>
      <c r="BO54" t="s">
        <v>750</v>
      </c>
      <c r="BP54" s="1" t="str">
        <f>HYPERLINK("http://exon.niaid.nih.gov/transcriptome/T_rubida/S1/links/PFAM/Triru-contig_12-PFAM.txt","Triabin")</f>
        <v>Triabin</v>
      </c>
      <c r="BQ54" t="str">
        <f>HYPERLINK("http://pfam.sanger.ac.uk/family?acc=PF03973","7E-018")</f>
        <v>7E-018</v>
      </c>
      <c r="BR54" s="1" t="str">
        <f>HYPERLINK("http://exon.niaid.nih.gov/transcriptome/T_rubida/S1/links/SMART/Triru-contig_12-SMART.txt","IGc1")</f>
        <v>IGc1</v>
      </c>
      <c r="BS54" t="str">
        <f>HYPERLINK("http://smart.embl-heidelberg.de/smart/do_annotation.pl?DOMAIN=IGc1&amp;BLAST=DUMMY","0.20")</f>
        <v>0.20</v>
      </c>
      <c r="BT54" s="1" t="str">
        <f>HYPERLINK("http://exon.niaid.nih.gov/transcriptome/T_rubida/S1/links/PRK/Triru-contig_12-PRK.txt","xylose transporter ATP-binding subunit")</f>
        <v>xylose transporter ATP-binding subunit</v>
      </c>
      <c r="BU54">
        <v>0.68</v>
      </c>
      <c r="BV54" s="1" t="s">
        <v>57</v>
      </c>
      <c r="BW54" t="s">
        <v>57</v>
      </c>
      <c r="BX54" s="1" t="s">
        <v>57</v>
      </c>
      <c r="BY54" t="s">
        <v>57</v>
      </c>
    </row>
    <row r="55" spans="1:77">
      <c r="A55" t="str">
        <f>HYPERLINK("http://exon.niaid.nih.gov/transcriptome/T_rubida/S1/links/Triru/Triru-contig_4.txt","Triru-contig_4")</f>
        <v>Triru-contig_4</v>
      </c>
      <c r="B55">
        <v>5</v>
      </c>
      <c r="C55" t="str">
        <f>HYPERLINK("http://exon.niaid.nih.gov/transcriptome/T_rubida/S1/links/Triru/Triru-5-48-asb-4.txt","Contig-4")</f>
        <v>Contig-4</v>
      </c>
      <c r="D55" t="str">
        <f>HYPERLINK("http://exon.niaid.nih.gov/transcriptome/T_rubida/S1/links/Triru/Triru-5-48-4-CLU.txt","Contig4")</f>
        <v>Contig4</v>
      </c>
      <c r="E55" t="str">
        <f>HYPERLINK("http://exon.niaid.nih.gov/transcriptome/T_rubida/S1/links/Triru/Triru-5-48-4-qual.txt","87.9")</f>
        <v>87.9</v>
      </c>
      <c r="F55" t="s">
        <v>10</v>
      </c>
      <c r="G55">
        <v>63.1</v>
      </c>
      <c r="H55">
        <v>509</v>
      </c>
      <c r="I55" t="s">
        <v>15</v>
      </c>
      <c r="J55">
        <v>513</v>
      </c>
      <c r="K55">
        <v>528</v>
      </c>
      <c r="L55">
        <v>471</v>
      </c>
      <c r="M55" t="s">
        <v>5133</v>
      </c>
      <c r="N55" s="15">
        <v>2</v>
      </c>
      <c r="O55" s="14" t="str">
        <f>HYPERLINK("http://exon.niaid.nih.gov/transcriptome/T_rubida/S1/links/Sigp/TRIRU-CONTIG_4-SigP.txt","Cyt")</f>
        <v>Cyt</v>
      </c>
      <c r="Q55" s="5" t="s">
        <v>4818</v>
      </c>
      <c r="R55" t="s">
        <v>5719</v>
      </c>
      <c r="S55" t="str">
        <f>HYPERLINK("http://exon.niaid.nih.gov/transcriptome/T_rubida/S1/links/PFAM/Triru-contig_4-PFAM.txt","PFAM")</f>
        <v>PFAM</v>
      </c>
      <c r="T55" s="23">
        <v>4.0000000000000003E-18</v>
      </c>
      <c r="U55">
        <v>89.1</v>
      </c>
      <c r="V55" s="1" t="str">
        <f>HYPERLINK("http://exon.niaid.nih.gov/transcriptome/T_rubida/S1/links/NR/Triru-contig_4-NR.txt","unnamed protein product")</f>
        <v>unnamed protein product</v>
      </c>
      <c r="W55" t="str">
        <f>HYPERLINK("http://www.ncbi.nlm.nih.gov/sutils/blink.cgi?pid=270046244","7E-027")</f>
        <v>7E-027</v>
      </c>
      <c r="X55" t="str">
        <f>HYPERLINK("http://www.ncbi.nlm.nih.gov/protein/270046244","gi|270046244")</f>
        <v>gi|270046244</v>
      </c>
      <c r="Y55">
        <v>124</v>
      </c>
      <c r="Z55">
        <v>144</v>
      </c>
      <c r="AA55">
        <v>177</v>
      </c>
      <c r="AB55">
        <v>47</v>
      </c>
      <c r="AC55">
        <v>82</v>
      </c>
      <c r="AD55">
        <v>77</v>
      </c>
      <c r="AE55">
        <v>9</v>
      </c>
      <c r="AF55">
        <v>31</v>
      </c>
      <c r="AG55">
        <v>20</v>
      </c>
      <c r="AH55">
        <v>1</v>
      </c>
      <c r="AI55">
        <v>2</v>
      </c>
      <c r="AJ55" t="s">
        <v>11</v>
      </c>
      <c r="AL55" t="s">
        <v>700</v>
      </c>
      <c r="AM55" t="s">
        <v>716</v>
      </c>
      <c r="AN55" t="s">
        <v>711</v>
      </c>
      <c r="AO55" s="1" t="str">
        <f>HYPERLINK("http://exon.niaid.nih.gov/transcriptome/T_rubida/S1/links/SWISSP/Triru-contig_4-SWISSP.txt","Procalin")</f>
        <v>Procalin</v>
      </c>
      <c r="AP55" t="str">
        <f>HYPERLINK("http://www.uniprot.org/uniprot/Q9U6R6","9E-016")</f>
        <v>9E-016</v>
      </c>
      <c r="AQ55" t="s">
        <v>703</v>
      </c>
      <c r="AR55">
        <v>83.2</v>
      </c>
      <c r="AS55">
        <v>139</v>
      </c>
      <c r="AT55">
        <v>31</v>
      </c>
      <c r="AU55">
        <v>83</v>
      </c>
      <c r="AV55">
        <v>97</v>
      </c>
      <c r="AW55">
        <v>5</v>
      </c>
      <c r="AX55">
        <v>27</v>
      </c>
      <c r="AY55">
        <v>20</v>
      </c>
      <c r="AZ55">
        <v>1</v>
      </c>
      <c r="BA55">
        <v>2</v>
      </c>
      <c r="BB55" t="s">
        <v>11</v>
      </c>
      <c r="BD55" t="s">
        <v>704</v>
      </c>
      <c r="BE55" t="s">
        <v>705</v>
      </c>
      <c r="BF55" t="s">
        <v>721</v>
      </c>
      <c r="BG55" t="s">
        <v>722</v>
      </c>
      <c r="BH55" s="1" t="s">
        <v>57</v>
      </c>
      <c r="BI55" t="s">
        <v>57</v>
      </c>
      <c r="BJ55" s="1" t="str">
        <f>HYPERLINK("http://exon.niaid.nih.gov/transcriptome/T_rubida/S1/links/CDD/Triru-contig_4-CDD.txt","Triabin")</f>
        <v>Triabin</v>
      </c>
      <c r="BK55" t="str">
        <f>HYPERLINK("http://www.ncbi.nlm.nih.gov/Structure/cdd/cddsrv.cgi?uid=pfam03973&amp;version=v4.0","2E-017")</f>
        <v>2E-017</v>
      </c>
      <c r="BL55" t="s">
        <v>723</v>
      </c>
      <c r="BM55" s="1" t="str">
        <f>HYPERLINK("http://exon.niaid.nih.gov/transcriptome/T_rubida/S1/links/KOG/Triru-contig_4-KOG.txt","Acyl-CoA reductase")</f>
        <v>Acyl-CoA reductase</v>
      </c>
      <c r="BN55" t="str">
        <f>HYPERLINK("http://www.ncbi.nlm.nih.gov/COG/grace/shokog.cgi?KOG1221","0.46")</f>
        <v>0.46</v>
      </c>
      <c r="BO55" t="s">
        <v>709</v>
      </c>
      <c r="BP55" s="1" t="str">
        <f>HYPERLINK("http://exon.niaid.nih.gov/transcriptome/T_rubida/S1/links/PFAM/Triru-contig_4-PFAM.txt","Triabin")</f>
        <v>Triabin</v>
      </c>
      <c r="BQ55" t="str">
        <f>HYPERLINK("http://pfam.sanger.ac.uk/family?acc=PF03973","4E-018")</f>
        <v>4E-018</v>
      </c>
      <c r="BR55" s="1" t="str">
        <f>HYPERLINK("http://exon.niaid.nih.gov/transcriptome/T_rubida/S1/links/SMART/Triru-contig_4-SMART.txt","CARP")</f>
        <v>CARP</v>
      </c>
      <c r="BS55" t="str">
        <f>HYPERLINK("http://smart.embl-heidelberg.de/smart/do_annotation.pl?DOMAIN=CARP&amp;BLAST=DUMMY","0.019")</f>
        <v>0.019</v>
      </c>
      <c r="BT55" s="1" t="str">
        <f>HYPERLINK("http://exon.niaid.nih.gov/transcriptome/T_rubida/S1/links/PRK/Triru-contig_4-PRK.txt","NADH dehydrogenase subunit 5")</f>
        <v>NADH dehydrogenase subunit 5</v>
      </c>
      <c r="BU55">
        <v>6.0000000000000001E-3</v>
      </c>
      <c r="BV55" s="1" t="s">
        <v>57</v>
      </c>
      <c r="BW55" t="s">
        <v>57</v>
      </c>
      <c r="BX55" s="1" t="s">
        <v>57</v>
      </c>
      <c r="BY55" t="s">
        <v>57</v>
      </c>
    </row>
    <row r="56" spans="1:77">
      <c r="A56" t="str">
        <f>HYPERLINK("http://exon.niaid.nih.gov/transcriptome/T_rubida/S1/links/Triru/Triru-contig_18.txt","Triru-contig_18")</f>
        <v>Triru-contig_18</v>
      </c>
      <c r="B56">
        <v>3</v>
      </c>
      <c r="C56" t="str">
        <f>HYPERLINK("http://exon.niaid.nih.gov/transcriptome/T_rubida/S1/links/Triru/Triru-5-48-asb-18.txt","Contig-18")</f>
        <v>Contig-18</v>
      </c>
      <c r="D56" t="str">
        <f>HYPERLINK("http://exon.niaid.nih.gov/transcriptome/T_rubida/S1/links/Triru/Triru-5-48-18-CLU.txt","Contig18")</f>
        <v>Contig18</v>
      </c>
      <c r="E56" t="str">
        <f>HYPERLINK("http://exon.niaid.nih.gov/transcriptome/T_rubida/S1/links/Triru/Triru-5-48-18-qual.txt","90.7")</f>
        <v>90.7</v>
      </c>
      <c r="F56" t="s">
        <v>10</v>
      </c>
      <c r="G56">
        <v>61.9</v>
      </c>
      <c r="H56">
        <v>626</v>
      </c>
      <c r="I56" t="s">
        <v>29</v>
      </c>
      <c r="J56">
        <v>649</v>
      </c>
      <c r="K56">
        <v>645</v>
      </c>
      <c r="L56">
        <v>531</v>
      </c>
      <c r="M56" t="s">
        <v>5114</v>
      </c>
      <c r="N56" s="15">
        <v>3</v>
      </c>
      <c r="O56" s="14" t="str">
        <f>HYPERLINK("http://exon.niaid.nih.gov/transcriptome/T_rubida/S1/links/Sigp/TRIRU-CONTIG_18-SigP.txt","SIG")</f>
        <v>SIG</v>
      </c>
      <c r="P56" t="s">
        <v>5059</v>
      </c>
      <c r="Q56" s="5" t="s">
        <v>4818</v>
      </c>
      <c r="R56" t="s">
        <v>5719</v>
      </c>
      <c r="S56" t="str">
        <f>HYPERLINK("http://exon.niaid.nih.gov/transcriptome/T_rubida/S1/links/PFAM/Triru-contig_18-PFAM.txt","PFAM")</f>
        <v>PFAM</v>
      </c>
      <c r="T56" s="23">
        <v>6.9999999999999997E-18</v>
      </c>
      <c r="U56">
        <v>95.2</v>
      </c>
      <c r="V56" s="1" t="str">
        <f>HYPERLINK("http://exon.niaid.nih.gov/transcriptome/T_rubida/S1/links/NR/Triru-contig_18-NR.txt","unnamed protein product")</f>
        <v>unnamed protein product</v>
      </c>
      <c r="W56" t="str">
        <f>HYPERLINK("http://www.ncbi.nlm.nih.gov/sutils/blink.cgi?pid=270046178","4E-044")</f>
        <v>4E-044</v>
      </c>
      <c r="X56" t="str">
        <f>HYPERLINK("http://www.ncbi.nlm.nih.gov/protein/270046178","gi|270046178")</f>
        <v>gi|270046178</v>
      </c>
      <c r="Y56">
        <v>182</v>
      </c>
      <c r="Z56">
        <v>176</v>
      </c>
      <c r="AA56">
        <v>178</v>
      </c>
      <c r="AB56">
        <v>53</v>
      </c>
      <c r="AC56">
        <v>99</v>
      </c>
      <c r="AD56">
        <v>85</v>
      </c>
      <c r="AE56">
        <v>9</v>
      </c>
      <c r="AF56">
        <v>1</v>
      </c>
      <c r="AG56">
        <v>33</v>
      </c>
      <c r="AH56">
        <v>1</v>
      </c>
      <c r="AI56">
        <v>3</v>
      </c>
      <c r="AJ56" t="s">
        <v>11</v>
      </c>
      <c r="AL56" t="s">
        <v>700</v>
      </c>
      <c r="AM56" t="s">
        <v>746</v>
      </c>
      <c r="AN56" t="s">
        <v>702</v>
      </c>
      <c r="AO56" s="1" t="str">
        <f>HYPERLINK("http://exon.niaid.nih.gov/transcriptome/T_rubida/S1/links/SWISSP/Triru-contig_18-SWISSP.txt","Procalin")</f>
        <v>Procalin</v>
      </c>
      <c r="AP56" t="str">
        <f>HYPERLINK("http://www.uniprot.org/uniprot/Q9U6R6","8E-029")</f>
        <v>8E-029</v>
      </c>
      <c r="AQ56" t="s">
        <v>703</v>
      </c>
      <c r="AR56">
        <v>127</v>
      </c>
      <c r="AS56">
        <v>167</v>
      </c>
      <c r="AT56">
        <v>38</v>
      </c>
      <c r="AU56">
        <v>99</v>
      </c>
      <c r="AV56">
        <v>108</v>
      </c>
      <c r="AW56">
        <v>5</v>
      </c>
      <c r="AX56">
        <v>1</v>
      </c>
      <c r="AY56">
        <v>33</v>
      </c>
      <c r="AZ56">
        <v>1</v>
      </c>
      <c r="BA56">
        <v>3</v>
      </c>
      <c r="BB56" t="s">
        <v>11</v>
      </c>
      <c r="BD56" t="s">
        <v>704</v>
      </c>
      <c r="BE56" t="s">
        <v>705</v>
      </c>
      <c r="BF56" t="s">
        <v>774</v>
      </c>
      <c r="BG56" t="s">
        <v>775</v>
      </c>
      <c r="BH56" s="1" t="s">
        <v>57</v>
      </c>
      <c r="BI56" t="s">
        <v>57</v>
      </c>
      <c r="BJ56" s="1" t="str">
        <f>HYPERLINK("http://exon.niaid.nih.gov/transcriptome/T_rubida/S1/links/CDD/Triru-contig_18-CDD.txt","Triabin")</f>
        <v>Triabin</v>
      </c>
      <c r="BK56" t="str">
        <f>HYPERLINK("http://www.ncbi.nlm.nih.gov/Structure/cdd/cddsrv.cgi?uid=pfam03973&amp;version=v4.0","4E-017")</f>
        <v>4E-017</v>
      </c>
      <c r="BL56" t="s">
        <v>776</v>
      </c>
      <c r="BM56" s="1" t="str">
        <f>HYPERLINK("http://exon.niaid.nih.gov/transcriptome/T_rubida/S1/links/KOG/Triru-contig_18-KOG.txt","Sortilin and related receptors")</f>
        <v>Sortilin and related receptors</v>
      </c>
      <c r="BN56" t="str">
        <f>HYPERLINK("http://www.ncbi.nlm.nih.gov/COG/grace/shokog.cgi?KOG3511","0.30")</f>
        <v>0.30</v>
      </c>
      <c r="BO56" t="s">
        <v>750</v>
      </c>
      <c r="BP56" s="1" t="str">
        <f>HYPERLINK("http://exon.niaid.nih.gov/transcriptome/T_rubida/S1/links/PFAM/Triru-contig_18-PFAM.txt","Triabin")</f>
        <v>Triabin</v>
      </c>
      <c r="BQ56" t="str">
        <f>HYPERLINK("http://pfam.sanger.ac.uk/family?acc=PF03973","7E-018")</f>
        <v>7E-018</v>
      </c>
      <c r="BR56" s="1" t="str">
        <f>HYPERLINK("http://exon.niaid.nih.gov/transcriptome/T_rubida/S1/links/SMART/Triru-contig_18-SMART.txt","IGc1")</f>
        <v>IGc1</v>
      </c>
      <c r="BS56" t="str">
        <f>HYPERLINK("http://smart.embl-heidelberg.de/smart/do_annotation.pl?DOMAIN=IGc1&amp;BLAST=DUMMY","0.25")</f>
        <v>0.25</v>
      </c>
      <c r="BT56" s="1" t="str">
        <f>HYPERLINK("http://exon.niaid.nih.gov/transcriptome/T_rubida/S1/links/PRK/Triru-contig_18-PRK.txt","tRNA modification GTPase TrmE")</f>
        <v>tRNA modification GTPase TrmE</v>
      </c>
      <c r="BU56">
        <v>0.9</v>
      </c>
      <c r="BV56" s="1" t="s">
        <v>57</v>
      </c>
      <c r="BW56" t="s">
        <v>57</v>
      </c>
      <c r="BX56" s="1" t="s">
        <v>57</v>
      </c>
      <c r="BY56" t="s">
        <v>57</v>
      </c>
    </row>
    <row r="57" spans="1:77">
      <c r="A57" t="str">
        <f>HYPERLINK("http://exon.niaid.nih.gov/transcriptome/T_rubida/S1/links/Triru/Triru-contig_13.txt","Triru-contig_13")</f>
        <v>Triru-contig_13</v>
      </c>
      <c r="B57">
        <v>3</v>
      </c>
      <c r="C57" t="str">
        <f>HYPERLINK("http://exon.niaid.nih.gov/transcriptome/T_rubida/S1/links/Triru/Triru-5-48-asb-13.txt","Contig-13")</f>
        <v>Contig-13</v>
      </c>
      <c r="D57" t="str">
        <f>HYPERLINK("http://exon.niaid.nih.gov/transcriptome/T_rubida/S1/links/Triru/Triru-5-48-13-CLU.txt","Contig13")</f>
        <v>Contig13</v>
      </c>
      <c r="E57" t="str">
        <f>HYPERLINK("http://exon.niaid.nih.gov/transcriptome/T_rubida/S1/links/Triru/Triru-5-48-13-qual.txt","66.1")</f>
        <v>66.1</v>
      </c>
      <c r="F57" t="s">
        <v>10</v>
      </c>
      <c r="G57">
        <v>60.5</v>
      </c>
      <c r="H57">
        <v>627</v>
      </c>
      <c r="I57" t="s">
        <v>24</v>
      </c>
      <c r="J57">
        <v>626</v>
      </c>
      <c r="K57">
        <v>646</v>
      </c>
      <c r="L57">
        <v>573</v>
      </c>
      <c r="M57" t="s">
        <v>5120</v>
      </c>
      <c r="N57" s="15">
        <v>3</v>
      </c>
      <c r="O57" s="14" t="str">
        <f>HYPERLINK("http://exon.niaid.nih.gov/transcriptome/T_rubida/S1/links/Sigp/TRIRU-CONTIG_13-SigP.txt","SIG")</f>
        <v>SIG</v>
      </c>
      <c r="P57" t="s">
        <v>5059</v>
      </c>
      <c r="Q57" s="5" t="s">
        <v>4818</v>
      </c>
      <c r="R57" t="s">
        <v>5719</v>
      </c>
      <c r="S57" t="str">
        <f>HYPERLINK("http://exon.niaid.nih.gov/transcriptome/T_rubida/S1/links/PFAM/Triru-contig_13-PFAM.txt","PFAM")</f>
        <v>PFAM</v>
      </c>
      <c r="T57" s="23">
        <v>3.0000000000000001E-17</v>
      </c>
      <c r="U57">
        <v>95.2</v>
      </c>
      <c r="V57" s="1" t="str">
        <f>HYPERLINK("http://exon.niaid.nih.gov/transcriptome/T_rubida/S1/links/NR/Triru-contig_13-NR.txt","unnamed protein product")</f>
        <v>unnamed protein product</v>
      </c>
      <c r="W57" t="str">
        <f>HYPERLINK("http://www.ncbi.nlm.nih.gov/sutils/blink.cgi?pid=270046244","2E-042")</f>
        <v>2E-042</v>
      </c>
      <c r="X57" t="str">
        <f>HYPERLINK("http://www.ncbi.nlm.nih.gov/protein/270046244","gi|270046244")</f>
        <v>gi|270046244</v>
      </c>
      <c r="Y57">
        <v>176</v>
      </c>
      <c r="Z57">
        <v>174</v>
      </c>
      <c r="AA57">
        <v>177</v>
      </c>
      <c r="AB57">
        <v>53</v>
      </c>
      <c r="AC57">
        <v>99</v>
      </c>
      <c r="AD57">
        <v>84</v>
      </c>
      <c r="AE57">
        <v>9</v>
      </c>
      <c r="AF57">
        <v>1</v>
      </c>
      <c r="AG57">
        <v>33</v>
      </c>
      <c r="AH57">
        <v>1</v>
      </c>
      <c r="AI57">
        <v>3</v>
      </c>
      <c r="AJ57" t="s">
        <v>11</v>
      </c>
      <c r="AL57" t="s">
        <v>700</v>
      </c>
      <c r="AM57" t="s">
        <v>756</v>
      </c>
      <c r="AN57" t="s">
        <v>702</v>
      </c>
      <c r="AO57" s="1" t="str">
        <f>HYPERLINK("http://exon.niaid.nih.gov/transcriptome/T_rubida/S1/links/SWISSP/Triru-contig_13-SWISSP.txt","Procalin")</f>
        <v>Procalin</v>
      </c>
      <c r="AP57" t="str">
        <f>HYPERLINK("http://www.uniprot.org/uniprot/Q9U6R6","2E-027")</f>
        <v>2E-027</v>
      </c>
      <c r="AQ57" t="s">
        <v>703</v>
      </c>
      <c r="AR57">
        <v>122</v>
      </c>
      <c r="AS57">
        <v>165</v>
      </c>
      <c r="AT57">
        <v>38</v>
      </c>
      <c r="AU57">
        <v>98</v>
      </c>
      <c r="AV57">
        <v>108</v>
      </c>
      <c r="AW57">
        <v>5</v>
      </c>
      <c r="AX57">
        <v>1</v>
      </c>
      <c r="AY57">
        <v>33</v>
      </c>
      <c r="AZ57">
        <v>1</v>
      </c>
      <c r="BA57">
        <v>3</v>
      </c>
      <c r="BB57" t="s">
        <v>11</v>
      </c>
      <c r="BD57" t="s">
        <v>704</v>
      </c>
      <c r="BE57" t="s">
        <v>705</v>
      </c>
      <c r="BF57" t="s">
        <v>757</v>
      </c>
      <c r="BG57" t="s">
        <v>758</v>
      </c>
      <c r="BH57" s="1" t="s">
        <v>57</v>
      </c>
      <c r="BI57" t="s">
        <v>57</v>
      </c>
      <c r="BJ57" s="1" t="str">
        <f>HYPERLINK("http://exon.niaid.nih.gov/transcriptome/T_rubida/S1/links/CDD/Triru-contig_13-CDD.txt","Triabin")</f>
        <v>Triabin</v>
      </c>
      <c r="BK57" t="str">
        <f>HYPERLINK("http://www.ncbi.nlm.nih.gov/Structure/cdd/cddsrv.cgi?uid=pfam03973&amp;version=v4.0","2E-016")</f>
        <v>2E-016</v>
      </c>
      <c r="BL57" t="s">
        <v>759</v>
      </c>
      <c r="BM57" s="1" t="str">
        <f>HYPERLINK("http://exon.niaid.nih.gov/transcriptome/T_rubida/S1/links/KOG/Triru-contig_13-KOG.txt","Apolipoprotein D/Lipocalin")</f>
        <v>Apolipoprotein D/Lipocalin</v>
      </c>
      <c r="BN57" t="str">
        <f>HYPERLINK("http://www.ncbi.nlm.nih.gov/COG/grace/shokog.cgi?KOG4824","0.34")</f>
        <v>0.34</v>
      </c>
      <c r="BO57" t="s">
        <v>760</v>
      </c>
      <c r="BP57" s="1" t="str">
        <f>HYPERLINK("http://exon.niaid.nih.gov/transcriptome/T_rubida/S1/links/PFAM/Triru-contig_13-PFAM.txt","Triabin")</f>
        <v>Triabin</v>
      </c>
      <c r="BQ57" t="str">
        <f>HYPERLINK("http://pfam.sanger.ac.uk/family?acc=PF03973","3E-017")</f>
        <v>3E-017</v>
      </c>
      <c r="BR57" s="1" t="str">
        <f>HYPERLINK("http://exon.niaid.nih.gov/transcriptome/T_rubida/S1/links/SMART/Triru-contig_13-SMART.txt","RIO")</f>
        <v>RIO</v>
      </c>
      <c r="BS57" t="str">
        <f>HYPERLINK("http://smart.embl-heidelberg.de/smart/do_annotation.pl?DOMAIN=RIO&amp;BLAST=DUMMY","0.10")</f>
        <v>0.10</v>
      </c>
      <c r="BT57" s="1" t="str">
        <f>HYPERLINK("http://exon.niaid.nih.gov/transcriptome/T_rubida/S1/links/PRK/Triru-contig_13-PRK.txt","type III secretion system protein")</f>
        <v>type III secretion system protein</v>
      </c>
      <c r="BU57">
        <v>0.48</v>
      </c>
      <c r="BV57" s="1" t="s">
        <v>57</v>
      </c>
      <c r="BW57" t="s">
        <v>57</v>
      </c>
      <c r="BX57" s="1" t="s">
        <v>57</v>
      </c>
      <c r="BY57" t="s">
        <v>57</v>
      </c>
    </row>
    <row r="58" spans="1:77">
      <c r="A58" t="str">
        <f>HYPERLINK("http://exon.niaid.nih.gov/transcriptome/T_rubida/S1/links/Triru/Triru-contig_3.txt","Triru-contig_3")</f>
        <v>Triru-contig_3</v>
      </c>
      <c r="B58">
        <v>3</v>
      </c>
      <c r="C58" t="str">
        <f>HYPERLINK("http://exon.niaid.nih.gov/transcriptome/T_rubida/S1/links/Triru/Triru-5-48-asb-3.txt","Contig-3")</f>
        <v>Contig-3</v>
      </c>
      <c r="D58" t="str">
        <f>HYPERLINK("http://exon.niaid.nih.gov/transcriptome/T_rubida/S1/links/Triru/Triru-5-48-3-CLU.txt","Contig3")</f>
        <v>Contig3</v>
      </c>
      <c r="E58" t="str">
        <f>HYPERLINK("http://exon.niaid.nih.gov/transcriptome/T_rubida/S1/links/Triru/Triru-5-48-3-qual.txt","70.8")</f>
        <v>70.8</v>
      </c>
      <c r="F58" t="s">
        <v>10</v>
      </c>
      <c r="G58">
        <v>62.9</v>
      </c>
      <c r="H58">
        <v>517</v>
      </c>
      <c r="I58" t="s">
        <v>14</v>
      </c>
      <c r="J58">
        <v>517</v>
      </c>
      <c r="K58">
        <v>536</v>
      </c>
      <c r="L58">
        <v>429</v>
      </c>
      <c r="M58" t="s">
        <v>5132</v>
      </c>
      <c r="N58" s="15">
        <v>3</v>
      </c>
      <c r="O58" s="14" t="str">
        <f>HYPERLINK("http://exon.niaid.nih.gov/transcriptome/T_rubida/S1/links/Sigp/TRIRU-CONTIG_3-SigP.txt","Cyt")</f>
        <v>Cyt</v>
      </c>
      <c r="Q58" s="5" t="s">
        <v>4818</v>
      </c>
      <c r="R58" t="s">
        <v>5719</v>
      </c>
      <c r="S58" t="str">
        <f>HYPERLINK("http://exon.niaid.nih.gov/transcriptome/T_rubida/S1/links/PFAM/Triru-contig_3-PFAM.txt","PFAM")</f>
        <v>PFAM</v>
      </c>
      <c r="T58" s="23">
        <v>2.0000000000000001E-17</v>
      </c>
      <c r="U58">
        <v>89.1</v>
      </c>
      <c r="V58" s="1" t="str">
        <f>HYPERLINK("http://exon.niaid.nih.gov/transcriptome/T_rubida/S1/links/NR/Triru-contig_3-NR.txt","unnamed protein product")</f>
        <v>unnamed protein product</v>
      </c>
      <c r="W58" t="str">
        <f>HYPERLINK("http://www.ncbi.nlm.nih.gov/sutils/blink.cgi?pid=270046244","2E-027")</f>
        <v>2E-027</v>
      </c>
      <c r="X58" t="str">
        <f>HYPERLINK("http://www.ncbi.nlm.nih.gov/protein/270046244","gi|270046244")</f>
        <v>gi|270046244</v>
      </c>
      <c r="Y58">
        <v>125</v>
      </c>
      <c r="Z58">
        <v>145</v>
      </c>
      <c r="AA58">
        <v>177</v>
      </c>
      <c r="AB58">
        <v>47</v>
      </c>
      <c r="AC58">
        <v>82</v>
      </c>
      <c r="AD58">
        <v>78</v>
      </c>
      <c r="AE58">
        <v>9</v>
      </c>
      <c r="AF58">
        <v>31</v>
      </c>
      <c r="AG58">
        <v>30</v>
      </c>
      <c r="AH58">
        <v>1</v>
      </c>
      <c r="AI58">
        <v>3</v>
      </c>
      <c r="AJ58" t="s">
        <v>11</v>
      </c>
      <c r="AL58" t="s">
        <v>700</v>
      </c>
      <c r="AM58" t="s">
        <v>716</v>
      </c>
      <c r="AN58" t="s">
        <v>711</v>
      </c>
      <c r="AO58" s="1" t="str">
        <f>HYPERLINK("http://exon.niaid.nih.gov/transcriptome/T_rubida/S1/links/SWISSP/Triru-contig_3-SWISSP.txt","Procalin")</f>
        <v>Procalin</v>
      </c>
      <c r="AP58" t="str">
        <f>HYPERLINK("http://www.uniprot.org/uniprot/Q9U6R6","1E-016")</f>
        <v>1E-016</v>
      </c>
      <c r="AQ58" t="s">
        <v>703</v>
      </c>
      <c r="AR58">
        <v>85.9</v>
      </c>
      <c r="AS58">
        <v>141</v>
      </c>
      <c r="AT58">
        <v>31</v>
      </c>
      <c r="AU58">
        <v>84</v>
      </c>
      <c r="AV58">
        <v>98</v>
      </c>
      <c r="AW58">
        <v>5</v>
      </c>
      <c r="AX58">
        <v>27</v>
      </c>
      <c r="AY58">
        <v>30</v>
      </c>
      <c r="AZ58">
        <v>1</v>
      </c>
      <c r="BA58">
        <v>3</v>
      </c>
      <c r="BB58" t="s">
        <v>11</v>
      </c>
      <c r="BD58" t="s">
        <v>704</v>
      </c>
      <c r="BE58" t="s">
        <v>705</v>
      </c>
      <c r="BF58" t="s">
        <v>717</v>
      </c>
      <c r="BG58" t="s">
        <v>718</v>
      </c>
      <c r="BH58" s="1" t="s">
        <v>57</v>
      </c>
      <c r="BI58" t="s">
        <v>57</v>
      </c>
      <c r="BJ58" s="1" t="str">
        <f>HYPERLINK("http://exon.niaid.nih.gov/transcriptome/T_rubida/S1/links/CDD/Triru-contig_3-CDD.txt","Triabin")</f>
        <v>Triabin</v>
      </c>
      <c r="BK58" t="str">
        <f>HYPERLINK("http://www.ncbi.nlm.nih.gov/Structure/cdd/cddsrv.cgi?uid=pfam03973&amp;version=v4.0","1E-016")</f>
        <v>1E-016</v>
      </c>
      <c r="BL58" t="s">
        <v>719</v>
      </c>
      <c r="BM58" s="1" t="str">
        <f>HYPERLINK("http://exon.niaid.nih.gov/transcriptome/T_rubida/S1/links/KOG/Triru-contig_3-KOG.txt","Non voltage-gated ion channels (DEG/ENaC family)")</f>
        <v>Non voltage-gated ion channels (DEG/ENaC family)</v>
      </c>
      <c r="BN58" t="str">
        <f>HYPERLINK("http://www.ncbi.nlm.nih.gov/COG/grace/shokog.cgi?KOG4294","0.62")</f>
        <v>0.62</v>
      </c>
      <c r="BO58" t="s">
        <v>720</v>
      </c>
      <c r="BP58" s="1" t="str">
        <f>HYPERLINK("http://exon.niaid.nih.gov/transcriptome/T_rubida/S1/links/PFAM/Triru-contig_3-PFAM.txt","Triabin")</f>
        <v>Triabin</v>
      </c>
      <c r="BQ58" t="str">
        <f>HYPERLINK("http://pfam.sanger.ac.uk/family?acc=PF03973","2E-017")</f>
        <v>2E-017</v>
      </c>
      <c r="BR58" s="1" t="str">
        <f>HYPERLINK("http://exon.niaid.nih.gov/transcriptome/T_rubida/S1/links/SMART/Triru-contig_3-SMART.txt","RIBOc")</f>
        <v>RIBOc</v>
      </c>
      <c r="BS58" t="str">
        <f>HYPERLINK("http://smart.embl-heidelberg.de/smart/do_annotation.pl?DOMAIN=RIBOc&amp;BLAST=DUMMY","0.036")</f>
        <v>0.036</v>
      </c>
      <c r="BT58" s="1" t="str">
        <f>HYPERLINK("http://exon.niaid.nih.gov/transcriptome/T_rubida/S1/links/PRK/Triru-contig_3-PRK.txt","NADH dehydrogenase subunit 5")</f>
        <v>NADH dehydrogenase subunit 5</v>
      </c>
      <c r="BU58">
        <v>1E-3</v>
      </c>
      <c r="BV58" s="1" t="s">
        <v>57</v>
      </c>
      <c r="BW58" t="s">
        <v>57</v>
      </c>
      <c r="BX58" s="1" t="s">
        <v>57</v>
      </c>
      <c r="BY58" t="s">
        <v>57</v>
      </c>
    </row>
    <row r="59" spans="1:77">
      <c r="A59" t="str">
        <f>HYPERLINK("http://exon.niaid.nih.gov/transcriptome/T_rubida/S1/links/Triru/Triru-contig_31.txt","Triru-contig_31")</f>
        <v>Triru-contig_31</v>
      </c>
      <c r="B59">
        <v>2</v>
      </c>
      <c r="C59" t="str">
        <f>HYPERLINK("http://exon.niaid.nih.gov/transcriptome/T_rubida/S1/links/Triru/Triru-5-48-asb-31.txt","Contig-31")</f>
        <v>Contig-31</v>
      </c>
      <c r="D59" t="str">
        <f>HYPERLINK("http://exon.niaid.nih.gov/transcriptome/T_rubida/S1/links/Triru/Triru-5-48-31-CLU.txt","Contig31")</f>
        <v>Contig31</v>
      </c>
      <c r="E59" t="str">
        <f>HYPERLINK("http://exon.niaid.nih.gov/transcriptome/T_rubida/S1/links/Triru/Triru-5-48-31-qual.txt","84.2")</f>
        <v>84.2</v>
      </c>
      <c r="F59" t="s">
        <v>10</v>
      </c>
      <c r="G59">
        <v>63.6</v>
      </c>
      <c r="H59">
        <v>602</v>
      </c>
      <c r="I59" t="s">
        <v>42</v>
      </c>
      <c r="J59">
        <v>604</v>
      </c>
      <c r="K59">
        <v>621</v>
      </c>
      <c r="L59">
        <v>537</v>
      </c>
      <c r="M59" t="s">
        <v>5115</v>
      </c>
      <c r="N59" s="15">
        <v>1</v>
      </c>
      <c r="O59" s="14" t="str">
        <f>HYPERLINK("http://exon.niaid.nih.gov/transcriptome/T_rubida/S1/links/Sigp/TRIRU-CONTIG_31-SigP.txt","SIG")</f>
        <v>SIG</v>
      </c>
      <c r="P59" t="s">
        <v>5057</v>
      </c>
      <c r="Q59" s="5" t="s">
        <v>4818</v>
      </c>
      <c r="R59" t="s">
        <v>5719</v>
      </c>
      <c r="S59" t="str">
        <f>HYPERLINK("http://exon.niaid.nih.gov/transcriptome/T_rubida/S1/links/PFAM/Triru-contig_31-PFAM.txt","PFAM")</f>
        <v>PFAM</v>
      </c>
      <c r="T59" s="23">
        <v>3.9999999999999999E-12</v>
      </c>
      <c r="U59">
        <v>96</v>
      </c>
      <c r="V59" s="1" t="str">
        <f>HYPERLINK("http://exon.niaid.nih.gov/transcriptome/T_rubida/S1/links/NR/Triru-contig_31-NR.txt","unnamed protein product")</f>
        <v>unnamed protein product</v>
      </c>
      <c r="W59" t="str">
        <f>HYPERLINK("http://www.ncbi.nlm.nih.gov/sutils/blink.cgi?pid=270046166","6E-044")</f>
        <v>6E-044</v>
      </c>
      <c r="X59" t="str">
        <f>HYPERLINK("http://www.ncbi.nlm.nih.gov/protein/270046166","gi|270046166")</f>
        <v>gi|270046166</v>
      </c>
      <c r="Y59">
        <v>181</v>
      </c>
      <c r="Z59">
        <v>175</v>
      </c>
      <c r="AA59">
        <v>177</v>
      </c>
      <c r="AB59">
        <v>51</v>
      </c>
      <c r="AC59">
        <v>99</v>
      </c>
      <c r="AD59">
        <v>86</v>
      </c>
      <c r="AE59">
        <v>9</v>
      </c>
      <c r="AF59">
        <v>1</v>
      </c>
      <c r="AG59">
        <v>31</v>
      </c>
      <c r="AH59">
        <v>1</v>
      </c>
      <c r="AI59">
        <v>1</v>
      </c>
      <c r="AJ59" t="s">
        <v>11</v>
      </c>
      <c r="AL59" t="s">
        <v>700</v>
      </c>
      <c r="AM59" t="s">
        <v>845</v>
      </c>
      <c r="AN59" t="s">
        <v>841</v>
      </c>
      <c r="AO59" s="1" t="str">
        <f>HYPERLINK("http://exon.niaid.nih.gov/transcriptome/T_rubida/S1/links/SWISSP/Triru-contig_31-SWISSP.txt","Procalin")</f>
        <v>Procalin</v>
      </c>
      <c r="AP59" t="str">
        <f>HYPERLINK("http://www.uniprot.org/uniprot/Q9U6R6","4E-030")</f>
        <v>4E-030</v>
      </c>
      <c r="AQ59" t="s">
        <v>703</v>
      </c>
      <c r="AR59">
        <v>131</v>
      </c>
      <c r="AS59">
        <v>167</v>
      </c>
      <c r="AT59">
        <v>39</v>
      </c>
      <c r="AU59">
        <v>99</v>
      </c>
      <c r="AV59">
        <v>106</v>
      </c>
      <c r="AW59">
        <v>6</v>
      </c>
      <c r="AX59">
        <v>1</v>
      </c>
      <c r="AY59">
        <v>31</v>
      </c>
      <c r="AZ59">
        <v>1</v>
      </c>
      <c r="BA59">
        <v>1</v>
      </c>
      <c r="BB59" t="s">
        <v>11</v>
      </c>
      <c r="BD59" t="s">
        <v>704</v>
      </c>
      <c r="BE59" t="s">
        <v>705</v>
      </c>
      <c r="BF59" t="s">
        <v>846</v>
      </c>
      <c r="BG59" t="s">
        <v>847</v>
      </c>
      <c r="BH59" s="1" t="s">
        <v>57</v>
      </c>
      <c r="BI59" t="s">
        <v>57</v>
      </c>
      <c r="BJ59" s="1" t="str">
        <f>HYPERLINK("http://exon.niaid.nih.gov/transcriptome/T_rubida/S1/links/CDD/Triru-contig_31-CDD.txt","Triabin")</f>
        <v>Triabin</v>
      </c>
      <c r="BK59" t="str">
        <f>HYPERLINK("http://www.ncbi.nlm.nih.gov/Structure/cdd/cddsrv.cgi?uid=pfam03973&amp;version=v4.0","2E-011")</f>
        <v>2E-011</v>
      </c>
      <c r="BL59" t="s">
        <v>848</v>
      </c>
      <c r="BM59" s="1" t="str">
        <f>HYPERLINK("http://exon.niaid.nih.gov/transcriptome/T_rubida/S1/links/KOG/Triru-contig_31-KOG.txt","Sodium/hydrogen exchanger protein")</f>
        <v>Sodium/hydrogen exchanger protein</v>
      </c>
      <c r="BN59" t="str">
        <f>HYPERLINK("http://www.ncbi.nlm.nih.gov/COG/grace/shokog.cgi?KOG1965","0.77")</f>
        <v>0.77</v>
      </c>
      <c r="BO59" t="s">
        <v>849</v>
      </c>
      <c r="BP59" s="1" t="str">
        <f>HYPERLINK("http://exon.niaid.nih.gov/transcriptome/T_rubida/S1/links/PFAM/Triru-contig_31-PFAM.txt","Triabin")</f>
        <v>Triabin</v>
      </c>
      <c r="BQ59" t="str">
        <f>HYPERLINK("http://pfam.sanger.ac.uk/family?acc=PF03973","4E-012")</f>
        <v>4E-012</v>
      </c>
      <c r="BR59" s="1" t="str">
        <f>HYPERLINK("http://exon.niaid.nih.gov/transcriptome/T_rubida/S1/links/SMART/Triru-contig_31-SMART.txt","SprT")</f>
        <v>SprT</v>
      </c>
      <c r="BS59" t="str">
        <f>HYPERLINK("http://smart.embl-heidelberg.de/smart/do_annotation.pl?DOMAIN=SprT&amp;BLAST=DUMMY","0.19")</f>
        <v>0.19</v>
      </c>
      <c r="BT59" s="1" t="str">
        <f>HYPERLINK("http://exon.niaid.nih.gov/transcriptome/T_rubida/S1/links/PRK/Triru-contig_31-PRK.txt","NTP-binding motif containing protein.")</f>
        <v>NTP-binding motif containing protein.</v>
      </c>
      <c r="BU59">
        <v>9.4E-2</v>
      </c>
      <c r="BV59" s="1" t="s">
        <v>57</v>
      </c>
      <c r="BW59" t="s">
        <v>57</v>
      </c>
      <c r="BX59" s="1" t="s">
        <v>57</v>
      </c>
      <c r="BY59" t="s">
        <v>57</v>
      </c>
    </row>
    <row r="60" spans="1:77">
      <c r="A60" t="str">
        <f>HYPERLINK("http://exon.niaid.nih.gov/transcriptome/T_rubida/S1/links/Triru/Triru-contig_5.txt","Triru-contig_5")</f>
        <v>Triru-contig_5</v>
      </c>
      <c r="B60">
        <v>2</v>
      </c>
      <c r="C60" t="str">
        <f>HYPERLINK("http://exon.niaid.nih.gov/transcriptome/T_rubida/S1/links/Triru/Triru-5-48-asb-5.txt","Contig-5")</f>
        <v>Contig-5</v>
      </c>
      <c r="D60" t="str">
        <f>HYPERLINK("http://exon.niaid.nih.gov/transcriptome/T_rubida/S1/links/Triru/Triru-5-48-5-CLU.txt","Contig5")</f>
        <v>Contig5</v>
      </c>
      <c r="E60" t="str">
        <f>HYPERLINK("http://exon.niaid.nih.gov/transcriptome/T_rubida/S1/links/Triru/Triru-5-48-5-qual.txt","81.3")</f>
        <v>81.3</v>
      </c>
      <c r="F60" t="s">
        <v>10</v>
      </c>
      <c r="G60">
        <v>63.9</v>
      </c>
      <c r="H60">
        <v>524</v>
      </c>
      <c r="I60" t="s">
        <v>16</v>
      </c>
      <c r="J60">
        <v>521</v>
      </c>
      <c r="K60">
        <v>543</v>
      </c>
      <c r="L60">
        <v>429</v>
      </c>
      <c r="M60" t="s">
        <v>5130</v>
      </c>
      <c r="N60" s="15">
        <v>2</v>
      </c>
      <c r="O60" s="14" t="str">
        <f>HYPERLINK("http://exon.niaid.nih.gov/transcriptome/T_rubida/S1/links/Sigp/TRIRU-CONTIG_5-SigP.txt","Cyt")</f>
        <v>Cyt</v>
      </c>
      <c r="Q60" s="5" t="s">
        <v>4818</v>
      </c>
      <c r="R60" t="s">
        <v>5719</v>
      </c>
      <c r="S60" t="str">
        <f>HYPERLINK("http://exon.niaid.nih.gov/transcriptome/T_rubida/S1/links/PFAM/Triru-contig_5-PFAM.txt","PFAM")</f>
        <v>PFAM</v>
      </c>
      <c r="T60" s="23">
        <v>1.0000000000000001E-17</v>
      </c>
      <c r="U60">
        <v>89.1</v>
      </c>
      <c r="V60" s="1" t="str">
        <f>HYPERLINK("http://exon.niaid.nih.gov/transcriptome/T_rubida/S1/links/NR/Triru-contig_5-NR.txt","unnamed protein product")</f>
        <v>unnamed protein product</v>
      </c>
      <c r="W60" t="str">
        <f>HYPERLINK("http://www.ncbi.nlm.nih.gov/sutils/blink.cgi?pid=270046244","6E-032")</f>
        <v>6E-032</v>
      </c>
      <c r="X60" t="str">
        <f>HYPERLINK("http://www.ncbi.nlm.nih.gov/protein/270046244","gi|270046244")</f>
        <v>gi|270046244</v>
      </c>
      <c r="Y60">
        <v>140</v>
      </c>
      <c r="Z60">
        <v>145</v>
      </c>
      <c r="AA60">
        <v>177</v>
      </c>
      <c r="AB60">
        <v>50</v>
      </c>
      <c r="AC60">
        <v>82</v>
      </c>
      <c r="AD60">
        <v>74</v>
      </c>
      <c r="AE60">
        <v>9</v>
      </c>
      <c r="AF60">
        <v>31</v>
      </c>
      <c r="AG60">
        <v>20</v>
      </c>
      <c r="AH60">
        <v>1</v>
      </c>
      <c r="AI60">
        <v>2</v>
      </c>
      <c r="AJ60" t="s">
        <v>11</v>
      </c>
      <c r="AL60" t="s">
        <v>700</v>
      </c>
      <c r="AM60" t="s">
        <v>724</v>
      </c>
      <c r="AN60" t="s">
        <v>702</v>
      </c>
      <c r="AO60" s="1" t="str">
        <f>HYPERLINK("http://exon.niaid.nih.gov/transcriptome/T_rubida/S1/links/SWISSP/Triru-contig_5-SWISSP.txt","Procalin")</f>
        <v>Procalin</v>
      </c>
      <c r="AP60" t="str">
        <f>HYPERLINK("http://www.uniprot.org/uniprot/Q9U6R6","2E-020")</f>
        <v>2E-020</v>
      </c>
      <c r="AQ60" t="s">
        <v>703</v>
      </c>
      <c r="AR60">
        <v>98.6</v>
      </c>
      <c r="AS60">
        <v>141</v>
      </c>
      <c r="AT60">
        <v>35</v>
      </c>
      <c r="AU60">
        <v>84</v>
      </c>
      <c r="AV60">
        <v>93</v>
      </c>
      <c r="AW60">
        <v>5</v>
      </c>
      <c r="AX60">
        <v>27</v>
      </c>
      <c r="AY60">
        <v>20</v>
      </c>
      <c r="AZ60">
        <v>1</v>
      </c>
      <c r="BA60">
        <v>2</v>
      </c>
      <c r="BB60" t="s">
        <v>11</v>
      </c>
      <c r="BD60" t="s">
        <v>704</v>
      </c>
      <c r="BE60" t="s">
        <v>705</v>
      </c>
      <c r="BF60" t="s">
        <v>725</v>
      </c>
      <c r="BG60" t="s">
        <v>726</v>
      </c>
      <c r="BH60" s="1" t="s">
        <v>57</v>
      </c>
      <c r="BI60" t="s">
        <v>57</v>
      </c>
      <c r="BJ60" s="1" t="str">
        <f>HYPERLINK("http://exon.niaid.nih.gov/transcriptome/T_rubida/S1/links/CDD/Triru-contig_5-CDD.txt","Triabin")</f>
        <v>Triabin</v>
      </c>
      <c r="BK60" t="str">
        <f>HYPERLINK("http://www.ncbi.nlm.nih.gov/Structure/cdd/cddsrv.cgi?uid=pfam03973&amp;version=v4.0","6E-017")</f>
        <v>6E-017</v>
      </c>
      <c r="BL60" t="s">
        <v>727</v>
      </c>
      <c r="BM60" s="1" t="str">
        <f>HYPERLINK("http://exon.niaid.nih.gov/transcriptome/T_rubida/S1/links/KOG/Triru-contig_5-KOG.txt","Cadherin EGF LAG seven-pass G-type receptor")</f>
        <v>Cadherin EGF LAG seven-pass G-type receptor</v>
      </c>
      <c r="BN60" t="str">
        <f>HYPERLINK("http://www.ncbi.nlm.nih.gov/COG/grace/shokog.cgi?KOG4289","0.73")</f>
        <v>0.73</v>
      </c>
      <c r="BO60" t="s">
        <v>728</v>
      </c>
      <c r="BP60" s="1" t="str">
        <f>HYPERLINK("http://exon.niaid.nih.gov/transcriptome/T_rubida/S1/links/PFAM/Triru-contig_5-PFAM.txt","Triabin")</f>
        <v>Triabin</v>
      </c>
      <c r="BQ60" t="str">
        <f>HYPERLINK("http://pfam.sanger.ac.uk/family?acc=PF03973","1E-017")</f>
        <v>1E-017</v>
      </c>
      <c r="BR60" s="1" t="str">
        <f>HYPERLINK("http://exon.niaid.nih.gov/transcriptome/T_rubida/S1/links/SMART/Triru-contig_5-SMART.txt","TLDc")</f>
        <v>TLDc</v>
      </c>
      <c r="BS60" t="str">
        <f>HYPERLINK("http://smart.embl-heidelberg.de/smart/do_annotation.pl?DOMAIN=TLDc&amp;BLAST=DUMMY","0.36")</f>
        <v>0.36</v>
      </c>
      <c r="BT60" s="1" t="str">
        <f>HYPERLINK("http://exon.niaid.nih.gov/transcriptome/T_rubida/S1/links/PRK/Triru-contig_5-PRK.txt","NADH dehydrogenase subunit 5")</f>
        <v>NADH dehydrogenase subunit 5</v>
      </c>
      <c r="BU60">
        <v>2E-3</v>
      </c>
      <c r="BV60" s="1" t="s">
        <v>57</v>
      </c>
      <c r="BW60" t="s">
        <v>57</v>
      </c>
      <c r="BX60" s="1" t="s">
        <v>57</v>
      </c>
      <c r="BY60" t="s">
        <v>57</v>
      </c>
    </row>
    <row r="61" spans="1:77">
      <c r="A61" t="str">
        <f>HYPERLINK("http://exon.niaid.nih.gov/transcriptome/T_rubida/S1/links/Triru/Triru-contig_16.txt","Triru-contig_16")</f>
        <v>Triru-contig_16</v>
      </c>
      <c r="B61">
        <v>2</v>
      </c>
      <c r="C61" t="str">
        <f>HYPERLINK("http://exon.niaid.nih.gov/transcriptome/T_rubida/S1/links/Triru/Triru-5-48-asb-16.txt","Contig-16")</f>
        <v>Contig-16</v>
      </c>
      <c r="D61" t="str">
        <f>HYPERLINK("http://exon.niaid.nih.gov/transcriptome/T_rubida/S1/links/Triru/Triru-5-48-16-CLU.txt","Contig16")</f>
        <v>Contig16</v>
      </c>
      <c r="E61" t="str">
        <f>HYPERLINK("http://exon.niaid.nih.gov/transcriptome/T_rubida/S1/links/Triru/Triru-5-48-16-qual.txt","75.")</f>
        <v>75.</v>
      </c>
      <c r="F61" t="s">
        <v>10</v>
      </c>
      <c r="G61">
        <v>62.5</v>
      </c>
      <c r="H61">
        <v>523</v>
      </c>
      <c r="I61" t="s">
        <v>27</v>
      </c>
      <c r="J61">
        <v>522</v>
      </c>
      <c r="K61">
        <v>542</v>
      </c>
      <c r="L61">
        <v>444</v>
      </c>
      <c r="M61" t="s">
        <v>5134</v>
      </c>
      <c r="N61" s="15">
        <v>3</v>
      </c>
      <c r="O61" s="14" t="str">
        <f>HYPERLINK("http://exon.niaid.nih.gov/transcriptome/T_rubida/S1/links/Sigp/TRIRU-CONTIG_16-SigP.txt","Cyt")</f>
        <v>Cyt</v>
      </c>
      <c r="Q61" s="5" t="s">
        <v>4818</v>
      </c>
      <c r="R61" t="s">
        <v>5719</v>
      </c>
      <c r="S61" t="str">
        <f>HYPERLINK("http://exon.niaid.nih.gov/transcriptome/T_rubida/S1/links/PFAM/Triru-contig_16-PFAM.txt","PFAM")</f>
        <v>PFAM</v>
      </c>
      <c r="T61" s="23">
        <v>2.0000000000000001E-17</v>
      </c>
      <c r="U61">
        <v>87.7</v>
      </c>
      <c r="V61" s="1" t="str">
        <f>HYPERLINK("http://exon.niaid.nih.gov/transcriptome/T_rubida/S1/links/NR/Triru-contig_16-NR.txt","unnamed protein product")</f>
        <v>unnamed protein product</v>
      </c>
      <c r="W61" t="str">
        <f>HYPERLINK("http://www.ncbi.nlm.nih.gov/sutils/blink.cgi?pid=270046164","3E-026")</f>
        <v>3E-026</v>
      </c>
      <c r="X61" t="str">
        <f>HYPERLINK("http://www.ncbi.nlm.nih.gov/protein/270046164","gi|270046164")</f>
        <v>gi|270046164</v>
      </c>
      <c r="Y61">
        <v>122</v>
      </c>
      <c r="Z61">
        <v>146</v>
      </c>
      <c r="AA61">
        <v>177</v>
      </c>
      <c r="AB61">
        <v>43</v>
      </c>
      <c r="AC61">
        <v>83</v>
      </c>
      <c r="AD61">
        <v>84</v>
      </c>
      <c r="AE61">
        <v>8</v>
      </c>
      <c r="AF61">
        <v>31</v>
      </c>
      <c r="AG61">
        <v>30</v>
      </c>
      <c r="AH61">
        <v>1</v>
      </c>
      <c r="AI61">
        <v>3</v>
      </c>
      <c r="AJ61" t="s">
        <v>11</v>
      </c>
      <c r="AL61" t="s">
        <v>700</v>
      </c>
      <c r="AM61" t="s">
        <v>769</v>
      </c>
      <c r="AN61" t="s">
        <v>770</v>
      </c>
      <c r="AO61" s="1" t="str">
        <f>HYPERLINK("http://exon.niaid.nih.gov/transcriptome/T_rubida/S1/links/SWISSP/Triru-contig_16-SWISSP.txt","Procalin")</f>
        <v>Procalin</v>
      </c>
      <c r="AP61" t="str">
        <f>HYPERLINK("http://www.uniprot.org/uniprot/Q9U6R6","2E-018")</f>
        <v>2E-018</v>
      </c>
      <c r="AQ61" t="s">
        <v>703</v>
      </c>
      <c r="AR61">
        <v>92</v>
      </c>
      <c r="AS61">
        <v>141</v>
      </c>
      <c r="AT61">
        <v>33</v>
      </c>
      <c r="AU61">
        <v>84</v>
      </c>
      <c r="AV61">
        <v>96</v>
      </c>
      <c r="AW61">
        <v>5</v>
      </c>
      <c r="AX61">
        <v>27</v>
      </c>
      <c r="AY61">
        <v>30</v>
      </c>
      <c r="AZ61">
        <v>1</v>
      </c>
      <c r="BA61">
        <v>3</v>
      </c>
      <c r="BB61" t="s">
        <v>11</v>
      </c>
      <c r="BD61" t="s">
        <v>704</v>
      </c>
      <c r="BE61" t="s">
        <v>705</v>
      </c>
      <c r="BF61" t="s">
        <v>771</v>
      </c>
      <c r="BG61" t="s">
        <v>772</v>
      </c>
      <c r="BH61" s="1" t="s">
        <v>57</v>
      </c>
      <c r="BI61" t="s">
        <v>57</v>
      </c>
      <c r="BJ61" s="1" t="str">
        <f>HYPERLINK("http://exon.niaid.nih.gov/transcriptome/T_rubida/S1/links/CDD/Triru-contig_16-CDD.txt","Triabin")</f>
        <v>Triabin</v>
      </c>
      <c r="BK61" t="str">
        <f>HYPERLINK("http://www.ncbi.nlm.nih.gov/Structure/cdd/cddsrv.cgi?uid=pfam03973&amp;version=v4.0","1E-016")</f>
        <v>1E-016</v>
      </c>
      <c r="BL61" t="s">
        <v>773</v>
      </c>
      <c r="BM61" s="1" t="str">
        <f>HYPERLINK("http://exon.niaid.nih.gov/transcriptome/T_rubida/S1/links/KOG/Triru-contig_16-KOG.txt","Cadherin EGF LAG seven-pass G-type receptor")</f>
        <v>Cadherin EGF LAG seven-pass G-type receptor</v>
      </c>
      <c r="BN61" t="str">
        <f>HYPERLINK("http://www.ncbi.nlm.nih.gov/COG/grace/shokog.cgi?KOG4289","0.65")</f>
        <v>0.65</v>
      </c>
      <c r="BO61" t="s">
        <v>728</v>
      </c>
      <c r="BP61" s="1" t="str">
        <f>HYPERLINK("http://exon.niaid.nih.gov/transcriptome/T_rubida/S1/links/PFAM/Triru-contig_16-PFAM.txt","Triabin")</f>
        <v>Triabin</v>
      </c>
      <c r="BQ61" t="str">
        <f>HYPERLINK("http://pfam.sanger.ac.uk/family?acc=PF03973","2E-017")</f>
        <v>2E-017</v>
      </c>
      <c r="BR61" s="1" t="str">
        <f>HYPERLINK("http://exon.niaid.nih.gov/transcriptome/T_rubida/S1/links/SMART/Triru-contig_16-SMART.txt","RIBOc")</f>
        <v>RIBOc</v>
      </c>
      <c r="BS61" t="str">
        <f>HYPERLINK("http://smart.embl-heidelberg.de/smart/do_annotation.pl?DOMAIN=RIBOc&amp;BLAST=DUMMY","0.037")</f>
        <v>0.037</v>
      </c>
      <c r="BT61" s="1" t="str">
        <f>HYPERLINK("http://exon.niaid.nih.gov/transcriptome/T_rubida/S1/links/PRK/Triru-contig_16-PRK.txt","NADH dehydrogenase subunit 5")</f>
        <v>NADH dehydrogenase subunit 5</v>
      </c>
      <c r="BU61">
        <v>3.5000000000000003E-2</v>
      </c>
      <c r="BV61" s="1" t="s">
        <v>57</v>
      </c>
      <c r="BW61" t="s">
        <v>57</v>
      </c>
      <c r="BX61" s="1" t="s">
        <v>57</v>
      </c>
      <c r="BY61" t="s">
        <v>57</v>
      </c>
    </row>
    <row r="62" spans="1:77">
      <c r="A62" t="str">
        <f>HYPERLINK("http://exon.niaid.nih.gov/transcriptome/T_rubida/S1/links/Triru/Triru-contig_39.txt","Triru-contig_39")</f>
        <v>Triru-contig_39</v>
      </c>
      <c r="B62">
        <v>1</v>
      </c>
      <c r="C62" t="str">
        <f>HYPERLINK("http://exon.niaid.nih.gov/transcriptome/T_rubida/S1/links/Triru/Triru-5-48-asb-39.txt","Contig-39")</f>
        <v>Contig-39</v>
      </c>
      <c r="D62" t="str">
        <f>HYPERLINK("http://exon.niaid.nih.gov/transcriptome/T_rubida/S1/links/Triru/Triru-5-48-39-CLU.txt","Contig39")</f>
        <v>Contig39</v>
      </c>
      <c r="E62" t="str">
        <f>HYPERLINK("http://exon.niaid.nih.gov/transcriptome/T_rubida/S1/links/Triru/Triru-5-48-39-qual.txt","60.9")</f>
        <v>60.9</v>
      </c>
      <c r="F62" t="s">
        <v>10</v>
      </c>
      <c r="G62">
        <v>60.9</v>
      </c>
      <c r="H62">
        <v>628</v>
      </c>
      <c r="I62" t="s">
        <v>50</v>
      </c>
      <c r="J62">
        <v>628</v>
      </c>
      <c r="K62">
        <v>647</v>
      </c>
      <c r="L62">
        <v>531</v>
      </c>
      <c r="M62" t="s">
        <v>5116</v>
      </c>
      <c r="N62" s="15">
        <v>3</v>
      </c>
      <c r="O62" s="14" t="str">
        <f>HYPERLINK("http://exon.niaid.nih.gov/transcriptome/T_rubida/S1/links/Sigp/TRIRU-CONTIG_39-SigP.txt","SIG")</f>
        <v>SIG</v>
      </c>
      <c r="P62" t="s">
        <v>5059</v>
      </c>
      <c r="Q62" s="5" t="s">
        <v>4818</v>
      </c>
      <c r="R62" t="s">
        <v>5719</v>
      </c>
      <c r="S62" t="str">
        <f>HYPERLINK("http://exon.niaid.nih.gov/transcriptome/T_rubida/S1/links/PFAM/Triru-contig_39-PFAM.txt","PFAM")</f>
        <v>PFAM</v>
      </c>
      <c r="T62" s="23">
        <v>1.0000000000000001E-17</v>
      </c>
      <c r="U62">
        <v>95.2</v>
      </c>
      <c r="V62" s="1" t="str">
        <f>HYPERLINK("http://exon.niaid.nih.gov/transcriptome/T_rubida/S1/links/NR/Triru-contig_39-NR.txt","unnamed protein product")</f>
        <v>unnamed protein product</v>
      </c>
      <c r="W62" t="str">
        <f>HYPERLINK("http://www.ncbi.nlm.nih.gov/sutils/blink.cgi?pid=270046244","7E-044")</f>
        <v>7E-044</v>
      </c>
      <c r="X62" t="str">
        <f>HYPERLINK("http://www.ncbi.nlm.nih.gov/protein/270046244","gi|270046244")</f>
        <v>gi|270046244</v>
      </c>
      <c r="Y62">
        <v>181</v>
      </c>
      <c r="Z62">
        <v>175</v>
      </c>
      <c r="AA62">
        <v>177</v>
      </c>
      <c r="AB62">
        <v>54</v>
      </c>
      <c r="AC62">
        <v>99</v>
      </c>
      <c r="AD62">
        <v>83</v>
      </c>
      <c r="AE62">
        <v>9</v>
      </c>
      <c r="AF62">
        <v>1</v>
      </c>
      <c r="AG62">
        <v>33</v>
      </c>
      <c r="AH62">
        <v>1</v>
      </c>
      <c r="AI62">
        <v>3</v>
      </c>
      <c r="AJ62" t="s">
        <v>11</v>
      </c>
      <c r="AL62" t="s">
        <v>700</v>
      </c>
      <c r="AM62" t="s">
        <v>880</v>
      </c>
      <c r="AN62" t="s">
        <v>702</v>
      </c>
      <c r="AO62" s="1" t="str">
        <f>HYPERLINK("http://exon.niaid.nih.gov/transcriptome/T_rubida/S1/links/SWISSP/Triru-contig_39-SWISSP.txt","Procalin")</f>
        <v>Procalin</v>
      </c>
      <c r="AP62" t="str">
        <f>HYPERLINK("http://www.uniprot.org/uniprot/Q9U6R6","5E-029")</f>
        <v>5E-029</v>
      </c>
      <c r="AQ62" t="s">
        <v>703</v>
      </c>
      <c r="AR62">
        <v>127</v>
      </c>
      <c r="AS62">
        <v>167</v>
      </c>
      <c r="AT62">
        <v>38</v>
      </c>
      <c r="AU62">
        <v>99</v>
      </c>
      <c r="AV62">
        <v>108</v>
      </c>
      <c r="AW62">
        <v>5</v>
      </c>
      <c r="AX62">
        <v>1</v>
      </c>
      <c r="AY62">
        <v>33</v>
      </c>
      <c r="AZ62">
        <v>1</v>
      </c>
      <c r="BA62">
        <v>3</v>
      </c>
      <c r="BB62" t="s">
        <v>11</v>
      </c>
      <c r="BD62" t="s">
        <v>704</v>
      </c>
      <c r="BE62" t="s">
        <v>705</v>
      </c>
      <c r="BF62" t="s">
        <v>881</v>
      </c>
      <c r="BG62" t="s">
        <v>882</v>
      </c>
      <c r="BH62" s="1" t="s">
        <v>57</v>
      </c>
      <c r="BI62" t="s">
        <v>57</v>
      </c>
      <c r="BJ62" s="1" t="str">
        <f>HYPERLINK("http://exon.niaid.nih.gov/transcriptome/T_rubida/S1/links/CDD/Triru-contig_39-CDD.txt","Triabin")</f>
        <v>Triabin</v>
      </c>
      <c r="BK62" t="str">
        <f>HYPERLINK("http://www.ncbi.nlm.nih.gov/Structure/cdd/cddsrv.cgi?uid=pfam03973&amp;version=v4.0","6E-017")</f>
        <v>6E-017</v>
      </c>
      <c r="BL62" t="s">
        <v>883</v>
      </c>
      <c r="BM62" s="1" t="str">
        <f>HYPERLINK("http://exon.niaid.nih.gov/transcriptome/T_rubida/S1/links/KOG/Triru-contig_39-KOG.txt","Voltage-gated Ca2+ channels, alpha1 subunits")</f>
        <v>Voltage-gated Ca2+ channels, alpha1 subunits</v>
      </c>
      <c r="BN62" t="str">
        <f>HYPERLINK("http://www.ncbi.nlm.nih.gov/COG/grace/shokog.cgi?KOG2301","0.92")</f>
        <v>0.92</v>
      </c>
      <c r="BO62" t="s">
        <v>720</v>
      </c>
      <c r="BP62" s="1" t="str">
        <f>HYPERLINK("http://exon.niaid.nih.gov/transcriptome/T_rubida/S1/links/PFAM/Triru-contig_39-PFAM.txt","Triabin")</f>
        <v>Triabin</v>
      </c>
      <c r="BQ62" t="str">
        <f>HYPERLINK("http://pfam.sanger.ac.uk/family?acc=PF03973","1E-017")</f>
        <v>1E-017</v>
      </c>
      <c r="BR62" s="1" t="str">
        <f>HYPERLINK("http://exon.niaid.nih.gov/transcriptome/T_rubida/S1/links/SMART/Triru-contig_39-SMART.txt","RIO")</f>
        <v>RIO</v>
      </c>
      <c r="BS62" t="str">
        <f>HYPERLINK("http://smart.embl-heidelberg.de/smart/do_annotation.pl?DOMAIN=RIO&amp;BLAST=DUMMY","0.10")</f>
        <v>0.10</v>
      </c>
      <c r="BT62" s="1" t="str">
        <f>HYPERLINK("http://exon.niaid.nih.gov/transcriptome/T_rubida/S1/links/PRK/Triru-contig_39-PRK.txt","short chain dehydrogenase")</f>
        <v>short chain dehydrogenase</v>
      </c>
      <c r="BU62">
        <v>0.32</v>
      </c>
      <c r="BV62" s="1" t="s">
        <v>57</v>
      </c>
      <c r="BW62" t="s">
        <v>57</v>
      </c>
      <c r="BX62" s="1" t="s">
        <v>57</v>
      </c>
      <c r="BY62" t="s">
        <v>57</v>
      </c>
    </row>
    <row r="63" spans="1:77">
      <c r="A63" t="str">
        <f>HYPERLINK("http://exon.niaid.nih.gov/transcriptome/T_rubida/S1/links/Triru/Triru-contig_41.txt","Triru-contig_41")</f>
        <v>Triru-contig_41</v>
      </c>
      <c r="B63">
        <v>1</v>
      </c>
      <c r="C63" t="str">
        <f>HYPERLINK("http://exon.niaid.nih.gov/transcriptome/T_rubida/S1/links/Triru/Triru-5-48-asb-41.txt","Contig-41")</f>
        <v>Contig-41</v>
      </c>
      <c r="D63" t="str">
        <f>HYPERLINK("http://exon.niaid.nih.gov/transcriptome/T_rubida/S1/links/Triru/Triru-5-48-41-CLU.txt","Contig41")</f>
        <v>Contig41</v>
      </c>
      <c r="E63" t="str">
        <f>HYPERLINK("http://exon.niaid.nih.gov/transcriptome/T_rubida/S1/links/Triru/Triru-5-48-41-qual.txt","63.1")</f>
        <v>63.1</v>
      </c>
      <c r="F63" t="s">
        <v>10</v>
      </c>
      <c r="G63">
        <v>61.5</v>
      </c>
      <c r="H63">
        <v>631</v>
      </c>
      <c r="I63" t="s">
        <v>52</v>
      </c>
      <c r="J63">
        <v>631</v>
      </c>
      <c r="K63">
        <v>650</v>
      </c>
      <c r="L63">
        <v>450</v>
      </c>
      <c r="M63" t="s">
        <v>5122</v>
      </c>
      <c r="N63" s="15">
        <v>2</v>
      </c>
      <c r="O63" s="14" t="str">
        <f>HYPERLINK("http://exon.niaid.nih.gov/transcriptome/T_rubida/S1/links/Sigp/TRIRU-CONTIG_41-SigP.txt","SIG")</f>
        <v>SIG</v>
      </c>
      <c r="P63" t="s">
        <v>5058</v>
      </c>
      <c r="Q63" s="5" t="s">
        <v>4818</v>
      </c>
      <c r="R63" t="s">
        <v>5719</v>
      </c>
      <c r="S63" t="str">
        <f>HYPERLINK("http://exon.niaid.nih.gov/transcriptome/T_rubida/S1/links/PFAM/Triru-contig_41-PFAM.txt","PFAM")</f>
        <v>PFAM</v>
      </c>
      <c r="T63" s="23">
        <v>4E-14</v>
      </c>
      <c r="U63">
        <v>76.099999999999994</v>
      </c>
      <c r="V63" s="1" t="str">
        <f>HYPERLINK("http://exon.niaid.nih.gov/transcriptome/T_rubida/S1/links/NR/Triru-contig_41-NR.txt","unnamed protein product")</f>
        <v>unnamed protein product</v>
      </c>
      <c r="W63" t="str">
        <f>HYPERLINK("http://www.ncbi.nlm.nih.gov/sutils/blink.cgi?pid=270046178","4E-041")</f>
        <v>4E-041</v>
      </c>
      <c r="X63" t="str">
        <f>HYPERLINK("http://www.ncbi.nlm.nih.gov/protein/270046178","gi|270046178")</f>
        <v>gi|270046178</v>
      </c>
      <c r="Y63">
        <v>155</v>
      </c>
      <c r="Z63">
        <v>176</v>
      </c>
      <c r="AA63">
        <v>178</v>
      </c>
      <c r="AB63">
        <v>55</v>
      </c>
      <c r="AC63">
        <v>99</v>
      </c>
      <c r="AD63">
        <v>62</v>
      </c>
      <c r="AE63">
        <v>1</v>
      </c>
      <c r="AF63">
        <v>1</v>
      </c>
      <c r="AG63">
        <v>32</v>
      </c>
      <c r="AH63">
        <v>2</v>
      </c>
      <c r="AI63">
        <v>2</v>
      </c>
      <c r="AJ63" t="s">
        <v>888</v>
      </c>
      <c r="AL63" t="s">
        <v>700</v>
      </c>
      <c r="AM63" t="s">
        <v>889</v>
      </c>
      <c r="AN63" t="s">
        <v>702</v>
      </c>
      <c r="AO63" s="1" t="str">
        <f>HYPERLINK("http://exon.niaid.nih.gov/transcriptome/T_rubida/S1/links/SWISSP/Triru-contig_41-SWISSP.txt","Procalin")</f>
        <v>Procalin</v>
      </c>
      <c r="AP63" t="str">
        <f>HYPERLINK("http://www.uniprot.org/uniprot/Q9U6R6","1E-025")</f>
        <v>1E-025</v>
      </c>
      <c r="AQ63" t="s">
        <v>703</v>
      </c>
      <c r="AR63">
        <v>109</v>
      </c>
      <c r="AS63">
        <v>167</v>
      </c>
      <c r="AT63">
        <v>42</v>
      </c>
      <c r="AU63">
        <v>99</v>
      </c>
      <c r="AV63">
        <v>81</v>
      </c>
      <c r="AW63">
        <v>1</v>
      </c>
      <c r="AX63">
        <v>1</v>
      </c>
      <c r="AY63">
        <v>32</v>
      </c>
      <c r="AZ63">
        <v>2</v>
      </c>
      <c r="BA63">
        <v>2</v>
      </c>
      <c r="BB63" t="s">
        <v>888</v>
      </c>
      <c r="BD63" t="s">
        <v>704</v>
      </c>
      <c r="BE63" t="s">
        <v>705</v>
      </c>
      <c r="BF63" t="s">
        <v>890</v>
      </c>
      <c r="BG63" t="s">
        <v>891</v>
      </c>
      <c r="BH63" s="1" t="s">
        <v>57</v>
      </c>
      <c r="BI63" t="s">
        <v>57</v>
      </c>
      <c r="BJ63" s="1" t="str">
        <f>HYPERLINK("http://exon.niaid.nih.gov/transcriptome/T_rubida/S1/links/CDD/Triru-contig_41-CDD.txt","Triabin")</f>
        <v>Triabin</v>
      </c>
      <c r="BK63" t="str">
        <f>HYPERLINK("http://www.ncbi.nlm.nih.gov/Structure/cdd/cddsrv.cgi?uid=pfam03973&amp;version=v4.0","2E-013")</f>
        <v>2E-013</v>
      </c>
      <c r="BL63" t="s">
        <v>892</v>
      </c>
      <c r="BM63" s="1" t="str">
        <f>HYPERLINK("http://exon.niaid.nih.gov/transcriptome/T_rubida/S1/links/KOG/Triru-contig_41-KOG.txt","Sortilin and related receptors")</f>
        <v>Sortilin and related receptors</v>
      </c>
      <c r="BN63" t="str">
        <f>HYPERLINK("http://www.ncbi.nlm.nih.gov/COG/grace/shokog.cgi?KOG3511","0.31")</f>
        <v>0.31</v>
      </c>
      <c r="BO63" t="s">
        <v>750</v>
      </c>
      <c r="BP63" s="1" t="str">
        <f>HYPERLINK("http://exon.niaid.nih.gov/transcriptome/T_rubida/S1/links/PFAM/Triru-contig_41-PFAM.txt","Triabin")</f>
        <v>Triabin</v>
      </c>
      <c r="BQ63" t="str">
        <f>HYPERLINK("http://pfam.sanger.ac.uk/family?acc=PF03973","4E-014")</f>
        <v>4E-014</v>
      </c>
      <c r="BR63" s="1" t="str">
        <f>HYPERLINK("http://exon.niaid.nih.gov/transcriptome/T_rubida/S1/links/SMART/Triru-contig_41-SMART.txt","HOLI")</f>
        <v>HOLI</v>
      </c>
      <c r="BS63" t="str">
        <f>HYPERLINK("http://smart.embl-heidelberg.de/smart/do_annotation.pl?DOMAIN=HOLI&amp;BLAST=DUMMY","0.22")</f>
        <v>0.22</v>
      </c>
      <c r="BT63" s="1" t="str">
        <f>HYPERLINK("http://exon.niaid.nih.gov/transcriptome/T_rubida/S1/links/PRK/Triru-contig_41-PRK.txt","tRNA modification GTPase TrmE")</f>
        <v>tRNA modification GTPase TrmE</v>
      </c>
      <c r="BU63">
        <v>0.9</v>
      </c>
      <c r="BV63" s="1" t="s">
        <v>57</v>
      </c>
      <c r="BW63" t="s">
        <v>57</v>
      </c>
      <c r="BX63" s="1" t="s">
        <v>57</v>
      </c>
      <c r="BY63" t="s">
        <v>57</v>
      </c>
    </row>
    <row r="64" spans="1:77">
      <c r="A64" t="str">
        <f>HYPERLINK("http://exon.niaid.nih.gov/transcriptome/T_rubida/S1/links/Triru/Triru-contig_40.txt","Triru-contig_40")</f>
        <v>Triru-contig_40</v>
      </c>
      <c r="B64">
        <v>1</v>
      </c>
      <c r="C64" t="str">
        <f>HYPERLINK("http://exon.niaid.nih.gov/transcriptome/T_rubida/S1/links/Triru/Triru-5-48-asb-40.txt","Contig-40")</f>
        <v>Contig-40</v>
      </c>
      <c r="D64" t="str">
        <f>HYPERLINK("http://exon.niaid.nih.gov/transcriptome/T_rubida/S1/links/Triru/Triru-5-48-40-CLU.txt","Contig40")</f>
        <v>Contig40</v>
      </c>
      <c r="E64" t="str">
        <f>HYPERLINK("http://exon.niaid.nih.gov/transcriptome/T_rubida/S1/links/Triru/Triru-5-48-40-qual.txt","66.3")</f>
        <v>66.3</v>
      </c>
      <c r="F64" t="s">
        <v>10</v>
      </c>
      <c r="G64">
        <v>61</v>
      </c>
      <c r="H64">
        <v>568</v>
      </c>
      <c r="I64" t="s">
        <v>51</v>
      </c>
      <c r="J64">
        <v>568</v>
      </c>
      <c r="K64">
        <v>587</v>
      </c>
      <c r="L64">
        <v>489</v>
      </c>
      <c r="M64" t="s">
        <v>5123</v>
      </c>
      <c r="N64" s="15">
        <v>2</v>
      </c>
      <c r="O64" s="14" t="str">
        <f>HYPERLINK("http://exon.niaid.nih.gov/transcriptome/T_rubida/S1/links/Sigp/TRIRU-CONTIG_40-SigP.txt","Cyt")</f>
        <v>Cyt</v>
      </c>
      <c r="Q64" s="5" t="s">
        <v>4818</v>
      </c>
      <c r="R64" t="s">
        <v>5719</v>
      </c>
      <c r="S64" t="str">
        <f>HYPERLINK("http://exon.niaid.nih.gov/transcriptome/T_rubida/S1/links/PFAM/Triru-contig_40-PFAM.txt","PFAM")</f>
        <v>PFAM</v>
      </c>
      <c r="T64" s="23">
        <v>2.0000000000000001E-17</v>
      </c>
      <c r="U64">
        <v>95.2</v>
      </c>
      <c r="V64" s="1" t="str">
        <f>HYPERLINK("http://exon.niaid.nih.gov/transcriptome/T_rubida/S1/links/NR/Triru-contig_40-NR.txt","unnamed protein product")</f>
        <v>unnamed protein product</v>
      </c>
      <c r="W64" t="str">
        <f>HYPERLINK("http://www.ncbi.nlm.nih.gov/sutils/blink.cgi?pid=270046178","2E-039")</f>
        <v>2E-039</v>
      </c>
      <c r="X64" t="str">
        <f>HYPERLINK("http://www.ncbi.nlm.nih.gov/protein/270046178","gi|270046178")</f>
        <v>gi|270046178</v>
      </c>
      <c r="Y64">
        <v>166</v>
      </c>
      <c r="Z64">
        <v>166</v>
      </c>
      <c r="AA64">
        <v>178</v>
      </c>
      <c r="AB64">
        <v>52</v>
      </c>
      <c r="AC64">
        <v>94</v>
      </c>
      <c r="AD64">
        <v>82</v>
      </c>
      <c r="AE64">
        <v>9</v>
      </c>
      <c r="AF64">
        <v>11</v>
      </c>
      <c r="AG64">
        <v>5</v>
      </c>
      <c r="AH64">
        <v>1</v>
      </c>
      <c r="AI64">
        <v>2</v>
      </c>
      <c r="AJ64" t="s">
        <v>11</v>
      </c>
      <c r="AL64" t="s">
        <v>700</v>
      </c>
      <c r="AM64" t="s">
        <v>884</v>
      </c>
      <c r="AN64" t="s">
        <v>702</v>
      </c>
      <c r="AO64" s="1" t="str">
        <f>HYPERLINK("http://exon.niaid.nih.gov/transcriptome/T_rubida/S1/links/SWISSP/Triru-contig_40-SWISSP.txt","Procalin")</f>
        <v>Procalin</v>
      </c>
      <c r="AP64" t="str">
        <f>HYPERLINK("http://www.uniprot.org/uniprot/Q9U6R6","8E-024")</f>
        <v>8E-024</v>
      </c>
      <c r="AQ64" t="s">
        <v>703</v>
      </c>
      <c r="AR64">
        <v>110</v>
      </c>
      <c r="AS64">
        <v>157</v>
      </c>
      <c r="AT64">
        <v>36</v>
      </c>
      <c r="AU64">
        <v>93</v>
      </c>
      <c r="AV64">
        <v>106</v>
      </c>
      <c r="AW64">
        <v>5</v>
      </c>
      <c r="AX64">
        <v>11</v>
      </c>
      <c r="AY64">
        <v>5</v>
      </c>
      <c r="AZ64">
        <v>1</v>
      </c>
      <c r="BA64">
        <v>2</v>
      </c>
      <c r="BB64" t="s">
        <v>11</v>
      </c>
      <c r="BD64" t="s">
        <v>704</v>
      </c>
      <c r="BE64" t="s">
        <v>705</v>
      </c>
      <c r="BF64" t="s">
        <v>885</v>
      </c>
      <c r="BG64" t="s">
        <v>886</v>
      </c>
      <c r="BH64" s="1" t="s">
        <v>57</v>
      </c>
      <c r="BI64" t="s">
        <v>57</v>
      </c>
      <c r="BJ64" s="1" t="str">
        <f>HYPERLINK("http://exon.niaid.nih.gov/transcriptome/T_rubida/S1/links/CDD/Triru-contig_40-CDD.txt","Triabin")</f>
        <v>Triabin</v>
      </c>
      <c r="BK64" t="str">
        <f>HYPERLINK("http://www.ncbi.nlm.nih.gov/Structure/cdd/cddsrv.cgi?uid=pfam03973&amp;version=v4.0","8E-017")</f>
        <v>8E-017</v>
      </c>
      <c r="BL64" t="s">
        <v>887</v>
      </c>
      <c r="BM64" s="1" t="str">
        <f>HYPERLINK("http://exon.niaid.nih.gov/transcriptome/T_rubida/S1/links/KOG/Triru-contig_40-KOG.txt","Sortilin and related receptors")</f>
        <v>Sortilin and related receptors</v>
      </c>
      <c r="BN64" t="str">
        <f>HYPERLINK("http://www.ncbi.nlm.nih.gov/COG/grace/shokog.cgi?KOG3511","0.26")</f>
        <v>0.26</v>
      </c>
      <c r="BO64" t="s">
        <v>750</v>
      </c>
      <c r="BP64" s="1" t="str">
        <f>HYPERLINK("http://exon.niaid.nih.gov/transcriptome/T_rubida/S1/links/PFAM/Triru-contig_40-PFAM.txt","Triabin")</f>
        <v>Triabin</v>
      </c>
      <c r="BQ64" t="str">
        <f>HYPERLINK("http://pfam.sanger.ac.uk/family?acc=PF03973","2E-017")</f>
        <v>2E-017</v>
      </c>
      <c r="BR64" s="1" t="str">
        <f>HYPERLINK("http://exon.niaid.nih.gov/transcriptome/T_rubida/S1/links/SMART/Triru-contig_40-SMART.txt","IGc1")</f>
        <v>IGc1</v>
      </c>
      <c r="BS64" t="str">
        <f>HYPERLINK("http://smart.embl-heidelberg.de/smart/do_annotation.pl?DOMAIN=IGc1&amp;BLAST=DUMMY","0.22")</f>
        <v>0.22</v>
      </c>
      <c r="BT64" s="1" t="str">
        <f>HYPERLINK("http://exon.niaid.nih.gov/transcriptome/T_rubida/S1/links/PRK/Triru-contig_40-PRK.txt","tRNA modification GTPase TrmE")</f>
        <v>tRNA modification GTPase TrmE</v>
      </c>
      <c r="BU64">
        <v>0.77</v>
      </c>
      <c r="BV64" s="1" t="s">
        <v>57</v>
      </c>
      <c r="BW64" t="s">
        <v>57</v>
      </c>
      <c r="BX64" s="1" t="s">
        <v>57</v>
      </c>
      <c r="BY64" t="s">
        <v>57</v>
      </c>
    </row>
    <row r="65" spans="1:77">
      <c r="A65" t="str">
        <f>HYPERLINK("http://exon.niaid.nih.gov/transcriptome/T_rubida/S1/links/Triru/Triru-contig_36.txt","Triru-contig_36")</f>
        <v>Triru-contig_36</v>
      </c>
      <c r="B65">
        <v>1</v>
      </c>
      <c r="C65" t="str">
        <f>HYPERLINK("http://exon.niaid.nih.gov/transcriptome/T_rubida/S1/links/Triru/Triru-5-48-asb-36.txt","Contig-36")</f>
        <v>Contig-36</v>
      </c>
      <c r="D65" t="str">
        <f>HYPERLINK("http://exon.niaid.nih.gov/transcriptome/T_rubida/S1/links/Triru/Triru-5-48-36-CLU.txt","Contig36")</f>
        <v>Contig36</v>
      </c>
      <c r="E65" t="str">
        <f>HYPERLINK("http://exon.niaid.nih.gov/transcriptome/T_rubida/S1/links/Triru/Triru-5-48-36-qual.txt","64.8")</f>
        <v>64.8</v>
      </c>
      <c r="F65" t="s">
        <v>10</v>
      </c>
      <c r="G65">
        <v>62.1</v>
      </c>
      <c r="H65">
        <v>627</v>
      </c>
      <c r="I65" t="s">
        <v>47</v>
      </c>
      <c r="J65">
        <v>627</v>
      </c>
      <c r="K65">
        <v>646</v>
      </c>
      <c r="L65">
        <v>549</v>
      </c>
      <c r="M65" t="s">
        <v>5128</v>
      </c>
      <c r="N65" s="15">
        <v>1</v>
      </c>
      <c r="O65" s="14" t="str">
        <f>HYPERLINK("http://exon.niaid.nih.gov/transcriptome/T_rubida/S1/links/Sigp/TRIRU-CONTIG_36-SigP.txt","SIG")</f>
        <v>SIG</v>
      </c>
      <c r="P65" t="s">
        <v>5057</v>
      </c>
      <c r="Q65" s="5" t="s">
        <v>4818</v>
      </c>
      <c r="R65" t="s">
        <v>5719</v>
      </c>
      <c r="S65" t="str">
        <f>HYPERLINK("http://exon.niaid.nih.gov/transcriptome/T_rubida/S1/links/PFAM/Triru-contig_36-PFAM.txt","PFAM")</f>
        <v>PFAM</v>
      </c>
      <c r="T65" s="23">
        <v>2E-19</v>
      </c>
      <c r="U65">
        <v>94.5</v>
      </c>
      <c r="V65" s="1" t="str">
        <f>HYPERLINK("http://exon.niaid.nih.gov/transcriptome/T_rubida/S1/links/NR/Triru-contig_36-NR.txt","unnamed protein product")</f>
        <v>unnamed protein product</v>
      </c>
      <c r="W65" t="str">
        <f>HYPERLINK("http://www.ncbi.nlm.nih.gov/sutils/blink.cgi?pid=270046164","3E-035")</f>
        <v>3E-035</v>
      </c>
      <c r="X65" t="str">
        <f>HYPERLINK("http://www.ncbi.nlm.nih.gov/protein/270046164","gi|270046164")</f>
        <v>gi|270046164</v>
      </c>
      <c r="Y65">
        <v>152</v>
      </c>
      <c r="Z65">
        <v>175</v>
      </c>
      <c r="AA65">
        <v>177</v>
      </c>
      <c r="AB65">
        <v>47</v>
      </c>
      <c r="AC65">
        <v>99</v>
      </c>
      <c r="AD65">
        <v>94</v>
      </c>
      <c r="AE65">
        <v>8</v>
      </c>
      <c r="AF65">
        <v>1</v>
      </c>
      <c r="AG65">
        <v>34</v>
      </c>
      <c r="AH65">
        <v>1</v>
      </c>
      <c r="AI65">
        <v>1</v>
      </c>
      <c r="AJ65" t="s">
        <v>11</v>
      </c>
      <c r="AL65" t="s">
        <v>700</v>
      </c>
      <c r="AM65" t="s">
        <v>868</v>
      </c>
      <c r="AN65" t="s">
        <v>702</v>
      </c>
      <c r="AO65" s="1" t="str">
        <f>HYPERLINK("http://exon.niaid.nih.gov/transcriptome/T_rubida/S1/links/SWISSP/Triru-contig_36-SWISSP.txt","Procalin")</f>
        <v>Procalin</v>
      </c>
      <c r="AP65" t="str">
        <f>HYPERLINK("http://www.uniprot.org/uniprot/Q9U6R6","3E-025")</f>
        <v>3E-025</v>
      </c>
      <c r="AQ65" t="s">
        <v>703</v>
      </c>
      <c r="AR65">
        <v>115</v>
      </c>
      <c r="AS65">
        <v>167</v>
      </c>
      <c r="AT65">
        <v>36</v>
      </c>
      <c r="AU65">
        <v>99</v>
      </c>
      <c r="AV65">
        <v>113</v>
      </c>
      <c r="AW65">
        <v>5</v>
      </c>
      <c r="AX65">
        <v>1</v>
      </c>
      <c r="AY65">
        <v>34</v>
      </c>
      <c r="AZ65">
        <v>1</v>
      </c>
      <c r="BA65">
        <v>1</v>
      </c>
      <c r="BB65" t="s">
        <v>11</v>
      </c>
      <c r="BD65" t="s">
        <v>704</v>
      </c>
      <c r="BE65" t="s">
        <v>705</v>
      </c>
      <c r="BF65" t="s">
        <v>869</v>
      </c>
      <c r="BG65" t="s">
        <v>870</v>
      </c>
      <c r="BH65" s="1" t="s">
        <v>57</v>
      </c>
      <c r="BI65" t="s">
        <v>57</v>
      </c>
      <c r="BJ65" s="1" t="str">
        <f>HYPERLINK("http://exon.niaid.nih.gov/transcriptome/T_rubida/S1/links/CDD/Triru-contig_36-CDD.txt","Triabin")</f>
        <v>Triabin</v>
      </c>
      <c r="BK65" t="str">
        <f>HYPERLINK("http://www.ncbi.nlm.nih.gov/Structure/cdd/cddsrv.cgi?uid=pfam03973&amp;version=v4.0","8E-019")</f>
        <v>8E-019</v>
      </c>
      <c r="BL65" t="s">
        <v>871</v>
      </c>
      <c r="BM65" s="1" t="str">
        <f>HYPERLINK("http://exon.niaid.nih.gov/transcriptome/T_rubida/S1/links/KOG/Triru-contig_36-KOG.txt","Carnitine O-acyltransferase CPTI")</f>
        <v>Carnitine O-acyltransferase CPTI</v>
      </c>
      <c r="BN65" t="str">
        <f>HYPERLINK("http://www.ncbi.nlm.nih.gov/COG/grace/shokog.cgi?KOG3716","0.31")</f>
        <v>0.31</v>
      </c>
      <c r="BO65" t="s">
        <v>709</v>
      </c>
      <c r="BP65" s="1" t="str">
        <f>HYPERLINK("http://exon.niaid.nih.gov/transcriptome/T_rubida/S1/links/PFAM/Triru-contig_36-PFAM.txt","Triabin")</f>
        <v>Triabin</v>
      </c>
      <c r="BQ65" t="str">
        <f>HYPERLINK("http://pfam.sanger.ac.uk/family?acc=PF03973","2E-019")</f>
        <v>2E-019</v>
      </c>
      <c r="BR65" s="1" t="str">
        <f>HYPERLINK("http://exon.niaid.nih.gov/transcriptome/T_rubida/S1/links/SMART/Triru-contig_36-SMART.txt","RIBOc")</f>
        <v>RIBOc</v>
      </c>
      <c r="BS65" t="str">
        <f>HYPERLINK("http://smart.embl-heidelberg.de/smart/do_annotation.pl?DOMAIN=RIBOc&amp;BLAST=DUMMY","0.047")</f>
        <v>0.047</v>
      </c>
      <c r="BT65" s="1" t="str">
        <f>HYPERLINK("http://exon.niaid.nih.gov/transcriptome/T_rubida/S1/links/PRK/Triru-contig_36-PRK.txt","NADH dehydrogenase subunit 5")</f>
        <v>NADH dehydrogenase subunit 5</v>
      </c>
      <c r="BU65" s="2">
        <v>6.9999999999999999E-4</v>
      </c>
      <c r="BV65" s="1" t="s">
        <v>57</v>
      </c>
      <c r="BW65" t="s">
        <v>57</v>
      </c>
      <c r="BX65" s="1" t="s">
        <v>57</v>
      </c>
      <c r="BY65" t="s">
        <v>57</v>
      </c>
    </row>
    <row r="66" spans="1:77">
      <c r="A66" t="str">
        <f>HYPERLINK("http://exon.niaid.nih.gov/transcriptome/T_rubida/S1/links/Triru/Triru-contig_37.txt","Triru-contig_37")</f>
        <v>Triru-contig_37</v>
      </c>
      <c r="B66">
        <v>1</v>
      </c>
      <c r="C66" t="str">
        <f>HYPERLINK("http://exon.niaid.nih.gov/transcriptome/T_rubida/S1/links/Triru/Triru-5-48-asb-37.txt","Contig-37")</f>
        <v>Contig-37</v>
      </c>
      <c r="D66" t="str">
        <f>HYPERLINK("http://exon.niaid.nih.gov/transcriptome/T_rubida/S1/links/Triru/Triru-5-48-37-CLU.txt","Contig37")</f>
        <v>Contig37</v>
      </c>
      <c r="E66" t="str">
        <f>HYPERLINK("http://exon.niaid.nih.gov/transcriptome/T_rubida/S1/links/Triru/Triru-5-48-37-qual.txt","64.2")</f>
        <v>64.2</v>
      </c>
      <c r="F66" t="s">
        <v>10</v>
      </c>
      <c r="G66">
        <v>63.1</v>
      </c>
      <c r="H66">
        <v>526</v>
      </c>
      <c r="I66" t="s">
        <v>48</v>
      </c>
      <c r="J66">
        <v>526</v>
      </c>
      <c r="K66">
        <v>545</v>
      </c>
      <c r="L66">
        <v>429</v>
      </c>
      <c r="M66" t="s">
        <v>5131</v>
      </c>
      <c r="N66" s="15">
        <v>3</v>
      </c>
      <c r="O66" s="14" t="str">
        <f>HYPERLINK("http://exon.niaid.nih.gov/transcriptome/T_rubida/S1/links/Sigp/TRIRU-CONTIG_37-SigP.txt","Cyt")</f>
        <v>Cyt</v>
      </c>
      <c r="Q66" s="5" t="s">
        <v>4818</v>
      </c>
      <c r="R66" t="s">
        <v>5719</v>
      </c>
      <c r="S66" t="str">
        <f>HYPERLINK("http://exon.niaid.nih.gov/transcriptome/T_rubida/S1/links/PFAM/Triru-contig_37-PFAM.txt","PFAM")</f>
        <v>PFAM</v>
      </c>
      <c r="T66" s="23">
        <v>2.9999999999999998E-18</v>
      </c>
      <c r="U66">
        <v>91.1</v>
      </c>
      <c r="V66" s="1" t="str">
        <f>HYPERLINK("http://exon.niaid.nih.gov/transcriptome/T_rubida/S1/links/NR/Triru-contig_37-NR.txt","unnamed protein product")</f>
        <v>unnamed protein product</v>
      </c>
      <c r="W66" t="str">
        <f>HYPERLINK("http://www.ncbi.nlm.nih.gov/sutils/blink.cgi?pid=270046244","6E-028")</f>
        <v>6E-028</v>
      </c>
      <c r="X66" t="str">
        <f>HYPERLINK("http://www.ncbi.nlm.nih.gov/protein/270046244","gi|270046244")</f>
        <v>gi|270046244</v>
      </c>
      <c r="Y66">
        <v>127</v>
      </c>
      <c r="Z66">
        <v>145</v>
      </c>
      <c r="AA66">
        <v>177</v>
      </c>
      <c r="AB66">
        <v>47</v>
      </c>
      <c r="AC66">
        <v>82</v>
      </c>
      <c r="AD66">
        <v>77</v>
      </c>
      <c r="AE66">
        <v>9</v>
      </c>
      <c r="AF66">
        <v>31</v>
      </c>
      <c r="AG66">
        <v>39</v>
      </c>
      <c r="AH66">
        <v>1</v>
      </c>
      <c r="AI66">
        <v>3</v>
      </c>
      <c r="AJ66" t="s">
        <v>11</v>
      </c>
      <c r="AL66" t="s">
        <v>700</v>
      </c>
      <c r="AM66" t="s">
        <v>872</v>
      </c>
      <c r="AN66" t="s">
        <v>711</v>
      </c>
      <c r="AO66" s="1" t="str">
        <f>HYPERLINK("http://exon.niaid.nih.gov/transcriptome/T_rubida/S1/links/SWISSP/Triru-contig_37-SWISSP.txt","Procalin")</f>
        <v>Procalin</v>
      </c>
      <c r="AP66" t="str">
        <f>HYPERLINK("http://www.uniprot.org/uniprot/Q9U6R6","5E-017")</f>
        <v>5E-017</v>
      </c>
      <c r="AQ66" t="s">
        <v>703</v>
      </c>
      <c r="AR66">
        <v>87.4</v>
      </c>
      <c r="AS66">
        <v>141</v>
      </c>
      <c r="AT66">
        <v>31</v>
      </c>
      <c r="AU66">
        <v>84</v>
      </c>
      <c r="AV66">
        <v>98</v>
      </c>
      <c r="AW66">
        <v>5</v>
      </c>
      <c r="AX66">
        <v>27</v>
      </c>
      <c r="AY66">
        <v>39</v>
      </c>
      <c r="AZ66">
        <v>1</v>
      </c>
      <c r="BA66">
        <v>3</v>
      </c>
      <c r="BB66" t="s">
        <v>11</v>
      </c>
      <c r="BD66" t="s">
        <v>704</v>
      </c>
      <c r="BE66" t="s">
        <v>705</v>
      </c>
      <c r="BF66" t="s">
        <v>873</v>
      </c>
      <c r="BG66" t="s">
        <v>874</v>
      </c>
      <c r="BH66" s="1" t="s">
        <v>57</v>
      </c>
      <c r="BI66" t="s">
        <v>57</v>
      </c>
      <c r="BJ66" s="1" t="str">
        <f>HYPERLINK("http://exon.niaid.nih.gov/transcriptome/T_rubida/S1/links/CDD/Triru-contig_37-CDD.txt","Triabin")</f>
        <v>Triabin</v>
      </c>
      <c r="BK66" t="str">
        <f>HYPERLINK("http://www.ncbi.nlm.nih.gov/Structure/cdd/cddsrv.cgi?uid=pfam03973&amp;version=v4.0","1E-017")</f>
        <v>1E-017</v>
      </c>
      <c r="BL66" t="s">
        <v>875</v>
      </c>
      <c r="BM66" s="1" t="str">
        <f>HYPERLINK("http://exon.niaid.nih.gov/transcriptome/T_rubida/S1/links/KOG/Triru-contig_37-KOG.txt","Cadherin EGF LAG seven-pass G-type receptor")</f>
        <v>Cadherin EGF LAG seven-pass G-type receptor</v>
      </c>
      <c r="BN66" t="str">
        <f>HYPERLINK("http://www.ncbi.nlm.nih.gov/COG/grace/shokog.cgi?KOG4289","0.54")</f>
        <v>0.54</v>
      </c>
      <c r="BO66" t="s">
        <v>728</v>
      </c>
      <c r="BP66" s="1" t="str">
        <f>HYPERLINK("http://exon.niaid.nih.gov/transcriptome/T_rubida/S1/links/PFAM/Triru-contig_37-PFAM.txt","Triabin")</f>
        <v>Triabin</v>
      </c>
      <c r="BQ66" t="str">
        <f>HYPERLINK("http://pfam.sanger.ac.uk/family?acc=PF03973","3E-018")</f>
        <v>3E-018</v>
      </c>
      <c r="BR66" s="1" t="str">
        <f>HYPERLINK("http://exon.niaid.nih.gov/transcriptome/T_rubida/S1/links/SMART/Triru-contig_37-SMART.txt","CARP")</f>
        <v>CARP</v>
      </c>
      <c r="BS66" t="str">
        <f>HYPERLINK("http://smart.embl-heidelberg.de/smart/do_annotation.pl?DOMAIN=CARP&amp;BLAST=DUMMY","0.020")</f>
        <v>0.020</v>
      </c>
      <c r="BT66" s="1" t="str">
        <f>HYPERLINK("http://exon.niaid.nih.gov/transcriptome/T_rubida/S1/links/PRK/Triru-contig_37-PRK.txt","NADH dehydrogenase subunit 5")</f>
        <v>NADH dehydrogenase subunit 5</v>
      </c>
      <c r="BU66">
        <v>1.4E-2</v>
      </c>
      <c r="BV66" s="1" t="s">
        <v>57</v>
      </c>
      <c r="BW66" t="s">
        <v>57</v>
      </c>
      <c r="BX66" s="1" t="s">
        <v>57</v>
      </c>
      <c r="BY66" t="s">
        <v>57</v>
      </c>
    </row>
    <row r="67" spans="1:77">
      <c r="A67" t="str">
        <f>HYPERLINK("http://exon.niaid.nih.gov/transcriptome/T_rubida/S1/links/Triru/Triru-contig_384.txt","Triru-contig_384")</f>
        <v>Triru-contig_384</v>
      </c>
      <c r="B67">
        <v>1</v>
      </c>
      <c r="C67" t="str">
        <f>HYPERLINK("http://exon.niaid.nih.gov/transcriptome/T_rubida/S1/links/Triru/Triru-5-48-asb-384.txt","Contig-384")</f>
        <v>Contig-384</v>
      </c>
      <c r="D67" t="str">
        <f>HYPERLINK("http://exon.niaid.nih.gov/transcriptome/T_rubida/S1/links/Triru/Triru-5-48-384-CLU.txt","Contig384")</f>
        <v>Contig384</v>
      </c>
      <c r="E67" t="str">
        <f>HYPERLINK("http://exon.niaid.nih.gov/transcriptome/T_rubida/S1/links/Triru/Triru-5-48-384-qual.txt","59.4")</f>
        <v>59.4</v>
      </c>
      <c r="F67" t="s">
        <v>10</v>
      </c>
      <c r="G67">
        <v>69.400000000000006</v>
      </c>
      <c r="H67">
        <v>318</v>
      </c>
      <c r="I67" t="s">
        <v>396</v>
      </c>
      <c r="J67">
        <v>318</v>
      </c>
      <c r="K67">
        <v>337</v>
      </c>
      <c r="L67">
        <v>258</v>
      </c>
      <c r="M67" t="s">
        <v>5139</v>
      </c>
      <c r="N67" s="15">
        <v>1</v>
      </c>
      <c r="O67" s="14" t="str">
        <f>HYPERLINK("http://exon.niaid.nih.gov/transcriptome/T_rubida/S1/links/Sigp/TRIRU-CONTIG_384-SigP.txt","Cyt")</f>
        <v>Cyt</v>
      </c>
      <c r="Q67" s="5" t="s">
        <v>4818</v>
      </c>
      <c r="R67" t="s">
        <v>5719</v>
      </c>
      <c r="S67" t="str">
        <f>HYPERLINK("http://exon.niaid.nih.gov/transcriptome/T_rubida/S1/links/PFAM/Triru-contig_384-PFAM.txt","PFAM")</f>
        <v>PFAM</v>
      </c>
      <c r="T67" s="23">
        <v>3.9999999999999998E-7</v>
      </c>
      <c r="U67">
        <v>37.4</v>
      </c>
      <c r="V67" s="1" t="str">
        <f>HYPERLINK("http://exon.niaid.nih.gov/transcriptome/T_rubida/S1/links/NR/Triru-contig_384-NR.txt","unnamed protein product")</f>
        <v>unnamed protein product</v>
      </c>
      <c r="W67" t="str">
        <f>HYPERLINK("http://www.ncbi.nlm.nih.gov/sutils/blink.cgi?pid=270046166","3E-017")</f>
        <v>3E-017</v>
      </c>
      <c r="X67" t="str">
        <f>HYPERLINK("http://www.ncbi.nlm.nih.gov/protein/270046166","gi|270046166")</f>
        <v>gi|270046166</v>
      </c>
      <c r="Y67">
        <v>92</v>
      </c>
      <c r="Z67">
        <v>85</v>
      </c>
      <c r="AA67">
        <v>177</v>
      </c>
      <c r="AB67">
        <v>54</v>
      </c>
      <c r="AC67">
        <v>49</v>
      </c>
      <c r="AD67">
        <v>39</v>
      </c>
      <c r="AE67">
        <v>3</v>
      </c>
      <c r="AF67">
        <v>92</v>
      </c>
      <c r="AG67">
        <v>10</v>
      </c>
      <c r="AH67">
        <v>1</v>
      </c>
      <c r="AI67">
        <v>1</v>
      </c>
      <c r="AJ67" t="s">
        <v>11</v>
      </c>
      <c r="AL67" t="s">
        <v>700</v>
      </c>
      <c r="AM67" t="s">
        <v>3081</v>
      </c>
      <c r="AN67" t="s">
        <v>841</v>
      </c>
      <c r="AO67" s="1" t="str">
        <f>HYPERLINK("http://exon.niaid.nih.gov/transcriptome/T_rubida/S1/links/SWISSP/Triru-contig_384-SWISSP.txt","Procalin")</f>
        <v>Procalin</v>
      </c>
      <c r="AP67" t="str">
        <f>HYPERLINK("http://www.uniprot.org/uniprot/Q9U6R6","2E-010")</f>
        <v>2E-010</v>
      </c>
      <c r="AQ67" t="s">
        <v>703</v>
      </c>
      <c r="AR67">
        <v>64.3</v>
      </c>
      <c r="AS67">
        <v>77</v>
      </c>
      <c r="AT67">
        <v>39</v>
      </c>
      <c r="AU67">
        <v>46</v>
      </c>
      <c r="AV67">
        <v>48</v>
      </c>
      <c r="AW67">
        <v>0</v>
      </c>
      <c r="AX67">
        <v>91</v>
      </c>
      <c r="AY67">
        <v>19</v>
      </c>
      <c r="AZ67">
        <v>1</v>
      </c>
      <c r="BA67">
        <v>1</v>
      </c>
      <c r="BB67" t="s">
        <v>11</v>
      </c>
      <c r="BD67" t="s">
        <v>704</v>
      </c>
      <c r="BE67" t="s">
        <v>705</v>
      </c>
      <c r="BF67" t="s">
        <v>3082</v>
      </c>
      <c r="BG67" t="s">
        <v>3083</v>
      </c>
      <c r="BH67" s="1" t="s">
        <v>57</v>
      </c>
      <c r="BI67" t="s">
        <v>57</v>
      </c>
      <c r="BJ67" s="1" t="str">
        <f>HYPERLINK("http://exon.niaid.nih.gov/transcriptome/T_rubida/S1/links/CDD/Triru-contig_384-CDD.txt","Triabin")</f>
        <v>Triabin</v>
      </c>
      <c r="BK67" t="str">
        <f>HYPERLINK("http://www.ncbi.nlm.nih.gov/Structure/cdd/cddsrv.cgi?uid=pfam03973&amp;version=v4.0","2E-006")</f>
        <v>2E-006</v>
      </c>
      <c r="BL67" t="s">
        <v>3084</v>
      </c>
      <c r="BM67" s="1" t="str">
        <f>HYPERLINK("http://exon.niaid.nih.gov/transcriptome/T_rubida/S1/links/KOG/Triru-contig_384-KOG.txt","Apolipoprotein D/Lipocalin")</f>
        <v>Apolipoprotein D/Lipocalin</v>
      </c>
      <c r="BN67" t="str">
        <f>HYPERLINK("http://www.ncbi.nlm.nih.gov/COG/grace/shokog.cgi?KOG4824","1.5")</f>
        <v>1.5</v>
      </c>
      <c r="BO67" t="s">
        <v>760</v>
      </c>
      <c r="BP67" s="1" t="str">
        <f>HYPERLINK("http://exon.niaid.nih.gov/transcriptome/T_rubida/S1/links/PFAM/Triru-contig_384-PFAM.txt","Triabin")</f>
        <v>Triabin</v>
      </c>
      <c r="BQ67" t="str">
        <f>HYPERLINK("http://pfam.sanger.ac.uk/family?acc=PF03973","4E-007")</f>
        <v>4E-007</v>
      </c>
      <c r="BR67" s="1" t="str">
        <f>HYPERLINK("http://exon.niaid.nih.gov/transcriptome/T_rubida/S1/links/SMART/Triru-contig_384-SMART.txt","FH2")</f>
        <v>FH2</v>
      </c>
      <c r="BS67" t="str">
        <f>HYPERLINK("http://smart.embl-heidelberg.de/smart/do_annotation.pl?DOMAIN=FH2&amp;BLAST=DUMMY","0.007")</f>
        <v>0.007</v>
      </c>
      <c r="BT67" s="1" t="str">
        <f>HYPERLINK("http://exon.niaid.nih.gov/transcriptome/T_rubida/S1/links/PRK/Triru-contig_384-PRK.txt","E1")</f>
        <v>E1</v>
      </c>
      <c r="BU67">
        <v>0.99</v>
      </c>
      <c r="BV67" s="1" t="s">
        <v>57</v>
      </c>
      <c r="BW67" t="s">
        <v>57</v>
      </c>
      <c r="BX67" s="1" t="s">
        <v>57</v>
      </c>
      <c r="BY67" t="s">
        <v>57</v>
      </c>
    </row>
    <row r="68" spans="1:77">
      <c r="A68" t="str">
        <f>HYPERLINK("http://exon.niaid.nih.gov/transcriptome/T_rubida/S1/links/Triru/Triru-contig_34.txt","Triru-contig_34")</f>
        <v>Triru-contig_34</v>
      </c>
      <c r="B68">
        <v>4</v>
      </c>
      <c r="C68" t="str">
        <f>HYPERLINK("http://exon.niaid.nih.gov/transcriptome/T_rubida/S1/links/Triru/Triru-5-48-asb-34.txt","Contig-34")</f>
        <v>Contig-34</v>
      </c>
      <c r="D68" t="str">
        <f>HYPERLINK("http://exon.niaid.nih.gov/transcriptome/T_rubida/S1/links/Triru/Triru-5-48-34-CLU.txt","Contig34")</f>
        <v>Contig34</v>
      </c>
      <c r="E68" t="str">
        <f>HYPERLINK("http://exon.niaid.nih.gov/transcriptome/T_rubida/S1/links/Triru/Triru-5-48-34-qual.txt","86.3")</f>
        <v>86.3</v>
      </c>
      <c r="F68" t="s">
        <v>10</v>
      </c>
      <c r="G68">
        <v>65.400000000000006</v>
      </c>
      <c r="H68">
        <v>377</v>
      </c>
      <c r="I68" t="s">
        <v>45</v>
      </c>
      <c r="J68">
        <v>400</v>
      </c>
      <c r="K68">
        <v>399</v>
      </c>
      <c r="L68">
        <v>315</v>
      </c>
      <c r="M68" t="s">
        <v>5333</v>
      </c>
      <c r="N68" s="15">
        <v>1</v>
      </c>
      <c r="O68" s="14" t="str">
        <f>HYPERLINK("http://exon.niaid.nih.gov/transcriptome/T_rubida/S1/links/Sigp/TRIRU-CONTIG_34-SigP.txt","Cyt")</f>
        <v>Cyt</v>
      </c>
      <c r="Q68" s="5" t="s">
        <v>4818</v>
      </c>
      <c r="R68" t="s">
        <v>5719</v>
      </c>
      <c r="S68" t="str">
        <f>HYPERLINK("http://exon.niaid.nih.gov/transcriptome/T_rubida/S1/links/NR/Triru-contig_34-NR.txt","NR")</f>
        <v>NR</v>
      </c>
      <c r="T68" s="23">
        <v>2.0000000000000001E-22</v>
      </c>
      <c r="U68">
        <v>63.8</v>
      </c>
      <c r="V68" s="1" t="str">
        <f>HYPERLINK("http://exon.niaid.nih.gov/transcriptome/T_rubida/S1/links/NR/Triru-contig_34-NR.txt","unnamed protein product")</f>
        <v>unnamed protein product</v>
      </c>
      <c r="W68" t="str">
        <f>HYPERLINK("http://www.ncbi.nlm.nih.gov/sutils/blink.cgi?pid=270046166","2E-022")</f>
        <v>2E-022</v>
      </c>
      <c r="X68" t="str">
        <f>HYPERLINK("http://www.ncbi.nlm.nih.gov/protein/270046166","gi|270046166")</f>
        <v>gi|270046166</v>
      </c>
      <c r="Y68">
        <v>108</v>
      </c>
      <c r="Z68">
        <v>112</v>
      </c>
      <c r="AA68">
        <v>177</v>
      </c>
      <c r="AB68">
        <v>47</v>
      </c>
      <c r="AC68">
        <v>64</v>
      </c>
      <c r="AD68">
        <v>59</v>
      </c>
      <c r="AE68">
        <v>9</v>
      </c>
      <c r="AF68">
        <v>65</v>
      </c>
      <c r="AG68">
        <v>4</v>
      </c>
      <c r="AH68">
        <v>1</v>
      </c>
      <c r="AI68">
        <v>1</v>
      </c>
      <c r="AJ68" t="s">
        <v>11</v>
      </c>
      <c r="AL68" t="s">
        <v>700</v>
      </c>
      <c r="AM68" t="s">
        <v>859</v>
      </c>
      <c r="AN68" t="s">
        <v>841</v>
      </c>
      <c r="AO68" s="1" t="str">
        <f>HYPERLINK("http://exon.niaid.nih.gov/transcriptome/T_rubida/S1/links/SWISSP/Triru-contig_34-SWISSP.txt","Procalin")</f>
        <v>Procalin</v>
      </c>
      <c r="AP68" t="str">
        <f>HYPERLINK("http://www.uniprot.org/uniprot/Q9U6R6","9E-015")</f>
        <v>9E-015</v>
      </c>
      <c r="AQ68" t="s">
        <v>703</v>
      </c>
      <c r="AR68">
        <v>79</v>
      </c>
      <c r="AS68">
        <v>108</v>
      </c>
      <c r="AT68">
        <v>38</v>
      </c>
      <c r="AU68">
        <v>64</v>
      </c>
      <c r="AV68">
        <v>68</v>
      </c>
      <c r="AW68">
        <v>6</v>
      </c>
      <c r="AX68">
        <v>60</v>
      </c>
      <c r="AY68">
        <v>1</v>
      </c>
      <c r="AZ68">
        <v>1</v>
      </c>
      <c r="BA68">
        <v>1</v>
      </c>
      <c r="BB68" t="s">
        <v>11</v>
      </c>
      <c r="BD68" t="s">
        <v>704</v>
      </c>
      <c r="BE68" t="s">
        <v>705</v>
      </c>
      <c r="BF68" t="s">
        <v>860</v>
      </c>
      <c r="BG68" t="s">
        <v>861</v>
      </c>
      <c r="BH68" s="1" t="s">
        <v>57</v>
      </c>
      <c r="BI68" t="s">
        <v>57</v>
      </c>
      <c r="BJ68" s="1" t="str">
        <f>HYPERLINK("http://exon.niaid.nih.gov/transcriptome/T_rubida/S1/links/CDD/Triru-contig_34-CDD.txt","Triabin")</f>
        <v>Triabin</v>
      </c>
      <c r="BK68" t="str">
        <f>HYPERLINK("http://www.ncbi.nlm.nih.gov/Structure/cdd/cddsrv.cgi?uid=pfam03973&amp;version=v4.0","1E-004")</f>
        <v>1E-004</v>
      </c>
      <c r="BL68" t="s">
        <v>862</v>
      </c>
      <c r="BM68" s="1" t="str">
        <f>HYPERLINK("http://exon.niaid.nih.gov/transcriptome/T_rubida/S1/links/KOG/Triru-contig_34-KOG.txt","RhoGEF GTPase")</f>
        <v>RhoGEF GTPase</v>
      </c>
      <c r="BN68" t="str">
        <f>HYPERLINK("http://www.ncbi.nlm.nih.gov/COG/grace/shokog.cgi?KOG4305","0.20")</f>
        <v>0.20</v>
      </c>
      <c r="BO68" t="s">
        <v>728</v>
      </c>
      <c r="BP68" s="1" t="str">
        <f>HYPERLINK("http://exon.niaid.nih.gov/transcriptome/T_rubida/S1/links/PFAM/Triru-contig_34-PFAM.txt","Triabin")</f>
        <v>Triabin</v>
      </c>
      <c r="BQ68" t="str">
        <f>HYPERLINK("http://pfam.sanger.ac.uk/family?acc=PF03973","3E-005")</f>
        <v>3E-005</v>
      </c>
      <c r="BR68" s="1" t="str">
        <f>HYPERLINK("http://exon.niaid.nih.gov/transcriptome/T_rubida/S1/links/SMART/Triru-contig_34-SMART.txt","LIM")</f>
        <v>LIM</v>
      </c>
      <c r="BS68" t="str">
        <f>HYPERLINK("http://smart.embl-heidelberg.de/smart/do_annotation.pl?DOMAIN=LIM&amp;BLAST=DUMMY","0.38")</f>
        <v>0.38</v>
      </c>
      <c r="BT68" s="1" t="str">
        <f>HYPERLINK("http://exon.niaid.nih.gov/transcriptome/T_rubida/S1/links/PRK/Triru-contig_34-PRK.txt","NTP-binding motif containing protein.")</f>
        <v>NTP-binding motif containing protein.</v>
      </c>
      <c r="BU68">
        <v>0.23</v>
      </c>
      <c r="BV68" s="1" t="s">
        <v>57</v>
      </c>
      <c r="BW68" t="s">
        <v>57</v>
      </c>
      <c r="BX68" s="1" t="s">
        <v>57</v>
      </c>
      <c r="BY68" t="s">
        <v>57</v>
      </c>
    </row>
    <row r="69" spans="1:77">
      <c r="A69" t="str">
        <f>HYPERLINK("http://exon.niaid.nih.gov/transcriptome/T_rubida/S1/links/Triru/Triru-contig_35.txt","Triru-contig_35")</f>
        <v>Triru-contig_35</v>
      </c>
      <c r="B69">
        <v>3</v>
      </c>
      <c r="C69" t="str">
        <f>HYPERLINK("http://exon.niaid.nih.gov/transcriptome/T_rubida/S1/links/Triru/Triru-5-48-asb-35.txt","Contig-35")</f>
        <v>Contig-35</v>
      </c>
      <c r="D69" t="str">
        <f>HYPERLINK("http://exon.niaid.nih.gov/transcriptome/T_rubida/S1/links/Triru/Triru-5-48-35-CLU.txt","Contig35")</f>
        <v>Contig35</v>
      </c>
      <c r="E69" t="str">
        <f>HYPERLINK("http://exon.niaid.nih.gov/transcriptome/T_rubida/S1/links/Triru/Triru-5-48-35-qual.txt","80.")</f>
        <v>80.</v>
      </c>
      <c r="F69" t="s">
        <v>10</v>
      </c>
      <c r="G69">
        <v>68.5</v>
      </c>
      <c r="H69">
        <v>298</v>
      </c>
      <c r="I69" t="s">
        <v>46</v>
      </c>
      <c r="J69">
        <v>300</v>
      </c>
      <c r="K69">
        <v>317</v>
      </c>
      <c r="L69">
        <v>231</v>
      </c>
      <c r="M69" t="s">
        <v>5336</v>
      </c>
      <c r="N69" s="15">
        <v>1</v>
      </c>
      <c r="O69" s="14" t="str">
        <f>HYPERLINK("http://exon.niaid.nih.gov/transcriptome/T_rubida/S1/links/Sigp/TRIRU-CONTIG_35-SigP.txt","Cyt")</f>
        <v>Cyt</v>
      </c>
      <c r="Q69" s="5" t="s">
        <v>4818</v>
      </c>
      <c r="R69" t="s">
        <v>5719</v>
      </c>
      <c r="S69" t="str">
        <f>HYPERLINK("http://exon.niaid.nih.gov/transcriptome/T_rubida/S1/links/NR/Triru-contig_35-NR.txt","NR")</f>
        <v>NR</v>
      </c>
      <c r="T69" s="23">
        <v>2.0000000000000002E-15</v>
      </c>
      <c r="U69">
        <v>45</v>
      </c>
      <c r="V69" s="1" t="str">
        <f>HYPERLINK("http://exon.niaid.nih.gov/transcriptome/T_rubida/S1/links/NR/Triru-contig_35-NR.txt","unnamed protein product")</f>
        <v>unnamed protein product</v>
      </c>
      <c r="W69" t="str">
        <f>HYPERLINK("http://www.ncbi.nlm.nih.gov/sutils/blink.cgi?pid=270046166","2E-015")</f>
        <v>2E-015</v>
      </c>
      <c r="X69" t="str">
        <f>HYPERLINK("http://www.ncbi.nlm.nih.gov/protein/270046166","gi|270046166")</f>
        <v>gi|270046166</v>
      </c>
      <c r="Y69">
        <v>85.9</v>
      </c>
      <c r="Z69">
        <v>79</v>
      </c>
      <c r="AA69">
        <v>177</v>
      </c>
      <c r="AB69">
        <v>52</v>
      </c>
      <c r="AC69">
        <v>45</v>
      </c>
      <c r="AD69">
        <v>38</v>
      </c>
      <c r="AE69">
        <v>7</v>
      </c>
      <c r="AF69">
        <v>97</v>
      </c>
      <c r="AG69">
        <v>13</v>
      </c>
      <c r="AH69">
        <v>1</v>
      </c>
      <c r="AI69">
        <v>1</v>
      </c>
      <c r="AJ69" t="s">
        <v>11</v>
      </c>
      <c r="AL69" t="s">
        <v>700</v>
      </c>
      <c r="AM69" t="s">
        <v>863</v>
      </c>
      <c r="AN69" t="s">
        <v>702</v>
      </c>
      <c r="AO69" s="1" t="str">
        <f>HYPERLINK("http://exon.niaid.nih.gov/transcriptome/T_rubida/S1/links/SWISSP/Triru-contig_35-SWISSP.txt","Procalin")</f>
        <v>Procalin</v>
      </c>
      <c r="AP69" t="str">
        <f>HYPERLINK("http://www.uniprot.org/uniprot/Q9U6R6","3E-011")</f>
        <v>3E-011</v>
      </c>
      <c r="AQ69" t="s">
        <v>703</v>
      </c>
      <c r="AR69">
        <v>67</v>
      </c>
      <c r="AS69">
        <v>73</v>
      </c>
      <c r="AT69">
        <v>44</v>
      </c>
      <c r="AU69">
        <v>44</v>
      </c>
      <c r="AV69">
        <v>42</v>
      </c>
      <c r="AW69">
        <v>4</v>
      </c>
      <c r="AX69">
        <v>95</v>
      </c>
      <c r="AY69">
        <v>19</v>
      </c>
      <c r="AZ69">
        <v>1</v>
      </c>
      <c r="BA69">
        <v>1</v>
      </c>
      <c r="BB69" t="s">
        <v>11</v>
      </c>
      <c r="BD69" t="s">
        <v>704</v>
      </c>
      <c r="BE69" t="s">
        <v>705</v>
      </c>
      <c r="BF69" t="s">
        <v>864</v>
      </c>
      <c r="BG69" t="s">
        <v>865</v>
      </c>
      <c r="BH69" s="1" t="s">
        <v>57</v>
      </c>
      <c r="BI69" t="s">
        <v>57</v>
      </c>
      <c r="BJ69" s="1" t="str">
        <f>HYPERLINK("http://exon.niaid.nih.gov/transcriptome/T_rubida/S1/links/CDD/Triru-contig_35-CDD.txt","Triabin")</f>
        <v>Triabin</v>
      </c>
      <c r="BK69" t="str">
        <f>HYPERLINK("http://www.ncbi.nlm.nih.gov/Structure/cdd/cddsrv.cgi?uid=pfam03973&amp;version=v4.0","0.023")</f>
        <v>0.023</v>
      </c>
      <c r="BL69" t="s">
        <v>866</v>
      </c>
      <c r="BM69" s="1" t="str">
        <f>HYPERLINK("http://exon.niaid.nih.gov/transcriptome/T_rubida/S1/links/KOG/Triru-contig_35-KOG.txt","Myosin class I heavy chain")</f>
        <v>Myosin class I heavy chain</v>
      </c>
      <c r="BN69" t="str">
        <f>HYPERLINK("http://www.ncbi.nlm.nih.gov/COG/grace/shokog.cgi?KOG0164","0.29")</f>
        <v>0.29</v>
      </c>
      <c r="BO69" t="s">
        <v>867</v>
      </c>
      <c r="BP69" s="1" t="str">
        <f>HYPERLINK("http://exon.niaid.nih.gov/transcriptome/T_rubida/S1/links/PFAM/Triru-contig_35-PFAM.txt","Triabin")</f>
        <v>Triabin</v>
      </c>
      <c r="BQ69" t="str">
        <f>HYPERLINK("http://pfam.sanger.ac.uk/family?acc=PF03973","0.005")</f>
        <v>0.005</v>
      </c>
      <c r="BR69" s="1" t="str">
        <f>HYPERLINK("http://exon.niaid.nih.gov/transcriptome/T_rubida/S1/links/SMART/Triru-contig_35-SMART.txt","SEC14")</f>
        <v>SEC14</v>
      </c>
      <c r="BS69" t="str">
        <f>HYPERLINK("http://smart.embl-heidelberg.de/smart/do_annotation.pl?DOMAIN=SEC14&amp;BLAST=DUMMY","0.016")</f>
        <v>0.016</v>
      </c>
      <c r="BT69" s="1" t="str">
        <f>HYPERLINK("http://exon.niaid.nih.gov/transcriptome/T_rubida/S1/links/PRK/Triru-contig_35-PRK.txt","cell division control protein 6")</f>
        <v>cell division control protein 6</v>
      </c>
      <c r="BU69">
        <v>0.13</v>
      </c>
      <c r="BV69" s="1" t="s">
        <v>57</v>
      </c>
      <c r="BW69" t="s">
        <v>57</v>
      </c>
      <c r="BX69" s="1" t="s">
        <v>57</v>
      </c>
      <c r="BY69" t="s">
        <v>57</v>
      </c>
    </row>
    <row r="70" spans="1:77">
      <c r="A70" t="str">
        <f>HYPERLINK("http://exon.niaid.nih.gov/transcriptome/T_rubida/S1/links/Triru/Triru-contig_20.txt","Triru-contig_20")</f>
        <v>Triru-contig_20</v>
      </c>
      <c r="B70">
        <v>2</v>
      </c>
      <c r="C70" t="str">
        <f>HYPERLINK("http://exon.niaid.nih.gov/transcriptome/T_rubida/S1/links/Triru/Triru-5-48-asb-20.txt","Contig-20")</f>
        <v>Contig-20</v>
      </c>
      <c r="D70" t="str">
        <f>HYPERLINK("http://exon.niaid.nih.gov/transcriptome/T_rubida/S1/links/Triru/Triru-5-48-20-CLU.txt","Contig20")</f>
        <v>Contig20</v>
      </c>
      <c r="E70" t="str">
        <f>HYPERLINK("http://exon.niaid.nih.gov/transcriptome/T_rubida/S1/links/Triru/Triru-5-48-20-qual.txt","89.6")</f>
        <v>89.6</v>
      </c>
      <c r="F70" t="s">
        <v>10</v>
      </c>
      <c r="G70">
        <v>64.400000000000006</v>
      </c>
      <c r="H70">
        <v>363</v>
      </c>
      <c r="I70" t="s">
        <v>31</v>
      </c>
      <c r="J70">
        <v>367</v>
      </c>
      <c r="K70">
        <v>382</v>
      </c>
      <c r="L70">
        <v>270</v>
      </c>
      <c r="M70" t="s">
        <v>5334</v>
      </c>
      <c r="N70" s="15">
        <v>1</v>
      </c>
      <c r="Q70" s="5" t="s">
        <v>4818</v>
      </c>
      <c r="R70" t="s">
        <v>5719</v>
      </c>
      <c r="S70" t="str">
        <f>HYPERLINK("http://exon.niaid.nih.gov/transcriptome/T_rubida/S1/links/NR/Triru-contig_20-NR.txt","NR")</f>
        <v>NR</v>
      </c>
      <c r="T70" s="23">
        <v>2.0000000000000001E-17</v>
      </c>
      <c r="U70">
        <v>54</v>
      </c>
      <c r="V70" s="1" t="str">
        <f>HYPERLINK("http://exon.niaid.nih.gov/transcriptome/T_rubida/S1/links/NR/Triru-contig_20-NR.txt","unnamed protein product")</f>
        <v>unnamed protein product</v>
      </c>
      <c r="W70" t="str">
        <f>HYPERLINK("http://www.ncbi.nlm.nih.gov/sutils/blink.cgi?pid=270046244","2E-017")</f>
        <v>2E-017</v>
      </c>
      <c r="X70" t="str">
        <f>HYPERLINK("http://www.ncbi.nlm.nih.gov/protein/270046244","gi|270046244")</f>
        <v>gi|270046244</v>
      </c>
      <c r="Y70">
        <v>92.4</v>
      </c>
      <c r="Z70">
        <v>96</v>
      </c>
      <c r="AA70">
        <v>177</v>
      </c>
      <c r="AB70">
        <v>52</v>
      </c>
      <c r="AC70">
        <v>55</v>
      </c>
      <c r="AD70">
        <v>46</v>
      </c>
      <c r="AE70">
        <v>9</v>
      </c>
      <c r="AF70">
        <v>79</v>
      </c>
      <c r="AG70">
        <v>4</v>
      </c>
      <c r="AH70">
        <v>1</v>
      </c>
      <c r="AI70">
        <v>1</v>
      </c>
      <c r="AJ70" t="s">
        <v>11</v>
      </c>
      <c r="AL70" t="s">
        <v>700</v>
      </c>
      <c r="AM70" t="s">
        <v>781</v>
      </c>
      <c r="AN70" t="s">
        <v>702</v>
      </c>
      <c r="AO70" s="1" t="str">
        <f>HYPERLINK("http://exon.niaid.nih.gov/transcriptome/T_rubida/S1/links/SWISSP/Triru-contig_20-SWISSP.txt","Procalin")</f>
        <v>Procalin</v>
      </c>
      <c r="AP70" t="str">
        <f>HYPERLINK("http://www.uniprot.org/uniprot/Q9U6R6","4E-012")</f>
        <v>4E-012</v>
      </c>
      <c r="AQ70" t="s">
        <v>703</v>
      </c>
      <c r="AR70">
        <v>70.099999999999994</v>
      </c>
      <c r="AS70">
        <v>85</v>
      </c>
      <c r="AT70">
        <v>38</v>
      </c>
      <c r="AU70">
        <v>51</v>
      </c>
      <c r="AV70">
        <v>53</v>
      </c>
      <c r="AW70">
        <v>4</v>
      </c>
      <c r="AX70">
        <v>81</v>
      </c>
      <c r="AY70">
        <v>19</v>
      </c>
      <c r="AZ70">
        <v>1</v>
      </c>
      <c r="BA70">
        <v>1</v>
      </c>
      <c r="BB70" t="s">
        <v>11</v>
      </c>
      <c r="BD70" t="s">
        <v>704</v>
      </c>
      <c r="BE70" t="s">
        <v>705</v>
      </c>
      <c r="BF70" t="s">
        <v>782</v>
      </c>
      <c r="BG70" t="s">
        <v>783</v>
      </c>
      <c r="BH70" s="1" t="s">
        <v>57</v>
      </c>
      <c r="BI70" t="s">
        <v>57</v>
      </c>
      <c r="BJ70" s="1" t="str">
        <f>HYPERLINK("http://exon.niaid.nih.gov/transcriptome/T_rubida/S1/links/CDD/Triru-contig_20-CDD.txt","Triabin")</f>
        <v>Triabin</v>
      </c>
      <c r="BK70" t="str">
        <f>HYPERLINK("http://www.ncbi.nlm.nih.gov/Structure/cdd/cddsrv.cgi?uid=pfam03973&amp;version=v4.0","3E-004")</f>
        <v>3E-004</v>
      </c>
      <c r="BL70" t="s">
        <v>784</v>
      </c>
      <c r="BM70" s="1" t="str">
        <f>HYPERLINK("http://exon.niaid.nih.gov/transcriptome/T_rubida/S1/links/KOG/Triru-contig_20-KOG.txt","DNA repair protein, SNF2 family")</f>
        <v>DNA repair protein, SNF2 family</v>
      </c>
      <c r="BN70" t="str">
        <f>HYPERLINK("http://www.ncbi.nlm.nih.gov/COG/grace/shokog.cgi?KOG0390","2.8")</f>
        <v>2.8</v>
      </c>
      <c r="BO70" t="s">
        <v>785</v>
      </c>
      <c r="BP70" s="1" t="str">
        <f>HYPERLINK("http://exon.niaid.nih.gov/transcriptome/T_rubida/S1/links/PFAM/Triru-contig_20-PFAM.txt","Triabin")</f>
        <v>Triabin</v>
      </c>
      <c r="BQ70" t="str">
        <f>HYPERLINK("http://pfam.sanger.ac.uk/family?acc=PF03973","6E-005")</f>
        <v>6E-005</v>
      </c>
      <c r="BR70" s="1" t="str">
        <f>HYPERLINK("http://exon.niaid.nih.gov/transcriptome/T_rubida/S1/links/SMART/Triru-contig_20-SMART.txt","BPI2")</f>
        <v>BPI2</v>
      </c>
      <c r="BS70" t="str">
        <f>HYPERLINK("http://smart.embl-heidelberg.de/smart/do_annotation.pl?DOMAIN=BPI2&amp;BLAST=DUMMY","0.11")</f>
        <v>0.11</v>
      </c>
      <c r="BT70" s="1" t="str">
        <f>HYPERLINK("http://exon.niaid.nih.gov/transcriptome/T_rubida/S1/links/PRK/Triru-contig_20-PRK.txt","galactose-1-phosphate uridylyltransferase")</f>
        <v>galactose-1-phosphate uridylyltransferase</v>
      </c>
      <c r="BU70">
        <v>0.41</v>
      </c>
      <c r="BV70" s="1" t="s">
        <v>57</v>
      </c>
      <c r="BW70" t="s">
        <v>57</v>
      </c>
      <c r="BX70" s="1" t="s">
        <v>57</v>
      </c>
      <c r="BY70" t="s">
        <v>57</v>
      </c>
    </row>
    <row r="71" spans="1:77">
      <c r="A71" t="str">
        <f>HYPERLINK("http://exon.niaid.nih.gov/transcriptome/T_rubida/S1/links/Triru/Triru-contig_21.txt","Triru-contig_21")</f>
        <v>Triru-contig_21</v>
      </c>
      <c r="B71">
        <v>2</v>
      </c>
      <c r="C71" t="str">
        <f>HYPERLINK("http://exon.niaid.nih.gov/transcriptome/T_rubida/S1/links/Triru/Triru-5-48-asb-21.txt","Contig-21")</f>
        <v>Contig-21</v>
      </c>
      <c r="D71" t="str">
        <f>HYPERLINK("http://exon.niaid.nih.gov/transcriptome/T_rubida/S1/links/Triru/Triru-5-48-21-CLU.txt","Contig21")</f>
        <v>Contig21</v>
      </c>
      <c r="E71" t="str">
        <f>HYPERLINK("http://exon.niaid.nih.gov/transcriptome/T_rubida/S1/links/Triru/Triru-5-48-21-qual.txt","48.7")</f>
        <v>48.7</v>
      </c>
      <c r="F71" t="s">
        <v>10</v>
      </c>
      <c r="G71">
        <v>62.7</v>
      </c>
      <c r="H71">
        <v>383</v>
      </c>
      <c r="I71" t="s">
        <v>32</v>
      </c>
      <c r="J71">
        <v>459</v>
      </c>
      <c r="K71">
        <v>402</v>
      </c>
      <c r="L71">
        <v>297</v>
      </c>
      <c r="M71" t="s">
        <v>5337</v>
      </c>
      <c r="N71" s="15">
        <v>1</v>
      </c>
      <c r="O71" s="14" t="str">
        <f>HYPERLINK("http://exon.niaid.nih.gov/transcriptome/T_rubida/S1/links/Sigp/TRIRU-CONTIG_21-SigP.txt","Cyt")</f>
        <v>Cyt</v>
      </c>
      <c r="Q71" s="5" t="s">
        <v>4818</v>
      </c>
      <c r="R71" t="s">
        <v>5719</v>
      </c>
      <c r="S71" t="str">
        <f>HYPERLINK("http://exon.niaid.nih.gov/transcriptome/T_rubida/S1/links/NR/Triru-contig_21-NR.txt","NR")</f>
        <v>NR</v>
      </c>
      <c r="T71" s="23">
        <v>2.9999999999999998E-14</v>
      </c>
      <c r="U71">
        <v>60.4</v>
      </c>
      <c r="V71" s="1" t="str">
        <f>HYPERLINK("http://exon.niaid.nih.gov/transcriptome/T_rubida/S1/links/NR/Triru-contig_21-NR.txt","unnamed protein product")</f>
        <v>unnamed protein product</v>
      </c>
      <c r="W71" t="str">
        <f>HYPERLINK("http://www.ncbi.nlm.nih.gov/sutils/blink.cgi?pid=270046244","3E-014")</f>
        <v>3E-014</v>
      </c>
      <c r="X71" t="str">
        <f>HYPERLINK("http://www.ncbi.nlm.nih.gov/protein/270046244","gi|270046244")</f>
        <v>gi|270046244</v>
      </c>
      <c r="Y71">
        <v>82</v>
      </c>
      <c r="Z71">
        <v>104</v>
      </c>
      <c r="AA71">
        <v>177</v>
      </c>
      <c r="AB71">
        <v>47</v>
      </c>
      <c r="AC71">
        <v>59</v>
      </c>
      <c r="AD71">
        <v>56</v>
      </c>
      <c r="AE71">
        <v>11</v>
      </c>
      <c r="AF71">
        <v>72</v>
      </c>
      <c r="AG71">
        <v>10</v>
      </c>
      <c r="AH71">
        <v>1</v>
      </c>
      <c r="AI71">
        <v>1</v>
      </c>
      <c r="AJ71" t="s">
        <v>11</v>
      </c>
      <c r="AL71" t="s">
        <v>700</v>
      </c>
      <c r="AM71" t="s">
        <v>786</v>
      </c>
      <c r="AN71" t="s">
        <v>702</v>
      </c>
      <c r="AO71" s="1" t="str">
        <f>HYPERLINK("http://exon.niaid.nih.gov/transcriptome/T_rubida/S1/links/SWISSP/Triru-contig_21-SWISSP.txt","Procalin")</f>
        <v>Procalin</v>
      </c>
      <c r="AP71" t="str">
        <f>HYPERLINK("http://www.uniprot.org/uniprot/Q9U6R6","2E-005")</f>
        <v>2E-005</v>
      </c>
      <c r="AQ71" t="s">
        <v>703</v>
      </c>
      <c r="AR71">
        <v>47.8</v>
      </c>
      <c r="AS71">
        <v>102</v>
      </c>
      <c r="AT71">
        <v>27</v>
      </c>
      <c r="AU71">
        <v>61</v>
      </c>
      <c r="AV71">
        <v>76</v>
      </c>
      <c r="AW71">
        <v>7</v>
      </c>
      <c r="AX71">
        <v>66</v>
      </c>
      <c r="AY71">
        <v>4</v>
      </c>
      <c r="AZ71">
        <v>1</v>
      </c>
      <c r="BA71">
        <v>1</v>
      </c>
      <c r="BB71" t="s">
        <v>11</v>
      </c>
      <c r="BD71" t="s">
        <v>704</v>
      </c>
      <c r="BE71" t="s">
        <v>705</v>
      </c>
      <c r="BF71" t="s">
        <v>787</v>
      </c>
      <c r="BG71" t="s">
        <v>788</v>
      </c>
      <c r="BH71" s="1" t="s">
        <v>57</v>
      </c>
      <c r="BI71" t="s">
        <v>57</v>
      </c>
      <c r="BJ71" s="1" t="str">
        <f>HYPERLINK("http://exon.niaid.nih.gov/transcriptome/T_rubida/S1/links/CDD/Triru-contig_21-CDD.txt","Triabin")</f>
        <v>Triabin</v>
      </c>
      <c r="BK71" t="str">
        <f>HYPERLINK("http://www.ncbi.nlm.nih.gov/Structure/cdd/cddsrv.cgi?uid=pfam03973&amp;version=v4.0","0.043")</f>
        <v>0.043</v>
      </c>
      <c r="BL71" t="s">
        <v>789</v>
      </c>
      <c r="BM71" s="1" t="str">
        <f>HYPERLINK("http://exon.niaid.nih.gov/transcriptome/T_rubida/S1/links/KOG/Triru-contig_21-KOG.txt","RNA polymerase, subunit L")</f>
        <v>RNA polymerase, subunit L</v>
      </c>
      <c r="BN71" t="str">
        <f>HYPERLINK("http://www.ncbi.nlm.nih.gov/COG/grace/shokog.cgi?KOG4392","0.54")</f>
        <v>0.54</v>
      </c>
      <c r="BO71" t="s">
        <v>790</v>
      </c>
      <c r="BP71" s="1" t="str">
        <f>HYPERLINK("http://exon.niaid.nih.gov/transcriptome/T_rubida/S1/links/PFAM/Triru-contig_21-PFAM.txt","Triabin")</f>
        <v>Triabin</v>
      </c>
      <c r="BQ71" t="str">
        <f>HYPERLINK("http://pfam.sanger.ac.uk/family?acc=PF03973","0.010")</f>
        <v>0.010</v>
      </c>
      <c r="BR71" s="1" t="str">
        <f>HYPERLINK("http://exon.niaid.nih.gov/transcriptome/T_rubida/S1/links/SMART/Triru-contig_21-SMART.txt","CARP")</f>
        <v>CARP</v>
      </c>
      <c r="BS71" t="str">
        <f>HYPERLINK("http://smart.embl-heidelberg.de/smart/do_annotation.pl?DOMAIN=CARP&amp;BLAST=DUMMY","0.026")</f>
        <v>0.026</v>
      </c>
      <c r="BT71" s="1" t="str">
        <f>HYPERLINK("http://exon.niaid.nih.gov/transcriptome/T_rubida/S1/links/PRK/Triru-contig_21-PRK.txt","NADH dehydrogenase subunit 2")</f>
        <v>NADH dehydrogenase subunit 2</v>
      </c>
      <c r="BU71">
        <v>7.4999999999999997E-2</v>
      </c>
      <c r="BV71" s="1" t="s">
        <v>57</v>
      </c>
      <c r="BW71" t="s">
        <v>57</v>
      </c>
      <c r="BX71" s="1" t="s">
        <v>57</v>
      </c>
      <c r="BY71" t="s">
        <v>57</v>
      </c>
    </row>
    <row r="72" spans="1:77">
      <c r="A72" t="str">
        <f>HYPERLINK("http://exon.niaid.nih.gov/transcriptome/T_rubida/S1/links/Triru/Triru-contig_43.txt","Triru-contig_43")</f>
        <v>Triru-contig_43</v>
      </c>
      <c r="B72">
        <v>1</v>
      </c>
      <c r="C72" t="str">
        <f>HYPERLINK("http://exon.niaid.nih.gov/transcriptome/T_rubida/S1/links/Triru/Triru-5-48-asb-43.txt","Contig-43")</f>
        <v>Contig-43</v>
      </c>
      <c r="D72" t="str">
        <f>HYPERLINK("http://exon.niaid.nih.gov/transcriptome/T_rubida/S1/links/Triru/Triru-5-48-43-CLU.txt","Contig43")</f>
        <v>Contig43</v>
      </c>
      <c r="E72" t="str">
        <f>HYPERLINK("http://exon.niaid.nih.gov/transcriptome/T_rubida/S1/links/Triru/Triru-5-48-43-qual.txt","57.8")</f>
        <v>57.8</v>
      </c>
      <c r="F72" t="s">
        <v>10</v>
      </c>
      <c r="G72">
        <v>66</v>
      </c>
      <c r="H72">
        <v>451</v>
      </c>
      <c r="I72" t="s">
        <v>54</v>
      </c>
      <c r="J72">
        <v>451</v>
      </c>
      <c r="K72">
        <v>470</v>
      </c>
      <c r="L72">
        <v>330</v>
      </c>
      <c r="M72" t="s">
        <v>5338</v>
      </c>
      <c r="N72" s="15">
        <v>1</v>
      </c>
      <c r="O72" s="14" t="str">
        <f>HYPERLINK("http://exon.niaid.nih.gov/transcriptome/T_rubida/S1/links/Sigp/TRIRU-CONTIG_43-SigP.txt","Cyt")</f>
        <v>Cyt</v>
      </c>
      <c r="Q72" s="5" t="s">
        <v>4818</v>
      </c>
      <c r="R72" t="s">
        <v>5719</v>
      </c>
      <c r="S72" t="str">
        <f>HYPERLINK("http://exon.niaid.nih.gov/transcriptome/T_rubida/S1/links/NR/Triru-contig_43-NR.txt","NR")</f>
        <v>NR</v>
      </c>
      <c r="T72" s="23">
        <v>4.9999999999999999E-13</v>
      </c>
      <c r="U72">
        <v>48.5</v>
      </c>
      <c r="V72" s="1" t="str">
        <f>HYPERLINK("http://exon.niaid.nih.gov/transcriptome/T_rubida/S1/links/NR/Triru-contig_43-NR.txt","unnamed protein product")</f>
        <v>unnamed protein product</v>
      </c>
      <c r="W72" t="str">
        <f>HYPERLINK("http://www.ncbi.nlm.nih.gov/sutils/blink.cgi?pid=270046244","5E-013")</f>
        <v>5E-013</v>
      </c>
      <c r="X72" t="str">
        <f>HYPERLINK("http://www.ncbi.nlm.nih.gov/protein/270046244","gi|270046244")</f>
        <v>gi|270046244</v>
      </c>
      <c r="Y72">
        <v>77.8</v>
      </c>
      <c r="Z72">
        <v>85</v>
      </c>
      <c r="AA72">
        <v>177</v>
      </c>
      <c r="AB72">
        <v>45</v>
      </c>
      <c r="AC72">
        <v>49</v>
      </c>
      <c r="AD72">
        <v>47</v>
      </c>
      <c r="AE72">
        <v>8</v>
      </c>
      <c r="AF72">
        <v>91</v>
      </c>
      <c r="AG72">
        <v>9</v>
      </c>
      <c r="AH72">
        <v>2</v>
      </c>
      <c r="AI72">
        <v>1</v>
      </c>
      <c r="AJ72" t="s">
        <v>888</v>
      </c>
      <c r="AL72" t="s">
        <v>700</v>
      </c>
      <c r="AM72" t="s">
        <v>897</v>
      </c>
      <c r="AN72" t="s">
        <v>898</v>
      </c>
      <c r="AO72" s="1" t="str">
        <f>HYPERLINK("http://exon.niaid.nih.gov/transcriptome/T_rubida/S1/links/SWISSP/Triru-contig_43-SWISSP.txt","Procalin")</f>
        <v>Procalin</v>
      </c>
      <c r="AP72" t="str">
        <f>HYPERLINK("http://www.uniprot.org/uniprot/Q9U6R6","1E-007")</f>
        <v>1E-007</v>
      </c>
      <c r="AQ72" t="s">
        <v>703</v>
      </c>
      <c r="AR72">
        <v>55.5</v>
      </c>
      <c r="AS72">
        <v>75</v>
      </c>
      <c r="AT72">
        <v>32</v>
      </c>
      <c r="AU72">
        <v>45</v>
      </c>
      <c r="AV72">
        <v>51</v>
      </c>
      <c r="AW72">
        <v>4</v>
      </c>
      <c r="AX72">
        <v>93</v>
      </c>
      <c r="AY72">
        <v>9</v>
      </c>
      <c r="AZ72">
        <v>2</v>
      </c>
      <c r="BA72">
        <v>1</v>
      </c>
      <c r="BB72" t="s">
        <v>888</v>
      </c>
      <c r="BD72" t="s">
        <v>704</v>
      </c>
      <c r="BE72" t="s">
        <v>705</v>
      </c>
      <c r="BF72" t="s">
        <v>899</v>
      </c>
      <c r="BG72" t="s">
        <v>900</v>
      </c>
      <c r="BH72" s="1" t="s">
        <v>57</v>
      </c>
      <c r="BI72" t="s">
        <v>57</v>
      </c>
      <c r="BJ72" s="1" t="str">
        <f>HYPERLINK("http://exon.niaid.nih.gov/transcriptome/T_rubida/S1/links/CDD/Triru-contig_43-CDD.txt","Triabin")</f>
        <v>Triabin</v>
      </c>
      <c r="BK72" t="str">
        <f>HYPERLINK("http://www.ncbi.nlm.nih.gov/Structure/cdd/cddsrv.cgi?uid=pfam03973&amp;version=v4.0","2E-004")</f>
        <v>2E-004</v>
      </c>
      <c r="BL72" t="s">
        <v>901</v>
      </c>
      <c r="BM72" s="1" t="str">
        <f>HYPERLINK("http://exon.niaid.nih.gov/transcriptome/T_rubida/S1/links/KOG/Triru-contig_43-KOG.txt","Apolipoprotein D/Lipocalin")</f>
        <v>Apolipoprotein D/Lipocalin</v>
      </c>
      <c r="BN72" t="str">
        <f>HYPERLINK("http://www.ncbi.nlm.nih.gov/COG/grace/shokog.cgi?KOG4824","2.8")</f>
        <v>2.8</v>
      </c>
      <c r="BO72" t="s">
        <v>760</v>
      </c>
      <c r="BP72" s="1" t="str">
        <f>HYPERLINK("http://exon.niaid.nih.gov/transcriptome/T_rubida/S1/links/PFAM/Triru-contig_43-PFAM.txt","Triabin")</f>
        <v>Triabin</v>
      </c>
      <c r="BQ72" t="str">
        <f>HYPERLINK("http://pfam.sanger.ac.uk/family?acc=PF03973","5E-005")</f>
        <v>5E-005</v>
      </c>
      <c r="BR72" s="1" t="str">
        <f>HYPERLINK("http://exon.niaid.nih.gov/transcriptome/T_rubida/S1/links/SMART/Triru-contig_43-SMART.txt","SEC14")</f>
        <v>SEC14</v>
      </c>
      <c r="BS72" t="str">
        <f>HYPERLINK("http://smart.embl-heidelberg.de/smart/do_annotation.pl?DOMAIN=SEC14&amp;BLAST=DUMMY","0.030")</f>
        <v>0.030</v>
      </c>
      <c r="BT72" s="1" t="str">
        <f>HYPERLINK("http://exon.niaid.nih.gov/transcriptome/T_rubida/S1/links/PRK/Triru-contig_43-PRK.txt","galactose-1-phosphate uridylyltransferase")</f>
        <v>galactose-1-phosphate uridylyltransferase</v>
      </c>
      <c r="BU72">
        <v>0.35</v>
      </c>
      <c r="BV72" s="1" t="s">
        <v>57</v>
      </c>
      <c r="BW72" t="s">
        <v>57</v>
      </c>
      <c r="BX72" s="1" t="s">
        <v>57</v>
      </c>
      <c r="BY72" t="s">
        <v>57</v>
      </c>
    </row>
    <row r="73" spans="1:77">
      <c r="A73" t="str">
        <f>HYPERLINK("http://exon.niaid.nih.gov/transcriptome/T_rubida/S1/links/Triru/Triru-contig_288.txt","Triru-contig_288")</f>
        <v>Triru-contig_288</v>
      </c>
      <c r="B73">
        <v>1</v>
      </c>
      <c r="C73" t="str">
        <f>HYPERLINK("http://exon.niaid.nih.gov/transcriptome/T_rubida/S1/links/Triru/Triru-5-48-asb-288.txt","Contig-288")</f>
        <v>Contig-288</v>
      </c>
      <c r="D73" t="str">
        <f>HYPERLINK("http://exon.niaid.nih.gov/transcriptome/T_rubida/S1/links/Triru/Triru-5-48-288-CLU.txt","Contig288")</f>
        <v>Contig288</v>
      </c>
      <c r="E73" t="str">
        <f>HYPERLINK("http://exon.niaid.nih.gov/transcriptome/T_rubida/S1/links/Triru/Triru-5-48-288-qual.txt","62.6")</f>
        <v>62.6</v>
      </c>
      <c r="F73" t="s">
        <v>10</v>
      </c>
      <c r="G73">
        <v>66.5</v>
      </c>
      <c r="H73">
        <v>321</v>
      </c>
      <c r="I73" t="s">
        <v>300</v>
      </c>
      <c r="J73">
        <v>321</v>
      </c>
      <c r="K73">
        <v>340</v>
      </c>
      <c r="L73">
        <v>279</v>
      </c>
      <c r="M73" t="s">
        <v>5339</v>
      </c>
      <c r="N73" s="15">
        <v>1</v>
      </c>
      <c r="O73" s="14" t="str">
        <f>HYPERLINK("http://exon.niaid.nih.gov/transcriptome/T_rubida/S1/links/Sigp/TRIRU-CONTIG_288-SigP.txt","Cyt")</f>
        <v>Cyt</v>
      </c>
      <c r="Q73" s="5" t="s">
        <v>4818</v>
      </c>
      <c r="R73" t="s">
        <v>5719</v>
      </c>
      <c r="S73" t="str">
        <f>HYPERLINK("http://exon.niaid.nih.gov/transcriptome/T_rubida/S1/links/NR/Triru-contig_288-NR.txt","NR")</f>
        <v>NR</v>
      </c>
      <c r="T73" s="23">
        <v>4.9999999999999999E-13</v>
      </c>
      <c r="U73">
        <v>42.5</v>
      </c>
      <c r="V73" s="1" t="str">
        <f>HYPERLINK("http://exon.niaid.nih.gov/transcriptome/T_rubida/S1/links/NR/Triru-contig_288-NR.txt","unnamed protein product")</f>
        <v>unnamed protein product</v>
      </c>
      <c r="W73" t="str">
        <f>HYPERLINK("http://www.ncbi.nlm.nih.gov/sutils/blink.cgi?pid=270046230","5E-013")</f>
        <v>5E-013</v>
      </c>
      <c r="X73" t="str">
        <f>HYPERLINK("http://www.ncbi.nlm.nih.gov/protein/270046230","gi|270046230")</f>
        <v>gi|270046230</v>
      </c>
      <c r="Y73">
        <v>77.8</v>
      </c>
      <c r="Z73">
        <v>78</v>
      </c>
      <c r="AA73">
        <v>195</v>
      </c>
      <c r="AB73">
        <v>53</v>
      </c>
      <c r="AC73">
        <v>41</v>
      </c>
      <c r="AD73">
        <v>39</v>
      </c>
      <c r="AE73">
        <v>4</v>
      </c>
      <c r="AF73">
        <v>116</v>
      </c>
      <c r="AG73">
        <v>19</v>
      </c>
      <c r="AH73">
        <v>1</v>
      </c>
      <c r="AI73">
        <v>1</v>
      </c>
      <c r="AJ73" t="s">
        <v>11</v>
      </c>
      <c r="AL73" t="s">
        <v>700</v>
      </c>
      <c r="AM73" t="s">
        <v>2421</v>
      </c>
      <c r="AN73" t="s">
        <v>2422</v>
      </c>
      <c r="AO73" s="1" t="str">
        <f>HYPERLINK("http://exon.niaid.nih.gov/transcriptome/T_rubida/S1/links/SWISSP/Triru-contig_288-SWISSP.txt","Lopap")</f>
        <v>Lopap</v>
      </c>
      <c r="AP73" t="str">
        <f>HYPERLINK("http://www.uniprot.org/uniprot/Q5ECE3","0.030")</f>
        <v>0.030</v>
      </c>
      <c r="AQ73" t="s">
        <v>2423</v>
      </c>
      <c r="AR73">
        <v>37.4</v>
      </c>
      <c r="AS73">
        <v>51</v>
      </c>
      <c r="AT73">
        <v>41</v>
      </c>
      <c r="AU73">
        <v>26</v>
      </c>
      <c r="AV73">
        <v>31</v>
      </c>
      <c r="AW73">
        <v>1</v>
      </c>
      <c r="AX73">
        <v>118</v>
      </c>
      <c r="AY73">
        <v>58</v>
      </c>
      <c r="AZ73">
        <v>1</v>
      </c>
      <c r="BA73">
        <v>1</v>
      </c>
      <c r="BB73" t="s">
        <v>11</v>
      </c>
      <c r="BD73" t="s">
        <v>704</v>
      </c>
      <c r="BE73" t="s">
        <v>2424</v>
      </c>
      <c r="BF73" t="s">
        <v>2425</v>
      </c>
      <c r="BG73" t="s">
        <v>2426</v>
      </c>
      <c r="BH73" s="1" t="s">
        <v>57</v>
      </c>
      <c r="BI73" t="s">
        <v>57</v>
      </c>
      <c r="BJ73" s="1" t="str">
        <f>HYPERLINK("http://exon.niaid.nih.gov/transcriptome/T_rubida/S1/links/CDD/Triru-contig_288-CDD.txt","Triabin")</f>
        <v>Triabin</v>
      </c>
      <c r="BK73" t="str">
        <f>HYPERLINK("http://www.ncbi.nlm.nih.gov/Structure/cdd/cddsrv.cgi?uid=pfam03973&amp;version=v4.0","0.001")</f>
        <v>0.001</v>
      </c>
      <c r="BL73" t="s">
        <v>2427</v>
      </c>
      <c r="BM73" s="1" t="str">
        <f>HYPERLINK("http://exon.niaid.nih.gov/transcriptome/T_rubida/S1/links/KOG/Triru-contig_288-KOG.txt","Presenilin")</f>
        <v>Presenilin</v>
      </c>
      <c r="BN73" t="str">
        <f>HYPERLINK("http://www.ncbi.nlm.nih.gov/COG/grace/shokog.cgi?KOG2736","0.003")</f>
        <v>0.003</v>
      </c>
      <c r="BO73" t="s">
        <v>728</v>
      </c>
      <c r="BP73" s="1" t="str">
        <f>HYPERLINK("http://exon.niaid.nih.gov/transcriptome/T_rubida/S1/links/PFAM/Triru-contig_288-PFAM.txt","Triabin")</f>
        <v>Triabin</v>
      </c>
      <c r="BQ73" t="str">
        <f>HYPERLINK("http://pfam.sanger.ac.uk/family?acc=PF03973","2E-004")</f>
        <v>2E-004</v>
      </c>
      <c r="BR73" s="1" t="str">
        <f>HYPERLINK("http://exon.niaid.nih.gov/transcriptome/T_rubida/S1/links/SMART/Triru-contig_288-SMART.txt","PSN")</f>
        <v>PSN</v>
      </c>
      <c r="BS73" t="str">
        <f>HYPERLINK("http://smart.embl-heidelberg.de/smart/do_annotation.pl?DOMAIN=PSN&amp;BLAST=DUMMY","0.068")</f>
        <v>0.068</v>
      </c>
      <c r="BT73" s="1" t="str">
        <f>HYPERLINK("http://exon.niaid.nih.gov/transcriptome/T_rubida/S1/links/PRK/Triru-contig_288-PRK.txt","hypothetical protein")</f>
        <v>hypothetical protein</v>
      </c>
      <c r="BU73">
        <v>1.2999999999999999E-2</v>
      </c>
      <c r="BV73" s="1" t="s">
        <v>57</v>
      </c>
      <c r="BW73" t="s">
        <v>57</v>
      </c>
      <c r="BX73" s="1" t="s">
        <v>57</v>
      </c>
      <c r="BY73" t="s">
        <v>57</v>
      </c>
    </row>
    <row r="74" spans="1:77">
      <c r="A74" t="str">
        <f>HYPERLINK("http://exon.niaid.nih.gov/transcriptome/T_rubida/S1/links/Triru/Triru-contig_45.txt","Triru-contig_45")</f>
        <v>Triru-contig_45</v>
      </c>
      <c r="B74">
        <v>1</v>
      </c>
      <c r="C74" t="str">
        <f>HYPERLINK("http://exon.niaid.nih.gov/transcriptome/T_rubida/S1/links/Triru/Triru-5-48-asb-45.txt","Contig-45")</f>
        <v>Contig-45</v>
      </c>
      <c r="D74" t="str">
        <f>HYPERLINK("http://exon.niaid.nih.gov/transcriptome/T_rubida/S1/links/Triru/Triru-5-48-45-CLU.txt","Contig45")</f>
        <v>Contig45</v>
      </c>
      <c r="E74" t="str">
        <f>HYPERLINK("http://exon.niaid.nih.gov/transcriptome/T_rubida/S1/links/Triru/Triru-5-48-45-qual.txt","62.4")</f>
        <v>62.4</v>
      </c>
      <c r="F74" t="s">
        <v>10</v>
      </c>
      <c r="G74">
        <v>65.099999999999994</v>
      </c>
      <c r="H74">
        <v>302</v>
      </c>
      <c r="I74" t="s">
        <v>56</v>
      </c>
      <c r="J74">
        <v>302</v>
      </c>
      <c r="K74">
        <v>321</v>
      </c>
      <c r="L74">
        <v>240</v>
      </c>
      <c r="M74" t="s">
        <v>5340</v>
      </c>
      <c r="N74" s="15">
        <v>2</v>
      </c>
      <c r="Q74" s="5" t="s">
        <v>4818</v>
      </c>
      <c r="R74" t="s">
        <v>5719</v>
      </c>
      <c r="S74" t="str">
        <f>HYPERLINK("http://exon.niaid.nih.gov/transcriptome/T_rubida/S1/links/NR/Triru-contig_45-NR.txt","NR")</f>
        <v>NR</v>
      </c>
      <c r="T74" s="23">
        <v>3.0000000000000001E-12</v>
      </c>
      <c r="U74">
        <v>45.9</v>
      </c>
      <c r="V74" s="1" t="str">
        <f>HYPERLINK("http://exon.niaid.nih.gov/transcriptome/T_rubida/S1/links/NR/Triru-contig_45-NR.txt","unnamed protein product")</f>
        <v>unnamed protein product</v>
      </c>
      <c r="W74" t="str">
        <f>HYPERLINK("http://www.ncbi.nlm.nih.gov/sutils/blink.cgi?pid=270046158","3E-012")</f>
        <v>3E-012</v>
      </c>
      <c r="X74" t="str">
        <f>HYPERLINK("http://www.ncbi.nlm.nih.gov/protein/270046158","gi|270046158")</f>
        <v>gi|270046158</v>
      </c>
      <c r="Y74">
        <v>75.099999999999994</v>
      </c>
      <c r="Z74">
        <v>79</v>
      </c>
      <c r="AA74">
        <v>174</v>
      </c>
      <c r="AB74">
        <v>51</v>
      </c>
      <c r="AC74">
        <v>46</v>
      </c>
      <c r="AD74">
        <v>39</v>
      </c>
      <c r="AE74">
        <v>5</v>
      </c>
      <c r="AF74">
        <v>93</v>
      </c>
      <c r="AG74">
        <v>5</v>
      </c>
      <c r="AH74">
        <v>1</v>
      </c>
      <c r="AI74">
        <v>2</v>
      </c>
      <c r="AJ74" t="s">
        <v>11</v>
      </c>
      <c r="AL74" t="s">
        <v>700</v>
      </c>
      <c r="AM74" t="s">
        <v>910</v>
      </c>
      <c r="AN74" t="s">
        <v>730</v>
      </c>
      <c r="AO74" s="1" t="str">
        <f>HYPERLINK("http://exon.niaid.nih.gov/transcriptome/T_rubida/S1/links/SWISSP/Triru-contig_45-SWISSP.txt","Procalin")</f>
        <v>Procalin</v>
      </c>
      <c r="AP74" t="str">
        <f>HYPERLINK("http://www.uniprot.org/uniprot/Q9U6R6","4E-008")</f>
        <v>4E-008</v>
      </c>
      <c r="AQ74" t="s">
        <v>703</v>
      </c>
      <c r="AR74">
        <v>57</v>
      </c>
      <c r="AS74">
        <v>76</v>
      </c>
      <c r="AT74">
        <v>33</v>
      </c>
      <c r="AU74">
        <v>46</v>
      </c>
      <c r="AV74">
        <v>51</v>
      </c>
      <c r="AW74">
        <v>4</v>
      </c>
      <c r="AX74">
        <v>92</v>
      </c>
      <c r="AY74">
        <v>8</v>
      </c>
      <c r="AZ74">
        <v>1</v>
      </c>
      <c r="BA74">
        <v>2</v>
      </c>
      <c r="BB74" t="s">
        <v>11</v>
      </c>
      <c r="BD74" t="s">
        <v>704</v>
      </c>
      <c r="BE74" t="s">
        <v>705</v>
      </c>
      <c r="BF74" t="s">
        <v>911</v>
      </c>
      <c r="BG74" t="s">
        <v>912</v>
      </c>
      <c r="BH74" s="1" t="s">
        <v>57</v>
      </c>
      <c r="BI74" t="s">
        <v>57</v>
      </c>
      <c r="BJ74" s="1" t="str">
        <f>HYPERLINK("http://exon.niaid.nih.gov/transcriptome/T_rubida/S1/links/CDD/Triru-contig_45-CDD.txt","Triabin")</f>
        <v>Triabin</v>
      </c>
      <c r="BK74" t="str">
        <f>HYPERLINK("http://www.ncbi.nlm.nih.gov/Structure/cdd/cddsrv.cgi?uid=pfam03973&amp;version=v4.0","0.023")</f>
        <v>0.023</v>
      </c>
      <c r="BL74" t="s">
        <v>913</v>
      </c>
      <c r="BM74" s="1" t="str">
        <f>HYPERLINK("http://exon.niaid.nih.gov/transcriptome/T_rubida/S1/links/KOG/Triru-contig_45-KOG.txt","Lysophosphatidic acid acyltransferase LPAAT and related acyltransferases")</f>
        <v>Lysophosphatidic acid acyltransferase LPAAT and related acyltransferases</v>
      </c>
      <c r="BN74" t="str">
        <f>HYPERLINK("http://www.ncbi.nlm.nih.gov/COG/grace/shokog.cgi?KOG1505","0.68")</f>
        <v>0.68</v>
      </c>
      <c r="BO74" t="s">
        <v>709</v>
      </c>
      <c r="BP74" s="1" t="str">
        <f>HYPERLINK("http://exon.niaid.nih.gov/transcriptome/T_rubida/S1/links/PFAM/Triru-contig_45-PFAM.txt","Triabin")</f>
        <v>Triabin</v>
      </c>
      <c r="BQ74" t="str">
        <f>HYPERLINK("http://pfam.sanger.ac.uk/family?acc=PF03973","0.005")</f>
        <v>0.005</v>
      </c>
      <c r="BR74" s="1" t="str">
        <f>HYPERLINK("http://exon.niaid.nih.gov/transcriptome/T_rubida/S1/links/SMART/Triru-contig_45-SMART.txt","IL6")</f>
        <v>IL6</v>
      </c>
      <c r="BS74" t="str">
        <f>HYPERLINK("http://smart.embl-heidelberg.de/smart/do_annotation.pl?DOMAIN=IL6&amp;BLAST=DUMMY","0.18")</f>
        <v>0.18</v>
      </c>
      <c r="BT74" s="1" t="str">
        <f>HYPERLINK("http://exon.niaid.nih.gov/transcriptome/T_rubida/S1/links/PRK/Triru-contig_45-PRK.txt","glycoprotein BALF4")</f>
        <v>glycoprotein BALF4</v>
      </c>
      <c r="BU74">
        <v>0.17</v>
      </c>
      <c r="BV74" s="1" t="s">
        <v>57</v>
      </c>
      <c r="BW74" t="s">
        <v>57</v>
      </c>
      <c r="BX74" s="1" t="s">
        <v>57</v>
      </c>
      <c r="BY74" t="s">
        <v>57</v>
      </c>
    </row>
    <row r="75" spans="1:77">
      <c r="A75" t="str">
        <f>HYPERLINK("http://exon.niaid.nih.gov/transcriptome/T_rubida/S1/links/Triru/Triru-contig_38.txt","Triru-contig_38")</f>
        <v>Triru-contig_38</v>
      </c>
      <c r="B75">
        <v>1</v>
      </c>
      <c r="C75" t="str">
        <f>HYPERLINK("http://exon.niaid.nih.gov/transcriptome/T_rubida/S1/links/Triru/Triru-5-48-asb-38.txt","Contig-38")</f>
        <v>Contig-38</v>
      </c>
      <c r="D75" t="str">
        <f>HYPERLINK("http://exon.niaid.nih.gov/transcriptome/T_rubida/S1/links/Triru/Triru-5-48-38-CLU.txt","Contig38")</f>
        <v>Contig38</v>
      </c>
      <c r="E75" t="str">
        <f>HYPERLINK("http://exon.niaid.nih.gov/transcriptome/T_rubida/S1/links/Triru/Triru-5-48-38-qual.txt","63.9")</f>
        <v>63.9</v>
      </c>
      <c r="F75" t="s">
        <v>10</v>
      </c>
      <c r="G75">
        <v>65.099999999999994</v>
      </c>
      <c r="H75">
        <v>348</v>
      </c>
      <c r="I75" t="s">
        <v>49</v>
      </c>
      <c r="J75">
        <v>348</v>
      </c>
      <c r="K75">
        <v>367</v>
      </c>
      <c r="L75">
        <v>258</v>
      </c>
      <c r="M75" t="s">
        <v>5341</v>
      </c>
      <c r="N75" s="15">
        <v>3</v>
      </c>
      <c r="Q75" s="5" t="s">
        <v>4818</v>
      </c>
      <c r="R75" t="s">
        <v>5719</v>
      </c>
      <c r="S75" t="str">
        <f>HYPERLINK("http://exon.niaid.nih.gov/transcriptome/T_rubida/S1/links/NR/Triru-contig_38-NR.txt","NR")</f>
        <v>NR</v>
      </c>
      <c r="T75" s="23">
        <v>6.0000000000000003E-12</v>
      </c>
      <c r="U75">
        <v>48</v>
      </c>
      <c r="V75" s="1" t="str">
        <f>HYPERLINK("http://exon.niaid.nih.gov/transcriptome/T_rubida/S1/links/NR/Triru-contig_38-NR.txt","unnamed protein product")</f>
        <v>unnamed protein product</v>
      </c>
      <c r="W75" t="str">
        <f>HYPERLINK("http://www.ncbi.nlm.nih.gov/sutils/blink.cgi?pid=270046244","6E-012")</f>
        <v>6E-012</v>
      </c>
      <c r="X75" t="str">
        <f>HYPERLINK("http://www.ncbi.nlm.nih.gov/protein/270046244","gi|270046244")</f>
        <v>gi|270046244</v>
      </c>
      <c r="Y75">
        <v>74.3</v>
      </c>
      <c r="Z75">
        <v>84</v>
      </c>
      <c r="AA75">
        <v>177</v>
      </c>
      <c r="AB75">
        <v>48</v>
      </c>
      <c r="AC75">
        <v>48</v>
      </c>
      <c r="AD75">
        <v>44</v>
      </c>
      <c r="AE75">
        <v>8</v>
      </c>
      <c r="AF75">
        <v>92</v>
      </c>
      <c r="AG75">
        <v>30</v>
      </c>
      <c r="AH75">
        <v>1</v>
      </c>
      <c r="AI75">
        <v>3</v>
      </c>
      <c r="AJ75" t="s">
        <v>11</v>
      </c>
      <c r="AL75" t="s">
        <v>700</v>
      </c>
      <c r="AM75" t="s">
        <v>876</v>
      </c>
      <c r="AN75" t="s">
        <v>770</v>
      </c>
      <c r="AO75" s="1" t="str">
        <f>HYPERLINK("http://exon.niaid.nih.gov/transcriptome/T_rubida/S1/links/SWISSP/Triru-contig_38-SWISSP.txt","Procalin")</f>
        <v>Procalin</v>
      </c>
      <c r="AP75" t="str">
        <f>HYPERLINK("http://www.uniprot.org/uniprot/Q9U6R6","7E-007")</f>
        <v>7E-007</v>
      </c>
      <c r="AQ75" t="s">
        <v>703</v>
      </c>
      <c r="AR75">
        <v>52.8</v>
      </c>
      <c r="AS75">
        <v>83</v>
      </c>
      <c r="AT75">
        <v>29</v>
      </c>
      <c r="AU75">
        <v>50</v>
      </c>
      <c r="AV75">
        <v>59</v>
      </c>
      <c r="AW75">
        <v>4</v>
      </c>
      <c r="AX75">
        <v>85</v>
      </c>
      <c r="AY75">
        <v>21</v>
      </c>
      <c r="AZ75">
        <v>1</v>
      </c>
      <c r="BA75">
        <v>3</v>
      </c>
      <c r="BB75" t="s">
        <v>11</v>
      </c>
      <c r="BD75" t="s">
        <v>704</v>
      </c>
      <c r="BE75" t="s">
        <v>705</v>
      </c>
      <c r="BF75" t="s">
        <v>877</v>
      </c>
      <c r="BG75" t="s">
        <v>878</v>
      </c>
      <c r="BH75" s="1" t="s">
        <v>57</v>
      </c>
      <c r="BI75" t="s">
        <v>57</v>
      </c>
      <c r="BJ75" s="1" t="str">
        <f>HYPERLINK("http://exon.niaid.nih.gov/transcriptome/T_rubida/S1/links/CDD/Triru-contig_38-CDD.txt","Triabin")</f>
        <v>Triabin</v>
      </c>
      <c r="BK75" t="str">
        <f>HYPERLINK("http://www.ncbi.nlm.nih.gov/Structure/cdd/cddsrv.cgi?uid=pfam03973&amp;version=v4.0","3E-005")</f>
        <v>3E-005</v>
      </c>
      <c r="BL75" t="s">
        <v>879</v>
      </c>
      <c r="BM75" s="1" t="str">
        <f>HYPERLINK("http://exon.niaid.nih.gov/transcriptome/T_rubida/S1/links/KOG/Triru-contig_38-KOG.txt","Amino acid transporters")</f>
        <v>Amino acid transporters</v>
      </c>
      <c r="BN75" t="str">
        <f>HYPERLINK("http://www.ncbi.nlm.nih.gov/COG/grace/shokog.cgi?KOG1288","0.40")</f>
        <v>0.40</v>
      </c>
      <c r="BO75" t="s">
        <v>839</v>
      </c>
      <c r="BP75" s="1" t="str">
        <f>HYPERLINK("http://exon.niaid.nih.gov/transcriptome/T_rubida/S1/links/PFAM/Triru-contig_38-PFAM.txt","Triabin")</f>
        <v>Triabin</v>
      </c>
      <c r="BQ75" t="str">
        <f>HYPERLINK("http://pfam.sanger.ac.uk/family?acc=PF03973","7E-006")</f>
        <v>7E-006</v>
      </c>
      <c r="BR75" s="1" t="str">
        <f>HYPERLINK("http://exon.niaid.nih.gov/transcriptome/T_rubida/S1/links/SMART/Triru-contig_38-SMART.txt","RIBOc")</f>
        <v>RIBOc</v>
      </c>
      <c r="BS75" t="str">
        <f>HYPERLINK("http://smart.embl-heidelberg.de/smart/do_annotation.pl?DOMAIN=RIBOc&amp;BLAST=DUMMY","0.022")</f>
        <v>0.022</v>
      </c>
      <c r="BT75" s="1" t="str">
        <f>HYPERLINK("http://exon.niaid.nih.gov/transcriptome/T_rubida/S1/links/PRK/Triru-contig_38-PRK.txt","ribonuclease III")</f>
        <v>ribonuclease III</v>
      </c>
      <c r="BU75">
        <v>0.13</v>
      </c>
      <c r="BV75" s="1" t="s">
        <v>57</v>
      </c>
      <c r="BW75" t="s">
        <v>57</v>
      </c>
      <c r="BX75" s="1" t="s">
        <v>57</v>
      </c>
      <c r="BY75" t="s">
        <v>57</v>
      </c>
    </row>
    <row r="76" spans="1:77">
      <c r="A76" t="str">
        <f>HYPERLINK("http://exon.niaid.nih.gov/transcriptome/T_rubida/S1/links/Triru/Triru-contig_49.txt","Triru-contig_49")</f>
        <v>Triru-contig_49</v>
      </c>
      <c r="B76">
        <v>1</v>
      </c>
      <c r="C76" t="str">
        <f>HYPERLINK("http://exon.niaid.nih.gov/transcriptome/T_rubida/S1/links/Triru/Triru-5-48-asb-49.txt","Contig-49")</f>
        <v>Contig-49</v>
      </c>
      <c r="D76" t="str">
        <f>HYPERLINK("http://exon.niaid.nih.gov/transcriptome/T_rubida/S1/links/Triru/Triru-5-48-49-CLU.txt","Contig49")</f>
        <v>Contig49</v>
      </c>
      <c r="E76" t="str">
        <f>HYPERLINK("http://exon.niaid.nih.gov/transcriptome/T_rubida/S1/links/Triru/Triru-5-48-49-qual.txt","63.6")</f>
        <v>63.6</v>
      </c>
      <c r="F76" t="s">
        <v>10</v>
      </c>
      <c r="G76">
        <v>69.8</v>
      </c>
      <c r="H76">
        <v>259</v>
      </c>
      <c r="I76" t="s">
        <v>61</v>
      </c>
      <c r="J76">
        <v>259</v>
      </c>
      <c r="K76">
        <v>278</v>
      </c>
      <c r="L76">
        <v>186</v>
      </c>
      <c r="M76" t="s">
        <v>5342</v>
      </c>
      <c r="N76" s="15">
        <v>1</v>
      </c>
      <c r="Q76" s="5" t="s">
        <v>4818</v>
      </c>
      <c r="R76" t="s">
        <v>5719</v>
      </c>
      <c r="S76" t="str">
        <f>HYPERLINK("http://exon.niaid.nih.gov/transcriptome/T_rubida/S1/links/NR/Triru-contig_49-NR.txt","NR")</f>
        <v>NR</v>
      </c>
      <c r="T76" s="23">
        <v>9.9999999999999994E-12</v>
      </c>
      <c r="U76">
        <v>37.200000000000003</v>
      </c>
      <c r="V76" s="1" t="str">
        <f>HYPERLINK("http://exon.niaid.nih.gov/transcriptome/T_rubida/S1/links/NR/Triru-contig_49-NR.txt","unnamed protein product")</f>
        <v>unnamed protein product</v>
      </c>
      <c r="W76" t="str">
        <f>HYPERLINK("http://www.ncbi.nlm.nih.gov/sutils/blink.cgi?pid=270046168","1E-011")</f>
        <v>1E-011</v>
      </c>
      <c r="X76" t="str">
        <f>HYPERLINK("http://www.ncbi.nlm.nih.gov/protein/270046168","gi|270046168")</f>
        <v>gi|270046168</v>
      </c>
      <c r="Y76">
        <v>73.2</v>
      </c>
      <c r="Z76">
        <v>65</v>
      </c>
      <c r="AA76">
        <v>177</v>
      </c>
      <c r="AB76">
        <v>53</v>
      </c>
      <c r="AC76">
        <v>37</v>
      </c>
      <c r="AD76">
        <v>31</v>
      </c>
      <c r="AE76">
        <v>7</v>
      </c>
      <c r="AF76">
        <v>111</v>
      </c>
      <c r="AG76">
        <v>7</v>
      </c>
      <c r="AH76">
        <v>1</v>
      </c>
      <c r="AI76">
        <v>1</v>
      </c>
      <c r="AJ76" t="s">
        <v>11</v>
      </c>
      <c r="AL76" t="s">
        <v>700</v>
      </c>
      <c r="AM76" t="s">
        <v>933</v>
      </c>
      <c r="AN76" t="s">
        <v>934</v>
      </c>
      <c r="AO76" s="1" t="str">
        <f>HYPERLINK("http://exon.niaid.nih.gov/transcriptome/T_rubida/S1/links/SWISSP/Triru-contig_49-SWISSP.txt","Procalin")</f>
        <v>Procalin</v>
      </c>
      <c r="AP76" t="str">
        <f>HYPERLINK("http://www.uniprot.org/uniprot/Q9U6R6","1E-007")</f>
        <v>1E-007</v>
      </c>
      <c r="AQ76" t="s">
        <v>703</v>
      </c>
      <c r="AR76">
        <v>55.5</v>
      </c>
      <c r="AS76">
        <v>62</v>
      </c>
      <c r="AT76">
        <v>45</v>
      </c>
      <c r="AU76">
        <v>37</v>
      </c>
      <c r="AV76">
        <v>35</v>
      </c>
      <c r="AW76">
        <v>4</v>
      </c>
      <c r="AX76">
        <v>106</v>
      </c>
      <c r="AY76">
        <v>4</v>
      </c>
      <c r="AZ76">
        <v>1</v>
      </c>
      <c r="BA76">
        <v>1</v>
      </c>
      <c r="BB76" t="s">
        <v>11</v>
      </c>
      <c r="BD76" t="s">
        <v>704</v>
      </c>
      <c r="BE76" t="s">
        <v>705</v>
      </c>
      <c r="BF76" t="s">
        <v>935</v>
      </c>
      <c r="BG76" t="s">
        <v>936</v>
      </c>
      <c r="BH76" s="1" t="s">
        <v>57</v>
      </c>
      <c r="BI76" t="s">
        <v>57</v>
      </c>
      <c r="BJ76" s="1" t="str">
        <f>HYPERLINK("http://exon.niaid.nih.gov/transcriptome/T_rubida/S1/links/CDD/Triru-contig_49-CDD.txt","Triabin")</f>
        <v>Triabin</v>
      </c>
      <c r="BK76" t="str">
        <f>HYPERLINK("http://www.ncbi.nlm.nih.gov/Structure/cdd/cddsrv.cgi?uid=pfam03973&amp;version=v4.0","0.045")</f>
        <v>0.045</v>
      </c>
      <c r="BL76" t="s">
        <v>937</v>
      </c>
      <c r="BM76" s="1" t="str">
        <f>HYPERLINK("http://exon.niaid.nih.gov/transcriptome/T_rubida/S1/links/KOG/Triru-contig_49-KOG.txt","Predicted Rho GTPase-activating protein")</f>
        <v>Predicted Rho GTPase-activating protein</v>
      </c>
      <c r="BN76" t="str">
        <f>HYPERLINK("http://www.ncbi.nlm.nih.gov/COG/grace/shokog.cgi?KOG1452","0.71")</f>
        <v>0.71</v>
      </c>
      <c r="BO76" t="s">
        <v>728</v>
      </c>
      <c r="BP76" s="1" t="str">
        <f>HYPERLINK("http://exon.niaid.nih.gov/transcriptome/T_rubida/S1/links/PFAM/Triru-contig_49-PFAM.txt","Triabin")</f>
        <v>Triabin</v>
      </c>
      <c r="BQ76" t="str">
        <f>HYPERLINK("http://pfam.sanger.ac.uk/family?acc=PF03973","0.010")</f>
        <v>0.010</v>
      </c>
      <c r="BR76" s="1" t="str">
        <f>HYPERLINK("http://exon.niaid.nih.gov/transcriptome/T_rubida/S1/links/SMART/Triru-contig_49-SMART.txt","DNaseIc")</f>
        <v>DNaseIc</v>
      </c>
      <c r="BS76" t="str">
        <f>HYPERLINK("http://smart.embl-heidelberg.de/smart/do_annotation.pl?DOMAIN=DNaseIc&amp;BLAST=DUMMY","0.23")</f>
        <v>0.23</v>
      </c>
      <c r="BT76" s="1" t="str">
        <f>HYPERLINK("http://exon.niaid.nih.gov/transcriptome/T_rubida/S1/links/PRK/Triru-contig_49-PRK.txt","NTP-binding motif containing protein.")</f>
        <v>NTP-binding motif containing protein.</v>
      </c>
      <c r="BU76">
        <v>2.5999999999999999E-2</v>
      </c>
      <c r="BV76" s="1" t="s">
        <v>57</v>
      </c>
      <c r="BW76" t="s">
        <v>57</v>
      </c>
      <c r="BX76" s="1" t="s">
        <v>57</v>
      </c>
      <c r="BY76" t="s">
        <v>57</v>
      </c>
    </row>
    <row r="77" spans="1:77">
      <c r="A77" t="str">
        <f>HYPERLINK("http://exon.niaid.nih.gov/transcriptome/T_rubida/S1/links/Triru/Triru-contig_62.txt","Triru-contig_62")</f>
        <v>Triru-contig_62</v>
      </c>
      <c r="B77">
        <v>1</v>
      </c>
      <c r="C77" t="str">
        <f>HYPERLINK("http://exon.niaid.nih.gov/transcriptome/T_rubida/S1/links/Triru/Triru-5-48-asb-62.txt","Contig-62")</f>
        <v>Contig-62</v>
      </c>
      <c r="D77" t="str">
        <f>HYPERLINK("http://exon.niaid.nih.gov/transcriptome/T_rubida/S1/links/Triru/Triru-5-48-62-CLU.txt","Contig62")</f>
        <v>Contig62</v>
      </c>
      <c r="E77" t="str">
        <f>HYPERLINK("http://exon.niaid.nih.gov/transcriptome/T_rubida/S1/links/Triru/Triru-5-48-62-qual.txt","22.7")</f>
        <v>22.7</v>
      </c>
      <c r="F77">
        <v>0.2</v>
      </c>
      <c r="G77">
        <v>66.8</v>
      </c>
      <c r="H77">
        <v>448</v>
      </c>
      <c r="I77" t="s">
        <v>74</v>
      </c>
      <c r="J77">
        <v>448</v>
      </c>
      <c r="K77">
        <v>467</v>
      </c>
      <c r="L77">
        <v>330</v>
      </c>
      <c r="M77" t="s">
        <v>5343</v>
      </c>
      <c r="N77" s="15">
        <v>2</v>
      </c>
      <c r="O77" s="14" t="str">
        <f>HYPERLINK("http://exon.niaid.nih.gov/transcriptome/T_rubida/S1/links/Sigp/TRIRU-CONTIG_62-SigP.txt","Cyt")</f>
        <v>Cyt</v>
      </c>
      <c r="Q77" s="5" t="s">
        <v>4818</v>
      </c>
      <c r="R77" t="s">
        <v>5719</v>
      </c>
      <c r="S77" t="str">
        <f>HYPERLINK("http://exon.niaid.nih.gov/transcriptome/T_rubida/S1/links/NR/Triru-contig_62-NR.txt","NR")</f>
        <v>NR</v>
      </c>
      <c r="T77" s="23">
        <v>9.9999999999999994E-12</v>
      </c>
      <c r="U77">
        <v>54.3</v>
      </c>
      <c r="V77" s="1" t="str">
        <f>HYPERLINK("http://exon.niaid.nih.gov/transcriptome/T_rubida/S1/links/NR/Triru-contig_62-NR.txt","unnamed protein product")</f>
        <v>unnamed protein product</v>
      </c>
      <c r="W77" t="str">
        <f>HYPERLINK("http://www.ncbi.nlm.nih.gov/sutils/blink.cgi?pid=270046188","1E-011")</f>
        <v>1E-011</v>
      </c>
      <c r="X77" t="str">
        <f>HYPERLINK("http://www.ncbi.nlm.nih.gov/protein/270046188","gi|270046188")</f>
        <v>gi|270046188</v>
      </c>
      <c r="Y77">
        <v>73.599999999999994</v>
      </c>
      <c r="Z77">
        <v>104</v>
      </c>
      <c r="AA77">
        <v>197</v>
      </c>
      <c r="AB77">
        <v>41</v>
      </c>
      <c r="AC77">
        <v>53</v>
      </c>
      <c r="AD77">
        <v>63</v>
      </c>
      <c r="AE77">
        <v>0</v>
      </c>
      <c r="AF77">
        <v>93</v>
      </c>
      <c r="AG77">
        <v>68</v>
      </c>
      <c r="AH77">
        <v>1</v>
      </c>
      <c r="AI77">
        <v>2</v>
      </c>
      <c r="AJ77" t="s">
        <v>11</v>
      </c>
      <c r="AL77" t="s">
        <v>700</v>
      </c>
      <c r="AM77" t="s">
        <v>1009</v>
      </c>
      <c r="AN77" t="s">
        <v>948</v>
      </c>
      <c r="AO77" s="1" t="str">
        <f>HYPERLINK("http://exon.niaid.nih.gov/transcriptome/T_rubida/S1/links/SWISSP/Triru-contig_62-SWISSP.txt","Peptidyl-tRNA hydrolase")</f>
        <v>Peptidyl-tRNA hydrolase</v>
      </c>
      <c r="AP77" t="str">
        <f>HYPERLINK("http://www.uniprot.org/uniprot/B7J0N3","11")</f>
        <v>11</v>
      </c>
      <c r="AQ77" t="s">
        <v>1010</v>
      </c>
      <c r="AR77">
        <v>29.3</v>
      </c>
      <c r="AS77">
        <v>55</v>
      </c>
      <c r="AT77">
        <v>27</v>
      </c>
      <c r="AU77">
        <v>30</v>
      </c>
      <c r="AV77">
        <v>43</v>
      </c>
      <c r="AW77">
        <v>0</v>
      </c>
      <c r="AX77">
        <v>124</v>
      </c>
      <c r="AY77">
        <v>215</v>
      </c>
      <c r="AZ77">
        <v>1</v>
      </c>
      <c r="BA77">
        <v>2</v>
      </c>
      <c r="BB77" t="s">
        <v>11</v>
      </c>
      <c r="BD77" t="s">
        <v>704</v>
      </c>
      <c r="BE77" t="s">
        <v>1011</v>
      </c>
      <c r="BF77" t="s">
        <v>1012</v>
      </c>
      <c r="BG77" t="s">
        <v>1013</v>
      </c>
      <c r="BH77" s="1" t="s">
        <v>57</v>
      </c>
      <c r="BI77" t="s">
        <v>57</v>
      </c>
      <c r="BJ77" s="1" t="str">
        <f>HYPERLINK("http://exon.niaid.nih.gov/transcriptome/T_rubida/S1/links/CDD/Triru-contig_62-CDD.txt","Triabin")</f>
        <v>Triabin</v>
      </c>
      <c r="BK77" t="str">
        <f>HYPERLINK("http://www.ncbi.nlm.nih.gov/Structure/cdd/cddsrv.cgi?uid=pfam03973&amp;version=v4.0","0.094")</f>
        <v>0.094</v>
      </c>
      <c r="BL77" t="s">
        <v>1014</v>
      </c>
      <c r="BM77" s="1" t="str">
        <f>HYPERLINK("http://exon.niaid.nih.gov/transcriptome/T_rubida/S1/links/KOG/Triru-contig_62-KOG.txt","Voltage-gated Ca2+ channels, alpha1 subunits")</f>
        <v>Voltage-gated Ca2+ channels, alpha1 subunits</v>
      </c>
      <c r="BN77" t="str">
        <f>HYPERLINK("http://www.ncbi.nlm.nih.gov/COG/grace/shokog.cgi?KOG2301","0.23")</f>
        <v>0.23</v>
      </c>
      <c r="BO77" t="s">
        <v>720</v>
      </c>
      <c r="BP77" s="1" t="str">
        <f>HYPERLINK("http://exon.niaid.nih.gov/transcriptome/T_rubida/S1/links/PFAM/Triru-contig_62-PFAM.txt","Triabin")</f>
        <v>Triabin</v>
      </c>
      <c r="BQ77" t="str">
        <f>HYPERLINK("http://pfam.sanger.ac.uk/family?acc=PF03973","0.020")</f>
        <v>0.020</v>
      </c>
      <c r="BR77" s="1" t="str">
        <f>HYPERLINK("http://exon.niaid.nih.gov/transcriptome/T_rubida/S1/links/SMART/Triru-contig_62-SMART.txt","DM8")</f>
        <v>DM8</v>
      </c>
      <c r="BS77" t="str">
        <f>HYPERLINK("http://smart.embl-heidelberg.de/smart/do_annotation.pl?DOMAIN=DM8&amp;BLAST=DUMMY","0.14")</f>
        <v>0.14</v>
      </c>
      <c r="BT77" s="1" t="str">
        <f>HYPERLINK("http://exon.niaid.nih.gov/transcriptome/T_rubida/S1/links/PRK/Triru-contig_62-PRK.txt","hypothetical protein")</f>
        <v>hypothetical protein</v>
      </c>
      <c r="BU77">
        <v>0.47</v>
      </c>
      <c r="BV77" s="1" t="s">
        <v>57</v>
      </c>
      <c r="BW77" t="s">
        <v>57</v>
      </c>
      <c r="BX77" s="1" t="s">
        <v>57</v>
      </c>
      <c r="BY77" t="s">
        <v>57</v>
      </c>
    </row>
    <row r="78" spans="1:77" s="3" customFormat="1">
      <c r="A78" s="12" t="s">
        <v>5743</v>
      </c>
      <c r="T78" s="22"/>
    </row>
    <row r="79" spans="1:77">
      <c r="A79" t="str">
        <f>HYPERLINK("http://exon.niaid.nih.gov/transcriptome/T_rubida/S1/links/Triru/Triru-contig_25.txt","Triru-contig_25")</f>
        <v>Triru-contig_25</v>
      </c>
      <c r="B79">
        <v>10</v>
      </c>
      <c r="C79" t="str">
        <f>HYPERLINK("http://exon.niaid.nih.gov/transcriptome/T_rubida/S1/links/Triru/Triru-5-48-asb-25.txt","Contig-25")</f>
        <v>Contig-25</v>
      </c>
      <c r="D79" t="str">
        <f>HYPERLINK("http://exon.niaid.nih.gov/transcriptome/T_rubida/S1/links/Triru/Triru-5-48-25-CLU.txt","Contig25")</f>
        <v>Contig25</v>
      </c>
      <c r="E79" t="str">
        <f>HYPERLINK("http://exon.niaid.nih.gov/transcriptome/T_rubida/S1/links/Triru/Triru-5-48-25-qual.txt","91.4")</f>
        <v>91.4</v>
      </c>
      <c r="F79" t="s">
        <v>10</v>
      </c>
      <c r="G79">
        <v>61.1</v>
      </c>
      <c r="H79">
        <v>629</v>
      </c>
      <c r="I79" t="s">
        <v>36</v>
      </c>
      <c r="J79">
        <v>659</v>
      </c>
      <c r="K79">
        <v>648</v>
      </c>
      <c r="L79">
        <v>516</v>
      </c>
      <c r="M79" t="s">
        <v>5103</v>
      </c>
      <c r="N79" s="15">
        <v>2</v>
      </c>
      <c r="O79" s="14" t="str">
        <f>HYPERLINK("http://exon.niaid.nih.gov/transcriptome/T_rubida/S1/links/Sigp/TRIRU-CONTIG_25-SigP.txt","Cyt")</f>
        <v>Cyt</v>
      </c>
      <c r="Q79" s="5" t="s">
        <v>4824</v>
      </c>
      <c r="R79" t="s">
        <v>5054</v>
      </c>
      <c r="S79" t="str">
        <f>HYPERLINK("http://exon.niaid.nih.gov/transcriptome/T_rubida/S1/links/CDD/Triru-contig_25-CDD.txt","CDD")</f>
        <v>CDD</v>
      </c>
      <c r="T79" s="23">
        <v>1E-26</v>
      </c>
      <c r="U79">
        <v>91.6</v>
      </c>
      <c r="V79" s="1" t="str">
        <f>HYPERLINK("http://exon.niaid.nih.gov/transcriptome/T_rubida/S1/links/NR/Triru-contig_25-NR.txt","unnamed protein product")</f>
        <v>unnamed protein product</v>
      </c>
      <c r="W79" t="str">
        <f>HYPERLINK("http://www.ncbi.nlm.nih.gov/sutils/blink.cgi?pid=270046184","6E-050")</f>
        <v>6E-050</v>
      </c>
      <c r="X79" t="str">
        <f>HYPERLINK("http://www.ncbi.nlm.nih.gov/protein/270046184","gi|270046184")</f>
        <v>gi|270046184</v>
      </c>
      <c r="Y79">
        <v>201</v>
      </c>
      <c r="Z79">
        <v>161</v>
      </c>
      <c r="AA79">
        <v>239</v>
      </c>
      <c r="AB79">
        <v>57</v>
      </c>
      <c r="AC79">
        <v>68</v>
      </c>
      <c r="AD79">
        <v>69</v>
      </c>
      <c r="AE79">
        <v>1</v>
      </c>
      <c r="AF79">
        <v>71</v>
      </c>
      <c r="AG79">
        <v>2</v>
      </c>
      <c r="AH79">
        <v>1</v>
      </c>
      <c r="AI79">
        <v>2</v>
      </c>
      <c r="AJ79" t="s">
        <v>11</v>
      </c>
      <c r="AL79" t="s">
        <v>700</v>
      </c>
      <c r="AM79" t="s">
        <v>811</v>
      </c>
      <c r="AN79" t="s">
        <v>792</v>
      </c>
      <c r="AO79" s="1" t="str">
        <f>HYPERLINK("http://exon.niaid.nih.gov/transcriptome/T_rubida/S1/links/SWISSP/Triru-contig_25-SWISSP.txt","Venom allergen 5")</f>
        <v>Venom allergen 5</v>
      </c>
      <c r="AP79" t="str">
        <f>HYPERLINK("http://www.uniprot.org/uniprot/B2MVK7","9E-020")</f>
        <v>9E-020</v>
      </c>
      <c r="AQ79" t="s">
        <v>812</v>
      </c>
      <c r="AR79">
        <v>97.1</v>
      </c>
      <c r="AS79">
        <v>132</v>
      </c>
      <c r="AT79">
        <v>37</v>
      </c>
      <c r="AU79">
        <v>58</v>
      </c>
      <c r="AV79">
        <v>87</v>
      </c>
      <c r="AW79">
        <v>2</v>
      </c>
      <c r="AX79">
        <v>92</v>
      </c>
      <c r="AY79">
        <v>2</v>
      </c>
      <c r="AZ79">
        <v>1</v>
      </c>
      <c r="BA79">
        <v>2</v>
      </c>
      <c r="BB79" t="s">
        <v>11</v>
      </c>
      <c r="BD79" t="s">
        <v>704</v>
      </c>
      <c r="BE79" t="s">
        <v>813</v>
      </c>
      <c r="BF79" t="s">
        <v>814</v>
      </c>
      <c r="BG79" t="s">
        <v>815</v>
      </c>
      <c r="BH79" s="1" t="s">
        <v>797</v>
      </c>
      <c r="BI79">
        <f>HYPERLINK("http://exon.niaid.nih.gov/transcriptome/T_rubida/S1/links/GO/Triru-contig_25-GO.txt",3E-28)</f>
        <v>3E-28</v>
      </c>
      <c r="BJ79" s="1" t="str">
        <f>HYPERLINK("http://exon.niaid.nih.gov/transcriptome/T_rubida/S1/links/CDD/Triru-contig_25-CDD.txt","SCP")</f>
        <v>SCP</v>
      </c>
      <c r="BK79" t="str">
        <f>HYPERLINK("http://www.ncbi.nlm.nih.gov/Structure/cdd/cddsrv.cgi?uid=smart00198&amp;version=v4.0","1E-027")</f>
        <v>1E-027</v>
      </c>
      <c r="BL79" t="s">
        <v>816</v>
      </c>
      <c r="BM79" s="1" t="str">
        <f>HYPERLINK("http://exon.niaid.nih.gov/transcriptome/T_rubida/S1/links/KOG/Triru-contig_25-KOG.txt","Defense-related protein containing SCP domain")</f>
        <v>Defense-related protein containing SCP domain</v>
      </c>
      <c r="BN79" t="str">
        <f>HYPERLINK("http://www.ncbi.nlm.nih.gov/COG/grace/shokog.cgi?KOG3017","2E-025")</f>
        <v>2E-025</v>
      </c>
      <c r="BO79" t="s">
        <v>737</v>
      </c>
      <c r="BP79" s="1" t="str">
        <f>HYPERLINK("http://exon.niaid.nih.gov/transcriptome/T_rubida/S1/links/PFAM/Triru-contig_25-PFAM.txt","CAP")</f>
        <v>CAP</v>
      </c>
      <c r="BQ79" t="str">
        <f>HYPERLINK("http://pfam.sanger.ac.uk/family?acc=PF00188","2E-016")</f>
        <v>2E-016</v>
      </c>
      <c r="BR79" s="1" t="str">
        <f>HYPERLINK("http://exon.niaid.nih.gov/transcriptome/T_rubida/S1/links/SMART/Triru-contig_25-SMART.txt","SCP")</f>
        <v>SCP</v>
      </c>
      <c r="BS79" t="str">
        <f>HYPERLINK("http://smart.embl-heidelberg.de/smart/do_annotation.pl?DOMAIN=SCP&amp;BLAST=DUMMY","1E-029")</f>
        <v>1E-029</v>
      </c>
      <c r="BT79" s="1" t="str">
        <f>HYPERLINK("http://exon.niaid.nih.gov/transcriptome/T_rubida/S1/links/PRK/Triru-contig_25-PRK.txt","Probable galacturonosyltransferase.")</f>
        <v>Probable galacturonosyltransferase.</v>
      </c>
      <c r="BU79">
        <v>4.2999999999999997E-2</v>
      </c>
      <c r="BV79" s="1" t="s">
        <v>57</v>
      </c>
      <c r="BW79" t="s">
        <v>57</v>
      </c>
      <c r="BX79" s="1" t="s">
        <v>57</v>
      </c>
      <c r="BY79" t="s">
        <v>57</v>
      </c>
    </row>
    <row r="80" spans="1:77">
      <c r="A80" t="str">
        <f>HYPERLINK("http://exon.niaid.nih.gov/transcriptome/T_rubida/S1/links/Triru/Triru-contig_26.txt","Triru-contig_26")</f>
        <v>Triru-contig_26</v>
      </c>
      <c r="B80">
        <v>3</v>
      </c>
      <c r="C80" t="str">
        <f>HYPERLINK("http://exon.niaid.nih.gov/transcriptome/T_rubida/S1/links/Triru/Triru-5-48-asb-26.txt","Contig-26")</f>
        <v>Contig-26</v>
      </c>
      <c r="D80" t="str">
        <f>HYPERLINK("http://exon.niaid.nih.gov/transcriptome/T_rubida/S1/links/Triru/Triru-5-48-26-CLU.txt","Contig26")</f>
        <v>Contig26</v>
      </c>
      <c r="E80" t="str">
        <f>HYPERLINK("http://exon.niaid.nih.gov/transcriptome/T_rubida/S1/links/Triru/Triru-5-48-26-qual.txt","66.2")</f>
        <v>66.2</v>
      </c>
      <c r="F80" t="s">
        <v>10</v>
      </c>
      <c r="G80">
        <v>63.3</v>
      </c>
      <c r="H80">
        <v>520</v>
      </c>
      <c r="I80" t="s">
        <v>37</v>
      </c>
      <c r="J80">
        <v>544</v>
      </c>
      <c r="K80">
        <v>539</v>
      </c>
      <c r="L80">
        <v>393</v>
      </c>
      <c r="M80" t="s">
        <v>5104</v>
      </c>
      <c r="N80" s="15">
        <v>3</v>
      </c>
      <c r="O80" s="14" t="str">
        <f>HYPERLINK("http://exon.niaid.nih.gov/transcriptome/T_rubida/S1/links/Sigp/TRIRU-CONTIG_26-SigP.txt","Cyt")</f>
        <v>Cyt</v>
      </c>
      <c r="Q80" s="5" t="s">
        <v>4822</v>
      </c>
      <c r="R80" t="s">
        <v>5054</v>
      </c>
      <c r="S80" t="str">
        <f>HYPERLINK("http://exon.niaid.nih.gov/transcriptome/T_rubida/S1/links/CDD/Triru-contig_26-CDD.txt","CDD")</f>
        <v>CDD</v>
      </c>
      <c r="T80" s="23">
        <v>2.0000000000000002E-15</v>
      </c>
      <c r="U80">
        <v>53.4</v>
      </c>
      <c r="V80" s="1" t="str">
        <f>HYPERLINK("http://exon.niaid.nih.gov/transcriptome/T_rubida/S1/links/NR/Triru-contig_26-NR.txt","unnamed protein product")</f>
        <v>unnamed protein product</v>
      </c>
      <c r="W80" t="str">
        <f>HYPERLINK("http://www.ncbi.nlm.nih.gov/sutils/blink.cgi?pid=270046184","1E-035")</f>
        <v>1E-035</v>
      </c>
      <c r="X80" t="str">
        <f>HYPERLINK("http://www.ncbi.nlm.nih.gov/protein/270046184","gi|270046184")</f>
        <v>gi|270046184</v>
      </c>
      <c r="Y80">
        <v>153</v>
      </c>
      <c r="Z80">
        <v>120</v>
      </c>
      <c r="AA80">
        <v>239</v>
      </c>
      <c r="AB80">
        <v>56</v>
      </c>
      <c r="AC80">
        <v>51</v>
      </c>
      <c r="AD80">
        <v>53</v>
      </c>
      <c r="AE80">
        <v>1</v>
      </c>
      <c r="AF80">
        <v>112</v>
      </c>
      <c r="AG80">
        <v>3</v>
      </c>
      <c r="AH80">
        <v>1</v>
      </c>
      <c r="AI80">
        <v>3</v>
      </c>
      <c r="AJ80" t="s">
        <v>11</v>
      </c>
      <c r="AL80" t="s">
        <v>700</v>
      </c>
      <c r="AM80" t="s">
        <v>817</v>
      </c>
      <c r="AN80" t="s">
        <v>818</v>
      </c>
      <c r="AO80" s="1" t="str">
        <f>HYPERLINK("http://exon.niaid.nih.gov/transcriptome/T_rubida/S1/links/SWISSP/Triru-contig_26-SWISSP.txt","Peptidase inhibitor 16")</f>
        <v>Peptidase inhibitor 16</v>
      </c>
      <c r="AP80" t="str">
        <f>HYPERLINK("http://www.uniprot.org/uniprot/Q9ET66","2E-011")</f>
        <v>2E-011</v>
      </c>
      <c r="AQ80" t="s">
        <v>806</v>
      </c>
      <c r="AR80">
        <v>68.900000000000006</v>
      </c>
      <c r="AS80">
        <v>77</v>
      </c>
      <c r="AT80">
        <v>41</v>
      </c>
      <c r="AU80">
        <v>16</v>
      </c>
      <c r="AV80">
        <v>46</v>
      </c>
      <c r="AW80">
        <v>3</v>
      </c>
      <c r="AX80">
        <v>96</v>
      </c>
      <c r="AY80">
        <v>81</v>
      </c>
      <c r="AZ80">
        <v>1</v>
      </c>
      <c r="BA80">
        <v>3</v>
      </c>
      <c r="BB80" t="s">
        <v>11</v>
      </c>
      <c r="BD80" t="s">
        <v>704</v>
      </c>
      <c r="BE80" t="s">
        <v>807</v>
      </c>
      <c r="BF80" t="s">
        <v>819</v>
      </c>
      <c r="BG80" t="s">
        <v>820</v>
      </c>
      <c r="BH80" s="1" t="s">
        <v>797</v>
      </c>
      <c r="BI80">
        <f>HYPERLINK("http://exon.niaid.nih.gov/transcriptome/T_rubida/S1/links/GO/Triru-contig_26-GO.txt",0.0000000000000000003)</f>
        <v>2.9999999999999999E-19</v>
      </c>
      <c r="BJ80" s="1" t="str">
        <f>HYPERLINK("http://exon.niaid.nih.gov/transcriptome/T_rubida/S1/links/CDD/Triru-contig_26-CDD.txt","SCP_PRY1_like")</f>
        <v>SCP_PRY1_like</v>
      </c>
      <c r="BK80" t="str">
        <f>HYPERLINK("http://www.ncbi.nlm.nih.gov/Structure/cdd/cddsrv.cgi?uid=cd05384&amp;version=v4.0","2E-015")</f>
        <v>2E-015</v>
      </c>
      <c r="BL80" t="s">
        <v>821</v>
      </c>
      <c r="BM80" s="1" t="str">
        <f>HYPERLINK("http://exon.niaid.nih.gov/transcriptome/T_rubida/S1/links/KOG/Triru-contig_26-KOG.txt","Defense-related protein containing SCP domain")</f>
        <v>Defense-related protein containing SCP domain</v>
      </c>
      <c r="BN80" t="str">
        <f>HYPERLINK("http://www.ncbi.nlm.nih.gov/COG/grace/shokog.cgi?KOG3017","3E-015")</f>
        <v>3E-015</v>
      </c>
      <c r="BO80" t="s">
        <v>737</v>
      </c>
      <c r="BP80" s="1" t="str">
        <f>HYPERLINK("http://exon.niaid.nih.gov/transcriptome/T_rubida/S1/links/PFAM/Triru-contig_26-PFAM.txt","CAP")</f>
        <v>CAP</v>
      </c>
      <c r="BQ80" t="str">
        <f>HYPERLINK("http://pfam.sanger.ac.uk/family?acc=PF00188","9E-010")</f>
        <v>9E-010</v>
      </c>
      <c r="BR80" s="1" t="str">
        <f>HYPERLINK("http://exon.niaid.nih.gov/transcriptome/T_rubida/S1/links/SMART/Triru-contig_26-SMART.txt","SCP")</f>
        <v>SCP</v>
      </c>
      <c r="BS80" t="str">
        <f>HYPERLINK("http://smart.embl-heidelberg.de/smart/do_annotation.pl?DOMAIN=SCP&amp;BLAST=DUMMY","6E-017")</f>
        <v>6E-017</v>
      </c>
      <c r="BT80" s="1" t="str">
        <f>HYPERLINK("http://exon.niaid.nih.gov/transcriptome/T_rubida/S1/links/PRK/Triru-contig_26-PRK.txt","inner membrane transport permease")</f>
        <v>inner membrane transport permease</v>
      </c>
      <c r="BU80">
        <v>9.6000000000000002E-2</v>
      </c>
      <c r="BV80" s="1" t="s">
        <v>57</v>
      </c>
      <c r="BW80" t="s">
        <v>57</v>
      </c>
      <c r="BX80" s="1" t="s">
        <v>57</v>
      </c>
      <c r="BY80" t="s">
        <v>57</v>
      </c>
    </row>
    <row r="81" spans="1:77">
      <c r="A81" t="str">
        <f>HYPERLINK("http://exon.niaid.nih.gov/transcriptome/T_rubida/S1/links/Triru/Triru-contig_27.txt","Triru-contig_27")</f>
        <v>Triru-contig_27</v>
      </c>
      <c r="B81">
        <v>3</v>
      </c>
      <c r="C81" t="str">
        <f>HYPERLINK("http://exon.niaid.nih.gov/transcriptome/T_rubida/S1/links/Triru/Triru-5-48-asb-27.txt","Contig-27")</f>
        <v>Contig-27</v>
      </c>
      <c r="D81" t="str">
        <f>HYPERLINK("http://exon.niaid.nih.gov/transcriptome/T_rubida/S1/links/Triru/Triru-5-48-27-CLU.txt","Contig27")</f>
        <v>Contig27</v>
      </c>
      <c r="E81" t="str">
        <f>HYPERLINK("http://exon.niaid.nih.gov/transcriptome/T_rubida/S1/links/Triru/Triru-5-48-27-qual.txt","64.")</f>
        <v>64.</v>
      </c>
      <c r="F81" t="s">
        <v>10</v>
      </c>
      <c r="G81">
        <v>63.3</v>
      </c>
      <c r="H81">
        <v>431</v>
      </c>
      <c r="I81" t="s">
        <v>38</v>
      </c>
      <c r="J81">
        <v>458</v>
      </c>
      <c r="K81">
        <v>450</v>
      </c>
      <c r="L81">
        <v>318</v>
      </c>
      <c r="M81" t="s">
        <v>5105</v>
      </c>
      <c r="N81" s="15">
        <v>2</v>
      </c>
      <c r="O81" s="14" t="str">
        <f>HYPERLINK("http://exon.niaid.nih.gov/transcriptome/T_rubida/S1/links/Sigp/TRIRU-CONTIG_27-SigP.txt","Cyt")</f>
        <v>Cyt</v>
      </c>
      <c r="Q81" s="5" t="s">
        <v>4822</v>
      </c>
      <c r="R81" t="s">
        <v>5054</v>
      </c>
      <c r="S81" t="str">
        <f>HYPERLINK("http://exon.niaid.nih.gov/transcriptome/T_rubida/S1/links/CDD/Triru-contig_27-CDD.txt","CDD")</f>
        <v>CDD</v>
      </c>
      <c r="T81" s="23">
        <v>2E-14</v>
      </c>
      <c r="U81">
        <v>52.7</v>
      </c>
      <c r="V81" s="1" t="str">
        <f>HYPERLINK("http://exon.niaid.nih.gov/transcriptome/T_rubida/S1/links/NR/Triru-contig_27-NR.txt","unnamed protein product")</f>
        <v>unnamed protein product</v>
      </c>
      <c r="W81" t="str">
        <f>HYPERLINK("http://www.ncbi.nlm.nih.gov/sutils/blink.cgi?pid=270046184","1E-029")</f>
        <v>1E-029</v>
      </c>
      <c r="X81" t="str">
        <f>HYPERLINK("http://www.ncbi.nlm.nih.gov/protein/270046184","gi|270046184")</f>
        <v>gi|270046184</v>
      </c>
      <c r="Y81">
        <v>132</v>
      </c>
      <c r="Z81">
        <v>92</v>
      </c>
      <c r="AA81">
        <v>239</v>
      </c>
      <c r="AB81">
        <v>60</v>
      </c>
      <c r="AC81">
        <v>39</v>
      </c>
      <c r="AD81">
        <v>37</v>
      </c>
      <c r="AE81">
        <v>0</v>
      </c>
      <c r="AF81">
        <v>140</v>
      </c>
      <c r="AG81">
        <v>8</v>
      </c>
      <c r="AH81">
        <v>1</v>
      </c>
      <c r="AI81">
        <v>2</v>
      </c>
      <c r="AJ81" t="s">
        <v>11</v>
      </c>
      <c r="AL81" t="s">
        <v>700</v>
      </c>
      <c r="AM81" t="s">
        <v>822</v>
      </c>
      <c r="AN81" t="s">
        <v>792</v>
      </c>
      <c r="AO81" s="1" t="str">
        <f>HYPERLINK("http://exon.niaid.nih.gov/transcriptome/T_rubida/S1/links/SWISSP/Triru-contig_27-SWISSP.txt","Peptidase inhibitor 16")</f>
        <v>Peptidase inhibitor 16</v>
      </c>
      <c r="AP81" t="str">
        <f>HYPERLINK("http://www.uniprot.org/uniprot/Q9ET66","3E-011")</f>
        <v>3E-011</v>
      </c>
      <c r="AQ81" t="s">
        <v>806</v>
      </c>
      <c r="AR81">
        <v>67.400000000000006</v>
      </c>
      <c r="AS81">
        <v>75</v>
      </c>
      <c r="AT81">
        <v>41</v>
      </c>
      <c r="AU81">
        <v>16</v>
      </c>
      <c r="AV81">
        <v>45</v>
      </c>
      <c r="AW81">
        <v>3</v>
      </c>
      <c r="AX81">
        <v>98</v>
      </c>
      <c r="AY81">
        <v>11</v>
      </c>
      <c r="AZ81">
        <v>1</v>
      </c>
      <c r="BA81">
        <v>2</v>
      </c>
      <c r="BB81" t="s">
        <v>11</v>
      </c>
      <c r="BD81" t="s">
        <v>704</v>
      </c>
      <c r="BE81" t="s">
        <v>807</v>
      </c>
      <c r="BF81" t="s">
        <v>823</v>
      </c>
      <c r="BG81" t="s">
        <v>824</v>
      </c>
      <c r="BH81" s="1" t="s">
        <v>797</v>
      </c>
      <c r="BI81">
        <f>HYPERLINK("http://exon.niaid.nih.gov/transcriptome/T_rubida/S1/links/GO/Triru-contig_27-GO.txt",0.0000000000000000003)</f>
        <v>2.9999999999999999E-19</v>
      </c>
      <c r="BJ81" s="1" t="str">
        <f>HYPERLINK("http://exon.niaid.nih.gov/transcriptome/T_rubida/S1/links/CDD/Triru-contig_27-CDD.txt","SCP_PRY1_like")</f>
        <v>SCP_PRY1_like</v>
      </c>
      <c r="BK81" t="str">
        <f>HYPERLINK("http://www.ncbi.nlm.nih.gov/Structure/cdd/cddsrv.cgi?uid=cd05384&amp;version=v4.0","2E-014")</f>
        <v>2E-014</v>
      </c>
      <c r="BL81" t="s">
        <v>825</v>
      </c>
      <c r="BM81" s="1" t="str">
        <f>HYPERLINK("http://exon.niaid.nih.gov/transcriptome/T_rubida/S1/links/KOG/Triru-contig_27-KOG.txt","Defense-related protein containing SCP domain")</f>
        <v>Defense-related protein containing SCP domain</v>
      </c>
      <c r="BN81" t="str">
        <f>HYPERLINK("http://www.ncbi.nlm.nih.gov/COG/grace/shokog.cgi?KOG3017","2E-015")</f>
        <v>2E-015</v>
      </c>
      <c r="BO81" t="s">
        <v>737</v>
      </c>
      <c r="BP81" s="1" t="str">
        <f>HYPERLINK("http://exon.niaid.nih.gov/transcriptome/T_rubida/S1/links/PFAM/Triru-contig_27-PFAM.txt","CAP")</f>
        <v>CAP</v>
      </c>
      <c r="BQ81" t="str">
        <f>HYPERLINK("http://pfam.sanger.ac.uk/family?acc=PF00188","8E-010")</f>
        <v>8E-010</v>
      </c>
      <c r="BR81" s="1" t="str">
        <f>HYPERLINK("http://exon.niaid.nih.gov/transcriptome/T_rubida/S1/links/SMART/Triru-contig_27-SMART.txt","SCP")</f>
        <v>SCP</v>
      </c>
      <c r="BS81" t="str">
        <f>HYPERLINK("http://smart.embl-heidelberg.de/smart/do_annotation.pl?DOMAIN=SCP&amp;BLAST=DUMMY","1E-015")</f>
        <v>1E-015</v>
      </c>
      <c r="BT81" s="1" t="str">
        <f>HYPERLINK("http://exon.niaid.nih.gov/transcriptome/T_rubida/S1/links/PRK/Triru-contig_27-PRK.txt","inner membrane transport permease")</f>
        <v>inner membrane transport permease</v>
      </c>
      <c r="BU81">
        <v>0.13</v>
      </c>
      <c r="BV81" s="1" t="s">
        <v>57</v>
      </c>
      <c r="BW81" t="s">
        <v>57</v>
      </c>
      <c r="BX81" s="1" t="s">
        <v>57</v>
      </c>
      <c r="BY81" t="s">
        <v>57</v>
      </c>
    </row>
    <row r="82" spans="1:77">
      <c r="A82" t="str">
        <f>HYPERLINK("http://exon.niaid.nih.gov/transcriptome/T_rubida/S1/links/Triru/Triru-contig_24.txt","Triru-contig_24")</f>
        <v>Triru-contig_24</v>
      </c>
      <c r="B82">
        <v>2</v>
      </c>
      <c r="C82" t="str">
        <f>HYPERLINK("http://exon.niaid.nih.gov/transcriptome/T_rubida/S1/links/Triru/Triru-5-48-asb-24.txt","Contig-24")</f>
        <v>Contig-24</v>
      </c>
      <c r="D82" t="str">
        <f>HYPERLINK("http://exon.niaid.nih.gov/transcriptome/T_rubida/S1/links/Triru/Triru-5-48-24-CLU.txt","Contig24")</f>
        <v>Contig24</v>
      </c>
      <c r="E82" t="str">
        <f>HYPERLINK("http://exon.niaid.nih.gov/transcriptome/T_rubida/S1/links/Triru/Triru-5-48-24-qual.txt","72.3")</f>
        <v>72.3</v>
      </c>
      <c r="F82" t="s">
        <v>10</v>
      </c>
      <c r="G82">
        <v>63.2</v>
      </c>
      <c r="H82">
        <v>427</v>
      </c>
      <c r="I82" t="s">
        <v>35</v>
      </c>
      <c r="J82">
        <v>434</v>
      </c>
      <c r="K82">
        <v>446</v>
      </c>
      <c r="L82">
        <v>300</v>
      </c>
      <c r="M82" t="s">
        <v>5106</v>
      </c>
      <c r="N82" s="15">
        <v>3</v>
      </c>
      <c r="O82" s="14" t="str">
        <f>HYPERLINK("http://exon.niaid.nih.gov/transcriptome/T_rubida/S1/links/Sigp/TRIRU-CONTIG_24-SigP.txt","Cyt")</f>
        <v>Cyt</v>
      </c>
      <c r="Q82" s="5" t="s">
        <v>4822</v>
      </c>
      <c r="R82" t="s">
        <v>5054</v>
      </c>
      <c r="S82" t="str">
        <f>HYPERLINK("http://exon.niaid.nih.gov/transcriptome/T_rubida/S1/links/CDD/Triru-contig_24-CDD.txt","CDD")</f>
        <v>CDD</v>
      </c>
      <c r="T82" s="23">
        <v>4.0000000000000001E-13</v>
      </c>
      <c r="U82">
        <v>50.3</v>
      </c>
      <c r="V82" s="1" t="str">
        <f>HYPERLINK("http://exon.niaid.nih.gov/transcriptome/T_rubida/S1/links/NR/Triru-contig_24-NR.txt","unnamed protein product")</f>
        <v>unnamed protein product</v>
      </c>
      <c r="W82" t="str">
        <f>HYPERLINK("http://www.ncbi.nlm.nih.gov/sutils/blink.cgi?pid=270046184","5E-029")</f>
        <v>5E-029</v>
      </c>
      <c r="X82" t="str">
        <f>HYPERLINK("http://www.ncbi.nlm.nih.gov/protein/270046184","gi|270046184")</f>
        <v>gi|270046184</v>
      </c>
      <c r="Y82">
        <v>130</v>
      </c>
      <c r="Z82">
        <v>93</v>
      </c>
      <c r="AA82">
        <v>239</v>
      </c>
      <c r="AB82">
        <v>60</v>
      </c>
      <c r="AC82">
        <v>39</v>
      </c>
      <c r="AD82">
        <v>38</v>
      </c>
      <c r="AE82">
        <v>0</v>
      </c>
      <c r="AF82">
        <v>143</v>
      </c>
      <c r="AG82">
        <v>3</v>
      </c>
      <c r="AH82">
        <v>1</v>
      </c>
      <c r="AI82">
        <v>3</v>
      </c>
      <c r="AJ82" t="s">
        <v>11</v>
      </c>
      <c r="AL82" t="s">
        <v>700</v>
      </c>
      <c r="AM82" t="s">
        <v>805</v>
      </c>
      <c r="AN82" t="s">
        <v>792</v>
      </c>
      <c r="AO82" s="1" t="str">
        <f>HYPERLINK("http://exon.niaid.nih.gov/transcriptome/T_rubida/S1/links/SWISSP/Triru-contig_24-SWISSP.txt","Peptidase inhibitor 16")</f>
        <v>Peptidase inhibitor 16</v>
      </c>
      <c r="AP82" t="str">
        <f>HYPERLINK("http://www.uniprot.org/uniprot/Q9ET66","5E-011")</f>
        <v>5E-011</v>
      </c>
      <c r="AQ82" t="s">
        <v>806</v>
      </c>
      <c r="AR82">
        <v>66.599999999999994</v>
      </c>
      <c r="AS82">
        <v>72</v>
      </c>
      <c r="AT82">
        <v>43</v>
      </c>
      <c r="AU82">
        <v>15</v>
      </c>
      <c r="AV82">
        <v>42</v>
      </c>
      <c r="AW82">
        <v>3</v>
      </c>
      <c r="AX82">
        <v>101</v>
      </c>
      <c r="AY82">
        <v>6</v>
      </c>
      <c r="AZ82">
        <v>1</v>
      </c>
      <c r="BA82">
        <v>3</v>
      </c>
      <c r="BB82" t="s">
        <v>11</v>
      </c>
      <c r="BD82" t="s">
        <v>704</v>
      </c>
      <c r="BE82" t="s">
        <v>807</v>
      </c>
      <c r="BF82" t="s">
        <v>808</v>
      </c>
      <c r="BG82" t="s">
        <v>809</v>
      </c>
      <c r="BH82" s="1" t="s">
        <v>797</v>
      </c>
      <c r="BI82">
        <f>HYPERLINK("http://exon.niaid.nih.gov/transcriptome/T_rubida/S1/links/GO/Triru-contig_24-GO.txt",0.00000000000000001)</f>
        <v>1.0000000000000001E-17</v>
      </c>
      <c r="BJ82" s="1" t="str">
        <f>HYPERLINK("http://exon.niaid.nih.gov/transcriptome/T_rubida/S1/links/CDD/Triru-contig_24-CDD.txt","SCP_PRY1_like")</f>
        <v>SCP_PRY1_like</v>
      </c>
      <c r="BK82" t="str">
        <f>HYPERLINK("http://www.ncbi.nlm.nih.gov/Structure/cdd/cddsrv.cgi?uid=cd05384&amp;version=v4.0","4E-013")</f>
        <v>4E-013</v>
      </c>
      <c r="BL82" t="s">
        <v>810</v>
      </c>
      <c r="BM82" s="1" t="str">
        <f>HYPERLINK("http://exon.niaid.nih.gov/transcriptome/T_rubida/S1/links/KOG/Triru-contig_24-KOG.txt","Defense-related protein containing SCP domain")</f>
        <v>Defense-related protein containing SCP domain</v>
      </c>
      <c r="BN82" t="str">
        <f>HYPERLINK("http://www.ncbi.nlm.nih.gov/COG/grace/shokog.cgi?KOG3017","2E-013")</f>
        <v>2E-013</v>
      </c>
      <c r="BO82" t="s">
        <v>737</v>
      </c>
      <c r="BP82" s="1" t="str">
        <f>HYPERLINK("http://exon.niaid.nih.gov/transcriptome/T_rubida/S1/links/PFAM/Triru-contig_24-PFAM.txt","CAP")</f>
        <v>CAP</v>
      </c>
      <c r="BQ82" t="str">
        <f>HYPERLINK("http://pfam.sanger.ac.uk/family?acc=PF00188","3E-008")</f>
        <v>3E-008</v>
      </c>
      <c r="BR82" s="1" t="str">
        <f>HYPERLINK("http://exon.niaid.nih.gov/transcriptome/T_rubida/S1/links/SMART/Triru-contig_24-SMART.txt","SCP")</f>
        <v>SCP</v>
      </c>
      <c r="BS82" t="str">
        <f>HYPERLINK("http://smart.embl-heidelberg.de/smart/do_annotation.pl?DOMAIN=SCP&amp;BLAST=DUMMY","2E-013")</f>
        <v>2E-013</v>
      </c>
      <c r="BT82" s="1" t="str">
        <f>HYPERLINK("http://exon.niaid.nih.gov/transcriptome/T_rubida/S1/links/PRK/Triru-contig_24-PRK.txt","inner membrane transport permease")</f>
        <v>inner membrane transport permease</v>
      </c>
      <c r="BU82">
        <v>0.61</v>
      </c>
      <c r="BV82" s="1" t="s">
        <v>57</v>
      </c>
      <c r="BW82" t="s">
        <v>57</v>
      </c>
      <c r="BX82" s="1" t="s">
        <v>57</v>
      </c>
      <c r="BY82" t="s">
        <v>57</v>
      </c>
    </row>
    <row r="83" spans="1:77">
      <c r="A83" t="str">
        <f>HYPERLINK("http://exon.niaid.nih.gov/transcriptome/T_rubida/S1/links/Triru/Triru-contig_169.txt","Triru-contig_169")</f>
        <v>Triru-contig_169</v>
      </c>
      <c r="B83">
        <v>1</v>
      </c>
      <c r="C83" t="str">
        <f>HYPERLINK("http://exon.niaid.nih.gov/transcriptome/T_rubida/S1/links/Triru/Triru-5-48-asb-169.txt","Contig-169")</f>
        <v>Contig-169</v>
      </c>
      <c r="D83" t="str">
        <f>HYPERLINK("http://exon.niaid.nih.gov/transcriptome/T_rubida/S1/links/Triru/Triru-5-48-169-CLU.txt","Contig169")</f>
        <v>Contig169</v>
      </c>
      <c r="E83" t="str">
        <f>HYPERLINK("http://exon.niaid.nih.gov/transcriptome/T_rubida/S1/links/Triru/Triru-5-48-169-qual.txt","59.3")</f>
        <v>59.3</v>
      </c>
      <c r="F83" t="s">
        <v>10</v>
      </c>
      <c r="G83">
        <v>55</v>
      </c>
      <c r="H83">
        <v>605</v>
      </c>
      <c r="I83" t="s">
        <v>181</v>
      </c>
      <c r="J83">
        <v>605</v>
      </c>
      <c r="K83">
        <v>624</v>
      </c>
      <c r="L83">
        <v>291</v>
      </c>
      <c r="M83" t="s">
        <v>5101</v>
      </c>
      <c r="N83" s="15">
        <v>1</v>
      </c>
      <c r="O83" s="14" t="str">
        <f>HYPERLINK("http://exon.niaid.nih.gov/transcriptome/T_rubida/S1/links/Sigp/TRIRU-CONTIG_169-SigP.txt","Cyt")</f>
        <v>Cyt</v>
      </c>
      <c r="Q83" s="5" t="s">
        <v>4824</v>
      </c>
      <c r="R83" t="s">
        <v>5054</v>
      </c>
      <c r="S83" t="str">
        <f>HYPERLINK("http://exon.niaid.nih.gov/transcriptome/T_rubida/S1/links/CDD/Triru-contig_169-CDD.txt","CDD")</f>
        <v>CDD</v>
      </c>
      <c r="T83" s="23">
        <v>2.9999999999999999E-19</v>
      </c>
      <c r="U83">
        <v>86.8</v>
      </c>
      <c r="V83" s="1" t="str">
        <f>HYPERLINK("http://exon.niaid.nih.gov/transcriptome/T_rubida/S1/links/NR/Triru-contig_169-NR.txt","Adenylate cyclase type 4")</f>
        <v>Adenylate cyclase type 4</v>
      </c>
      <c r="W83" t="str">
        <f>HYPERLINK("http://www.ncbi.nlm.nih.gov/sutils/blink.cgi?pid=324512585","3.3")</f>
        <v>3.3</v>
      </c>
      <c r="X83" t="str">
        <f>HYPERLINK("http://www.ncbi.nlm.nih.gov/protein/324512585","gi|324512585")</f>
        <v>gi|324512585</v>
      </c>
      <c r="Y83">
        <v>36.200000000000003</v>
      </c>
      <c r="Z83">
        <v>83</v>
      </c>
      <c r="AA83">
        <v>461</v>
      </c>
      <c r="AB83">
        <v>28</v>
      </c>
      <c r="AC83">
        <v>18</v>
      </c>
      <c r="AD83">
        <v>63</v>
      </c>
      <c r="AE83">
        <v>7</v>
      </c>
      <c r="AF83">
        <v>245</v>
      </c>
      <c r="AG83">
        <v>328</v>
      </c>
      <c r="AH83">
        <v>1</v>
      </c>
      <c r="AI83">
        <v>1</v>
      </c>
      <c r="AJ83" t="s">
        <v>11</v>
      </c>
      <c r="AL83" t="s">
        <v>1704</v>
      </c>
      <c r="AM83" t="s">
        <v>1705</v>
      </c>
      <c r="AN83" t="s">
        <v>1706</v>
      </c>
      <c r="AO83" s="1" t="str">
        <f>HYPERLINK("http://exon.niaid.nih.gov/transcriptome/T_rubida/S1/links/SWISSP/Triru-contig_169-SWISSP.txt","Frizzled/smoothened-like sans CRD protein C")</f>
        <v>Frizzled/smoothened-like sans CRD protein C</v>
      </c>
      <c r="AP83" t="str">
        <f>HYPERLINK("http://www.uniprot.org/uniprot/Q1ZXA7","16")</f>
        <v>16</v>
      </c>
      <c r="AQ83" t="s">
        <v>1707</v>
      </c>
      <c r="AR83">
        <v>29.6</v>
      </c>
      <c r="AS83">
        <v>32</v>
      </c>
      <c r="AT83">
        <v>39</v>
      </c>
      <c r="AU83">
        <v>6</v>
      </c>
      <c r="AV83">
        <v>20</v>
      </c>
      <c r="AW83">
        <v>0</v>
      </c>
      <c r="AX83">
        <v>71</v>
      </c>
      <c r="AY83">
        <v>298</v>
      </c>
      <c r="AZ83">
        <v>1</v>
      </c>
      <c r="BA83">
        <v>1</v>
      </c>
      <c r="BB83" t="s">
        <v>11</v>
      </c>
      <c r="BC83">
        <v>3.125</v>
      </c>
      <c r="BD83" t="s">
        <v>704</v>
      </c>
      <c r="BE83" t="s">
        <v>918</v>
      </c>
      <c r="BF83" t="s">
        <v>1708</v>
      </c>
      <c r="BG83" t="s">
        <v>1709</v>
      </c>
      <c r="BH83" s="1" t="s">
        <v>57</v>
      </c>
      <c r="BI83" t="s">
        <v>57</v>
      </c>
      <c r="BJ83" s="1" t="str">
        <f>HYPERLINK("http://exon.niaid.nih.gov/transcriptome/T_rubida/S1/links/CDD/Triru-contig_169-CDD.txt","SCP_euk")</f>
        <v>SCP_euk</v>
      </c>
      <c r="BK83" t="str">
        <f>HYPERLINK("http://www.ncbi.nlm.nih.gov/Structure/cdd/cddsrv.cgi?uid=cd05380&amp;version=v4.0","3E-019")</f>
        <v>3E-019</v>
      </c>
      <c r="BL83" t="s">
        <v>1710</v>
      </c>
      <c r="BM83" s="1" t="str">
        <f>HYPERLINK("http://exon.niaid.nih.gov/transcriptome/T_rubida/S1/links/KOG/Triru-contig_169-KOG.txt","Defense-related protein containing SCP domain")</f>
        <v>Defense-related protein containing SCP domain</v>
      </c>
      <c r="BN83" t="str">
        <f>HYPERLINK("http://www.ncbi.nlm.nih.gov/COG/grace/shokog.cgi?KOG3017","8E-013")</f>
        <v>8E-013</v>
      </c>
      <c r="BO83" t="s">
        <v>737</v>
      </c>
      <c r="BP83" s="1" t="str">
        <f>HYPERLINK("http://exon.niaid.nih.gov/transcriptome/T_rubida/S1/links/PFAM/Triru-contig_169-PFAM.txt","CAP")</f>
        <v>CAP</v>
      </c>
      <c r="BQ83" t="str">
        <f>HYPERLINK("http://pfam.sanger.ac.uk/family?acc=PF00188","2E-006")</f>
        <v>2E-006</v>
      </c>
      <c r="BR83" s="1" t="str">
        <f>HYPERLINK("http://exon.niaid.nih.gov/transcriptome/T_rubida/S1/links/SMART/Triru-contig_169-SMART.txt","SCP")</f>
        <v>SCP</v>
      </c>
      <c r="BS83" t="str">
        <f>HYPERLINK("http://smart.embl-heidelberg.de/smart/do_annotation.pl?DOMAIN=SCP&amp;BLAST=DUMMY","7E-019")</f>
        <v>7E-019</v>
      </c>
      <c r="BT83" s="1" t="str">
        <f>HYPERLINK("http://exon.niaid.nih.gov/transcriptome/T_rubida/S1/links/PRK/Triru-contig_169-PRK.txt","hypothetical protein")</f>
        <v>hypothetical protein</v>
      </c>
      <c r="BU83">
        <v>0.88</v>
      </c>
      <c r="BV83" s="1" t="s">
        <v>57</v>
      </c>
      <c r="BW83" t="s">
        <v>57</v>
      </c>
      <c r="BX83" s="1" t="s">
        <v>57</v>
      </c>
      <c r="BY83" t="s">
        <v>57</v>
      </c>
    </row>
    <row r="84" spans="1:77">
      <c r="A84" t="str">
        <f>HYPERLINK("http://exon.niaid.nih.gov/transcriptome/T_rubida/S1/links/Triru/Triru-contig_47.txt","Triru-contig_47")</f>
        <v>Triru-contig_47</v>
      </c>
      <c r="B84">
        <v>1</v>
      </c>
      <c r="C84" t="str">
        <f>HYPERLINK("http://exon.niaid.nih.gov/transcriptome/T_rubida/S1/links/Triru/Triru-5-48-asb-47.txt","Contig-47")</f>
        <v>Contig-47</v>
      </c>
      <c r="D84" t="str">
        <f>HYPERLINK("http://exon.niaid.nih.gov/transcriptome/T_rubida/S1/links/Triru/Triru-5-48-47-CLU.txt","Contig47")</f>
        <v>Contig47</v>
      </c>
      <c r="E84" t="str">
        <f>HYPERLINK("http://exon.niaid.nih.gov/transcriptome/T_rubida/S1/links/Triru/Triru-5-48-47-qual.txt","61.8")</f>
        <v>61.8</v>
      </c>
      <c r="F84" t="s">
        <v>10</v>
      </c>
      <c r="G84">
        <v>60.3</v>
      </c>
      <c r="H84">
        <v>688</v>
      </c>
      <c r="I84" t="s">
        <v>59</v>
      </c>
      <c r="J84">
        <v>688</v>
      </c>
      <c r="K84">
        <v>707</v>
      </c>
      <c r="L84">
        <v>609</v>
      </c>
      <c r="M84" t="s">
        <v>5102</v>
      </c>
      <c r="N84" s="15">
        <v>3</v>
      </c>
      <c r="O84" s="14" t="str">
        <f>HYPERLINK("http://exon.niaid.nih.gov/transcriptome/T_rubida/S1/links/Sigp/TRIRU-CONTIG_47-SigP.txt","Cyt")</f>
        <v>Cyt</v>
      </c>
      <c r="Q84" s="5" t="s">
        <v>4824</v>
      </c>
      <c r="R84" t="s">
        <v>5054</v>
      </c>
      <c r="S84" t="str">
        <f>HYPERLINK("http://exon.niaid.nih.gov/transcriptome/T_rubida/S1/links/CDD/Triru-contig_47-CDD.txt","CDD")</f>
        <v>CDD</v>
      </c>
      <c r="T84" s="23">
        <v>1E-27</v>
      </c>
      <c r="U84">
        <v>93.7</v>
      </c>
      <c r="V84" s="1" t="str">
        <f>HYPERLINK("http://exon.niaid.nih.gov/transcriptome/T_rubida/S1/links/NR/Triru-contig_47-NR.txt","unnamed protein product")</f>
        <v>unnamed protein product</v>
      </c>
      <c r="W84" t="str">
        <f>HYPERLINK("http://www.ncbi.nlm.nih.gov/sutils/blink.cgi?pid=270046184","3E-056")</f>
        <v>3E-056</v>
      </c>
      <c r="X84" t="str">
        <f>HYPERLINK("http://www.ncbi.nlm.nih.gov/protein/270046184","gi|270046184")</f>
        <v>gi|270046184</v>
      </c>
      <c r="Y84">
        <v>223</v>
      </c>
      <c r="Z84">
        <v>176</v>
      </c>
      <c r="AA84">
        <v>239</v>
      </c>
      <c r="AB84">
        <v>58</v>
      </c>
      <c r="AC84">
        <v>74</v>
      </c>
      <c r="AD84">
        <v>74</v>
      </c>
      <c r="AE84">
        <v>1</v>
      </c>
      <c r="AF84">
        <v>62</v>
      </c>
      <c r="AG84">
        <v>30</v>
      </c>
      <c r="AH84">
        <v>1</v>
      </c>
      <c r="AI84">
        <v>3</v>
      </c>
      <c r="AJ84" t="s">
        <v>11</v>
      </c>
      <c r="AL84" t="s">
        <v>700</v>
      </c>
      <c r="AM84" t="s">
        <v>924</v>
      </c>
      <c r="AN84" t="s">
        <v>792</v>
      </c>
      <c r="AO84" s="1" t="str">
        <f>HYPERLINK("http://exon.niaid.nih.gov/transcriptome/T_rubida/S1/links/SWISSP/Triru-contig_47-SWISSP.txt","Venom allergen 5")</f>
        <v>Venom allergen 5</v>
      </c>
      <c r="AP84" t="str">
        <f>HYPERLINK("http://www.uniprot.org/uniprot/B2MVK7","1E-020")</f>
        <v>1E-020</v>
      </c>
      <c r="AQ84" t="s">
        <v>812</v>
      </c>
      <c r="AR84">
        <v>100</v>
      </c>
      <c r="AS84">
        <v>149</v>
      </c>
      <c r="AT84">
        <v>37</v>
      </c>
      <c r="AU84">
        <v>66</v>
      </c>
      <c r="AV84">
        <v>98</v>
      </c>
      <c r="AW84">
        <v>2</v>
      </c>
      <c r="AX84">
        <v>75</v>
      </c>
      <c r="AY84">
        <v>6</v>
      </c>
      <c r="AZ84">
        <v>1</v>
      </c>
      <c r="BA84">
        <v>3</v>
      </c>
      <c r="BB84" t="s">
        <v>11</v>
      </c>
      <c r="BD84" t="s">
        <v>704</v>
      </c>
      <c r="BE84" t="s">
        <v>813</v>
      </c>
      <c r="BF84" t="s">
        <v>925</v>
      </c>
      <c r="BG84" t="s">
        <v>926</v>
      </c>
      <c r="BH84" s="1" t="s">
        <v>797</v>
      </c>
      <c r="BI84">
        <f>HYPERLINK("http://exon.niaid.nih.gov/transcriptome/T_rubida/S1/links/GO/Triru-contig_47-GO.txt",4E-31)</f>
        <v>4.0000000000000003E-31</v>
      </c>
      <c r="BJ84" s="1" t="str">
        <f>HYPERLINK("http://exon.niaid.nih.gov/transcriptome/T_rubida/S1/links/CDD/Triru-contig_47-CDD.txt","SCP")</f>
        <v>SCP</v>
      </c>
      <c r="BK84" t="str">
        <f>HYPERLINK("http://www.ncbi.nlm.nih.gov/Structure/cdd/cddsrv.cgi?uid=smart00198&amp;version=v4.0","4E-028")</f>
        <v>4E-028</v>
      </c>
      <c r="BL84" t="s">
        <v>927</v>
      </c>
      <c r="BM84" s="1" t="str">
        <f>HYPERLINK("http://exon.niaid.nih.gov/transcriptome/T_rubida/S1/links/KOG/Triru-contig_47-KOG.txt","Defense-related protein containing SCP domain")</f>
        <v>Defense-related protein containing SCP domain</v>
      </c>
      <c r="BN84" t="str">
        <f>HYPERLINK("http://www.ncbi.nlm.nih.gov/COG/grace/shokog.cgi?KOG3017","8E-027")</f>
        <v>8E-027</v>
      </c>
      <c r="BO84" t="s">
        <v>737</v>
      </c>
      <c r="BP84" s="1" t="str">
        <f>HYPERLINK("http://exon.niaid.nih.gov/transcriptome/T_rubida/S1/links/PFAM/Triru-contig_47-PFAM.txt","CAP")</f>
        <v>CAP</v>
      </c>
      <c r="BQ84" t="str">
        <f>HYPERLINK("http://pfam.sanger.ac.uk/family?acc=PF00188","2E-016")</f>
        <v>2E-016</v>
      </c>
      <c r="BR84" s="1" t="str">
        <f>HYPERLINK("http://exon.niaid.nih.gov/transcriptome/T_rubida/S1/links/SMART/Triru-contig_47-SMART.txt","SCP")</f>
        <v>SCP</v>
      </c>
      <c r="BS84" t="str">
        <f>HYPERLINK("http://smart.embl-heidelberg.de/smart/do_annotation.pl?DOMAIN=SCP&amp;BLAST=DUMMY","4E-030")</f>
        <v>4E-030</v>
      </c>
      <c r="BT84" s="1" t="str">
        <f>HYPERLINK("http://exon.niaid.nih.gov/transcriptome/T_rubida/S1/links/PRK/Triru-contig_47-PRK.txt","NADH dehydrogenase subunit 4")</f>
        <v>NADH dehydrogenase subunit 4</v>
      </c>
      <c r="BU84">
        <v>3.9E-2</v>
      </c>
      <c r="BV84" s="1" t="s">
        <v>57</v>
      </c>
      <c r="BW84" t="s">
        <v>57</v>
      </c>
      <c r="BX84" s="1" t="s">
        <v>57</v>
      </c>
      <c r="BY84" t="s">
        <v>57</v>
      </c>
    </row>
    <row r="85" spans="1:77">
      <c r="A85" t="str">
        <f>HYPERLINK("http://exon.niaid.nih.gov/transcriptome/T_rubida/S1/links/Triru/Triru-contig_48.txt","Triru-contig_48")</f>
        <v>Triru-contig_48</v>
      </c>
      <c r="B85">
        <v>1</v>
      </c>
      <c r="C85" t="str">
        <f>HYPERLINK("http://exon.niaid.nih.gov/transcriptome/T_rubida/S1/links/Triru/Triru-5-48-asb-48.txt","Contig-48")</f>
        <v>Contig-48</v>
      </c>
      <c r="D85" t="str">
        <f>HYPERLINK("http://exon.niaid.nih.gov/transcriptome/T_rubida/S1/links/Triru/Triru-5-48-48-CLU.txt","Contig48")</f>
        <v>Contig48</v>
      </c>
      <c r="E85" t="str">
        <f>HYPERLINK("http://exon.niaid.nih.gov/transcriptome/T_rubida/S1/links/Triru/Triru-5-48-48-qual.txt","54.2")</f>
        <v>54.2</v>
      </c>
      <c r="F85">
        <v>0.2</v>
      </c>
      <c r="G85">
        <v>62.4</v>
      </c>
      <c r="H85">
        <v>409</v>
      </c>
      <c r="I85" t="s">
        <v>60</v>
      </c>
      <c r="J85">
        <v>409</v>
      </c>
      <c r="K85">
        <v>428</v>
      </c>
      <c r="L85">
        <v>312</v>
      </c>
      <c r="M85" t="s">
        <v>5107</v>
      </c>
      <c r="N85" s="15">
        <v>3</v>
      </c>
      <c r="O85" s="14" t="str">
        <f>HYPERLINK("http://exon.niaid.nih.gov/transcriptome/T_rubida/S1/links/Sigp/TRIRU-CONTIG_48-SigP.txt","Cyt")</f>
        <v>Cyt</v>
      </c>
      <c r="Q85" s="5" t="s">
        <v>4822</v>
      </c>
      <c r="R85" t="s">
        <v>5054</v>
      </c>
      <c r="S85" t="str">
        <f>HYPERLINK("http://exon.niaid.nih.gov/transcriptome/T_rubida/S1/links/CDD/Triru-contig_48-CDD.txt","CDD")</f>
        <v>CDD</v>
      </c>
      <c r="T85" s="23">
        <v>1E-10</v>
      </c>
      <c r="U85">
        <v>41.8</v>
      </c>
      <c r="V85" s="1" t="str">
        <f>HYPERLINK("http://exon.niaid.nih.gov/transcriptome/T_rubida/S1/links/NR/Triru-contig_48-NR.txt","unnamed protein product")</f>
        <v>unnamed protein product</v>
      </c>
      <c r="W85" t="str">
        <f>HYPERLINK("http://www.ncbi.nlm.nih.gov/sutils/blink.cgi?pid=270046184","4E-024")</f>
        <v>4E-024</v>
      </c>
      <c r="X85" t="str">
        <f>HYPERLINK("http://www.ncbi.nlm.nih.gov/protein/270046184","gi|270046184")</f>
        <v>gi|270046184</v>
      </c>
      <c r="Y85">
        <v>114</v>
      </c>
      <c r="Z85">
        <v>88</v>
      </c>
      <c r="AA85">
        <v>239</v>
      </c>
      <c r="AB85">
        <v>55</v>
      </c>
      <c r="AC85">
        <v>37</v>
      </c>
      <c r="AD85">
        <v>40</v>
      </c>
      <c r="AE85">
        <v>0</v>
      </c>
      <c r="AF85">
        <v>150</v>
      </c>
      <c r="AG85">
        <v>30</v>
      </c>
      <c r="AH85">
        <v>1</v>
      </c>
      <c r="AI85">
        <v>3</v>
      </c>
      <c r="AJ85" t="s">
        <v>11</v>
      </c>
      <c r="AL85" t="s">
        <v>700</v>
      </c>
      <c r="AM85" t="s">
        <v>928</v>
      </c>
      <c r="AN85" t="s">
        <v>929</v>
      </c>
      <c r="AO85" s="1" t="str">
        <f>HYPERLINK("http://exon.niaid.nih.gov/transcriptome/T_rubida/S1/links/SWISSP/Triru-contig_48-SWISSP.txt","Peptidase inhibitor 16")</f>
        <v>Peptidase inhibitor 16</v>
      </c>
      <c r="AP85" t="str">
        <f>HYPERLINK("http://www.uniprot.org/uniprot/Q9ET66","3E-009")</f>
        <v>3E-009</v>
      </c>
      <c r="AQ85" t="s">
        <v>806</v>
      </c>
      <c r="AR85">
        <v>60.8</v>
      </c>
      <c r="AS85">
        <v>53</v>
      </c>
      <c r="AT85">
        <v>49</v>
      </c>
      <c r="AU85">
        <v>11</v>
      </c>
      <c r="AV85">
        <v>28</v>
      </c>
      <c r="AW85">
        <v>0</v>
      </c>
      <c r="AX85">
        <v>120</v>
      </c>
      <c r="AY85">
        <v>60</v>
      </c>
      <c r="AZ85">
        <v>1</v>
      </c>
      <c r="BA85">
        <v>3</v>
      </c>
      <c r="BB85" t="s">
        <v>11</v>
      </c>
      <c r="BD85" t="s">
        <v>704</v>
      </c>
      <c r="BE85" t="s">
        <v>807</v>
      </c>
      <c r="BF85" t="s">
        <v>930</v>
      </c>
      <c r="BG85" t="s">
        <v>931</v>
      </c>
      <c r="BH85" s="1" t="s">
        <v>797</v>
      </c>
      <c r="BI85">
        <f>HYPERLINK("http://exon.niaid.nih.gov/transcriptome/T_rubida/S1/links/GO/Triru-contig_48-GO.txt",0.00000000000001)</f>
        <v>1E-14</v>
      </c>
      <c r="BJ85" s="1" t="str">
        <f>HYPERLINK("http://exon.niaid.nih.gov/transcriptome/T_rubida/S1/links/CDD/Triru-contig_48-CDD.txt","SCP")</f>
        <v>SCP</v>
      </c>
      <c r="BK85" t="str">
        <f>HYPERLINK("http://www.ncbi.nlm.nih.gov/Structure/cdd/cddsrv.cgi?uid=smart00198&amp;version=v4.0","1E-010")</f>
        <v>1E-010</v>
      </c>
      <c r="BL85" t="s">
        <v>932</v>
      </c>
      <c r="BM85" s="1" t="str">
        <f>HYPERLINK("http://exon.niaid.nih.gov/transcriptome/T_rubida/S1/links/KOG/Triru-contig_48-KOG.txt","Defense-related protein containing SCP domain")</f>
        <v>Defense-related protein containing SCP domain</v>
      </c>
      <c r="BN85" t="str">
        <f>HYPERLINK("http://www.ncbi.nlm.nih.gov/COG/grace/shokog.cgi?KOG3017","3E-014")</f>
        <v>3E-014</v>
      </c>
      <c r="BO85" t="s">
        <v>737</v>
      </c>
      <c r="BP85" s="1" t="str">
        <f>HYPERLINK("http://exon.niaid.nih.gov/transcriptome/T_rubida/S1/links/PFAM/Triru-contig_48-PFAM.txt","CAP")</f>
        <v>CAP</v>
      </c>
      <c r="BQ85" t="str">
        <f>HYPERLINK("http://pfam.sanger.ac.uk/family?acc=PF00188","2E-007")</f>
        <v>2E-007</v>
      </c>
      <c r="BR85" s="1" t="str">
        <f>HYPERLINK("http://exon.niaid.nih.gov/transcriptome/T_rubida/S1/links/SMART/Triru-contig_48-SMART.txt","SCP")</f>
        <v>SCP</v>
      </c>
      <c r="BS85" t="str">
        <f>HYPERLINK("http://smart.embl-heidelberg.de/smart/do_annotation.pl?DOMAIN=SCP&amp;BLAST=DUMMY","1E-012")</f>
        <v>1E-012</v>
      </c>
      <c r="BT85" s="1" t="str">
        <f>HYPERLINK("http://exon.niaid.nih.gov/transcriptome/T_rubida/S1/links/PRK/Triru-contig_48-PRK.txt","putative sulfate transport protein CysZ")</f>
        <v>putative sulfate transport protein CysZ</v>
      </c>
      <c r="BU85">
        <v>4.5999999999999999E-2</v>
      </c>
      <c r="BV85" s="1" t="s">
        <v>57</v>
      </c>
      <c r="BW85" t="s">
        <v>57</v>
      </c>
      <c r="BX85" s="1" t="s">
        <v>57</v>
      </c>
      <c r="BY85" t="s">
        <v>57</v>
      </c>
    </row>
    <row r="86" spans="1:77" ht="15" customHeight="1">
      <c r="A86" t="str">
        <f>HYPERLINK("http://exon.niaid.nih.gov/transcriptome/T_rubida/S1/links/Triru/Triru-contig_22.txt","Triru-contig_22")</f>
        <v>Triru-contig_22</v>
      </c>
      <c r="B86">
        <v>39</v>
      </c>
      <c r="C86" t="str">
        <f>HYPERLINK("http://exon.niaid.nih.gov/transcriptome/T_rubida/S1/links/Triru/Triru-5-48-asb-22.txt","Contig-22")</f>
        <v>Contig-22</v>
      </c>
      <c r="D86" t="str">
        <f>HYPERLINK("http://exon.niaid.nih.gov/transcriptome/T_rubida/S1/links/Triru/Triru-5-48-22-CLU.txt","Contig22")</f>
        <v>Contig22</v>
      </c>
      <c r="E86" t="str">
        <f>HYPERLINK("http://exon.niaid.nih.gov/transcriptome/T_rubida/S1/links/Triru/Triru-5-48-22-qual.txt","92.1")</f>
        <v>92.1</v>
      </c>
      <c r="F86" t="s">
        <v>10</v>
      </c>
      <c r="G86">
        <v>60.1</v>
      </c>
      <c r="H86">
        <v>684</v>
      </c>
      <c r="I86" t="s">
        <v>33</v>
      </c>
      <c r="J86">
        <v>685</v>
      </c>
      <c r="K86">
        <v>711</v>
      </c>
      <c r="L86">
        <v>546</v>
      </c>
      <c r="M86" t="s">
        <v>5331</v>
      </c>
      <c r="N86" s="15">
        <v>1</v>
      </c>
      <c r="O86" s="14" t="str">
        <f>HYPERLINK("http://exon.niaid.nih.gov/transcriptome/T_rubida/S1/links/Sigp/TRIRU-CONTIG_22-SigP.txt","Cyt")</f>
        <v>Cyt</v>
      </c>
      <c r="Q86" s="5" t="s">
        <v>5751</v>
      </c>
      <c r="R86" t="s">
        <v>5054</v>
      </c>
      <c r="S86" t="str">
        <f>HYPERLINK("http://exon.niaid.nih.gov/transcriptome/T_rubida/S1/links/NR/Triru-contig_22-NR.txt","NR")</f>
        <v>NR</v>
      </c>
      <c r="T86" s="23">
        <v>3E-51</v>
      </c>
      <c r="U86">
        <v>69</v>
      </c>
      <c r="V86" s="1" t="str">
        <f>HYPERLINK("http://exon.niaid.nih.gov/transcriptome/T_rubida/S1/links/NR/Triru-contig_22-NR.txt","unnamed protein product")</f>
        <v>unnamed protein product</v>
      </c>
      <c r="W86" t="str">
        <f>HYPERLINK("http://www.ncbi.nlm.nih.gov/sutils/blink.cgi?pid=270046184","3E-051")</f>
        <v>3E-051</v>
      </c>
      <c r="X86" t="str">
        <f>HYPERLINK("http://www.ncbi.nlm.nih.gov/protein/270046184","gi|270046184")</f>
        <v>gi|270046184</v>
      </c>
      <c r="Y86">
        <v>206</v>
      </c>
      <c r="Z86">
        <v>163</v>
      </c>
      <c r="AA86">
        <v>239</v>
      </c>
      <c r="AB86">
        <v>58</v>
      </c>
      <c r="AC86">
        <v>69</v>
      </c>
      <c r="AD86">
        <v>68</v>
      </c>
      <c r="AE86">
        <v>1</v>
      </c>
      <c r="AF86">
        <v>73</v>
      </c>
      <c r="AG86">
        <v>52</v>
      </c>
      <c r="AH86">
        <v>1</v>
      </c>
      <c r="AI86">
        <v>1</v>
      </c>
      <c r="AJ86" t="s">
        <v>11</v>
      </c>
      <c r="AL86" t="s">
        <v>700</v>
      </c>
      <c r="AM86" t="s">
        <v>791</v>
      </c>
      <c r="AN86" t="s">
        <v>792</v>
      </c>
      <c r="AO86" s="1" t="str">
        <f>HYPERLINK("http://exon.niaid.nih.gov/transcriptome/T_rubida/S1/links/SWISSP/Triru-contig_22-SWISSP.txt","Venom allergen 5.01")</f>
        <v>Venom allergen 5.01</v>
      </c>
      <c r="AP86" t="str">
        <f>HYPERLINK("http://www.uniprot.org/uniprot/P10736","3E-018")</f>
        <v>3E-018</v>
      </c>
      <c r="AQ86" t="s">
        <v>793</v>
      </c>
      <c r="AR86">
        <v>92</v>
      </c>
      <c r="AS86">
        <v>123</v>
      </c>
      <c r="AT86">
        <v>40</v>
      </c>
      <c r="AU86">
        <v>55</v>
      </c>
      <c r="AV86">
        <v>80</v>
      </c>
      <c r="AW86">
        <v>4</v>
      </c>
      <c r="AX86">
        <v>94</v>
      </c>
      <c r="AY86">
        <v>52</v>
      </c>
      <c r="AZ86">
        <v>1</v>
      </c>
      <c r="BA86">
        <v>1</v>
      </c>
      <c r="BB86" t="s">
        <v>11</v>
      </c>
      <c r="BD86" t="s">
        <v>704</v>
      </c>
      <c r="BE86" t="s">
        <v>794</v>
      </c>
      <c r="BF86" t="s">
        <v>795</v>
      </c>
      <c r="BG86" t="s">
        <v>796</v>
      </c>
      <c r="BH86" s="1" t="s">
        <v>797</v>
      </c>
      <c r="BI86">
        <f>HYPERLINK("http://exon.niaid.nih.gov/transcriptome/T_rubida/S1/links/GO/Triru-contig_22-GO.txt",1E-28)</f>
        <v>9.9999999999999997E-29</v>
      </c>
      <c r="BJ86" s="1" t="str">
        <f>HYPERLINK("http://exon.niaid.nih.gov/transcriptome/T_rubida/S1/links/CDD/Triru-contig_22-CDD.txt","SCP")</f>
        <v>SCP</v>
      </c>
      <c r="BK86" t="str">
        <f>HYPERLINK("http://www.ncbi.nlm.nih.gov/Structure/cdd/cddsrv.cgi?uid=smart00198&amp;version=v4.0","6E-027")</f>
        <v>6E-027</v>
      </c>
      <c r="BL86" t="s">
        <v>798</v>
      </c>
      <c r="BM86" s="1" t="str">
        <f>HYPERLINK("http://exon.niaid.nih.gov/transcriptome/T_rubida/S1/links/KOG/Triru-contig_22-KOG.txt","Defense-related protein containing SCP domain")</f>
        <v>Defense-related protein containing SCP domain</v>
      </c>
      <c r="BN86" t="str">
        <f>HYPERLINK("http://www.ncbi.nlm.nih.gov/COG/grace/shokog.cgi?KOG3017","3E-026")</f>
        <v>3E-026</v>
      </c>
      <c r="BO86" t="s">
        <v>737</v>
      </c>
      <c r="BP86" s="1" t="str">
        <f>HYPERLINK("http://exon.niaid.nih.gov/transcriptome/T_rubida/S1/links/PFAM/Triru-contig_22-PFAM.txt","CAP")</f>
        <v>CAP</v>
      </c>
      <c r="BQ86" t="str">
        <f>HYPERLINK("http://pfam.sanger.ac.uk/family?acc=PF00188","5E-016")</f>
        <v>5E-016</v>
      </c>
      <c r="BR86" s="1" t="str">
        <f>HYPERLINK("http://exon.niaid.nih.gov/transcriptome/T_rubida/S1/links/SMART/Triru-contig_22-SMART.txt","SCP")</f>
        <v>SCP</v>
      </c>
      <c r="BS86" t="str">
        <f>HYPERLINK("http://smart.embl-heidelberg.de/smart/do_annotation.pl?DOMAIN=SCP&amp;BLAST=DUMMY","6E-029")</f>
        <v>6E-029</v>
      </c>
      <c r="BT86" s="1" t="str">
        <f>HYPERLINK("http://exon.niaid.nih.gov/transcriptome/T_rubida/S1/links/PRK/Triru-contig_22-PRK.txt","NADH dehydrogenase subunit 5")</f>
        <v>NADH dehydrogenase subunit 5</v>
      </c>
      <c r="BU86">
        <v>1.2999999999999999E-2</v>
      </c>
      <c r="BV86" s="1" t="s">
        <v>57</v>
      </c>
      <c r="BW86" t="s">
        <v>57</v>
      </c>
      <c r="BX86" s="1" t="s">
        <v>57</v>
      </c>
      <c r="BY86" t="s">
        <v>57</v>
      </c>
    </row>
    <row r="87" spans="1:77">
      <c r="A87" t="str">
        <f>HYPERLINK("http://exon.niaid.nih.gov/transcriptome/T_rubida/S1/links/Triru/Triru-contig_23.txt","Triru-contig_23")</f>
        <v>Triru-contig_23</v>
      </c>
      <c r="B87">
        <v>7</v>
      </c>
      <c r="C87" t="str">
        <f>HYPERLINK("http://exon.niaid.nih.gov/transcriptome/T_rubida/S1/links/Triru/Triru-5-48-asb-23.txt","Contig-23")</f>
        <v>Contig-23</v>
      </c>
      <c r="D87" t="str">
        <f>HYPERLINK("http://exon.niaid.nih.gov/transcriptome/T_rubida/S1/links/Triru/Triru-5-48-23-CLU.txt","Contig23")</f>
        <v>Contig23</v>
      </c>
      <c r="E87" t="str">
        <f>HYPERLINK("http://exon.niaid.nih.gov/transcriptome/T_rubida/S1/links/Triru/Triru-5-48-23-qual.txt","93.3")</f>
        <v>93.3</v>
      </c>
      <c r="F87" t="s">
        <v>10</v>
      </c>
      <c r="G87">
        <v>62.4</v>
      </c>
      <c r="H87">
        <v>601</v>
      </c>
      <c r="I87" t="s">
        <v>34</v>
      </c>
      <c r="J87">
        <v>602</v>
      </c>
      <c r="K87">
        <v>620</v>
      </c>
      <c r="L87">
        <v>468</v>
      </c>
      <c r="M87" t="s">
        <v>5332</v>
      </c>
      <c r="N87" s="15">
        <v>2</v>
      </c>
      <c r="O87" s="14" t="str">
        <f>HYPERLINK("http://exon.niaid.nih.gov/transcriptome/T_rubida/S1/links/Sigp/TRIRU-CONTIG_23-SigP.txt","Cyt")</f>
        <v>Cyt</v>
      </c>
      <c r="Q87" s="5" t="s">
        <v>5751</v>
      </c>
      <c r="R87" t="s">
        <v>5054</v>
      </c>
      <c r="S87" t="str">
        <f>HYPERLINK("http://exon.niaid.nih.gov/transcriptome/T_rubida/S1/links/NR/Triru-contig_23-NR.txt","NR")</f>
        <v>NR</v>
      </c>
      <c r="T87" s="23">
        <v>9.9999999999999997E-48</v>
      </c>
      <c r="U87">
        <v>64.8</v>
      </c>
      <c r="V87" s="1" t="str">
        <f>HYPERLINK("http://exon.niaid.nih.gov/transcriptome/T_rubida/S1/links/NR/Triru-contig_23-NR.txt","unnamed protein product")</f>
        <v>unnamed protein product</v>
      </c>
      <c r="W87" t="str">
        <f>HYPERLINK("http://www.ncbi.nlm.nih.gov/sutils/blink.cgi?pid=270046184","1E-047")</f>
        <v>1E-047</v>
      </c>
      <c r="X87" t="str">
        <f>HYPERLINK("http://www.ncbi.nlm.nih.gov/protein/270046184","gi|270046184")</f>
        <v>gi|270046184</v>
      </c>
      <c r="Y87">
        <v>193</v>
      </c>
      <c r="Z87">
        <v>153</v>
      </c>
      <c r="AA87">
        <v>239</v>
      </c>
      <c r="AB87">
        <v>58</v>
      </c>
      <c r="AC87">
        <v>64</v>
      </c>
      <c r="AD87">
        <v>65</v>
      </c>
      <c r="AE87">
        <v>1</v>
      </c>
      <c r="AF87">
        <v>83</v>
      </c>
      <c r="AG87">
        <v>5</v>
      </c>
      <c r="AH87">
        <v>1</v>
      </c>
      <c r="AI87">
        <v>2</v>
      </c>
      <c r="AJ87" t="s">
        <v>11</v>
      </c>
      <c r="AL87" t="s">
        <v>700</v>
      </c>
      <c r="AM87" t="s">
        <v>799</v>
      </c>
      <c r="AN87" t="s">
        <v>792</v>
      </c>
      <c r="AO87" s="1" t="str">
        <f>HYPERLINK("http://exon.niaid.nih.gov/transcriptome/T_rubida/S1/links/SWISSP/Triru-contig_23-SWISSP.txt","Venom allergen 5")</f>
        <v>Venom allergen 5</v>
      </c>
      <c r="AP87" t="str">
        <f>HYPERLINK("http://www.uniprot.org/uniprot/P81657","3E-015")</f>
        <v>3E-015</v>
      </c>
      <c r="AQ87" t="s">
        <v>800</v>
      </c>
      <c r="AR87">
        <v>82</v>
      </c>
      <c r="AS87">
        <v>111</v>
      </c>
      <c r="AT87">
        <v>39</v>
      </c>
      <c r="AU87">
        <v>55</v>
      </c>
      <c r="AV87">
        <v>74</v>
      </c>
      <c r="AW87">
        <v>2</v>
      </c>
      <c r="AX87">
        <v>82</v>
      </c>
      <c r="AY87">
        <v>8</v>
      </c>
      <c r="AZ87">
        <v>1</v>
      </c>
      <c r="BA87">
        <v>2</v>
      </c>
      <c r="BB87" t="s">
        <v>11</v>
      </c>
      <c r="BD87" t="s">
        <v>704</v>
      </c>
      <c r="BE87" t="s">
        <v>801</v>
      </c>
      <c r="BF87" t="s">
        <v>802</v>
      </c>
      <c r="BG87" t="s">
        <v>803</v>
      </c>
      <c r="BH87" s="1" t="s">
        <v>797</v>
      </c>
      <c r="BI87">
        <f>HYPERLINK("http://exon.niaid.nih.gov/transcriptome/T_rubida/S1/links/GO/Triru-contig_23-GO.txt",1E-24)</f>
        <v>9.9999999999999992E-25</v>
      </c>
      <c r="BJ87" s="1" t="str">
        <f>HYPERLINK("http://exon.niaid.nih.gov/transcriptome/T_rubida/S1/links/CDD/Triru-contig_23-CDD.txt","SCP")</f>
        <v>SCP</v>
      </c>
      <c r="BK87" t="str">
        <f>HYPERLINK("http://www.ncbi.nlm.nih.gov/Structure/cdd/cddsrv.cgi?uid=smart00198&amp;version=v4.0","3E-022")</f>
        <v>3E-022</v>
      </c>
      <c r="BL87" t="s">
        <v>804</v>
      </c>
      <c r="BM87" s="1" t="str">
        <f>HYPERLINK("http://exon.niaid.nih.gov/transcriptome/T_rubida/S1/links/KOG/Triru-contig_23-KOG.txt","Defense-related protein containing SCP domain")</f>
        <v>Defense-related protein containing SCP domain</v>
      </c>
      <c r="BN87" t="str">
        <f>HYPERLINK("http://www.ncbi.nlm.nih.gov/COG/grace/shokog.cgi?KOG3017","4E-022")</f>
        <v>4E-022</v>
      </c>
      <c r="BO87" t="s">
        <v>737</v>
      </c>
      <c r="BP87" s="1" t="str">
        <f>HYPERLINK("http://exon.niaid.nih.gov/transcriptome/T_rubida/S1/links/PFAM/Triru-contig_23-PFAM.txt","CAP")</f>
        <v>CAP</v>
      </c>
      <c r="BQ87" t="str">
        <f>HYPERLINK("http://pfam.sanger.ac.uk/family?acc=PF00188","5E-013")</f>
        <v>5E-013</v>
      </c>
      <c r="BR87" s="1" t="str">
        <f>HYPERLINK("http://exon.niaid.nih.gov/transcriptome/T_rubida/S1/links/SMART/Triru-contig_23-SMART.txt","SCP")</f>
        <v>SCP</v>
      </c>
      <c r="BS87" t="str">
        <f>HYPERLINK("http://smart.embl-heidelberg.de/smart/do_annotation.pl?DOMAIN=SCP&amp;BLAST=DUMMY","3E-024")</f>
        <v>3E-024</v>
      </c>
      <c r="BT87" s="1" t="str">
        <f>HYPERLINK("http://exon.niaid.nih.gov/transcriptome/T_rubida/S1/links/PRK/Triru-contig_23-PRK.txt","Probable galacturonosyltransferase.")</f>
        <v>Probable galacturonosyltransferase.</v>
      </c>
      <c r="BU87">
        <v>8.6999999999999994E-2</v>
      </c>
      <c r="BV87" s="1" t="s">
        <v>57</v>
      </c>
      <c r="BW87" t="s">
        <v>57</v>
      </c>
      <c r="BX87" s="1" t="s">
        <v>57</v>
      </c>
      <c r="BY87" t="s">
        <v>57</v>
      </c>
    </row>
    <row r="88" spans="1:77">
      <c r="A88" t="str">
        <f>HYPERLINK("http://exon.niaid.nih.gov/transcriptome/T_rubida/S1/links/Triru/Triru-contig_28.txt","Triru-contig_28")</f>
        <v>Triru-contig_28</v>
      </c>
      <c r="B88">
        <v>6</v>
      </c>
      <c r="C88" t="str">
        <f>HYPERLINK("http://exon.niaid.nih.gov/transcriptome/T_rubida/S1/links/Triru/Triru-5-48-asb-28.txt","Contig-28")</f>
        <v>Contig-28</v>
      </c>
      <c r="D88" t="str">
        <f>HYPERLINK("http://exon.niaid.nih.gov/transcriptome/T_rubida/S1/links/Triru/Triru-5-48-28-CLU.txt","Contig28")</f>
        <v>Contig28</v>
      </c>
      <c r="E88" t="str">
        <f>HYPERLINK("http://exon.niaid.nih.gov/transcriptome/T_rubida/S1/links/Triru/Triru-5-48-28-qual.txt","84.1")</f>
        <v>84.1</v>
      </c>
      <c r="F88" t="s">
        <v>10</v>
      </c>
      <c r="G88">
        <v>67</v>
      </c>
      <c r="H88">
        <v>344</v>
      </c>
      <c r="I88" t="s">
        <v>39</v>
      </c>
      <c r="J88">
        <v>346</v>
      </c>
      <c r="K88">
        <v>364</v>
      </c>
      <c r="L88">
        <v>216</v>
      </c>
      <c r="M88" t="s">
        <v>5335</v>
      </c>
      <c r="N88" s="15">
        <v>3</v>
      </c>
      <c r="O88" s="14" t="str">
        <f>HYPERLINK("http://exon.niaid.nih.gov/transcriptome/T_rubida/S1/links/Sigp/TRIRU-CONTIG_28-SigP.txt","Cyt")</f>
        <v>Cyt</v>
      </c>
      <c r="Q88" s="5" t="s">
        <v>5751</v>
      </c>
      <c r="R88" t="s">
        <v>5054</v>
      </c>
      <c r="S88" t="str">
        <f>HYPERLINK("http://exon.niaid.nih.gov/transcriptome/T_rubida/S1/links/NR/Triru-contig_28-NR.txt","NR")</f>
        <v>NR</v>
      </c>
      <c r="T88" s="23">
        <v>9.9999999999999998E-17</v>
      </c>
      <c r="U88">
        <v>29.1</v>
      </c>
      <c r="V88" s="1" t="str">
        <f>HYPERLINK("http://exon.niaid.nih.gov/transcriptome/T_rubida/S1/links/NR/Triru-contig_28-NR.txt","unnamed protein product")</f>
        <v>unnamed protein product</v>
      </c>
      <c r="W88" t="str">
        <f>HYPERLINK("http://www.ncbi.nlm.nih.gov/sutils/blink.cgi?pid=270046248","1E-016")</f>
        <v>1E-016</v>
      </c>
      <c r="X88" t="str">
        <f>HYPERLINK("http://www.ncbi.nlm.nih.gov/protein/270046248","gi|270046248")</f>
        <v>gi|270046248</v>
      </c>
      <c r="Y88">
        <v>90.1</v>
      </c>
      <c r="Z88">
        <v>65</v>
      </c>
      <c r="AA88">
        <v>230</v>
      </c>
      <c r="AB88">
        <v>56</v>
      </c>
      <c r="AC88">
        <v>29</v>
      </c>
      <c r="AD88">
        <v>29</v>
      </c>
      <c r="AE88">
        <v>0</v>
      </c>
      <c r="AF88">
        <v>163</v>
      </c>
      <c r="AG88">
        <v>15</v>
      </c>
      <c r="AH88">
        <v>1</v>
      </c>
      <c r="AI88">
        <v>3</v>
      </c>
      <c r="AJ88" t="s">
        <v>11</v>
      </c>
      <c r="AL88" t="s">
        <v>700</v>
      </c>
      <c r="AM88" t="s">
        <v>826</v>
      </c>
      <c r="AN88" t="s">
        <v>827</v>
      </c>
      <c r="AO88" s="1" t="str">
        <f>HYPERLINK("http://exon.niaid.nih.gov/transcriptome/T_rubida/S1/links/SWISSP/Triru-contig_28-SWISSP.txt","Peptidase inhibitor 16")</f>
        <v>Peptidase inhibitor 16</v>
      </c>
      <c r="AP88" t="str">
        <f>HYPERLINK("http://www.uniprot.org/uniprot/Q9ET66","2E-004")</f>
        <v>2E-004</v>
      </c>
      <c r="AQ88" t="s">
        <v>806</v>
      </c>
      <c r="AR88">
        <v>44.3</v>
      </c>
      <c r="AS88">
        <v>41</v>
      </c>
      <c r="AT88">
        <v>48</v>
      </c>
      <c r="AU88">
        <v>9</v>
      </c>
      <c r="AV88">
        <v>22</v>
      </c>
      <c r="AW88">
        <v>0</v>
      </c>
      <c r="AX88">
        <v>132</v>
      </c>
      <c r="AY88">
        <v>18</v>
      </c>
      <c r="AZ88">
        <v>1</v>
      </c>
      <c r="BA88">
        <v>3</v>
      </c>
      <c r="BB88" t="s">
        <v>11</v>
      </c>
      <c r="BD88" t="s">
        <v>704</v>
      </c>
      <c r="BE88" t="s">
        <v>807</v>
      </c>
      <c r="BF88" t="s">
        <v>828</v>
      </c>
      <c r="BG88" t="s">
        <v>829</v>
      </c>
      <c r="BH88" s="1" t="s">
        <v>797</v>
      </c>
      <c r="BI88">
        <f>HYPERLINK("http://exon.niaid.nih.gov/transcriptome/T_rubida/S1/links/GO/Triru-contig_28-GO.txt",0.0000006)</f>
        <v>5.9999999999999997E-7</v>
      </c>
      <c r="BJ88" s="1" t="str">
        <f>HYPERLINK("http://exon.niaid.nih.gov/transcriptome/T_rubida/S1/links/CDD/Triru-contig_28-CDD.txt","SCP_PRY1_like")</f>
        <v>SCP_PRY1_like</v>
      </c>
      <c r="BK88" t="str">
        <f>HYPERLINK("http://www.ncbi.nlm.nih.gov/Structure/cdd/cddsrv.cgi?uid=cd05384&amp;version=v4.0","0.004")</f>
        <v>0.004</v>
      </c>
      <c r="BL88" t="s">
        <v>830</v>
      </c>
      <c r="BM88" s="1" t="str">
        <f>HYPERLINK("http://exon.niaid.nih.gov/transcriptome/T_rubida/S1/links/KOG/Triru-contig_28-KOG.txt","Defense-related protein containing SCP domain")</f>
        <v>Defense-related protein containing SCP domain</v>
      </c>
      <c r="BN88" t="str">
        <f>HYPERLINK("http://www.ncbi.nlm.nih.gov/COG/grace/shokog.cgi?KOG3017","3E-006")</f>
        <v>3E-006</v>
      </c>
      <c r="BO88" t="s">
        <v>737</v>
      </c>
      <c r="BP88" s="1" t="str">
        <f>HYPERLINK("http://exon.niaid.nih.gov/transcriptome/T_rubida/S1/links/PFAM/Triru-contig_28-PFAM.txt","YjgP_YjgQ")</f>
        <v>YjgP_YjgQ</v>
      </c>
      <c r="BQ88" t="str">
        <f>HYPERLINK("http://pfam.sanger.ac.uk/family?acc=PF03739","0.032")</f>
        <v>0.032</v>
      </c>
      <c r="BR88" s="1" t="str">
        <f>HYPERLINK("http://exon.niaid.nih.gov/transcriptome/T_rubida/S1/links/SMART/Triru-contig_28-SMART.txt","SCP")</f>
        <v>SCP</v>
      </c>
      <c r="BS88" t="str">
        <f>HYPERLINK("http://smart.embl-heidelberg.de/smart/do_annotation.pl?DOMAIN=SCP&amp;BLAST=DUMMY","2E-004")</f>
        <v>2E-004</v>
      </c>
      <c r="BT88" s="1" t="str">
        <f>HYPERLINK("http://exon.niaid.nih.gov/transcriptome/T_rubida/S1/links/PRK/Triru-contig_28-PRK.txt","hypothetical protein")</f>
        <v>hypothetical protein</v>
      </c>
      <c r="BU88">
        <v>4.4999999999999998E-2</v>
      </c>
      <c r="BV88" s="1" t="s">
        <v>57</v>
      </c>
      <c r="BW88" t="s">
        <v>57</v>
      </c>
      <c r="BX88" s="1" t="s">
        <v>57</v>
      </c>
      <c r="BY88" t="s">
        <v>57</v>
      </c>
    </row>
    <row r="89" spans="1:77" s="3" customFormat="1">
      <c r="A89" s="12" t="s">
        <v>5745</v>
      </c>
      <c r="T89" s="22"/>
    </row>
    <row r="90" spans="1:77">
      <c r="A90" t="str">
        <f>HYPERLINK("http://exon.niaid.nih.gov/transcriptome/T_rubida/S1/links/Triru/Triru-contig_309.txt","Triru-contig_309")</f>
        <v>Triru-contig_309</v>
      </c>
      <c r="B90">
        <v>1</v>
      </c>
      <c r="C90" t="str">
        <f>HYPERLINK("http://exon.niaid.nih.gov/transcriptome/T_rubida/S1/links/Triru/Triru-5-48-asb-309.txt","Contig-309")</f>
        <v>Contig-309</v>
      </c>
      <c r="D90" t="str">
        <f>HYPERLINK("http://exon.niaid.nih.gov/transcriptome/T_rubida/S1/links/Triru/Triru-5-48-309-CLU.txt","Contig309")</f>
        <v>Contig309</v>
      </c>
      <c r="E90" t="str">
        <f>HYPERLINK("http://exon.niaid.nih.gov/transcriptome/T_rubida/S1/links/Triru/Triru-5-48-309-qual.txt","60.1")</f>
        <v>60.1</v>
      </c>
      <c r="F90" t="s">
        <v>10</v>
      </c>
      <c r="G90">
        <v>72.5</v>
      </c>
      <c r="H90">
        <v>519</v>
      </c>
      <c r="I90" t="s">
        <v>321</v>
      </c>
      <c r="J90">
        <v>519</v>
      </c>
      <c r="K90">
        <v>538</v>
      </c>
      <c r="L90">
        <v>198</v>
      </c>
      <c r="M90" t="s">
        <v>5143</v>
      </c>
      <c r="N90" s="15">
        <v>2</v>
      </c>
      <c r="Q90" s="5" t="s">
        <v>4924</v>
      </c>
      <c r="R90" t="s">
        <v>5721</v>
      </c>
      <c r="S90" t="str">
        <f>HYPERLINK("http://exon.niaid.nih.gov/transcriptome/T_rubida/S1/links/NR/Triru-contig_309-NR.txt","NR")</f>
        <v>NR</v>
      </c>
      <c r="T90" s="23">
        <v>2.0000000000000001E-27</v>
      </c>
      <c r="U90">
        <v>20.399999999999999</v>
      </c>
      <c r="V90" s="1" t="str">
        <f>HYPERLINK("http://exon.niaid.nih.gov/transcriptome/T_rubida/S1/links/NR/Triru-contig_309-NR.txt","CRAL/TRIO domain containing protein")</f>
        <v>CRAL/TRIO domain containing protein</v>
      </c>
      <c r="W90" t="str">
        <f>HYPERLINK("http://www.ncbi.nlm.nih.gov/sutils/blink.cgi?pid=307095144","2E-027")</f>
        <v>2E-027</v>
      </c>
      <c r="X90" t="str">
        <f>HYPERLINK("http://www.ncbi.nlm.nih.gov/protein/307095144","gi|307095144")</f>
        <v>gi|307095144</v>
      </c>
      <c r="Y90">
        <v>126</v>
      </c>
      <c r="Z90">
        <v>65</v>
      </c>
      <c r="AA90">
        <v>323</v>
      </c>
      <c r="AB90">
        <v>87</v>
      </c>
      <c r="AC90">
        <v>20</v>
      </c>
      <c r="AD90">
        <v>8</v>
      </c>
      <c r="AE90">
        <v>0</v>
      </c>
      <c r="AF90">
        <v>258</v>
      </c>
      <c r="AG90">
        <v>2</v>
      </c>
      <c r="AH90">
        <v>1</v>
      </c>
      <c r="AI90">
        <v>2</v>
      </c>
      <c r="AJ90" t="s">
        <v>11</v>
      </c>
      <c r="AL90" t="s">
        <v>1121</v>
      </c>
      <c r="AM90" t="s">
        <v>2572</v>
      </c>
      <c r="AN90" t="s">
        <v>2573</v>
      </c>
      <c r="AO90" s="1" t="str">
        <f>HYPERLINK("http://exon.niaid.nih.gov/transcriptome/T_rubida/S1/links/SWISSP/Triru-contig_309-SWISSP.txt","Invertase")</f>
        <v>Invertase</v>
      </c>
      <c r="AP90" t="str">
        <f>HYPERLINK("http://www.uniprot.org/uniprot/P40912","26")</f>
        <v>26</v>
      </c>
      <c r="AQ90" t="s">
        <v>2574</v>
      </c>
      <c r="AR90">
        <v>28.5</v>
      </c>
      <c r="AS90">
        <v>69</v>
      </c>
      <c r="AT90">
        <v>24</v>
      </c>
      <c r="AU90">
        <v>13</v>
      </c>
      <c r="AV90">
        <v>62</v>
      </c>
      <c r="AW90">
        <v>0</v>
      </c>
      <c r="AX90">
        <v>168</v>
      </c>
      <c r="AY90">
        <v>118</v>
      </c>
      <c r="AZ90">
        <v>1</v>
      </c>
      <c r="BA90">
        <v>1</v>
      </c>
      <c r="BB90" t="s">
        <v>11</v>
      </c>
      <c r="BC90">
        <v>2.899</v>
      </c>
      <c r="BD90" t="s">
        <v>704</v>
      </c>
      <c r="BE90" t="s">
        <v>2575</v>
      </c>
      <c r="BF90" t="s">
        <v>2576</v>
      </c>
      <c r="BG90" t="s">
        <v>2577</v>
      </c>
      <c r="BH90" s="1" t="s">
        <v>57</v>
      </c>
      <c r="BI90" t="s">
        <v>57</v>
      </c>
      <c r="BJ90" s="1" t="str">
        <f>HYPERLINK("http://exon.niaid.nih.gov/transcriptome/T_rubida/S1/links/CDD/Triru-contig_309-CDD.txt","ND5")</f>
        <v>ND5</v>
      </c>
      <c r="BK90" t="str">
        <f>HYPERLINK("http://www.ncbi.nlm.nih.gov/Structure/cdd/cddsrv.cgi?uid=MTH00095&amp;version=v4.0","0.099")</f>
        <v>0.099</v>
      </c>
      <c r="BL90" t="s">
        <v>2578</v>
      </c>
      <c r="BM90" s="1" t="str">
        <f>HYPERLINK("http://exon.niaid.nih.gov/transcriptome/T_rubida/S1/links/KOG/Triru-contig_309-KOG.txt","Uncharacterized conserved protein")</f>
        <v>Uncharacterized conserved protein</v>
      </c>
      <c r="BN90" t="str">
        <f>HYPERLINK("http://www.ncbi.nlm.nih.gov/COG/grace/shokog.cgi?KOG4340","0.39")</f>
        <v>0.39</v>
      </c>
      <c r="BO90" t="s">
        <v>737</v>
      </c>
      <c r="BP90" s="1" t="str">
        <f>HYPERLINK("http://exon.niaid.nih.gov/transcriptome/T_rubida/S1/links/PFAM/Triru-contig_309-PFAM.txt","DUF2013")</f>
        <v>DUF2013</v>
      </c>
      <c r="BQ90" t="str">
        <f>HYPERLINK("http://pfam.sanger.ac.uk/family?acc=PF09431","0.25")</f>
        <v>0.25</v>
      </c>
      <c r="BR90" s="1" t="str">
        <f>HYPERLINK("http://exon.niaid.nih.gov/transcriptome/T_rubida/S1/links/SMART/Triru-contig_309-SMART.txt","Aamy")</f>
        <v>Aamy</v>
      </c>
      <c r="BS90" t="str">
        <f>HYPERLINK("http://smart.embl-heidelberg.de/smart/do_annotation.pl?DOMAIN=Aamy&amp;BLAST=DUMMY","0.62")</f>
        <v>0.62</v>
      </c>
      <c r="BT90" s="1" t="str">
        <f>HYPERLINK("http://exon.niaid.nih.gov/transcriptome/T_rubida/S1/links/PRK/Triru-contig_309-PRK.txt","NADH dehydrogenase subunit 5")</f>
        <v>NADH dehydrogenase subunit 5</v>
      </c>
      <c r="BU90">
        <v>4.3999999999999997E-2</v>
      </c>
      <c r="BV90" s="1" t="s">
        <v>57</v>
      </c>
      <c r="BW90" t="s">
        <v>57</v>
      </c>
      <c r="BX90" s="1" t="s">
        <v>57</v>
      </c>
      <c r="BY90" t="s">
        <v>57</v>
      </c>
    </row>
    <row r="91" spans="1:77">
      <c r="A91" t="str">
        <f>HYPERLINK("http://exon.niaid.nih.gov/transcriptome/T_rubida/S1/links/Triru/Triru-contig_518.txt","Triru-contig_518")</f>
        <v>Triru-contig_518</v>
      </c>
      <c r="B91">
        <v>1</v>
      </c>
      <c r="C91" t="str">
        <f>HYPERLINK("http://exon.niaid.nih.gov/transcriptome/T_rubida/S1/links/Triru/Triru-5-48-asb-518.txt","Contig-518")</f>
        <v>Contig-518</v>
      </c>
      <c r="D91" t="str">
        <f>HYPERLINK("http://exon.niaid.nih.gov/transcriptome/T_rubida/S1/links/Triru/Triru-5-48-518-CLU.txt","Contig518")</f>
        <v>Contig518</v>
      </c>
      <c r="E91" t="str">
        <f>HYPERLINK("http://exon.niaid.nih.gov/transcriptome/T_rubida/S1/links/Triru/Triru-5-48-518-qual.txt","63.6")</f>
        <v>63.6</v>
      </c>
      <c r="F91">
        <v>0.2</v>
      </c>
      <c r="G91">
        <v>74.3</v>
      </c>
      <c r="H91">
        <v>479</v>
      </c>
      <c r="I91" t="s">
        <v>530</v>
      </c>
      <c r="J91">
        <v>479</v>
      </c>
      <c r="K91">
        <v>498</v>
      </c>
      <c r="L91">
        <v>153</v>
      </c>
      <c r="M91" t="s">
        <v>5144</v>
      </c>
      <c r="N91" s="15">
        <v>1</v>
      </c>
      <c r="Q91" s="5" t="s">
        <v>4924</v>
      </c>
      <c r="R91" t="s">
        <v>5721</v>
      </c>
      <c r="S91" t="str">
        <f>HYPERLINK("http://exon.niaid.nih.gov/transcriptome/T_rubida/S1/links/NR/Triru-contig_518-NR.txt","NR")</f>
        <v>NR</v>
      </c>
      <c r="T91" s="23">
        <v>4.9999999999999999E-17</v>
      </c>
      <c r="U91">
        <v>15.7</v>
      </c>
      <c r="V91" s="1" t="str">
        <f>HYPERLINK("http://exon.niaid.nih.gov/transcriptome/T_rubida/S1/links/NR/Triru-contig_518-NR.txt","CRAL/TRIO domain containing protein")</f>
        <v>CRAL/TRIO domain containing protein</v>
      </c>
      <c r="W91" t="str">
        <f>HYPERLINK("http://www.ncbi.nlm.nih.gov/sutils/blink.cgi?pid=307095144","5E-017")</f>
        <v>5E-017</v>
      </c>
      <c r="X91" t="str">
        <f>HYPERLINK("http://www.ncbi.nlm.nih.gov/protein/307095144","gi|307095144")</f>
        <v>gi|307095144</v>
      </c>
      <c r="Y91">
        <v>91.3</v>
      </c>
      <c r="Z91">
        <v>50</v>
      </c>
      <c r="AA91">
        <v>323</v>
      </c>
      <c r="AB91">
        <v>84</v>
      </c>
      <c r="AC91">
        <v>16</v>
      </c>
      <c r="AD91">
        <v>8</v>
      </c>
      <c r="AE91">
        <v>0</v>
      </c>
      <c r="AF91">
        <v>273</v>
      </c>
      <c r="AG91">
        <v>1</v>
      </c>
      <c r="AH91">
        <v>1</v>
      </c>
      <c r="AI91">
        <v>1</v>
      </c>
      <c r="AJ91" t="s">
        <v>11</v>
      </c>
      <c r="AL91" t="s">
        <v>1121</v>
      </c>
      <c r="AM91" t="s">
        <v>3986</v>
      </c>
      <c r="AN91" t="s">
        <v>3987</v>
      </c>
      <c r="AO91" s="1" t="str">
        <f>HYPERLINK("http://exon.niaid.nih.gov/transcriptome/T_rubida/S1/links/SWISSP/Triru-contig_518-SWISSP.txt","Cysteinyl-tRNA synthetase")</f>
        <v>Cysteinyl-tRNA synthetase</v>
      </c>
      <c r="AP91" t="str">
        <f>HYPERLINK("http://www.uniprot.org/uniprot/Q6MS23","9.8")</f>
        <v>9.8</v>
      </c>
      <c r="AQ91" t="s">
        <v>3988</v>
      </c>
      <c r="AR91">
        <v>29.6</v>
      </c>
      <c r="AS91">
        <v>34</v>
      </c>
      <c r="AT91">
        <v>36</v>
      </c>
      <c r="AU91">
        <v>8</v>
      </c>
      <c r="AV91">
        <v>24</v>
      </c>
      <c r="AW91">
        <v>0</v>
      </c>
      <c r="AX91">
        <v>313</v>
      </c>
      <c r="AY91">
        <v>361</v>
      </c>
      <c r="AZ91">
        <v>1</v>
      </c>
      <c r="BA91">
        <v>1</v>
      </c>
      <c r="BB91" t="s">
        <v>11</v>
      </c>
      <c r="BC91">
        <v>2.9409999999999998</v>
      </c>
      <c r="BD91" t="s">
        <v>704</v>
      </c>
      <c r="BE91" t="s">
        <v>3989</v>
      </c>
      <c r="BF91" t="s">
        <v>3990</v>
      </c>
      <c r="BG91" t="s">
        <v>3991</v>
      </c>
      <c r="BH91" s="1" t="s">
        <v>57</v>
      </c>
      <c r="BI91" t="s">
        <v>57</v>
      </c>
      <c r="BJ91" s="1" t="str">
        <f>HYPERLINK("http://exon.niaid.nih.gov/transcriptome/T_rubida/S1/links/CDD/Triru-contig_518-CDD.txt","DUF2013")</f>
        <v>DUF2013</v>
      </c>
      <c r="BK91" t="str">
        <f>HYPERLINK("http://www.ncbi.nlm.nih.gov/Structure/cdd/cddsrv.cgi?uid=pfam09431&amp;version=v4.0","1.1")</f>
        <v>1.1</v>
      </c>
      <c r="BL91" t="s">
        <v>3992</v>
      </c>
      <c r="BM91" s="1" t="str">
        <f>HYPERLINK("http://exon.niaid.nih.gov/transcriptome/T_rubida/S1/links/KOG/Triru-contig_518-KOG.txt","Uncharacterized conserved protein")</f>
        <v>Uncharacterized conserved protein</v>
      </c>
      <c r="BN91" t="str">
        <f>HYPERLINK("http://www.ncbi.nlm.nih.gov/COG/grace/shokog.cgi?KOG4340","0.047")</f>
        <v>0.047</v>
      </c>
      <c r="BO91" t="s">
        <v>737</v>
      </c>
      <c r="BP91" s="1" t="str">
        <f>HYPERLINK("http://exon.niaid.nih.gov/transcriptome/T_rubida/S1/links/PFAM/Triru-contig_518-PFAM.txt","DUF2013")</f>
        <v>DUF2013</v>
      </c>
      <c r="BQ91" t="str">
        <f>HYPERLINK("http://pfam.sanger.ac.uk/family?acc=PF09431","0.22")</f>
        <v>0.22</v>
      </c>
      <c r="BR91" s="1" t="str">
        <f>HYPERLINK("http://exon.niaid.nih.gov/transcriptome/T_rubida/S1/links/SMART/Triru-contig_518-SMART.txt","POLBc")</f>
        <v>POLBc</v>
      </c>
      <c r="BS91" t="str">
        <f>HYPERLINK("http://smart.embl-heidelberg.de/smart/do_annotation.pl?DOMAIN=POLBc&amp;BLAST=DUMMY","0.42")</f>
        <v>0.42</v>
      </c>
      <c r="BT91" s="1" t="str">
        <f>HYPERLINK("http://exon.niaid.nih.gov/transcriptome/T_rubida/S1/links/PRK/Triru-contig_518-PRK.txt","NADH dehydrogenase subunit 6")</f>
        <v>NADH dehydrogenase subunit 6</v>
      </c>
      <c r="BU91">
        <v>0.54</v>
      </c>
      <c r="BV91" s="1" t="s">
        <v>57</v>
      </c>
      <c r="BW91" t="s">
        <v>57</v>
      </c>
      <c r="BX91" s="1" t="s">
        <v>57</v>
      </c>
      <c r="BY91" t="s">
        <v>57</v>
      </c>
    </row>
    <row r="92" spans="1:77" s="3" customFormat="1" ht="14.25" customHeight="1">
      <c r="A92" s="12" t="s">
        <v>5748</v>
      </c>
      <c r="T92" s="22"/>
    </row>
    <row r="93" spans="1:77">
      <c r="A93" t="str">
        <f>HYPERLINK("http://exon.niaid.nih.gov/transcriptome/T_rubida/S1/links/Triru/Triru-contig_539.txt","Triru-contig_539")</f>
        <v>Triru-contig_539</v>
      </c>
      <c r="B93">
        <v>1</v>
      </c>
      <c r="C93" t="str">
        <f>HYPERLINK("http://exon.niaid.nih.gov/transcriptome/T_rubida/S1/links/Triru/Triru-5-48-asb-539.txt","Contig-539")</f>
        <v>Contig-539</v>
      </c>
      <c r="D93" t="str">
        <f>HYPERLINK("http://exon.niaid.nih.gov/transcriptome/T_rubida/S1/links/Triru/Triru-5-48-539-CLU.txt","Contig539")</f>
        <v>Contig539</v>
      </c>
      <c r="E93" t="str">
        <f>HYPERLINK("http://exon.niaid.nih.gov/transcriptome/T_rubida/S1/links/Triru/Triru-5-48-539-qual.txt","19.")</f>
        <v>19.</v>
      </c>
      <c r="F93" t="s">
        <v>10</v>
      </c>
      <c r="G93">
        <v>64.099999999999994</v>
      </c>
      <c r="H93">
        <v>710</v>
      </c>
      <c r="I93" t="s">
        <v>551</v>
      </c>
      <c r="J93">
        <v>710</v>
      </c>
      <c r="K93">
        <v>729</v>
      </c>
      <c r="L93">
        <v>294</v>
      </c>
      <c r="M93" t="s">
        <v>5141</v>
      </c>
      <c r="N93" s="15">
        <v>1</v>
      </c>
      <c r="Q93" s="5" t="s">
        <v>5005</v>
      </c>
      <c r="R93" t="s">
        <v>5720</v>
      </c>
      <c r="S93" t="str">
        <f>HYPERLINK("http://exon.niaid.nih.gov/transcriptome/T_rubida/S1/links/NR/Triru-contig_539-NR.txt","NR")</f>
        <v>NR</v>
      </c>
      <c r="T93" s="23">
        <v>5.0000000000000002E-27</v>
      </c>
      <c r="U93">
        <v>32</v>
      </c>
      <c r="V93" s="1" t="str">
        <f>HYPERLINK("http://exon.niaid.nih.gov/transcriptome/T_rubida/S1/links/NR/Triru-contig_539-NR.txt","trialysin")</f>
        <v>trialysin</v>
      </c>
      <c r="W93" t="str">
        <f>HYPERLINK("http://www.ncbi.nlm.nih.gov/sutils/blink.cgi?pid=307094970","5E-027")</f>
        <v>5E-027</v>
      </c>
      <c r="X93" t="str">
        <f>HYPERLINK("http://www.ncbi.nlm.nih.gov/protein/307094970","gi|307094970")</f>
        <v>gi|307094970</v>
      </c>
      <c r="Y93">
        <v>112</v>
      </c>
      <c r="Z93">
        <v>106</v>
      </c>
      <c r="AA93">
        <v>262</v>
      </c>
      <c r="AB93">
        <v>60</v>
      </c>
      <c r="AC93">
        <v>41</v>
      </c>
      <c r="AD93">
        <v>33</v>
      </c>
      <c r="AE93">
        <v>0</v>
      </c>
      <c r="AF93">
        <v>156</v>
      </c>
      <c r="AG93">
        <v>334</v>
      </c>
      <c r="AH93">
        <v>2</v>
      </c>
      <c r="AI93">
        <v>1</v>
      </c>
      <c r="AJ93" t="s">
        <v>888</v>
      </c>
      <c r="AK93">
        <v>0.94299999999999995</v>
      </c>
      <c r="AL93" t="s">
        <v>1121</v>
      </c>
      <c r="AM93" t="s">
        <v>4121</v>
      </c>
      <c r="AN93" t="s">
        <v>4122</v>
      </c>
      <c r="AO93" s="1" t="str">
        <f>HYPERLINK("http://exon.niaid.nih.gov/transcriptome/T_rubida/S1/links/SWISSP/Triru-contig_539-SWISSP.txt","Phenylalanyl-tRNA synthetase alpha chain")</f>
        <v>Phenylalanyl-tRNA synthetase alpha chain</v>
      </c>
      <c r="AP93" t="str">
        <f>HYPERLINK("http://www.uniprot.org/uniprot/Q8D3B6","5.7")</f>
        <v>5.7</v>
      </c>
      <c r="AQ93" t="s">
        <v>4123</v>
      </c>
      <c r="AR93">
        <v>31.6</v>
      </c>
      <c r="AS93">
        <v>37</v>
      </c>
      <c r="AT93">
        <v>38</v>
      </c>
      <c r="AU93">
        <v>11</v>
      </c>
      <c r="AV93">
        <v>24</v>
      </c>
      <c r="AW93">
        <v>0</v>
      </c>
      <c r="AX93">
        <v>220</v>
      </c>
      <c r="AY93">
        <v>454</v>
      </c>
      <c r="AZ93">
        <v>1</v>
      </c>
      <c r="BA93">
        <v>1</v>
      </c>
      <c r="BB93" t="s">
        <v>11</v>
      </c>
      <c r="BD93" t="s">
        <v>704</v>
      </c>
      <c r="BE93" t="s">
        <v>4124</v>
      </c>
      <c r="BF93" t="s">
        <v>4125</v>
      </c>
      <c r="BG93" t="s">
        <v>4126</v>
      </c>
      <c r="BH93" s="1" t="s">
        <v>57</v>
      </c>
      <c r="BI93" t="s">
        <v>57</v>
      </c>
      <c r="BJ93" s="1" t="str">
        <f>HYPERLINK("http://exon.niaid.nih.gov/transcriptome/T_rubida/S1/links/CDD/Triru-contig_539-CDD.txt","DUF2085")</f>
        <v>DUF2085</v>
      </c>
      <c r="BK93" t="str">
        <f>HYPERLINK("http://www.ncbi.nlm.nih.gov/Structure/cdd/cddsrv.cgi?uid=pfam09858&amp;version=v4.0","0.19")</f>
        <v>0.19</v>
      </c>
      <c r="BL93" t="s">
        <v>4127</v>
      </c>
      <c r="BM93" s="1" t="str">
        <f>HYPERLINK("http://exon.niaid.nih.gov/transcriptome/T_rubida/S1/links/KOG/Triru-contig_539-KOG.txt","Adenylate cyclase-coupled calcitonin receptor")</f>
        <v>Adenylate cyclase-coupled calcitonin receptor</v>
      </c>
      <c r="BN93" t="str">
        <f>HYPERLINK("http://www.ncbi.nlm.nih.gov/COG/grace/shokog.cgi?KOG4564","1.4")</f>
        <v>1.4</v>
      </c>
      <c r="BO93" t="s">
        <v>728</v>
      </c>
      <c r="BP93" s="1" t="str">
        <f>HYPERLINK("http://exon.niaid.nih.gov/transcriptome/T_rubida/S1/links/PFAM/Triru-contig_539-PFAM.txt","DUF2085")</f>
        <v>DUF2085</v>
      </c>
      <c r="BQ93" t="str">
        <f>HYPERLINK("http://pfam.sanger.ac.uk/family?acc=PF09858","0.038")</f>
        <v>0.038</v>
      </c>
      <c r="BR93" s="1" t="str">
        <f>HYPERLINK("http://exon.niaid.nih.gov/transcriptome/T_rubida/S1/links/SMART/Triru-contig_539-SMART.txt","Adenylsucc_synt")</f>
        <v>Adenylsucc_synt</v>
      </c>
      <c r="BS93" t="str">
        <f>HYPERLINK("http://smart.embl-heidelberg.de/smart/do_annotation.pl?DOMAIN=Adenylsucc_synt&amp;BLAST=DUMMY","0.15")</f>
        <v>0.15</v>
      </c>
      <c r="BT93" s="1" t="str">
        <f>HYPERLINK("http://exon.niaid.nih.gov/transcriptome/T_rubida/S1/links/PRK/Triru-contig_539-PRK.txt","acetylornithine deacetylase")</f>
        <v>acetylornithine deacetylase</v>
      </c>
      <c r="BU93">
        <v>0.45</v>
      </c>
      <c r="BV93" s="1" t="s">
        <v>57</v>
      </c>
      <c r="BW93" t="s">
        <v>57</v>
      </c>
      <c r="BX93" s="1" t="s">
        <v>57</v>
      </c>
      <c r="BY93" t="s">
        <v>57</v>
      </c>
    </row>
    <row r="94" spans="1:77">
      <c r="A94" t="str">
        <f>HYPERLINK("http://exon.niaid.nih.gov/transcriptome/T_rubida/S1/links/Triru/Triru-contig_377.txt","Triru-contig_377")</f>
        <v>Triru-contig_377</v>
      </c>
      <c r="B94">
        <v>1</v>
      </c>
      <c r="C94" t="str">
        <f>HYPERLINK("http://exon.niaid.nih.gov/transcriptome/T_rubida/S1/links/Triru/Triru-5-48-asb-377.txt","Contig-377")</f>
        <v>Contig-377</v>
      </c>
      <c r="D94" t="str">
        <f>HYPERLINK("http://exon.niaid.nih.gov/transcriptome/T_rubida/S1/links/Triru/Triru-5-48-377-CLU.txt","Contig377")</f>
        <v>Contig377</v>
      </c>
      <c r="E94" t="str">
        <f>HYPERLINK("http://exon.niaid.nih.gov/transcriptome/T_rubida/S1/links/Triru/Triru-5-48-377-qual.txt","58.1")</f>
        <v>58.1</v>
      </c>
      <c r="F94" t="s">
        <v>10</v>
      </c>
      <c r="G94">
        <v>64.3</v>
      </c>
      <c r="H94">
        <v>801</v>
      </c>
      <c r="I94" t="s">
        <v>389</v>
      </c>
      <c r="J94">
        <v>801</v>
      </c>
      <c r="K94">
        <v>820</v>
      </c>
      <c r="L94">
        <v>729</v>
      </c>
      <c r="M94" t="s">
        <v>5142</v>
      </c>
      <c r="N94" s="15">
        <v>3</v>
      </c>
      <c r="O94" s="14" t="str">
        <f>HYPERLINK("http://exon.niaid.nih.gov/transcriptome/T_rubida/S1/links/Sigp/TRIRU-CONTIG_377-SigP.txt","Cyt")</f>
        <v>Cyt</v>
      </c>
      <c r="Q94" s="5" t="s">
        <v>4947</v>
      </c>
      <c r="R94" t="s">
        <v>5720</v>
      </c>
      <c r="S94" t="str">
        <f>HYPERLINK("http://exon.niaid.nih.gov/transcriptome/T_rubida/S1/links/NR/Triru-contig_377-NR.txt","NR")</f>
        <v>NR</v>
      </c>
      <c r="T94" s="23">
        <v>1.9999999999999999E-74</v>
      </c>
      <c r="U94">
        <v>91.4</v>
      </c>
      <c r="V94" s="1" t="str">
        <f>HYPERLINK("http://exon.niaid.nih.gov/transcriptome/T_rubida/S1/links/NR/Triru-contig_377-NR.txt","trialysin precursor")</f>
        <v>trialysin precursor</v>
      </c>
      <c r="W94" t="str">
        <f>HYPERLINK("http://www.ncbi.nlm.nih.gov/sutils/blink.cgi?pid=307094972","2E-074")</f>
        <v>2E-074</v>
      </c>
      <c r="X94" t="str">
        <f>HYPERLINK("http://www.ncbi.nlm.nih.gov/protein/307094972","gi|307094972")</f>
        <v>gi|307094972</v>
      </c>
      <c r="Y94">
        <v>283</v>
      </c>
      <c r="Z94">
        <v>220</v>
      </c>
      <c r="AA94">
        <v>245</v>
      </c>
      <c r="AB94">
        <v>63</v>
      </c>
      <c r="AC94">
        <v>90</v>
      </c>
      <c r="AD94">
        <v>82</v>
      </c>
      <c r="AE94">
        <v>3</v>
      </c>
      <c r="AF94">
        <v>24</v>
      </c>
      <c r="AG94">
        <v>78</v>
      </c>
      <c r="AH94">
        <v>1</v>
      </c>
      <c r="AI94">
        <v>3</v>
      </c>
      <c r="AJ94" t="s">
        <v>11</v>
      </c>
      <c r="AL94" t="s">
        <v>1121</v>
      </c>
      <c r="AM94" t="s">
        <v>3030</v>
      </c>
      <c r="AN94" t="s">
        <v>3031</v>
      </c>
      <c r="AO94" s="1" t="str">
        <f>HYPERLINK("http://exon.niaid.nih.gov/transcriptome/T_rubida/S1/links/SWISSP/Triru-contig_377-SWISSP.txt","Uncharacterized gene 48 protein")</f>
        <v>Uncharacterized gene 48 protein</v>
      </c>
      <c r="AP94" t="str">
        <f>HYPERLINK("http://www.uniprot.org/uniprot/Q01033","0.17")</f>
        <v>0.17</v>
      </c>
      <c r="AQ94" t="s">
        <v>3032</v>
      </c>
      <c r="AR94">
        <v>37</v>
      </c>
      <c r="AS94">
        <v>350</v>
      </c>
      <c r="AT94">
        <v>47</v>
      </c>
      <c r="AU94">
        <v>44</v>
      </c>
      <c r="AV94">
        <v>19</v>
      </c>
      <c r="AW94">
        <v>0</v>
      </c>
      <c r="AX94">
        <v>406</v>
      </c>
      <c r="AY94">
        <v>39</v>
      </c>
      <c r="AZ94">
        <v>15</v>
      </c>
      <c r="BA94">
        <v>3</v>
      </c>
      <c r="BB94" t="s">
        <v>11</v>
      </c>
      <c r="BD94" t="s">
        <v>704</v>
      </c>
      <c r="BE94" t="s">
        <v>3033</v>
      </c>
      <c r="BF94" t="s">
        <v>3034</v>
      </c>
      <c r="BG94" t="s">
        <v>3035</v>
      </c>
      <c r="BH94" s="1" t="s">
        <v>57</v>
      </c>
      <c r="BI94" t="s">
        <v>57</v>
      </c>
      <c r="BJ94" s="1" t="str">
        <f>HYPERLINK("http://exon.niaid.nih.gov/transcriptome/T_rubida/S1/links/CDD/Triru-contig_377-CDD.txt","PHA02732")</f>
        <v>PHA02732</v>
      </c>
      <c r="BK94" t="str">
        <f>HYPERLINK("http://www.ncbi.nlm.nih.gov/Structure/cdd/cddsrv.cgi?uid=PHA02732&amp;version=v4.0","0.009")</f>
        <v>0.009</v>
      </c>
      <c r="BL94" t="s">
        <v>3036</v>
      </c>
      <c r="BM94" s="1" t="str">
        <f>HYPERLINK("http://exon.niaid.nih.gov/transcriptome/T_rubida/S1/links/KOG/Triru-contig_377-KOG.txt","RNA polymerase II, large subunit")</f>
        <v>RNA polymerase II, large subunit</v>
      </c>
      <c r="BN94" t="str">
        <f>HYPERLINK("http://www.ncbi.nlm.nih.gov/COG/grace/shokog.cgi?KOG0260","0.004")</f>
        <v>0.004</v>
      </c>
      <c r="BO94" t="s">
        <v>790</v>
      </c>
      <c r="BP94" s="1" t="str">
        <f>HYPERLINK("http://exon.niaid.nih.gov/transcriptome/T_rubida/S1/links/PFAM/Triru-contig_377-PFAM.txt","Pacs-1")</f>
        <v>Pacs-1</v>
      </c>
      <c r="BQ94" t="str">
        <f>HYPERLINK("http://pfam.sanger.ac.uk/family?acc=PF10254","0.098")</f>
        <v>0.098</v>
      </c>
      <c r="BR94" s="1" t="str">
        <f>HYPERLINK("http://exon.niaid.nih.gov/transcriptome/T_rubida/S1/links/SMART/Triru-contig_377-SMART.txt","TOPEUc")</f>
        <v>TOPEUc</v>
      </c>
      <c r="BS94" t="str">
        <f>HYPERLINK("http://smart.embl-heidelberg.de/smart/do_annotation.pl?DOMAIN=TOPEUc&amp;BLAST=DUMMY","0.023")</f>
        <v>0.023</v>
      </c>
      <c r="BT94" s="1" t="str">
        <f>HYPERLINK("http://exon.niaid.nih.gov/transcriptome/T_rubida/S1/links/PRK/Triru-contig_377-PRK.txt","hypothetical protein")</f>
        <v>hypothetical protein</v>
      </c>
      <c r="BU94">
        <v>4.0000000000000001E-3</v>
      </c>
      <c r="BV94" s="1" t="s">
        <v>57</v>
      </c>
      <c r="BW94" t="s">
        <v>57</v>
      </c>
      <c r="BX94" s="1" t="s">
        <v>57</v>
      </c>
      <c r="BY94" t="s">
        <v>57</v>
      </c>
    </row>
    <row r="95" spans="1:77" s="3" customFormat="1" ht="14.25" customHeight="1">
      <c r="A95" s="13" t="s">
        <v>5749</v>
      </c>
      <c r="T95" s="22"/>
    </row>
    <row r="96" spans="1:77">
      <c r="A96" t="str">
        <f>HYPERLINK("http://exon.niaid.nih.gov/transcriptome/T_rubida/S1/links/Triru/Triru-contig_412.txt","Triru-contig_412")</f>
        <v>Triru-contig_412</v>
      </c>
      <c r="B96">
        <v>1</v>
      </c>
      <c r="C96" t="str">
        <f>HYPERLINK("http://exon.niaid.nih.gov/transcriptome/T_rubida/S1/links/Triru/Triru-5-48-asb-412.txt","Contig-412")</f>
        <v>Contig-412</v>
      </c>
      <c r="D96" t="str">
        <f>HYPERLINK("http://exon.niaid.nih.gov/transcriptome/T_rubida/S1/links/Triru/Triru-5-48-412-CLU.txt","Contig412")</f>
        <v>Contig412</v>
      </c>
      <c r="E96" t="str">
        <f>HYPERLINK("http://exon.niaid.nih.gov/transcriptome/T_rubida/S1/links/Triru/Triru-5-48-412-qual.txt","63.2")</f>
        <v>63.2</v>
      </c>
      <c r="F96" t="s">
        <v>10</v>
      </c>
      <c r="G96">
        <v>63.7</v>
      </c>
      <c r="H96">
        <v>314</v>
      </c>
      <c r="I96" t="s">
        <v>424</v>
      </c>
      <c r="J96">
        <v>314</v>
      </c>
      <c r="K96">
        <v>333</v>
      </c>
      <c r="L96">
        <v>258</v>
      </c>
      <c r="M96" t="s">
        <v>5066</v>
      </c>
      <c r="N96" s="15">
        <v>3</v>
      </c>
      <c r="O96" s="14" t="str">
        <f>HYPERLINK("http://exon.niaid.nih.gov/transcriptome/T_rubida/S1/links/Sigp/TRIRU-CONTIG_412-SigP.txt","Cyt")</f>
        <v>Cyt</v>
      </c>
      <c r="Q96" s="5" t="s">
        <v>4958</v>
      </c>
      <c r="R96" t="s">
        <v>5722</v>
      </c>
      <c r="S96" t="str">
        <f>HYPERLINK("http://exon.niaid.nih.gov/transcriptome/T_rubida/S1/links/NR/Triru-contig_412-NR.txt","NR")</f>
        <v>NR</v>
      </c>
      <c r="T96" s="23">
        <v>2.9999999999999999E-7</v>
      </c>
      <c r="U96">
        <v>18</v>
      </c>
      <c r="V96" s="1" t="str">
        <f>HYPERLINK("http://exon.niaid.nih.gov/transcriptome/T_rubida/S1/links/NR/Triru-contig_412-NR.txt","unnamed protein product")</f>
        <v>unnamed protein product</v>
      </c>
      <c r="W96" t="str">
        <f>HYPERLINK("http://www.ncbi.nlm.nih.gov/sutils/blink.cgi?pid=270046192","8E-009")</f>
        <v>8E-009</v>
      </c>
      <c r="X96" t="str">
        <f>HYPERLINK("http://www.ncbi.nlm.nih.gov/protein/270046192","gi|270046192")</f>
        <v>gi|270046192</v>
      </c>
      <c r="Y96">
        <v>63.9</v>
      </c>
      <c r="Z96">
        <v>62</v>
      </c>
      <c r="AA96">
        <v>221</v>
      </c>
      <c r="AB96">
        <v>52</v>
      </c>
      <c r="AC96">
        <v>29</v>
      </c>
      <c r="AD96">
        <v>30</v>
      </c>
      <c r="AE96">
        <v>6</v>
      </c>
      <c r="AF96">
        <v>153</v>
      </c>
      <c r="AG96">
        <v>9</v>
      </c>
      <c r="AH96">
        <v>1</v>
      </c>
      <c r="AI96">
        <v>3</v>
      </c>
      <c r="AJ96" t="s">
        <v>11</v>
      </c>
      <c r="AL96" t="s">
        <v>700</v>
      </c>
      <c r="AM96" t="s">
        <v>3275</v>
      </c>
      <c r="AN96" t="s">
        <v>3276</v>
      </c>
      <c r="AO96" s="1" t="str">
        <f>HYPERLINK("http://exon.niaid.nih.gov/transcriptome/T_rubida/S1/links/SWISSP/Triru-contig_412-SWISSP.txt","39S ribosomal protein L41, mitochondrial")</f>
        <v>39S ribosomal protein L41, mitochondrial</v>
      </c>
      <c r="AP96" t="str">
        <f>HYPERLINK("http://www.uniprot.org/uniprot/Q291A0","11")</f>
        <v>11</v>
      </c>
      <c r="AQ96" t="s">
        <v>3277</v>
      </c>
      <c r="AR96">
        <v>28.9</v>
      </c>
      <c r="AS96">
        <v>80</v>
      </c>
      <c r="AT96">
        <v>27</v>
      </c>
      <c r="AU96">
        <v>49</v>
      </c>
      <c r="AV96">
        <v>61</v>
      </c>
      <c r="AW96">
        <v>0</v>
      </c>
      <c r="AX96">
        <v>41</v>
      </c>
      <c r="AY96">
        <v>45</v>
      </c>
      <c r="AZ96">
        <v>1</v>
      </c>
      <c r="BA96">
        <v>3</v>
      </c>
      <c r="BB96" t="s">
        <v>11</v>
      </c>
      <c r="BC96">
        <v>1.25</v>
      </c>
      <c r="BD96" t="s">
        <v>704</v>
      </c>
      <c r="BE96" t="s">
        <v>1895</v>
      </c>
      <c r="BF96" t="s">
        <v>3278</v>
      </c>
      <c r="BG96" t="s">
        <v>3279</v>
      </c>
      <c r="BH96" s="1" t="s">
        <v>57</v>
      </c>
      <c r="BI96" t="s">
        <v>57</v>
      </c>
      <c r="BJ96" s="1" t="str">
        <f>HYPERLINK("http://exon.niaid.nih.gov/transcriptome/T_rubida/S1/links/CDD/Triru-contig_412-CDD.txt","Paramyxo_ncap")</f>
        <v>Paramyxo_ncap</v>
      </c>
      <c r="BK96" t="str">
        <f>HYPERLINK("http://www.ncbi.nlm.nih.gov/Structure/cdd/cddsrv.cgi?uid=pfam00973&amp;version=v4.0","0.52")</f>
        <v>0.52</v>
      </c>
      <c r="BL96" t="s">
        <v>3280</v>
      </c>
      <c r="BM96" s="1" t="str">
        <f>HYPERLINK("http://exon.niaid.nih.gov/transcriptome/T_rubida/S1/links/KOG/Triru-contig_412-KOG.txt","Ubiquitin fusion degradation protein-2")</f>
        <v>Ubiquitin fusion degradation protein-2</v>
      </c>
      <c r="BN96" t="str">
        <f>HYPERLINK("http://www.ncbi.nlm.nih.gov/COG/grace/shokog.cgi?KOG2042","1.5")</f>
        <v>1.5</v>
      </c>
      <c r="BO96" t="s">
        <v>954</v>
      </c>
      <c r="BP96" s="1" t="str">
        <f>HYPERLINK("http://exon.niaid.nih.gov/transcriptome/T_rubida/S1/links/PFAM/Triru-contig_412-PFAM.txt","Paramyxo_ncap")</f>
        <v>Paramyxo_ncap</v>
      </c>
      <c r="BQ96" t="str">
        <f>HYPERLINK("http://pfam.sanger.ac.uk/family?acc=PF00973","0.11")</f>
        <v>0.11</v>
      </c>
      <c r="BR96" s="1" t="str">
        <f>HYPERLINK("http://exon.niaid.nih.gov/transcriptome/T_rubida/S1/links/SMART/Triru-contig_412-SMART.txt","Tryp_SPc")</f>
        <v>Tryp_SPc</v>
      </c>
      <c r="BS96" t="str">
        <f>HYPERLINK("http://smart.embl-heidelberg.de/smart/do_annotation.pl?DOMAIN=Tryp_SPc&amp;BLAST=DUMMY","0.43")</f>
        <v>0.43</v>
      </c>
      <c r="BT96" s="1" t="str">
        <f>HYPERLINK("http://exon.niaid.nih.gov/transcriptome/T_rubida/S1/links/PRK/Triru-contig_412-PRK.txt","F0F1 ATP synthase subunit epsilon")</f>
        <v>F0F1 ATP synthase subunit epsilon</v>
      </c>
      <c r="BU96">
        <v>1</v>
      </c>
      <c r="BV96" s="1" t="s">
        <v>57</v>
      </c>
      <c r="BW96" t="s">
        <v>57</v>
      </c>
      <c r="BX96" s="1" t="s">
        <v>57</v>
      </c>
      <c r="BY96" t="s">
        <v>57</v>
      </c>
    </row>
    <row r="97" spans="1:77" s="3" customFormat="1">
      <c r="A97" s="12" t="s">
        <v>5744</v>
      </c>
      <c r="T97" s="22"/>
    </row>
    <row r="98" spans="1:77">
      <c r="A98" t="str">
        <f>HYPERLINK("http://exon.niaid.nih.gov/transcriptome/T_rubida/S1/links/Triru/Triru-contig_351.txt","Triru-contig_351")</f>
        <v>Triru-contig_351</v>
      </c>
      <c r="B98">
        <v>1</v>
      </c>
      <c r="C98" t="str">
        <f>HYPERLINK("http://exon.niaid.nih.gov/transcriptome/T_rubida/S1/links/Triru/Triru-5-48-asb-351.txt","Contig-351")</f>
        <v>Contig-351</v>
      </c>
      <c r="D98" t="str">
        <f>HYPERLINK("http://exon.niaid.nih.gov/transcriptome/T_rubida/S1/links/Triru/Triru-5-48-351-CLU.txt","Contig351")</f>
        <v>Contig351</v>
      </c>
      <c r="E98" t="str">
        <f>HYPERLINK("http://exon.niaid.nih.gov/transcriptome/T_rubida/S1/links/Triru/Triru-5-48-351-qual.txt","23.8")</f>
        <v>23.8</v>
      </c>
      <c r="F98" t="s">
        <v>10</v>
      </c>
      <c r="G98">
        <v>65.099999999999994</v>
      </c>
      <c r="H98">
        <v>542</v>
      </c>
      <c r="I98" t="s">
        <v>363</v>
      </c>
      <c r="J98">
        <v>542</v>
      </c>
      <c r="K98">
        <v>561</v>
      </c>
      <c r="L98">
        <v>246</v>
      </c>
      <c r="M98" t="s">
        <v>5076</v>
      </c>
      <c r="N98" s="15">
        <v>1</v>
      </c>
      <c r="O98" s="14" t="str">
        <f>HYPERLINK("http://exon.niaid.nih.gov/transcriptome/T_rubida/S1/links/Sigp/TRIRU-CONTIG_351-SigP.txt","Cyt")</f>
        <v>Cyt</v>
      </c>
      <c r="Q98" s="5" t="s">
        <v>4940</v>
      </c>
      <c r="R98" t="s">
        <v>5724</v>
      </c>
      <c r="S98" t="str">
        <f>HYPERLINK("http://exon.niaid.nih.gov/transcriptome/T_rubida/S1/links/NR/Triru-contig_351-NR.txt","NR")</f>
        <v>NR</v>
      </c>
      <c r="T98" s="23">
        <v>2.9999999999999999E-21</v>
      </c>
      <c r="U98">
        <v>13.4</v>
      </c>
      <c r="V98" s="1" t="str">
        <f>HYPERLINK("http://exon.niaid.nih.gov/transcriptome/T_rubida/S1/links/NR/Triru-contig_351-NR.txt","salivary apyrase precursor")</f>
        <v>salivary apyrase precursor</v>
      </c>
      <c r="W98" t="str">
        <f>HYPERLINK("http://www.ncbi.nlm.nih.gov/sutils/blink.cgi?pid=307095038","3E-021")</f>
        <v>3E-021</v>
      </c>
      <c r="X98" t="str">
        <f>HYPERLINK("http://www.ncbi.nlm.nih.gov/protein/307095038","gi|307095038")</f>
        <v>gi|307095038</v>
      </c>
      <c r="Y98">
        <v>105</v>
      </c>
      <c r="Z98">
        <v>76</v>
      </c>
      <c r="AA98">
        <v>571</v>
      </c>
      <c r="AB98">
        <v>66</v>
      </c>
      <c r="AC98">
        <v>13</v>
      </c>
      <c r="AD98">
        <v>26</v>
      </c>
      <c r="AE98">
        <v>0</v>
      </c>
      <c r="AF98">
        <v>473</v>
      </c>
      <c r="AG98">
        <v>37</v>
      </c>
      <c r="AH98">
        <v>1</v>
      </c>
      <c r="AI98">
        <v>1</v>
      </c>
      <c r="AJ98" t="s">
        <v>11</v>
      </c>
      <c r="AK98">
        <v>2.6320000000000001</v>
      </c>
      <c r="AL98" t="s">
        <v>1121</v>
      </c>
      <c r="AM98" t="s">
        <v>2860</v>
      </c>
      <c r="AN98" t="s">
        <v>2861</v>
      </c>
      <c r="AO98" s="1" t="str">
        <f>HYPERLINK("http://exon.niaid.nih.gov/transcriptome/T_rubida/S1/links/SWISSP/Triru-contig_351-SWISSP.txt","5'-nucleotidase")</f>
        <v>5'-nucleotidase</v>
      </c>
      <c r="AP98" t="str">
        <f>HYPERLINK("http://www.uniprot.org/uniprot/P29240","1E-006")</f>
        <v>1E-006</v>
      </c>
      <c r="AQ98" t="s">
        <v>2862</v>
      </c>
      <c r="AR98">
        <v>52.8</v>
      </c>
      <c r="AS98">
        <v>77</v>
      </c>
      <c r="AT98">
        <v>34</v>
      </c>
      <c r="AU98">
        <v>14</v>
      </c>
      <c r="AV98">
        <v>53</v>
      </c>
      <c r="AW98">
        <v>2</v>
      </c>
      <c r="AX98">
        <v>476</v>
      </c>
      <c r="AY98">
        <v>46</v>
      </c>
      <c r="AZ98">
        <v>1</v>
      </c>
      <c r="BA98">
        <v>1</v>
      </c>
      <c r="BB98" t="s">
        <v>11</v>
      </c>
      <c r="BC98">
        <v>2.597</v>
      </c>
      <c r="BD98" t="s">
        <v>704</v>
      </c>
      <c r="BE98" t="s">
        <v>2863</v>
      </c>
      <c r="BF98" t="s">
        <v>2864</v>
      </c>
      <c r="BG98" t="s">
        <v>2865</v>
      </c>
      <c r="BH98" s="1" t="s">
        <v>57</v>
      </c>
      <c r="BI98" t="s">
        <v>57</v>
      </c>
      <c r="BJ98" s="1" t="str">
        <f>HYPERLINK("http://exon.niaid.nih.gov/transcriptome/T_rubida/S1/links/CDD/Triru-contig_351-CDD.txt","5_nucleotid_C")</f>
        <v>5_nucleotid_C</v>
      </c>
      <c r="BK98" t="str">
        <f>HYPERLINK("http://www.ncbi.nlm.nih.gov/Structure/cdd/cddsrv.cgi?uid=pfam02872&amp;version=v4.0","0.006")</f>
        <v>0.006</v>
      </c>
      <c r="BL98" t="s">
        <v>2866</v>
      </c>
      <c r="BM98" s="1" t="str">
        <f>HYPERLINK("http://exon.niaid.nih.gov/transcriptome/T_rubida/S1/links/KOG/Triru-contig_351-KOG.txt","5' nucleotidase")</f>
        <v>5' nucleotidase</v>
      </c>
      <c r="BN98" t="str">
        <f>HYPERLINK("http://www.ncbi.nlm.nih.gov/COG/grace/shokog.cgi?KOG4419","0.15")</f>
        <v>0.15</v>
      </c>
      <c r="BO98" t="s">
        <v>2867</v>
      </c>
      <c r="BP98" s="1" t="str">
        <f>HYPERLINK("http://exon.niaid.nih.gov/transcriptome/T_rubida/S1/links/PFAM/Triru-contig_351-PFAM.txt","5_nucleotid_C")</f>
        <v>5_nucleotid_C</v>
      </c>
      <c r="BQ98" t="str">
        <f>HYPERLINK("http://pfam.sanger.ac.uk/family?acc=PF02872","0.001")</f>
        <v>0.001</v>
      </c>
      <c r="BR98" s="1" t="str">
        <f>HYPERLINK("http://exon.niaid.nih.gov/transcriptome/T_rubida/S1/links/SMART/Triru-contig_351-SMART.txt","PSN")</f>
        <v>PSN</v>
      </c>
      <c r="BS98" t="str">
        <f>HYPERLINK("http://smart.embl-heidelberg.de/smart/do_annotation.pl?DOMAIN=PSN&amp;BLAST=DUMMY","0.003")</f>
        <v>0.003</v>
      </c>
      <c r="BT98" s="1" t="str">
        <f>HYPERLINK("http://exon.niaid.nih.gov/transcriptome/T_rubida/S1/links/PRK/Triru-contig_351-PRK.txt","NADH dehydrogenase subunit 1")</f>
        <v>NADH dehydrogenase subunit 1</v>
      </c>
      <c r="BU98">
        <v>8.2000000000000003E-2</v>
      </c>
      <c r="BV98" s="1" t="s">
        <v>57</v>
      </c>
      <c r="BW98" t="s">
        <v>57</v>
      </c>
      <c r="BX98" s="1" t="s">
        <v>57</v>
      </c>
      <c r="BY98" t="s">
        <v>57</v>
      </c>
    </row>
    <row r="99" spans="1:77" s="3" customFormat="1">
      <c r="A99" s="13" t="s">
        <v>5750</v>
      </c>
      <c r="T99" s="22"/>
    </row>
    <row r="100" spans="1:77">
      <c r="A100" t="str">
        <f>HYPERLINK("http://exon.niaid.nih.gov/transcriptome/T_rubida/S1/links/Triru/Triru-contig_108.txt","Triru-contig_108")</f>
        <v>Triru-contig_108</v>
      </c>
      <c r="B100">
        <v>3</v>
      </c>
      <c r="C100" t="str">
        <f>HYPERLINK("http://exon.niaid.nih.gov/transcriptome/T_rubida/S1/links/Triru/Triru-5-48-asb-108.txt","Contig-108")</f>
        <v>Contig-108</v>
      </c>
      <c r="D100" t="str">
        <f>HYPERLINK("http://exon.niaid.nih.gov/transcriptome/T_rubida/S1/links/Triru/Triru-5-48-108-CLU.txt","Contig108")</f>
        <v>Contig108</v>
      </c>
      <c r="E100" t="str">
        <f>HYPERLINK("http://exon.niaid.nih.gov/transcriptome/T_rubida/S1/links/Triru/Triru-5-48-108-qual.txt","79.4")</f>
        <v>79.4</v>
      </c>
      <c r="F100" t="s">
        <v>10</v>
      </c>
      <c r="G100">
        <v>66.7</v>
      </c>
      <c r="H100">
        <v>311</v>
      </c>
      <c r="I100" t="s">
        <v>120</v>
      </c>
      <c r="J100">
        <v>311</v>
      </c>
      <c r="K100">
        <v>330</v>
      </c>
      <c r="L100">
        <v>213</v>
      </c>
      <c r="M100" t="s">
        <v>5068</v>
      </c>
      <c r="N100" s="15">
        <v>3</v>
      </c>
      <c r="Q100" s="5" t="s">
        <v>4856</v>
      </c>
      <c r="R100" t="s">
        <v>5723</v>
      </c>
      <c r="S100" t="str">
        <f>HYPERLINK("http://exon.niaid.nih.gov/transcriptome/T_rubida/S1/links/NR/Triru-contig_108-NR.txt","NR")</f>
        <v>NR</v>
      </c>
      <c r="T100" s="23">
        <v>3.9999999999999998E-11</v>
      </c>
      <c r="U100">
        <v>48</v>
      </c>
      <c r="V100" s="1" t="str">
        <f>HYPERLINK("http://exon.niaid.nih.gov/transcriptome/T_rubida/S1/links/NR/Triru-contig_108-NR.txt","hypothetical secreted protein")</f>
        <v>hypothetical secreted protein</v>
      </c>
      <c r="W100" t="str">
        <f>HYPERLINK("http://www.ncbi.nlm.nih.gov/sutils/blink.cgi?pid=307095050","4E-011")</f>
        <v>4E-011</v>
      </c>
      <c r="X100" t="str">
        <f>HYPERLINK("http://www.ncbi.nlm.nih.gov/protein/307095050","gi|307095050")</f>
        <v>gi|307095050</v>
      </c>
      <c r="Y100">
        <v>71.599999999999994</v>
      </c>
      <c r="Z100">
        <v>62</v>
      </c>
      <c r="AA100">
        <v>131</v>
      </c>
      <c r="AB100">
        <v>60</v>
      </c>
      <c r="AC100">
        <v>48</v>
      </c>
      <c r="AD100">
        <v>25</v>
      </c>
      <c r="AE100">
        <v>1</v>
      </c>
      <c r="AF100">
        <v>62</v>
      </c>
      <c r="AG100">
        <v>27</v>
      </c>
      <c r="AH100">
        <v>1</v>
      </c>
      <c r="AI100">
        <v>3</v>
      </c>
      <c r="AJ100" t="s">
        <v>11</v>
      </c>
      <c r="AL100" t="s">
        <v>1121</v>
      </c>
      <c r="AM100" t="s">
        <v>1309</v>
      </c>
      <c r="AN100" t="s">
        <v>1310</v>
      </c>
      <c r="AO100" s="1" t="str">
        <f>HYPERLINK("http://exon.niaid.nih.gov/transcriptome/T_rubida/S1/links/SWISSP/Triru-contig_108-SWISSP.txt","Elongation factor Ts")</f>
        <v>Elongation factor Ts</v>
      </c>
      <c r="AP100" t="str">
        <f>HYPERLINK("http://www.uniprot.org/uniprot/Q8A0Z3","0.43")</f>
        <v>0.43</v>
      </c>
      <c r="AQ100" t="s">
        <v>1311</v>
      </c>
      <c r="AR100">
        <v>33.5</v>
      </c>
      <c r="AS100">
        <v>69</v>
      </c>
      <c r="AT100">
        <v>30</v>
      </c>
      <c r="AU100">
        <v>21</v>
      </c>
      <c r="AV100">
        <v>49</v>
      </c>
      <c r="AW100">
        <v>5</v>
      </c>
      <c r="AX100">
        <v>222</v>
      </c>
      <c r="AY100">
        <v>24</v>
      </c>
      <c r="AZ100">
        <v>1</v>
      </c>
      <c r="BA100">
        <v>3</v>
      </c>
      <c r="BB100" t="s">
        <v>11</v>
      </c>
      <c r="BD100" t="s">
        <v>704</v>
      </c>
      <c r="BE100" t="s">
        <v>1312</v>
      </c>
      <c r="BF100" t="s">
        <v>1313</v>
      </c>
      <c r="BG100" t="s">
        <v>1314</v>
      </c>
      <c r="BH100" s="1" t="s">
        <v>57</v>
      </c>
      <c r="BI100" t="s">
        <v>57</v>
      </c>
      <c r="BJ100" s="1" t="str">
        <f>HYPERLINK("http://exon.niaid.nih.gov/transcriptome/T_rubida/S1/links/CDD/Triru-contig_108-CDD.txt","argC")</f>
        <v>argC</v>
      </c>
      <c r="BK100" t="str">
        <f>HYPERLINK("http://www.ncbi.nlm.nih.gov/Structure/cdd/cddsrv.cgi?uid=PRK00436&amp;version=v4.0","0.13")</f>
        <v>0.13</v>
      </c>
      <c r="BL100" t="s">
        <v>1315</v>
      </c>
      <c r="BM100" s="1" t="str">
        <f>HYPERLINK("http://exon.niaid.nih.gov/transcriptome/T_rubida/S1/links/KOG/Triru-contig_108-KOG.txt","Protein required for normal rRNA processing")</f>
        <v>Protein required for normal rRNA processing</v>
      </c>
      <c r="BN100" t="str">
        <f>HYPERLINK("http://www.ncbi.nlm.nih.gov/COG/grace/shokog.cgi?KOG2481","0.25")</f>
        <v>0.25</v>
      </c>
      <c r="BO100" t="s">
        <v>1002</v>
      </c>
      <c r="BP100" s="1" t="str">
        <f>HYPERLINK("http://exon.niaid.nih.gov/transcriptome/T_rubida/S1/links/PFAM/Triru-contig_108-PFAM.txt","Sigma70_ner")</f>
        <v>Sigma70_ner</v>
      </c>
      <c r="BQ100" t="str">
        <f>HYPERLINK("http://pfam.sanger.ac.uk/family?acc=PF04546","0.19")</f>
        <v>0.19</v>
      </c>
      <c r="BR100" s="1" t="str">
        <f>HYPERLINK("http://exon.niaid.nih.gov/transcriptome/T_rubida/S1/links/SMART/Triru-contig_108-SMART.txt","Semialdhyde_dh")</f>
        <v>Semialdhyde_dh</v>
      </c>
      <c r="BS100" t="str">
        <f>HYPERLINK("http://smart.embl-heidelberg.de/smart/do_annotation.pl?DOMAIN=Semialdhyde_dh&amp;BLAST=DUMMY","0.010")</f>
        <v>0.010</v>
      </c>
      <c r="BT100" s="1" t="str">
        <f>HYPERLINK("http://exon.niaid.nih.gov/transcriptome/T_rubida/S1/links/PRK/Triru-contig_108-PRK.txt","N-acetyl-gamma-glutamyl-phosphate reductase")</f>
        <v>N-acetyl-gamma-glutamyl-phosphate reductase</v>
      </c>
      <c r="BU100">
        <v>4.8000000000000001E-2</v>
      </c>
      <c r="BV100" s="1" t="s">
        <v>57</v>
      </c>
      <c r="BW100" t="s">
        <v>57</v>
      </c>
      <c r="BX100" s="1" t="s">
        <v>57</v>
      </c>
      <c r="BY100" t="s">
        <v>57</v>
      </c>
    </row>
    <row r="101" spans="1:77">
      <c r="A101" t="str">
        <f>HYPERLINK("http://exon.niaid.nih.gov/transcriptome/T_rubida/S1/links/Triru/Triru-contig_109.txt","Triru-contig_109")</f>
        <v>Triru-contig_109</v>
      </c>
      <c r="B101">
        <v>1</v>
      </c>
      <c r="C101" t="str">
        <f>HYPERLINK("http://exon.niaid.nih.gov/transcriptome/T_rubida/S1/links/Triru/Triru-5-48-asb-109.txt","Contig-109")</f>
        <v>Contig-109</v>
      </c>
      <c r="D101" t="str">
        <f>HYPERLINK("http://exon.niaid.nih.gov/transcriptome/T_rubida/S1/links/Triru/Triru-5-48-109-CLU.txt","Contig109")</f>
        <v>Contig109</v>
      </c>
      <c r="E101" t="str">
        <f>HYPERLINK("http://exon.niaid.nih.gov/transcriptome/T_rubida/S1/links/Triru/Triru-5-48-109-qual.txt","64.")</f>
        <v>64.</v>
      </c>
      <c r="F101" t="s">
        <v>10</v>
      </c>
      <c r="G101">
        <v>67.3</v>
      </c>
      <c r="H101">
        <v>345</v>
      </c>
      <c r="I101" t="s">
        <v>121</v>
      </c>
      <c r="J101">
        <v>345</v>
      </c>
      <c r="K101">
        <v>364</v>
      </c>
      <c r="L101">
        <v>264</v>
      </c>
      <c r="M101" t="s">
        <v>5067</v>
      </c>
      <c r="N101" s="15">
        <v>2</v>
      </c>
      <c r="Q101" s="5" t="s">
        <v>4856</v>
      </c>
      <c r="R101" t="s">
        <v>5723</v>
      </c>
      <c r="S101" t="str">
        <f>HYPERLINK("http://exon.niaid.nih.gov/transcriptome/T_rubida/S1/links/NR/Triru-contig_109-NR.txt","NR")</f>
        <v>NR</v>
      </c>
      <c r="T101" s="23">
        <v>3E-11</v>
      </c>
      <c r="U101">
        <v>59.5</v>
      </c>
      <c r="V101" s="1" t="str">
        <f>HYPERLINK("http://exon.niaid.nih.gov/transcriptome/T_rubida/S1/links/NR/Triru-contig_109-NR.txt","hypothetical secreted protein")</f>
        <v>hypothetical secreted protein</v>
      </c>
      <c r="W101" t="str">
        <f>HYPERLINK("http://www.ncbi.nlm.nih.gov/sutils/blink.cgi?pid=307095050","3E-011")</f>
        <v>3E-011</v>
      </c>
      <c r="X101" t="str">
        <f>HYPERLINK("http://www.ncbi.nlm.nih.gov/protein/307095050","gi|307095050")</f>
        <v>gi|307095050</v>
      </c>
      <c r="Y101">
        <v>72</v>
      </c>
      <c r="Z101">
        <v>75</v>
      </c>
      <c r="AA101">
        <v>131</v>
      </c>
      <c r="AB101">
        <v>52</v>
      </c>
      <c r="AC101">
        <v>58</v>
      </c>
      <c r="AD101">
        <v>37</v>
      </c>
      <c r="AE101">
        <v>6</v>
      </c>
      <c r="AF101">
        <v>49</v>
      </c>
      <c r="AG101">
        <v>32</v>
      </c>
      <c r="AH101">
        <v>1</v>
      </c>
      <c r="AI101">
        <v>2</v>
      </c>
      <c r="AJ101" t="s">
        <v>11</v>
      </c>
      <c r="AL101" t="s">
        <v>1121</v>
      </c>
      <c r="AM101" t="s">
        <v>1316</v>
      </c>
      <c r="AN101" t="s">
        <v>1317</v>
      </c>
      <c r="AO101" s="1" t="str">
        <f>HYPERLINK("http://exon.niaid.nih.gov/transcriptome/T_rubida/S1/links/SWISSP/Triru-contig_109-SWISSP.txt","Nucleolar protein 58")</f>
        <v>Nucleolar protein 58</v>
      </c>
      <c r="AP101" t="str">
        <f>HYPERLINK("http://www.uniprot.org/uniprot/Q5B8G3","0.086")</f>
        <v>0.086</v>
      </c>
      <c r="AQ101" t="s">
        <v>1318</v>
      </c>
      <c r="AR101">
        <v>35.799999999999997</v>
      </c>
      <c r="AS101">
        <v>59</v>
      </c>
      <c r="AT101">
        <v>35</v>
      </c>
      <c r="AU101">
        <v>10</v>
      </c>
      <c r="AV101">
        <v>45</v>
      </c>
      <c r="AW101">
        <v>4</v>
      </c>
      <c r="AX101">
        <v>462</v>
      </c>
      <c r="AY101">
        <v>11</v>
      </c>
      <c r="AZ101">
        <v>1</v>
      </c>
      <c r="BA101">
        <v>2</v>
      </c>
      <c r="BB101" t="s">
        <v>11</v>
      </c>
      <c r="BD101" t="s">
        <v>704</v>
      </c>
      <c r="BE101" t="s">
        <v>1319</v>
      </c>
      <c r="BF101" t="s">
        <v>1320</v>
      </c>
      <c r="BG101" t="s">
        <v>1321</v>
      </c>
      <c r="BH101" s="1" t="s">
        <v>57</v>
      </c>
      <c r="BI101" t="s">
        <v>57</v>
      </c>
      <c r="BJ101" s="1" t="str">
        <f>HYPERLINK("http://exon.niaid.nih.gov/transcriptome/T_rubida/S1/links/CDD/Triru-contig_109-CDD.txt","Utp14")</f>
        <v>Utp14</v>
      </c>
      <c r="BK101" t="str">
        <f>HYPERLINK("http://www.ncbi.nlm.nih.gov/Structure/cdd/cddsrv.cgi?uid=pfam04615&amp;version=v4.0","0.055")</f>
        <v>0.055</v>
      </c>
      <c r="BL101" t="s">
        <v>1322</v>
      </c>
      <c r="BM101" s="1" t="str">
        <f>HYPERLINK("http://exon.niaid.nih.gov/transcriptome/T_rubida/S1/links/KOG/Triru-contig_109-KOG.txt","Uncharacterized conserved protein")</f>
        <v>Uncharacterized conserved protein</v>
      </c>
      <c r="BN101" t="str">
        <f>HYPERLINK("http://www.ncbi.nlm.nih.gov/COG/grace/shokog.cgi?KOG2318","0.012")</f>
        <v>0.012</v>
      </c>
      <c r="BO101" t="s">
        <v>737</v>
      </c>
      <c r="BP101" s="1" t="str">
        <f>HYPERLINK("http://exon.niaid.nih.gov/transcriptome/T_rubida/S1/links/PFAM/Triru-contig_109-PFAM.txt","Utp14")</f>
        <v>Utp14</v>
      </c>
      <c r="BQ101" t="str">
        <f>HYPERLINK("http://pfam.sanger.ac.uk/family?acc=PF04615","0.013")</f>
        <v>0.013</v>
      </c>
      <c r="BR101" s="1" t="str">
        <f>HYPERLINK("http://exon.niaid.nih.gov/transcriptome/T_rubida/S1/links/SMART/Triru-contig_109-SMART.txt","Semialdhyde_dh")</f>
        <v>Semialdhyde_dh</v>
      </c>
      <c r="BS101" t="str">
        <f>HYPERLINK("http://smart.embl-heidelberg.de/smart/do_annotation.pl?DOMAIN=Semialdhyde_dh&amp;BLAST=DUMMY","0.012")</f>
        <v>0.012</v>
      </c>
      <c r="BT101" s="1" t="str">
        <f>HYPERLINK("http://exon.niaid.nih.gov/transcriptome/T_rubida/S1/links/PRK/Triru-contig_109-PRK.txt","flap endonuclease-1")</f>
        <v>flap endonuclease-1</v>
      </c>
      <c r="BU101">
        <v>3.2000000000000001E-2</v>
      </c>
      <c r="BV101" s="1" t="s">
        <v>57</v>
      </c>
      <c r="BW101" t="s">
        <v>57</v>
      </c>
      <c r="BX101" s="1" t="s">
        <v>57</v>
      </c>
      <c r="BY101" t="s">
        <v>57</v>
      </c>
    </row>
    <row r="102" spans="1:77" s="3" customFormat="1">
      <c r="A102" s="13" t="s">
        <v>5718</v>
      </c>
      <c r="T102" s="22"/>
    </row>
    <row r="103" spans="1:77">
      <c r="A103" t="str">
        <f>HYPERLINK("http://exon.niaid.nih.gov/transcriptome/T_rubida/S1/links/Triru/Triru-contig_210.txt","Triru-contig_210")</f>
        <v>Triru-contig_210</v>
      </c>
      <c r="B103">
        <v>1</v>
      </c>
      <c r="C103" t="str">
        <f>HYPERLINK("http://exon.niaid.nih.gov/transcriptome/T_rubida/S1/links/Triru/Triru-5-48-asb-210.txt","Contig-210")</f>
        <v>Contig-210</v>
      </c>
      <c r="D103" t="str">
        <f>HYPERLINK("http://exon.niaid.nih.gov/transcriptome/T_rubida/S1/links/Triru/Triru-5-48-210-CLU.txt","Contig210")</f>
        <v>Contig210</v>
      </c>
      <c r="E103" t="str">
        <f>HYPERLINK("http://exon.niaid.nih.gov/transcriptome/T_rubida/S1/links/Triru/Triru-5-48-210-qual.txt","64.8")</f>
        <v>64.8</v>
      </c>
      <c r="F103" t="s">
        <v>10</v>
      </c>
      <c r="G103">
        <v>60.4</v>
      </c>
      <c r="H103">
        <v>461</v>
      </c>
      <c r="I103" t="s">
        <v>222</v>
      </c>
      <c r="J103">
        <v>461</v>
      </c>
      <c r="K103">
        <v>480</v>
      </c>
      <c r="L103">
        <v>189</v>
      </c>
      <c r="M103" t="s">
        <v>5523</v>
      </c>
      <c r="N103" s="15">
        <v>1</v>
      </c>
      <c r="O103" s="14" t="str">
        <f>HYPERLINK("http://exon.niaid.nih.gov/transcriptome/T_rubida/S1/links/Sigp/TRIRU-CONTIG_210-SigP.txt","SIG")</f>
        <v>SIG</v>
      </c>
      <c r="P103" t="s">
        <v>5062</v>
      </c>
      <c r="Q103" s="5" t="s">
        <v>5718</v>
      </c>
      <c r="R103" t="s">
        <v>4823</v>
      </c>
      <c r="V103" s="1" t="str">
        <f>HYPERLINK("http://exon.niaid.nih.gov/transcriptome/T_rubida/S1/links/NR/Triru-contig_210-NR.txt","probable transmembrane transport protein")</f>
        <v>probable transmembrane transport protein</v>
      </c>
      <c r="W103" t="str">
        <f>HYPERLINK("http://www.ncbi.nlm.nih.gov/sutils/blink.cgi?pid=168705351","25")</f>
        <v>25</v>
      </c>
      <c r="X103" t="str">
        <f>HYPERLINK("http://www.ncbi.nlm.nih.gov/protein/168705351","gi|168705351")</f>
        <v>gi|168705351</v>
      </c>
      <c r="Y103">
        <v>32.299999999999997</v>
      </c>
      <c r="Z103">
        <v>41</v>
      </c>
      <c r="AA103">
        <v>395</v>
      </c>
      <c r="AB103">
        <v>40</v>
      </c>
      <c r="AC103">
        <v>11</v>
      </c>
      <c r="AD103">
        <v>25</v>
      </c>
      <c r="AE103">
        <v>1</v>
      </c>
      <c r="AF103">
        <v>51</v>
      </c>
      <c r="AG103">
        <v>182</v>
      </c>
      <c r="AH103">
        <v>1</v>
      </c>
      <c r="AI103">
        <v>2</v>
      </c>
      <c r="AJ103" t="s">
        <v>11</v>
      </c>
      <c r="AK103">
        <v>2.4390000000000001</v>
      </c>
      <c r="AL103" t="s">
        <v>1930</v>
      </c>
      <c r="AM103" t="s">
        <v>1931</v>
      </c>
      <c r="AN103" t="s">
        <v>1932</v>
      </c>
      <c r="AO103" s="1" t="str">
        <f>HYPERLINK("http://exon.niaid.nih.gov/transcriptome/T_rubida/S1/links/SWISSP/Triru-contig_210-SWISSP.txt","SCO-spondin")</f>
        <v>SCO-spondin</v>
      </c>
      <c r="AP103" t="str">
        <f>HYPERLINK("http://www.uniprot.org/uniprot/P98167","26")</f>
        <v>26</v>
      </c>
      <c r="AQ103" t="s">
        <v>1933</v>
      </c>
      <c r="AR103">
        <v>28.1</v>
      </c>
      <c r="AS103">
        <v>25</v>
      </c>
      <c r="AT103">
        <v>42</v>
      </c>
      <c r="AU103">
        <v>1</v>
      </c>
      <c r="AV103">
        <v>15</v>
      </c>
      <c r="AW103">
        <v>0</v>
      </c>
      <c r="AX103">
        <v>73</v>
      </c>
      <c r="AY103">
        <v>254</v>
      </c>
      <c r="AZ103">
        <v>1</v>
      </c>
      <c r="BA103">
        <v>2</v>
      </c>
      <c r="BB103" t="s">
        <v>11</v>
      </c>
      <c r="BC103">
        <v>4</v>
      </c>
      <c r="BD103" t="s">
        <v>704</v>
      </c>
      <c r="BE103" t="s">
        <v>1934</v>
      </c>
      <c r="BF103" t="s">
        <v>1935</v>
      </c>
      <c r="BG103" t="s">
        <v>1936</v>
      </c>
      <c r="BH103" s="1" t="s">
        <v>57</v>
      </c>
      <c r="BI103" t="s">
        <v>57</v>
      </c>
      <c r="BJ103" s="1" t="str">
        <f>HYPERLINK("http://exon.niaid.nih.gov/transcriptome/T_rubida/S1/links/CDD/Triru-contig_210-CDD.txt","sdhA")</f>
        <v>sdhA</v>
      </c>
      <c r="BK103" t="str">
        <f>HYPERLINK("http://www.ncbi.nlm.nih.gov/Structure/cdd/cddsrv.cgi?uid=PRK08205&amp;version=v4.0","0.27")</f>
        <v>0.27</v>
      </c>
      <c r="BL103" t="s">
        <v>1937</v>
      </c>
      <c r="BM103" s="1" t="str">
        <f>HYPERLINK("http://exon.niaid.nih.gov/transcriptome/T_rubida/S1/links/KOG/Triru-contig_210-KOG.txt","Sulfate/bicarbonate/oxalate exchanger SAT-1 and related transporters (SLC26 family)")</f>
        <v>Sulfate/bicarbonate/oxalate exchanger SAT-1 and related transporters (SLC26 family)</v>
      </c>
      <c r="BN103" t="str">
        <f>HYPERLINK("http://www.ncbi.nlm.nih.gov/COG/grace/shokog.cgi?KOG0236","1.3")</f>
        <v>1.3</v>
      </c>
      <c r="BO103" t="s">
        <v>849</v>
      </c>
      <c r="BP103" s="1" t="str">
        <f>HYPERLINK("http://exon.niaid.nih.gov/transcriptome/T_rubida/S1/links/PFAM/Triru-contig_210-PFAM.txt","AviRa")</f>
        <v>AviRa</v>
      </c>
      <c r="BQ103" t="str">
        <f>HYPERLINK("http://pfam.sanger.ac.uk/family?acc=PF11599","0.19")</f>
        <v>0.19</v>
      </c>
      <c r="BR103" s="1" t="str">
        <f>HYPERLINK("http://exon.niaid.nih.gov/transcriptome/T_rubida/S1/links/SMART/Triru-contig_210-SMART.txt","CYCLIN")</f>
        <v>CYCLIN</v>
      </c>
      <c r="BS103" t="str">
        <f>HYPERLINK("http://smart.embl-heidelberg.de/smart/do_annotation.pl?DOMAIN=CYCLIN&amp;BLAST=DUMMY","0.27")</f>
        <v>0.27</v>
      </c>
      <c r="BT103" s="1" t="str">
        <f>HYPERLINK("http://exon.niaid.nih.gov/transcriptome/T_rubida/S1/links/PRK/Triru-contig_210-PRK.txt","succinate dehydrogenase flavoprotein subunit")</f>
        <v>succinate dehydrogenase flavoprotein subunit</v>
      </c>
      <c r="BU103">
        <v>0.12</v>
      </c>
      <c r="BV103" s="1" t="s">
        <v>57</v>
      </c>
      <c r="BW103" t="s">
        <v>57</v>
      </c>
      <c r="BX103" s="1" t="s">
        <v>57</v>
      </c>
      <c r="BY103" t="s">
        <v>57</v>
      </c>
    </row>
    <row r="104" spans="1:77" s="4" customFormat="1">
      <c r="A104" s="16" t="s">
        <v>5747</v>
      </c>
      <c r="T104" s="21"/>
    </row>
    <row r="105" spans="1:77" s="3" customFormat="1">
      <c r="A105" s="12" t="s">
        <v>5034</v>
      </c>
      <c r="T105" s="22"/>
    </row>
    <row r="106" spans="1:77">
      <c r="A106" t="str">
        <f>HYPERLINK("http://exon.niaid.nih.gov/transcriptome/T_rubida/S1/links/Triru/Triru-contig_105.txt","Triru-contig_105")</f>
        <v>Triru-contig_105</v>
      </c>
      <c r="B106">
        <v>4</v>
      </c>
      <c r="C106" t="str">
        <f>HYPERLINK("http://exon.niaid.nih.gov/transcriptome/T_rubida/S1/links/Triru/Triru-5-48-asb-105.txt","Contig-105")</f>
        <v>Contig-105</v>
      </c>
      <c r="D106" t="str">
        <f>HYPERLINK("http://exon.niaid.nih.gov/transcriptome/T_rubida/S1/links/Triru/Triru-5-48-105-CLU.txt","Contig105")</f>
        <v>Contig105</v>
      </c>
      <c r="E106" t="str">
        <f>HYPERLINK("http://exon.niaid.nih.gov/transcriptome/T_rubida/S1/links/Triru/Triru-5-48-105-qual.txt","90.8")</f>
        <v>90.8</v>
      </c>
      <c r="F106" t="s">
        <v>10</v>
      </c>
      <c r="G106">
        <v>62.3</v>
      </c>
      <c r="H106">
        <v>530</v>
      </c>
      <c r="I106" t="s">
        <v>117</v>
      </c>
      <c r="J106">
        <v>537</v>
      </c>
      <c r="K106">
        <v>549</v>
      </c>
      <c r="L106">
        <v>420</v>
      </c>
      <c r="M106" t="s">
        <v>5145</v>
      </c>
      <c r="N106" s="15">
        <v>3</v>
      </c>
      <c r="O106" s="14" t="str">
        <f>HYPERLINK("http://exon.niaid.nih.gov/transcriptome/T_rubida/S1/links/Sigp/TRIRU-CONTIG_105-SigP.txt","Cyt")</f>
        <v>Cyt</v>
      </c>
      <c r="Q106" s="5" t="s">
        <v>4852</v>
      </c>
      <c r="R106" t="s">
        <v>4853</v>
      </c>
      <c r="S106" t="str">
        <f>HYPERLINK("http://exon.niaid.nih.gov/transcriptome/T_rubida/S1/links/KOG/Triru-contig_105-KOG.txt","KOG")</f>
        <v>KOG</v>
      </c>
      <c r="T106" s="23">
        <v>4.0000000000000002E-56</v>
      </c>
      <c r="U106">
        <v>29.4</v>
      </c>
      <c r="V106" s="1" t="str">
        <f>HYPERLINK("http://exon.niaid.nih.gov/transcriptome/T_rubida/S1/links/NR/Triru-contig_105-NR.txt","tubulin alpha-1 chain-like")</f>
        <v>tubulin alpha-1 chain-like</v>
      </c>
      <c r="W106" t="str">
        <f>HYPERLINK("http://www.ncbi.nlm.nih.gov/sutils/blink.cgi?pid=328787562","9E-077")</f>
        <v>9E-077</v>
      </c>
      <c r="X106" t="str">
        <f>HYPERLINK("http://www.ncbi.nlm.nih.gov/protein/328787562","gi|328787562")</f>
        <v>gi|328787562</v>
      </c>
      <c r="Y106">
        <v>290</v>
      </c>
      <c r="Z106">
        <v>139</v>
      </c>
      <c r="AA106">
        <v>475</v>
      </c>
      <c r="AB106">
        <v>98</v>
      </c>
      <c r="AC106">
        <v>29</v>
      </c>
      <c r="AD106">
        <v>2</v>
      </c>
      <c r="AE106">
        <v>0</v>
      </c>
      <c r="AF106">
        <v>336</v>
      </c>
      <c r="AG106">
        <v>3</v>
      </c>
      <c r="AH106">
        <v>1</v>
      </c>
      <c r="AI106">
        <v>3</v>
      </c>
      <c r="AJ106" t="s">
        <v>11</v>
      </c>
      <c r="AL106" t="s">
        <v>1153</v>
      </c>
      <c r="AM106" t="s">
        <v>1286</v>
      </c>
      <c r="AN106" t="s">
        <v>1287</v>
      </c>
      <c r="AO106" s="1" t="str">
        <f>HYPERLINK("http://exon.niaid.nih.gov/transcriptome/T_rubida/S1/links/SWISSP/Triru-contig_105-SWISSP.txt","Tubulin alpha chain")</f>
        <v>Tubulin alpha chain</v>
      </c>
      <c r="AP106" t="str">
        <f>HYPERLINK("http://www.uniprot.org/uniprot/P52273","5E-078")</f>
        <v>5E-078</v>
      </c>
      <c r="AQ106" t="s">
        <v>1288</v>
      </c>
      <c r="AR106">
        <v>290</v>
      </c>
      <c r="AS106">
        <v>139</v>
      </c>
      <c r="AT106">
        <v>98</v>
      </c>
      <c r="AU106">
        <v>31</v>
      </c>
      <c r="AV106">
        <v>2</v>
      </c>
      <c r="AW106">
        <v>0</v>
      </c>
      <c r="AX106">
        <v>311</v>
      </c>
      <c r="AY106">
        <v>3</v>
      </c>
      <c r="AZ106">
        <v>1</v>
      </c>
      <c r="BA106">
        <v>3</v>
      </c>
      <c r="BB106" t="s">
        <v>11</v>
      </c>
      <c r="BD106" t="s">
        <v>704</v>
      </c>
      <c r="BE106" t="s">
        <v>1289</v>
      </c>
      <c r="BF106" t="s">
        <v>1290</v>
      </c>
      <c r="BG106" t="s">
        <v>1291</v>
      </c>
      <c r="BH106" s="1" t="s">
        <v>1292</v>
      </c>
      <c r="BI106">
        <f>HYPERLINK("http://exon.niaid.nih.gov/transcriptome/T_rubida/S1/links/GO/Triru-contig_105-GO.txt",3E-77)</f>
        <v>3.0000000000000002E-77</v>
      </c>
      <c r="BJ106" s="1" t="str">
        <f>HYPERLINK("http://exon.niaid.nih.gov/transcriptome/T_rubida/S1/links/CDD/Triru-contig_105-CDD.txt","PLN00221")</f>
        <v>PLN00221</v>
      </c>
      <c r="BK106" t="str">
        <f>HYPERLINK("http://www.ncbi.nlm.nih.gov/Structure/cdd/cddsrv.cgi?uid=PLN00221&amp;version=v4.0","4E-085")</f>
        <v>4E-085</v>
      </c>
      <c r="BL106" t="s">
        <v>1293</v>
      </c>
      <c r="BM106" s="1" t="str">
        <f>HYPERLINK("http://exon.niaid.nih.gov/transcriptome/T_rubida/S1/links/KOG/Triru-contig_105-KOG.txt","Alpha tubulin")</f>
        <v>Alpha tubulin</v>
      </c>
      <c r="BN106" t="str">
        <f>HYPERLINK("http://www.ncbi.nlm.nih.gov/COG/grace/shokog.cgi?KOG1376","4E-056")</f>
        <v>4E-056</v>
      </c>
      <c r="BO106" t="s">
        <v>867</v>
      </c>
      <c r="BP106" s="1" t="str">
        <f>HYPERLINK("http://exon.niaid.nih.gov/transcriptome/T_rubida/S1/links/PFAM/Triru-contig_105-PFAM.txt","Tubulin_C")</f>
        <v>Tubulin_C</v>
      </c>
      <c r="BQ106" t="str">
        <f>HYPERLINK("http://pfam.sanger.ac.uk/family?acc=PF03953","8E-033")</f>
        <v>8E-033</v>
      </c>
      <c r="BR106" s="1" t="str">
        <f>HYPERLINK("http://exon.niaid.nih.gov/transcriptome/T_rubida/S1/links/SMART/Triru-contig_105-SMART.txt","Tubulin_C")</f>
        <v>Tubulin_C</v>
      </c>
      <c r="BS106" t="str">
        <f>HYPERLINK("http://smart.embl-heidelberg.de/smart/do_annotation.pl?DOMAIN=Tubulin_C&amp;BLAST=DUMMY","1E-008")</f>
        <v>1E-008</v>
      </c>
      <c r="BT106" s="1" t="str">
        <f>HYPERLINK("http://exon.niaid.nih.gov/transcriptome/T_rubida/S1/links/PRK/Triru-contig_105-PRK.txt","tubulin alpha chain")</f>
        <v>tubulin alpha chain</v>
      </c>
      <c r="BU106" s="2">
        <v>2E-85</v>
      </c>
      <c r="BV106" s="1" t="s">
        <v>57</v>
      </c>
      <c r="BW106" t="s">
        <v>57</v>
      </c>
      <c r="BX106" s="1" t="s">
        <v>57</v>
      </c>
      <c r="BY106" t="s">
        <v>57</v>
      </c>
    </row>
    <row r="107" spans="1:77">
      <c r="A107" t="str">
        <f>HYPERLINK("http://exon.niaid.nih.gov/transcriptome/T_rubida/S1/links/Triru/Triru-contig_489.txt","Triru-contig_489")</f>
        <v>Triru-contig_489</v>
      </c>
      <c r="B107">
        <v>1</v>
      </c>
      <c r="C107" t="str">
        <f>HYPERLINK("http://exon.niaid.nih.gov/transcriptome/T_rubida/S1/links/Triru/Triru-5-48-asb-489.txt","Contig-489")</f>
        <v>Contig-489</v>
      </c>
      <c r="D107" t="str">
        <f>HYPERLINK("http://exon.niaid.nih.gov/transcriptome/T_rubida/S1/links/Triru/Triru-5-48-489-CLU.txt","Contig489")</f>
        <v>Contig489</v>
      </c>
      <c r="E107" t="str">
        <f>HYPERLINK("http://exon.niaid.nih.gov/transcriptome/T_rubida/S1/links/Triru/Triru-5-48-489-qual.txt","51.7")</f>
        <v>51.7</v>
      </c>
      <c r="F107">
        <v>0.3</v>
      </c>
      <c r="G107">
        <v>65</v>
      </c>
      <c r="H107">
        <v>350</v>
      </c>
      <c r="I107" t="s">
        <v>501</v>
      </c>
      <c r="J107">
        <v>350</v>
      </c>
      <c r="K107">
        <v>369</v>
      </c>
      <c r="L107">
        <v>201</v>
      </c>
      <c r="M107" t="s">
        <v>5146</v>
      </c>
      <c r="N107" s="15">
        <v>2</v>
      </c>
      <c r="O107" s="14" t="str">
        <f>HYPERLINK("http://exon.niaid.nih.gov/transcriptome/T_rubida/S1/links/Sigp/TRIRU-CONTIG_489-SigP.txt","Cyt")</f>
        <v>Cyt</v>
      </c>
      <c r="Q107" s="5" t="s">
        <v>4987</v>
      </c>
      <c r="R107" t="s">
        <v>4853</v>
      </c>
      <c r="S107" t="str">
        <f>HYPERLINK("http://exon.niaid.nih.gov/transcriptome/T_rubida/S1/links/GO/Triru-contig_489-GO.txt","GO")</f>
        <v>GO</v>
      </c>
      <c r="T107" s="23">
        <v>7.0000000000000005E-14</v>
      </c>
      <c r="U107">
        <v>24.1</v>
      </c>
      <c r="V107" s="1" t="str">
        <f>HYPERLINK("http://exon.niaid.nih.gov/transcriptome/T_rubida/S1/links/NR/Triru-contig_489-NR.txt","calmodulin A")</f>
        <v>calmodulin A</v>
      </c>
      <c r="W107" t="str">
        <f>HYPERLINK("http://www.ncbi.nlm.nih.gov/sutils/blink.cgi?pid=339892262","3E-012")</f>
        <v>3E-012</v>
      </c>
      <c r="X107" t="str">
        <f>HYPERLINK("http://www.ncbi.nlm.nih.gov/protein/339892262","gi|339892262")</f>
        <v>gi|339892262</v>
      </c>
      <c r="Y107">
        <v>75.5</v>
      </c>
      <c r="Z107">
        <v>108</v>
      </c>
      <c r="AA107">
        <v>149</v>
      </c>
      <c r="AB107">
        <v>100</v>
      </c>
      <c r="AC107">
        <v>73</v>
      </c>
      <c r="AD107">
        <v>0</v>
      </c>
      <c r="AE107">
        <v>0</v>
      </c>
      <c r="AF107">
        <v>41</v>
      </c>
      <c r="AG107">
        <v>27</v>
      </c>
      <c r="AH107">
        <v>2</v>
      </c>
      <c r="AI107">
        <v>3</v>
      </c>
      <c r="AJ107" t="s">
        <v>11</v>
      </c>
      <c r="AL107" t="s">
        <v>3791</v>
      </c>
      <c r="AM107" t="s">
        <v>3792</v>
      </c>
      <c r="AN107" t="s">
        <v>3793</v>
      </c>
      <c r="AO107" s="1" t="str">
        <f>HYPERLINK("http://exon.niaid.nih.gov/transcriptome/T_rubida/S1/links/SWISSP/Triru-contig_489-SWISSP.txt","Calmodulin")</f>
        <v>Calmodulin</v>
      </c>
      <c r="AP107" t="str">
        <f>HYPERLINK("http://www.uniprot.org/uniprot/Q8STF0","1E-013")</f>
        <v>1E-013</v>
      </c>
      <c r="AQ107" t="s">
        <v>3794</v>
      </c>
      <c r="AR107">
        <v>75.5</v>
      </c>
      <c r="AS107">
        <v>108</v>
      </c>
      <c r="AT107">
        <v>100</v>
      </c>
      <c r="AU107">
        <v>70</v>
      </c>
      <c r="AV107">
        <v>0</v>
      </c>
      <c r="AW107">
        <v>0</v>
      </c>
      <c r="AX107">
        <v>48</v>
      </c>
      <c r="AY107">
        <v>27</v>
      </c>
      <c r="AZ107">
        <v>2</v>
      </c>
      <c r="BA107">
        <v>3</v>
      </c>
      <c r="BB107" t="s">
        <v>11</v>
      </c>
      <c r="BD107" t="s">
        <v>704</v>
      </c>
      <c r="BE107" t="s">
        <v>3795</v>
      </c>
      <c r="BF107" t="s">
        <v>3796</v>
      </c>
      <c r="BG107" t="s">
        <v>3797</v>
      </c>
      <c r="BH107" s="1" t="s">
        <v>3798</v>
      </c>
      <c r="BI107">
        <f>HYPERLINK("http://exon.niaid.nih.gov/transcriptome/T_rubida/S1/links/GO/Triru-contig_489-GO.txt",0.00000000000007)</f>
        <v>7.0000000000000005E-14</v>
      </c>
      <c r="BJ107" s="1" t="str">
        <f>HYPERLINK("http://exon.niaid.nih.gov/transcriptome/T_rubida/S1/links/CDD/Triru-contig_489-CDD.txt","PTZ00184")</f>
        <v>PTZ00184</v>
      </c>
      <c r="BK107" t="str">
        <f>HYPERLINK("http://www.ncbi.nlm.nih.gov/Structure/cdd/cddsrv.cgi?uid=PTZ00184&amp;version=v4.0","2E-016")</f>
        <v>2E-016</v>
      </c>
      <c r="BL107" t="s">
        <v>3799</v>
      </c>
      <c r="BM107" s="1" t="str">
        <f>HYPERLINK("http://exon.niaid.nih.gov/transcriptome/T_rubida/S1/links/KOG/Triru-contig_489-KOG.txt","Calmodulin and related proteins (EF-Hand superfamily)")</f>
        <v>Calmodulin and related proteins (EF-Hand superfamily)</v>
      </c>
      <c r="BN107" t="str">
        <f>HYPERLINK("http://www.ncbi.nlm.nih.gov/COG/grace/shokog.cgi?KOG0027","4E-012")</f>
        <v>4E-012</v>
      </c>
      <c r="BO107" t="s">
        <v>728</v>
      </c>
      <c r="BP107" s="1" t="str">
        <f>HYPERLINK("http://exon.niaid.nih.gov/transcriptome/T_rubida/S1/links/PFAM/Triru-contig_489-PFAM.txt","efhand")</f>
        <v>efhand</v>
      </c>
      <c r="BQ107" t="str">
        <f>HYPERLINK("http://pfam.sanger.ac.uk/family?acc=PF00036","1E-007")</f>
        <v>1E-007</v>
      </c>
      <c r="BR107" s="1" t="str">
        <f>HYPERLINK("http://exon.niaid.nih.gov/transcriptome/T_rubida/S1/links/SMART/Triru-contig_489-SMART.txt","EFh")</f>
        <v>EFh</v>
      </c>
      <c r="BS107" t="str">
        <f>HYPERLINK("http://smart.embl-heidelberg.de/smart/do_annotation.pl?DOMAIN=EFh&amp;BLAST=DUMMY","8E-010")</f>
        <v>8E-010</v>
      </c>
      <c r="BT107" s="1" t="str">
        <f>HYPERLINK("http://exon.niaid.nih.gov/transcriptome/T_rubida/S1/links/PRK/Triru-contig_489-PRK.txt","calmodulin")</f>
        <v>calmodulin</v>
      </c>
      <c r="BU107" s="2">
        <v>7.0000000000000003E-17</v>
      </c>
      <c r="BV107" s="1" t="s">
        <v>57</v>
      </c>
      <c r="BW107" t="s">
        <v>57</v>
      </c>
      <c r="BX107" s="1" t="s">
        <v>57</v>
      </c>
      <c r="BY107" t="s">
        <v>57</v>
      </c>
    </row>
    <row r="108" spans="1:77">
      <c r="A108" t="str">
        <f>HYPERLINK("http://exon.niaid.nih.gov/transcriptome/T_rubida/S1/links/Triru/Triru-contig_223.txt","Triru-contig_223")</f>
        <v>Triru-contig_223</v>
      </c>
      <c r="B108">
        <v>1</v>
      </c>
      <c r="C108" t="str">
        <f>HYPERLINK("http://exon.niaid.nih.gov/transcriptome/T_rubida/S1/links/Triru/Triru-5-48-asb-223.txt","Contig-223")</f>
        <v>Contig-223</v>
      </c>
      <c r="D108" t="str">
        <f>HYPERLINK("http://exon.niaid.nih.gov/transcriptome/T_rubida/S1/links/Triru/Triru-5-48-223-CLU.txt","Contig223")</f>
        <v>Contig223</v>
      </c>
      <c r="E108" t="str">
        <f>HYPERLINK("http://exon.niaid.nih.gov/transcriptome/T_rubida/S1/links/Triru/Triru-5-48-223-qual.txt","16.2")</f>
        <v>16.2</v>
      </c>
      <c r="F108" t="s">
        <v>10</v>
      </c>
      <c r="G108">
        <v>67</v>
      </c>
      <c r="H108" t="s">
        <v>57</v>
      </c>
      <c r="I108" t="s">
        <v>235</v>
      </c>
      <c r="J108" t="s">
        <v>57</v>
      </c>
      <c r="K108">
        <v>409</v>
      </c>
      <c r="L108">
        <v>384</v>
      </c>
      <c r="M108" t="s">
        <v>5147</v>
      </c>
      <c r="N108" s="15">
        <v>3</v>
      </c>
      <c r="O108" s="14" t="str">
        <f>HYPERLINK("http://exon.niaid.nih.gov/transcriptome/T_rubida/S1/links/Sigp/TRIRU-CONTIG_223-SigP.txt","Cyt")</f>
        <v>Cyt</v>
      </c>
      <c r="Q108" s="5" t="s">
        <v>4897</v>
      </c>
      <c r="R108" t="s">
        <v>4853</v>
      </c>
      <c r="S108" t="str">
        <f>HYPERLINK("http://exon.niaid.nih.gov/transcriptome/T_rubida/S1/links/KOG/Triru-contig_223-KOG.txt","KOG")</f>
        <v>KOG</v>
      </c>
      <c r="T108" s="23">
        <v>2.0000000000000001E-10</v>
      </c>
      <c r="U108">
        <v>5</v>
      </c>
      <c r="V108" s="1" t="str">
        <f>HYPERLINK("http://exon.niaid.nih.gov/transcriptome/T_rubida/S1/links/NR/Triru-contig_223-NR.txt","conserved hypothetical protein")</f>
        <v>conserved hypothetical protein</v>
      </c>
      <c r="W108" t="str">
        <f>HYPERLINK("http://www.ncbi.nlm.nih.gov/sutils/blink.cgi?pid=242020678","6E-014")</f>
        <v>6E-014</v>
      </c>
      <c r="X108" t="str">
        <f>HYPERLINK("http://www.ncbi.nlm.nih.gov/protein/242020678","gi|242020678")</f>
        <v>gi|242020678</v>
      </c>
      <c r="Y108">
        <v>80.900000000000006</v>
      </c>
      <c r="Z108">
        <v>78</v>
      </c>
      <c r="AA108">
        <v>539</v>
      </c>
      <c r="AB108">
        <v>51</v>
      </c>
      <c r="AC108">
        <v>15</v>
      </c>
      <c r="AD108">
        <v>38</v>
      </c>
      <c r="AE108">
        <v>10</v>
      </c>
      <c r="AF108">
        <v>455</v>
      </c>
      <c r="AG108">
        <v>9</v>
      </c>
      <c r="AH108">
        <v>1</v>
      </c>
      <c r="AI108">
        <v>3</v>
      </c>
      <c r="AJ108" t="s">
        <v>11</v>
      </c>
      <c r="AL108" t="s">
        <v>1177</v>
      </c>
      <c r="AM108" t="s">
        <v>2006</v>
      </c>
      <c r="AN108" t="s">
        <v>2007</v>
      </c>
      <c r="AO108" s="1" t="str">
        <f>HYPERLINK("http://exon.niaid.nih.gov/transcriptome/T_rubida/S1/links/SWISSP/Triru-contig_223-SWISSP.txt","Nostrin")</f>
        <v>Nostrin</v>
      </c>
      <c r="AP108" t="str">
        <f>HYPERLINK("http://www.uniprot.org/uniprot/Q5I0D6","2E-008")</f>
        <v>2E-008</v>
      </c>
      <c r="AQ108" t="s">
        <v>2008</v>
      </c>
      <c r="AR108">
        <v>57.8</v>
      </c>
      <c r="AS108">
        <v>61</v>
      </c>
      <c r="AT108">
        <v>40</v>
      </c>
      <c r="AU108">
        <v>12</v>
      </c>
      <c r="AV108">
        <v>37</v>
      </c>
      <c r="AW108">
        <v>0</v>
      </c>
      <c r="AX108">
        <v>433</v>
      </c>
      <c r="AY108">
        <v>30</v>
      </c>
      <c r="AZ108">
        <v>1</v>
      </c>
      <c r="BA108">
        <v>3</v>
      </c>
      <c r="BB108" t="s">
        <v>11</v>
      </c>
      <c r="BD108" t="s">
        <v>704</v>
      </c>
      <c r="BE108" t="s">
        <v>1164</v>
      </c>
      <c r="BF108" t="s">
        <v>2009</v>
      </c>
      <c r="BG108" t="s">
        <v>2010</v>
      </c>
      <c r="BH108" s="1" t="s">
        <v>2011</v>
      </c>
      <c r="BI108">
        <f>HYPERLINK("http://exon.niaid.nih.gov/transcriptome/T_rubida/S1/links/GO/Triru-contig_223-GO.txt",0.00000001)</f>
        <v>1E-8</v>
      </c>
      <c r="BJ108" s="1" t="str">
        <f>HYPERLINK("http://exon.niaid.nih.gov/transcriptome/T_rubida/S1/links/CDD/Triru-contig_223-CDD.txt","SH3")</f>
        <v>SH3</v>
      </c>
      <c r="BK108" t="str">
        <f>HYPERLINK("http://www.ncbi.nlm.nih.gov/Structure/cdd/cddsrv.cgi?uid=smart00326&amp;version=v4.0","3E-009")</f>
        <v>3E-009</v>
      </c>
      <c r="BL108" t="s">
        <v>2012</v>
      </c>
      <c r="BM108" s="1" t="str">
        <f>HYPERLINK("http://exon.niaid.nih.gov/transcriptome/T_rubida/S1/links/KOG/Triru-contig_223-KOG.txt","Myosin class I heavy chain")</f>
        <v>Myosin class I heavy chain</v>
      </c>
      <c r="BN108" t="str">
        <f>HYPERLINK("http://www.ncbi.nlm.nih.gov/COG/grace/shokog.cgi?KOG0162","2E-010")</f>
        <v>2E-010</v>
      </c>
      <c r="BO108" t="s">
        <v>867</v>
      </c>
      <c r="BP108" s="1" t="str">
        <f>HYPERLINK("http://exon.niaid.nih.gov/transcriptome/T_rubida/S1/links/PFAM/Triru-contig_223-PFAM.txt","SH3_1")</f>
        <v>SH3_1</v>
      </c>
      <c r="BQ108" t="str">
        <f>HYPERLINK("http://pfam.sanger.ac.uk/family?acc=PF00018","1E-007")</f>
        <v>1E-007</v>
      </c>
      <c r="BR108" s="1" t="str">
        <f>HYPERLINK("http://exon.niaid.nih.gov/transcriptome/T_rubida/S1/links/SMART/Triru-contig_223-SMART.txt","SH3")</f>
        <v>SH3</v>
      </c>
      <c r="BS108" t="str">
        <f>HYPERLINK("http://smart.embl-heidelberg.de/smart/do_annotation.pl?DOMAIN=SH3&amp;BLAST=DUMMY","3E-011")</f>
        <v>3E-011</v>
      </c>
      <c r="BT108" s="1" t="str">
        <f>HYPERLINK("http://exon.niaid.nih.gov/transcriptome/T_rubida/S1/links/PRK/Triru-contig_223-PRK.txt","NADH dehydrogenase subunit 2")</f>
        <v>NADH dehydrogenase subunit 2</v>
      </c>
      <c r="BU108">
        <v>3.3000000000000002E-2</v>
      </c>
      <c r="BV108" s="1" t="s">
        <v>57</v>
      </c>
      <c r="BW108" t="s">
        <v>57</v>
      </c>
      <c r="BX108" s="1" t="s">
        <v>57</v>
      </c>
      <c r="BY108" t="s">
        <v>57</v>
      </c>
    </row>
    <row r="109" spans="1:77">
      <c r="A109" t="str">
        <f>HYPERLINK("http://exon.niaid.nih.gov/transcriptome/T_rubida/S1/links/Triru/Triru-contig_492.txt","Triru-contig_492")</f>
        <v>Triru-contig_492</v>
      </c>
      <c r="B109">
        <v>1</v>
      </c>
      <c r="C109" t="str">
        <f>HYPERLINK("http://exon.niaid.nih.gov/transcriptome/T_rubida/S1/links/Triru/Triru-5-48-asb-492.txt","Contig-492")</f>
        <v>Contig-492</v>
      </c>
      <c r="D109" t="str">
        <f>HYPERLINK("http://exon.niaid.nih.gov/transcriptome/T_rubida/S1/links/Triru/Triru-5-48-492-CLU.txt","Contig492")</f>
        <v>Contig492</v>
      </c>
      <c r="E109" t="str">
        <f>HYPERLINK("http://exon.niaid.nih.gov/transcriptome/T_rubida/S1/links/Triru/Triru-5-48-492-qual.txt","56.4")</f>
        <v>56.4</v>
      </c>
      <c r="F109" t="s">
        <v>10</v>
      </c>
      <c r="G109">
        <v>59.2</v>
      </c>
      <c r="H109">
        <v>341</v>
      </c>
      <c r="I109" t="s">
        <v>504</v>
      </c>
      <c r="J109">
        <v>341</v>
      </c>
      <c r="K109">
        <v>360</v>
      </c>
      <c r="L109">
        <v>171</v>
      </c>
      <c r="M109" t="s">
        <v>5148</v>
      </c>
      <c r="N109" s="15">
        <v>3</v>
      </c>
      <c r="Q109" s="5" t="s">
        <v>4988</v>
      </c>
      <c r="R109" t="s">
        <v>4853</v>
      </c>
      <c r="S109" t="str">
        <f>HYPERLINK("http://exon.niaid.nih.gov/transcriptome/T_rubida/S1/links/NR/Triru-contig_492-NR.txt","NR")</f>
        <v>NR</v>
      </c>
      <c r="T109" s="23">
        <v>6.0000000000000006E-20</v>
      </c>
      <c r="U109">
        <v>6.1</v>
      </c>
      <c r="V109" s="1" t="str">
        <f>HYPERLINK("http://exon.niaid.nih.gov/transcriptome/T_rubida/S1/links/NR/Triru-contig_492-NR.txt","hypothetical protein TcasGA2_TC002445")</f>
        <v>hypothetical protein TcasGA2_TC002445</v>
      </c>
      <c r="W109" t="str">
        <f>HYPERLINK("http://www.ncbi.nlm.nih.gov/sutils/blink.cgi?pid=270003241","2E-020")</f>
        <v>2E-020</v>
      </c>
      <c r="X109" t="str">
        <f>HYPERLINK("http://www.ncbi.nlm.nih.gov/protein/270003241","gi|270003241")</f>
        <v>gi|270003241</v>
      </c>
      <c r="Y109">
        <v>102</v>
      </c>
      <c r="Z109">
        <v>54</v>
      </c>
      <c r="AA109">
        <v>614</v>
      </c>
      <c r="AB109">
        <v>94</v>
      </c>
      <c r="AC109">
        <v>9</v>
      </c>
      <c r="AD109">
        <v>3</v>
      </c>
      <c r="AE109">
        <v>0</v>
      </c>
      <c r="AF109">
        <v>558</v>
      </c>
      <c r="AG109">
        <v>33</v>
      </c>
      <c r="AH109">
        <v>1</v>
      </c>
      <c r="AI109">
        <v>3</v>
      </c>
      <c r="AJ109" t="s">
        <v>11</v>
      </c>
      <c r="AL109" t="s">
        <v>1483</v>
      </c>
      <c r="AM109" t="s">
        <v>3812</v>
      </c>
      <c r="AN109" t="s">
        <v>3813</v>
      </c>
      <c r="AO109" s="1" t="str">
        <f>HYPERLINK("http://exon.niaid.nih.gov/transcriptome/T_rubida/S1/links/SWISSP/Triru-contig_492-SWISSP.txt","Paramyosin, short form")</f>
        <v>Paramyosin, short form</v>
      </c>
      <c r="AP109" t="str">
        <f>HYPERLINK("http://www.uniprot.org/uniprot/P35416","8E-019")</f>
        <v>8E-019</v>
      </c>
      <c r="AQ109" t="s">
        <v>3814</v>
      </c>
      <c r="AR109">
        <v>92.4</v>
      </c>
      <c r="AS109">
        <v>52</v>
      </c>
      <c r="AT109">
        <v>84</v>
      </c>
      <c r="AU109">
        <v>8</v>
      </c>
      <c r="AV109">
        <v>8</v>
      </c>
      <c r="AW109">
        <v>0</v>
      </c>
      <c r="AX109">
        <v>585</v>
      </c>
      <c r="AY109">
        <v>33</v>
      </c>
      <c r="AZ109">
        <v>1</v>
      </c>
      <c r="BA109">
        <v>3</v>
      </c>
      <c r="BB109" t="s">
        <v>11</v>
      </c>
      <c r="BD109" t="s">
        <v>704</v>
      </c>
      <c r="BE109" t="s">
        <v>1125</v>
      </c>
      <c r="BF109" t="s">
        <v>3815</v>
      </c>
      <c r="BG109" t="s">
        <v>3816</v>
      </c>
      <c r="BH109" s="1" t="s">
        <v>3817</v>
      </c>
      <c r="BI109">
        <f>HYPERLINK("http://exon.niaid.nih.gov/transcriptome/T_rubida/S1/links/GO/Triru-contig_492-GO.txt",0.0000000000000000005)</f>
        <v>5.0000000000000004E-19</v>
      </c>
      <c r="BJ109" s="1" t="str">
        <f>HYPERLINK("http://exon.niaid.nih.gov/transcriptome/T_rubida/S1/links/CDD/Triru-contig_492-CDD.txt","Myosin_tail_1")</f>
        <v>Myosin_tail_1</v>
      </c>
      <c r="BK109" t="str">
        <f>HYPERLINK("http://www.ncbi.nlm.nih.gov/Structure/cdd/cddsrv.cgi?uid=pfam01576&amp;version=v4.0","4E-010")</f>
        <v>4E-010</v>
      </c>
      <c r="BL109" t="s">
        <v>3818</v>
      </c>
      <c r="BM109" s="1" t="str">
        <f>HYPERLINK("http://exon.niaid.nih.gov/transcriptome/T_rubida/S1/links/KOG/Triru-contig_492-KOG.txt","Myosin class II heavy chain")</f>
        <v>Myosin class II heavy chain</v>
      </c>
      <c r="BN109" t="str">
        <f>HYPERLINK("http://www.ncbi.nlm.nih.gov/COG/grace/shokog.cgi?KOG0161","2E-010")</f>
        <v>2E-010</v>
      </c>
      <c r="BO109" t="s">
        <v>867</v>
      </c>
      <c r="BP109" s="1" t="str">
        <f>HYPERLINK("http://exon.niaid.nih.gov/transcriptome/T_rubida/S1/links/PFAM/Triru-contig_492-PFAM.txt","Myosin_tail_1")</f>
        <v>Myosin_tail_1</v>
      </c>
      <c r="BQ109" t="str">
        <f>HYPERLINK("http://pfam.sanger.ac.uk/family?acc=PF01576","8E-011")</f>
        <v>8E-011</v>
      </c>
      <c r="BR109" s="1" t="str">
        <f>HYPERLINK("http://exon.niaid.nih.gov/transcriptome/T_rubida/S1/links/SMART/Triru-contig_492-SMART.txt","ZnF_CDGSH")</f>
        <v>ZnF_CDGSH</v>
      </c>
      <c r="BS109" t="str">
        <f>HYPERLINK("http://smart.embl-heidelberg.de/smart/do_annotation.pl?DOMAIN=ZnF_CDGSH&amp;BLAST=DUMMY","0.18")</f>
        <v>0.18</v>
      </c>
      <c r="BT109" s="1" t="str">
        <f>HYPERLINK("http://exon.niaid.nih.gov/transcriptome/T_rubida/S1/links/PRK/Triru-contig_492-PRK.txt","ATP synthase F0 subunit 6")</f>
        <v>ATP synthase F0 subunit 6</v>
      </c>
      <c r="BU109">
        <v>0.12</v>
      </c>
      <c r="BV109" s="1" t="s">
        <v>57</v>
      </c>
      <c r="BW109" t="s">
        <v>57</v>
      </c>
      <c r="BX109" s="1" t="s">
        <v>57</v>
      </c>
      <c r="BY109" t="s">
        <v>57</v>
      </c>
    </row>
    <row r="110" spans="1:77">
      <c r="A110" t="str">
        <f>HYPERLINK("http://exon.niaid.nih.gov/transcriptome/T_rubida/S1/links/Triru/Triru-contig_482.txt","Triru-contig_482")</f>
        <v>Triru-contig_482</v>
      </c>
      <c r="B110">
        <v>1</v>
      </c>
      <c r="C110" t="str">
        <f>HYPERLINK("http://exon.niaid.nih.gov/transcriptome/T_rubida/S1/links/Triru/Triru-5-48-asb-482.txt","Contig-482")</f>
        <v>Contig-482</v>
      </c>
      <c r="D110" t="str">
        <f>HYPERLINK("http://exon.niaid.nih.gov/transcriptome/T_rubida/S1/links/Triru/Triru-5-48-482-CLU.txt","Contig482")</f>
        <v>Contig482</v>
      </c>
      <c r="E110" t="str">
        <f>HYPERLINK("http://exon.niaid.nih.gov/transcriptome/T_rubida/S1/links/Triru/Triru-5-48-482-qual.txt","60.")</f>
        <v>60.</v>
      </c>
      <c r="F110" t="s">
        <v>10</v>
      </c>
      <c r="G110">
        <v>71.3</v>
      </c>
      <c r="H110">
        <v>274</v>
      </c>
      <c r="I110" t="s">
        <v>494</v>
      </c>
      <c r="J110">
        <v>274</v>
      </c>
      <c r="K110">
        <v>293</v>
      </c>
      <c r="L110">
        <v>162</v>
      </c>
      <c r="M110" t="s">
        <v>5149</v>
      </c>
      <c r="N110" s="15">
        <v>1</v>
      </c>
      <c r="Q110" s="5" t="s">
        <v>4984</v>
      </c>
      <c r="R110" t="s">
        <v>4853</v>
      </c>
      <c r="S110" t="str">
        <f>HYPERLINK("http://exon.niaid.nih.gov/transcriptome/T_rubida/S1/links/NR/Triru-contig_482-NR.txt","NR")</f>
        <v>NR</v>
      </c>
      <c r="T110" s="23">
        <v>5.9999999999999997E-7</v>
      </c>
      <c r="U110">
        <v>84.6</v>
      </c>
      <c r="V110" s="1" t="str">
        <f>HYPERLINK("http://exon.niaid.nih.gov/transcriptome/T_rubida/S1/links/NR/Triru-contig_482-NR.txt","hypothetical protein AND_25847")</f>
        <v>hypothetical protein AND_25847</v>
      </c>
      <c r="W110" t="str">
        <f>HYPERLINK("http://www.ncbi.nlm.nih.gov/sutils/blink.cgi?pid=312381013","7E-008")</f>
        <v>7E-008</v>
      </c>
      <c r="X110" t="str">
        <f>HYPERLINK("http://www.ncbi.nlm.nih.gov/protein/312381013","gi|312381013")</f>
        <v>gi|312381013</v>
      </c>
      <c r="Y110">
        <v>60.8</v>
      </c>
      <c r="Z110">
        <v>47</v>
      </c>
      <c r="AA110">
        <v>50</v>
      </c>
      <c r="AB110">
        <v>60</v>
      </c>
      <c r="AC110">
        <v>96</v>
      </c>
      <c r="AD110">
        <v>19</v>
      </c>
      <c r="AE110">
        <v>0</v>
      </c>
      <c r="AF110">
        <v>2</v>
      </c>
      <c r="AG110">
        <v>34</v>
      </c>
      <c r="AH110">
        <v>1</v>
      </c>
      <c r="AI110">
        <v>1</v>
      </c>
      <c r="AJ110" t="s">
        <v>11</v>
      </c>
      <c r="AL110" t="s">
        <v>2946</v>
      </c>
      <c r="AM110" t="s">
        <v>3741</v>
      </c>
      <c r="AN110" t="s">
        <v>3742</v>
      </c>
      <c r="AO110" s="1" t="str">
        <f>HYPERLINK("http://exon.niaid.nih.gov/transcriptome/T_rubida/S1/links/SWISSP/Triru-contig_482-SWISSP.txt","Up-regulated during skeletal muscle growth protein 5")</f>
        <v>Up-regulated during skeletal muscle growth protein 5</v>
      </c>
      <c r="AP110" t="str">
        <f>HYPERLINK("http://www.uniprot.org/uniprot/Q9JJW3","6E-006")</f>
        <v>6E-006</v>
      </c>
      <c r="AQ110" t="s">
        <v>3743</v>
      </c>
      <c r="AR110">
        <v>49.7</v>
      </c>
      <c r="AS110">
        <v>49</v>
      </c>
      <c r="AT110">
        <v>50</v>
      </c>
      <c r="AU110">
        <v>86</v>
      </c>
      <c r="AV110">
        <v>25</v>
      </c>
      <c r="AW110">
        <v>2</v>
      </c>
      <c r="AX110">
        <v>2</v>
      </c>
      <c r="AY110">
        <v>34</v>
      </c>
      <c r="AZ110">
        <v>1</v>
      </c>
      <c r="BA110">
        <v>1</v>
      </c>
      <c r="BB110" t="s">
        <v>11</v>
      </c>
      <c r="BD110" t="s">
        <v>704</v>
      </c>
      <c r="BE110" t="s">
        <v>1164</v>
      </c>
      <c r="BF110" t="s">
        <v>3744</v>
      </c>
      <c r="BG110" t="s">
        <v>3745</v>
      </c>
      <c r="BH110" s="1" t="s">
        <v>3746</v>
      </c>
      <c r="BI110">
        <f>HYPERLINK("http://exon.niaid.nih.gov/transcriptome/T_rubida/S1/links/GO/Triru-contig_482-GO.txt",0.000004)</f>
        <v>3.9999999999999998E-6</v>
      </c>
      <c r="BJ110" s="1" t="str">
        <f>HYPERLINK("http://exon.niaid.nih.gov/transcriptome/T_rubida/S1/links/CDD/Triru-contig_482-CDD.txt","PRK05844")</f>
        <v>PRK05844</v>
      </c>
      <c r="BK110" t="str">
        <f>HYPERLINK("http://www.ncbi.nlm.nih.gov/Structure/cdd/cddsrv.cgi?uid=PRK05844&amp;version=v4.0","0.059")</f>
        <v>0.059</v>
      </c>
      <c r="BL110" t="s">
        <v>3747</v>
      </c>
      <c r="BM110" s="1" t="str">
        <f>HYPERLINK("http://exon.niaid.nih.gov/transcriptome/T_rubida/S1/links/KOG/Triru-contig_482-KOG.txt","Predicted membrane protein")</f>
        <v>Predicted membrane protein</v>
      </c>
      <c r="BN110" t="str">
        <f>HYPERLINK("http://www.ncbi.nlm.nih.gov/COG/grace/shokog.cgi?KOG4542","1.5")</f>
        <v>1.5</v>
      </c>
      <c r="BO110" t="s">
        <v>737</v>
      </c>
      <c r="BP110" s="1" t="str">
        <f>HYPERLINK("http://exon.niaid.nih.gov/transcriptome/T_rubida/S1/links/PFAM/Triru-contig_482-PFAM.txt","DUF1600")</f>
        <v>DUF1600</v>
      </c>
      <c r="BQ110" t="str">
        <f>HYPERLINK("http://pfam.sanger.ac.uk/family?acc=PF07667","0.40")</f>
        <v>0.40</v>
      </c>
      <c r="BR110" s="1" t="str">
        <f>HYPERLINK("http://exon.niaid.nih.gov/transcriptome/T_rubida/S1/links/SMART/Triru-contig_482-SMART.txt","KIND")</f>
        <v>KIND</v>
      </c>
      <c r="BS110" t="str">
        <f>HYPERLINK("http://smart.embl-heidelberg.de/smart/do_annotation.pl?DOMAIN=KIND&amp;BLAST=DUMMY","0.12")</f>
        <v>0.12</v>
      </c>
      <c r="BT110" s="1" t="str">
        <f>HYPERLINK("http://exon.niaid.nih.gov/transcriptome/T_rubida/S1/links/PRK/Triru-contig_482-PRK.txt","pyruvate flavodoxin oxidoreductase subunit gamma")</f>
        <v>pyruvate flavodoxin oxidoreductase subunit gamma</v>
      </c>
      <c r="BU110">
        <v>2.1999999999999999E-2</v>
      </c>
      <c r="BV110" s="1" t="s">
        <v>57</v>
      </c>
      <c r="BW110" t="s">
        <v>57</v>
      </c>
      <c r="BX110" s="1" t="s">
        <v>57</v>
      </c>
      <c r="BY110" t="s">
        <v>57</v>
      </c>
    </row>
    <row r="111" spans="1:77">
      <c r="A111" t="str">
        <f>HYPERLINK("http://exon.niaid.nih.gov/transcriptome/T_rubida/S1/links/Triru/Triru-contig_499.txt","Triru-contig_499")</f>
        <v>Triru-contig_499</v>
      </c>
      <c r="B111">
        <v>1</v>
      </c>
      <c r="C111" t="str">
        <f>HYPERLINK("http://exon.niaid.nih.gov/transcriptome/T_rubida/S1/links/Triru/Triru-5-48-asb-499.txt","Contig-499")</f>
        <v>Contig-499</v>
      </c>
      <c r="D111" t="str">
        <f>HYPERLINK("http://exon.niaid.nih.gov/transcriptome/T_rubida/S1/links/Triru/Triru-5-48-499-CLU.txt","Contig499")</f>
        <v>Contig499</v>
      </c>
      <c r="E111" t="str">
        <f>HYPERLINK("http://exon.niaid.nih.gov/transcriptome/T_rubida/S1/links/Triru/Triru-5-48-499-qual.txt","61.1")</f>
        <v>61.1</v>
      </c>
      <c r="F111" t="s">
        <v>10</v>
      </c>
      <c r="G111">
        <v>63</v>
      </c>
      <c r="H111">
        <v>319</v>
      </c>
      <c r="I111" t="s">
        <v>511</v>
      </c>
      <c r="J111">
        <v>319</v>
      </c>
      <c r="K111">
        <v>338</v>
      </c>
      <c r="L111">
        <v>264</v>
      </c>
      <c r="M111" t="s">
        <v>5150</v>
      </c>
      <c r="N111" s="15">
        <v>1</v>
      </c>
      <c r="Q111" s="5" t="s">
        <v>4899</v>
      </c>
      <c r="R111" t="s">
        <v>4853</v>
      </c>
      <c r="S111" t="str">
        <f>HYPERLINK("http://exon.niaid.nih.gov/transcriptome/T_rubida/S1/links/PFAM/Triru-contig_499-PFAM.txt","PFAM")</f>
        <v>PFAM</v>
      </c>
      <c r="T111" s="23">
        <v>7.9999999999999997E-23</v>
      </c>
      <c r="U111">
        <v>22.7</v>
      </c>
      <c r="V111" s="1" t="str">
        <f>HYPERLINK("http://exon.niaid.nih.gov/transcriptome/T_rubida/S1/links/NR/Triru-contig_499-NR.txt","Tropomyosin-1")</f>
        <v>Tropomyosin-1</v>
      </c>
      <c r="W111" t="str">
        <f>HYPERLINK("http://www.ncbi.nlm.nih.gov/sutils/blink.cgi?pid=307184541","2E-021")</f>
        <v>2E-021</v>
      </c>
      <c r="X111" t="str">
        <f>HYPERLINK("http://www.ncbi.nlm.nih.gov/protein/307184541","gi|307184541")</f>
        <v>gi|307184541</v>
      </c>
      <c r="Y111">
        <v>105</v>
      </c>
      <c r="Z111">
        <v>53</v>
      </c>
      <c r="AA111">
        <v>284</v>
      </c>
      <c r="AB111">
        <v>98</v>
      </c>
      <c r="AC111">
        <v>19</v>
      </c>
      <c r="AD111">
        <v>1</v>
      </c>
      <c r="AE111">
        <v>0</v>
      </c>
      <c r="AF111">
        <v>231</v>
      </c>
      <c r="AG111">
        <v>18</v>
      </c>
      <c r="AH111">
        <v>1</v>
      </c>
      <c r="AI111">
        <v>3</v>
      </c>
      <c r="AJ111" t="s">
        <v>11</v>
      </c>
      <c r="AL111" t="s">
        <v>1650</v>
      </c>
      <c r="AM111" t="s">
        <v>3853</v>
      </c>
      <c r="AN111" t="s">
        <v>3854</v>
      </c>
      <c r="AO111" s="1" t="str">
        <f>HYPERLINK("http://exon.niaid.nih.gov/transcriptome/T_rubida/S1/links/SWISSP/Triru-contig_499-SWISSP.txt","Tropomyosin-1")</f>
        <v>Tropomyosin-1</v>
      </c>
      <c r="AP111" t="str">
        <f>HYPERLINK("http://www.uniprot.org/uniprot/Q1HPU0","3E-022")</f>
        <v>3E-022</v>
      </c>
      <c r="AQ111" t="s">
        <v>3855</v>
      </c>
      <c r="AR111">
        <v>103</v>
      </c>
      <c r="AS111">
        <v>256</v>
      </c>
      <c r="AT111">
        <v>94</v>
      </c>
      <c r="AU111">
        <v>90</v>
      </c>
      <c r="AV111">
        <v>3</v>
      </c>
      <c r="AW111">
        <v>0</v>
      </c>
      <c r="AX111">
        <v>28</v>
      </c>
      <c r="AY111">
        <v>18</v>
      </c>
      <c r="AZ111">
        <v>3</v>
      </c>
      <c r="BA111">
        <v>3</v>
      </c>
      <c r="BB111" t="s">
        <v>11</v>
      </c>
      <c r="BD111" t="s">
        <v>704</v>
      </c>
      <c r="BE111" t="s">
        <v>1289</v>
      </c>
      <c r="BF111" t="s">
        <v>3856</v>
      </c>
      <c r="BG111" t="s">
        <v>3857</v>
      </c>
      <c r="BH111" s="1" t="s">
        <v>3858</v>
      </c>
      <c r="BI111">
        <f>HYPERLINK("http://exon.niaid.nih.gov/transcriptome/T_rubida/S1/links/GO/Triru-contig_499-GO.txt",2E-22)</f>
        <v>2.0000000000000001E-22</v>
      </c>
      <c r="BJ111" s="1" t="str">
        <f>HYPERLINK("http://exon.niaid.nih.gov/transcriptome/T_rubida/S1/links/CDD/Triru-contig_499-CDD.txt","Tropomyosin")</f>
        <v>Tropomyosin</v>
      </c>
      <c r="BK111" t="str">
        <f>HYPERLINK("http://www.ncbi.nlm.nih.gov/Structure/cdd/cddsrv.cgi?uid=pfam00261&amp;version=v4.0","4E-022")</f>
        <v>4E-022</v>
      </c>
      <c r="BL111" t="s">
        <v>3859</v>
      </c>
      <c r="BM111" s="1" t="str">
        <f>HYPERLINK("http://exon.niaid.nih.gov/transcriptome/T_rubida/S1/links/KOG/Triru-contig_499-KOG.txt","Actin filament-coating protein tropomyosin")</f>
        <v>Actin filament-coating protein tropomyosin</v>
      </c>
      <c r="BN111" t="str">
        <f>HYPERLINK("http://www.ncbi.nlm.nih.gov/COG/grace/shokog.cgi?KOG1003","1E-013")</f>
        <v>1E-013</v>
      </c>
      <c r="BO111" t="s">
        <v>867</v>
      </c>
      <c r="BP111" s="1" t="str">
        <f>HYPERLINK("http://exon.niaid.nih.gov/transcriptome/T_rubida/S1/links/PFAM/Triru-contig_499-PFAM.txt","Tropomyosin")</f>
        <v>Tropomyosin</v>
      </c>
      <c r="BQ111" t="str">
        <f>HYPERLINK("http://pfam.sanger.ac.uk/family?acc=PF00261","8E-023")</f>
        <v>8E-023</v>
      </c>
      <c r="BR111" s="1" t="str">
        <f>HYPERLINK("http://exon.niaid.nih.gov/transcriptome/T_rubida/S1/links/SMART/Triru-contig_499-SMART.txt","BRLZ")</f>
        <v>BRLZ</v>
      </c>
      <c r="BS111" t="str">
        <f>HYPERLINK("http://smart.embl-heidelberg.de/smart/do_annotation.pl?DOMAIN=BRLZ&amp;BLAST=DUMMY","0.003")</f>
        <v>0.003</v>
      </c>
      <c r="BT111" s="1" t="str">
        <f>HYPERLINK("http://exon.niaid.nih.gov/transcriptome/T_rubida/S1/links/PRK/Triru-contig_499-PRK.txt","proteasome-activating nucleotidase")</f>
        <v>proteasome-activating nucleotidase</v>
      </c>
      <c r="BU111">
        <v>1.4E-2</v>
      </c>
      <c r="BV111" s="1" t="s">
        <v>57</v>
      </c>
      <c r="BW111" t="s">
        <v>57</v>
      </c>
      <c r="BX111" s="1" t="s">
        <v>57</v>
      </c>
      <c r="BY111" t="s">
        <v>57</v>
      </c>
    </row>
    <row r="112" spans="1:77">
      <c r="A112" t="str">
        <f>HYPERLINK("http://exon.niaid.nih.gov/transcriptome/T_rubida/S1/links/Triru/Triru-contig_231.txt","Triru-contig_231")</f>
        <v>Triru-contig_231</v>
      </c>
      <c r="B112">
        <v>1</v>
      </c>
      <c r="C112" t="str">
        <f>HYPERLINK("http://exon.niaid.nih.gov/transcriptome/T_rubida/S1/links/Triru/Triru-5-48-asb-231.txt","Contig-231")</f>
        <v>Contig-231</v>
      </c>
      <c r="D112" t="str">
        <f>HYPERLINK("http://exon.niaid.nih.gov/transcriptome/T_rubida/S1/links/Triru/Triru-5-48-231-CLU.txt","Contig231")</f>
        <v>Contig231</v>
      </c>
      <c r="E112" t="str">
        <f>HYPERLINK("http://exon.niaid.nih.gov/transcriptome/T_rubida/S1/links/Triru/Triru-5-48-231-qual.txt","59.4")</f>
        <v>59.4</v>
      </c>
      <c r="F112">
        <v>0.3</v>
      </c>
      <c r="G112">
        <v>59.1</v>
      </c>
      <c r="H112" t="s">
        <v>57</v>
      </c>
      <c r="I112" t="s">
        <v>243</v>
      </c>
      <c r="J112" t="s">
        <v>57</v>
      </c>
      <c r="K112">
        <v>352</v>
      </c>
      <c r="L112">
        <v>309</v>
      </c>
      <c r="M112" t="s">
        <v>5151</v>
      </c>
      <c r="N112" s="15">
        <v>1</v>
      </c>
      <c r="Q112" s="5" t="s">
        <v>4899</v>
      </c>
      <c r="R112" t="s">
        <v>4853</v>
      </c>
      <c r="S112" t="str">
        <f>HYPERLINK("http://exon.niaid.nih.gov/transcriptome/T_rubida/S1/links/PFAM/Triru-contig_231-PFAM.txt","PFAM")</f>
        <v>PFAM</v>
      </c>
      <c r="T112" s="23">
        <v>9.9999999999999992E-25</v>
      </c>
      <c r="U112">
        <v>29.9</v>
      </c>
      <c r="V112" s="1" t="str">
        <f>HYPERLINK("http://exon.niaid.nih.gov/transcriptome/T_rubida/S1/links/NR/Triru-contig_231-NR.txt","hypothetical protein")</f>
        <v>hypothetical protein</v>
      </c>
      <c r="W112" t="str">
        <f>HYPERLINK("http://www.ncbi.nlm.nih.gov/sutils/blink.cgi?pid=124487752","1E-023")</f>
        <v>1E-023</v>
      </c>
      <c r="X112" t="str">
        <f>HYPERLINK("http://www.ncbi.nlm.nih.gov/protein/124487752","gi|124487752")</f>
        <v>gi|124487752</v>
      </c>
      <c r="Y112">
        <v>113</v>
      </c>
      <c r="Z112">
        <v>71</v>
      </c>
      <c r="AA112">
        <v>77</v>
      </c>
      <c r="AB112">
        <v>80</v>
      </c>
      <c r="AC112">
        <v>94</v>
      </c>
      <c r="AD112">
        <v>14</v>
      </c>
      <c r="AE112">
        <v>0</v>
      </c>
      <c r="AF112">
        <v>6</v>
      </c>
      <c r="AG112">
        <v>10</v>
      </c>
      <c r="AH112">
        <v>1</v>
      </c>
      <c r="AI112">
        <v>1</v>
      </c>
      <c r="AJ112" t="s">
        <v>11</v>
      </c>
      <c r="AL112" t="s">
        <v>1811</v>
      </c>
      <c r="AM112" t="s">
        <v>2061</v>
      </c>
      <c r="AN112" t="s">
        <v>2062</v>
      </c>
      <c r="AO112" s="1" t="str">
        <f>HYPERLINK("http://exon.niaid.nih.gov/transcriptome/T_rubida/S1/links/SWISSP/Triru-contig_231-SWISSP.txt","Tropomyosin")</f>
        <v>Tropomyosin</v>
      </c>
      <c r="AP112" t="str">
        <f>HYPERLINK("http://www.uniprot.org/uniprot/Q60UW4","2E-017")</f>
        <v>2E-017</v>
      </c>
      <c r="AQ112" t="s">
        <v>2063</v>
      </c>
      <c r="AR112">
        <v>87.8</v>
      </c>
      <c r="AS112">
        <v>69</v>
      </c>
      <c r="AT112">
        <v>61</v>
      </c>
      <c r="AU112">
        <v>27</v>
      </c>
      <c r="AV112">
        <v>27</v>
      </c>
      <c r="AW112">
        <v>0</v>
      </c>
      <c r="AX112">
        <v>185</v>
      </c>
      <c r="AY112">
        <v>10</v>
      </c>
      <c r="AZ112">
        <v>1</v>
      </c>
      <c r="BA112">
        <v>1</v>
      </c>
      <c r="BB112" t="s">
        <v>11</v>
      </c>
      <c r="BD112" t="s">
        <v>704</v>
      </c>
      <c r="BE112" t="s">
        <v>2064</v>
      </c>
      <c r="BF112" t="s">
        <v>2065</v>
      </c>
      <c r="BG112" t="s">
        <v>2066</v>
      </c>
      <c r="BH112" s="1" t="s">
        <v>2067</v>
      </c>
      <c r="BI112">
        <f>HYPERLINK("http://exon.niaid.nih.gov/transcriptome/T_rubida/S1/links/GO/Triru-contig_231-GO.txt",0.00000000000000001)</f>
        <v>1.0000000000000001E-17</v>
      </c>
      <c r="BJ112" s="1" t="str">
        <f>HYPERLINK("http://exon.niaid.nih.gov/transcriptome/T_rubida/S1/links/CDD/Triru-contig_231-CDD.txt","Tropomyosin")</f>
        <v>Tropomyosin</v>
      </c>
      <c r="BK112" t="str">
        <f>HYPERLINK("http://www.ncbi.nlm.nih.gov/Structure/cdd/cddsrv.cgi?uid=pfam00261&amp;version=v4.0","7E-024")</f>
        <v>7E-024</v>
      </c>
      <c r="BL112" t="s">
        <v>2068</v>
      </c>
      <c r="BM112" s="1" t="str">
        <f>HYPERLINK("http://exon.niaid.nih.gov/transcriptome/T_rubida/S1/links/KOG/Triru-contig_231-KOG.txt","Actin filament-coating protein tropomyosin")</f>
        <v>Actin filament-coating protein tropomyosin</v>
      </c>
      <c r="BN112" t="str">
        <f>HYPERLINK("http://www.ncbi.nlm.nih.gov/COG/grace/shokog.cgi?KOG1003","3E-016")</f>
        <v>3E-016</v>
      </c>
      <c r="BO112" t="s">
        <v>867</v>
      </c>
      <c r="BP112" s="1" t="str">
        <f>HYPERLINK("http://exon.niaid.nih.gov/transcriptome/T_rubida/S1/links/PFAM/Triru-contig_231-PFAM.txt","Tropomyosin")</f>
        <v>Tropomyosin</v>
      </c>
      <c r="BQ112" t="str">
        <f>HYPERLINK("http://pfam.sanger.ac.uk/family?acc=PF00261","1E-024")</f>
        <v>1E-024</v>
      </c>
      <c r="BR112" s="1" t="str">
        <f>HYPERLINK("http://exon.niaid.nih.gov/transcriptome/T_rubida/S1/links/SMART/Triru-contig_231-SMART.txt","SPEC")</f>
        <v>SPEC</v>
      </c>
      <c r="BS112" t="str">
        <f>HYPERLINK("http://smart.embl-heidelberg.de/smart/do_annotation.pl?DOMAIN=SPEC&amp;BLAST=DUMMY","0.003")</f>
        <v>0.003</v>
      </c>
      <c r="BT112" s="1" t="str">
        <f>HYPERLINK("http://exon.niaid.nih.gov/transcriptome/T_rubida/S1/links/PRK/Triru-contig_231-PRK.txt","septation ring formation regulator EzrA")</f>
        <v>septation ring formation regulator EzrA</v>
      </c>
      <c r="BU112">
        <v>3.0000000000000001E-3</v>
      </c>
      <c r="BV112" s="1" t="s">
        <v>57</v>
      </c>
      <c r="BW112" t="s">
        <v>57</v>
      </c>
      <c r="BX112" s="1" t="s">
        <v>57</v>
      </c>
      <c r="BY112" t="s">
        <v>57</v>
      </c>
    </row>
    <row r="113" spans="1:77">
      <c r="A113" t="str">
        <f>HYPERLINK("http://exon.niaid.nih.gov/transcriptome/T_rubida/S1/links/Triru/Triru-contig_281.txt","Triru-contig_281")</f>
        <v>Triru-contig_281</v>
      </c>
      <c r="B113">
        <v>1</v>
      </c>
      <c r="C113" t="str">
        <f>HYPERLINK("http://exon.niaid.nih.gov/transcriptome/T_rubida/S1/links/Triru/Triru-5-48-asb-281.txt","Contig-281")</f>
        <v>Contig-281</v>
      </c>
      <c r="D113" t="str">
        <f>HYPERLINK("http://exon.niaid.nih.gov/transcriptome/T_rubida/S1/links/Triru/Triru-5-48-281-CLU.txt","Contig281")</f>
        <v>Contig281</v>
      </c>
      <c r="E113" t="str">
        <f>HYPERLINK("http://exon.niaid.nih.gov/transcriptome/T_rubida/S1/links/Triru/Triru-5-48-281-qual.txt","58.3")</f>
        <v>58.3</v>
      </c>
      <c r="F113" t="s">
        <v>10</v>
      </c>
      <c r="G113">
        <v>66.400000000000006</v>
      </c>
      <c r="H113">
        <v>365</v>
      </c>
      <c r="I113" t="s">
        <v>293</v>
      </c>
      <c r="J113">
        <v>365</v>
      </c>
      <c r="K113">
        <v>384</v>
      </c>
      <c r="L113">
        <v>165</v>
      </c>
      <c r="M113" t="s">
        <v>5152</v>
      </c>
      <c r="N113" s="15">
        <v>1</v>
      </c>
      <c r="Q113" s="5" t="s">
        <v>4913</v>
      </c>
      <c r="R113" t="s">
        <v>4853</v>
      </c>
      <c r="S113" t="str">
        <f>HYPERLINK("http://exon.niaid.nih.gov/transcriptome/T_rubida/S1/links/GO/Triru-contig_281-GO.txt","GO")</f>
        <v>GO</v>
      </c>
      <c r="T113" s="23">
        <v>7.0000000000000004E-11</v>
      </c>
      <c r="U113">
        <v>20</v>
      </c>
      <c r="V113" s="1" t="str">
        <f>HYPERLINK("http://exon.niaid.nih.gov/transcriptome/T_rubida/S1/links/NR/Triru-contig_281-NR.txt","ubiquitin C-terminal hydrolase UCHL1")</f>
        <v>ubiquitin C-terminal hydrolase UCHL1</v>
      </c>
      <c r="W113" t="str">
        <f>HYPERLINK("http://www.ncbi.nlm.nih.gov/sutils/blink.cgi?pid=307095118","3E-019")</f>
        <v>3E-019</v>
      </c>
      <c r="X113" t="str">
        <f>HYPERLINK("http://www.ncbi.nlm.nih.gov/protein/307095118","gi|307095118")</f>
        <v>gi|307095118</v>
      </c>
      <c r="Y113">
        <v>98.6</v>
      </c>
      <c r="Z113">
        <v>49</v>
      </c>
      <c r="AA113">
        <v>228</v>
      </c>
      <c r="AB113">
        <v>92</v>
      </c>
      <c r="AC113">
        <v>22</v>
      </c>
      <c r="AD113">
        <v>4</v>
      </c>
      <c r="AE113">
        <v>0</v>
      </c>
      <c r="AF113">
        <v>179</v>
      </c>
      <c r="AG113">
        <v>9</v>
      </c>
      <c r="AH113">
        <v>1</v>
      </c>
      <c r="AI113">
        <v>3</v>
      </c>
      <c r="AJ113" t="s">
        <v>11</v>
      </c>
      <c r="AL113" t="s">
        <v>1121</v>
      </c>
      <c r="AM113" t="s">
        <v>2374</v>
      </c>
      <c r="AN113" t="s">
        <v>2375</v>
      </c>
      <c r="AO113" s="1" t="str">
        <f>HYPERLINK("http://exon.niaid.nih.gov/transcriptome/T_rubida/S1/links/SWISSP/Triru-contig_281-SWISSP.txt","Ubiquitin carboxyl-terminal hydrolase")</f>
        <v>Ubiquitin carboxyl-terminal hydrolase</v>
      </c>
      <c r="AP113" t="str">
        <f>HYPERLINK("http://www.uniprot.org/uniprot/P35122","1E-010")</f>
        <v>1E-010</v>
      </c>
      <c r="AQ113" t="s">
        <v>2376</v>
      </c>
      <c r="AR113">
        <v>65.5</v>
      </c>
      <c r="AS113">
        <v>46</v>
      </c>
      <c r="AT113">
        <v>63</v>
      </c>
      <c r="AU113">
        <v>21</v>
      </c>
      <c r="AV113">
        <v>17</v>
      </c>
      <c r="AW113">
        <v>0</v>
      </c>
      <c r="AX113">
        <v>178</v>
      </c>
      <c r="AY113">
        <v>9</v>
      </c>
      <c r="AZ113">
        <v>1</v>
      </c>
      <c r="BA113">
        <v>3</v>
      </c>
      <c r="BB113" t="s">
        <v>11</v>
      </c>
      <c r="BD113" t="s">
        <v>704</v>
      </c>
      <c r="BE113" t="s">
        <v>1125</v>
      </c>
      <c r="BF113" t="s">
        <v>2377</v>
      </c>
      <c r="BG113" t="s">
        <v>2378</v>
      </c>
      <c r="BH113" s="1" t="s">
        <v>2379</v>
      </c>
      <c r="BI113">
        <f>HYPERLINK("http://exon.niaid.nih.gov/transcriptome/T_rubida/S1/links/GO/Triru-contig_281-GO.txt",0.00000000007)</f>
        <v>7.0000000000000004E-11</v>
      </c>
      <c r="BJ113" s="1" t="str">
        <f>HYPERLINK("http://exon.niaid.nih.gov/transcriptome/T_rubida/S1/links/CDD/Triru-contig_281-CDD.txt","Peptidase_C12_U")</f>
        <v>Peptidase_C12_U</v>
      </c>
      <c r="BK113" t="str">
        <f>HYPERLINK("http://www.ncbi.nlm.nih.gov/Structure/cdd/cddsrv.cgi?uid=cd09616&amp;version=v4.0","4E-015")</f>
        <v>4E-015</v>
      </c>
      <c r="BL113" t="s">
        <v>2380</v>
      </c>
      <c r="BM113" s="1" t="str">
        <f>HYPERLINK("http://exon.niaid.nih.gov/transcriptome/T_rubida/S1/links/KOG/Triru-contig_281-KOG.txt","Ubiquitin C-terminal hydrolase UCHL1")</f>
        <v>Ubiquitin C-terminal hydrolase UCHL1</v>
      </c>
      <c r="BN113" t="str">
        <f>HYPERLINK("http://www.ncbi.nlm.nih.gov/COG/grace/shokog.cgi?KOG1415","1E-010")</f>
        <v>1E-010</v>
      </c>
      <c r="BO113" t="s">
        <v>954</v>
      </c>
      <c r="BP113" s="1" t="str">
        <f>HYPERLINK("http://exon.niaid.nih.gov/transcriptome/T_rubida/S1/links/PFAM/Triru-contig_281-PFAM.txt","Peptidase_C12")</f>
        <v>Peptidase_C12</v>
      </c>
      <c r="BQ113" t="str">
        <f>HYPERLINK("http://pfam.sanger.ac.uk/family?acc=PF01088","1E-009")</f>
        <v>1E-009</v>
      </c>
      <c r="BR113" s="1" t="str">
        <f>HYPERLINK("http://exon.niaid.nih.gov/transcriptome/T_rubida/S1/links/SMART/Triru-contig_281-SMART.txt","Citrate_ly_lig")</f>
        <v>Citrate_ly_lig</v>
      </c>
      <c r="BS113" t="str">
        <f>HYPERLINK("http://smart.embl-heidelberg.de/smart/do_annotation.pl?DOMAIN=Citrate_ly_lig&amp;BLAST=DUMMY","0.030")</f>
        <v>0.030</v>
      </c>
      <c r="BT113" s="1" t="str">
        <f>HYPERLINK("http://exon.niaid.nih.gov/transcriptome/T_rubida/S1/links/PRK/Triru-contig_281-PRK.txt","cytochrome c oxidase subunit II")</f>
        <v>cytochrome c oxidase subunit II</v>
      </c>
      <c r="BU113">
        <v>1.0999999999999999E-2</v>
      </c>
      <c r="BV113" s="1" t="s">
        <v>57</v>
      </c>
      <c r="BW113" t="s">
        <v>57</v>
      </c>
      <c r="BX113" s="1" t="s">
        <v>57</v>
      </c>
      <c r="BY113" t="s">
        <v>57</v>
      </c>
    </row>
    <row r="114" spans="1:77">
      <c r="A114" t="str">
        <f>HYPERLINK("http://exon.niaid.nih.gov/transcriptome/T_rubida/S1/links/Triru/Triru-contig_591.txt","Triru-contig_591")</f>
        <v>Triru-contig_591</v>
      </c>
      <c r="B114">
        <v>1</v>
      </c>
      <c r="C114" t="str">
        <f>HYPERLINK("http://exon.niaid.nih.gov/transcriptome/T_rubida/S1/links/Triru/Triru-5-48-asb-591.txt","Contig-591")</f>
        <v>Contig-591</v>
      </c>
      <c r="D114" t="str">
        <f>HYPERLINK("http://exon.niaid.nih.gov/transcriptome/T_rubida/S1/links/Triru/Triru-5-48-591-CLU.txt","Contig591")</f>
        <v>Contig591</v>
      </c>
      <c r="E114" t="str">
        <f>HYPERLINK("http://exon.niaid.nih.gov/transcriptome/T_rubida/S1/links/Triru/Triru-5-48-591-qual.txt","59.8")</f>
        <v>59.8</v>
      </c>
      <c r="F114" t="s">
        <v>10</v>
      </c>
      <c r="G114">
        <v>67.8</v>
      </c>
      <c r="H114">
        <v>381</v>
      </c>
      <c r="I114" t="s">
        <v>603</v>
      </c>
      <c r="J114">
        <v>381</v>
      </c>
      <c r="K114">
        <v>400</v>
      </c>
      <c r="L114">
        <v>360</v>
      </c>
      <c r="M114" t="s">
        <v>5153</v>
      </c>
      <c r="N114" s="15">
        <v>2</v>
      </c>
      <c r="O114" s="14" t="str">
        <f>HYPERLINK("http://exon.niaid.nih.gov/transcriptome/T_rubida/S1/links/Sigp/TRIRU-CONTIG_591-SigP.txt","Cyt")</f>
        <v>Cyt</v>
      </c>
      <c r="Q114" s="5" t="s">
        <v>5020</v>
      </c>
      <c r="R114" t="s">
        <v>4853</v>
      </c>
      <c r="S114" t="str">
        <f>HYPERLINK("http://exon.niaid.nih.gov/transcriptome/T_rubida/S1/links/GO/Triru-contig_591-GO.txt","GO")</f>
        <v>GO</v>
      </c>
      <c r="T114" s="23">
        <v>6.9999999999999993E-24</v>
      </c>
      <c r="U114">
        <v>18</v>
      </c>
      <c r="V114" s="1" t="str">
        <f>HYPERLINK("http://exon.niaid.nih.gov/transcriptome/T_rubida/S1/links/NR/Triru-contig_591-NR.txt","similar to replication protein A1, partial")</f>
        <v>similar to replication protein A1, partial</v>
      </c>
      <c r="W114" t="str">
        <f>HYPERLINK("http://www.ncbi.nlm.nih.gov/sutils/blink.cgi?pid=221093957","6E-026")</f>
        <v>6E-026</v>
      </c>
      <c r="X114" t="str">
        <f>HYPERLINK("http://www.ncbi.nlm.nih.gov/protein/221093957","gi|221093957")</f>
        <v>gi|221093957</v>
      </c>
      <c r="Y114">
        <v>120</v>
      </c>
      <c r="Z114">
        <v>114</v>
      </c>
      <c r="AA114">
        <v>179</v>
      </c>
      <c r="AB114">
        <v>46</v>
      </c>
      <c r="AC114">
        <v>64</v>
      </c>
      <c r="AD114">
        <v>62</v>
      </c>
      <c r="AE114">
        <v>0</v>
      </c>
      <c r="AF114">
        <v>65</v>
      </c>
      <c r="AG114">
        <v>8</v>
      </c>
      <c r="AH114">
        <v>1</v>
      </c>
      <c r="AI114">
        <v>2</v>
      </c>
      <c r="AJ114" t="s">
        <v>11</v>
      </c>
      <c r="AL114" t="s">
        <v>4443</v>
      </c>
      <c r="AM114" t="s">
        <v>4444</v>
      </c>
      <c r="AN114" t="s">
        <v>4445</v>
      </c>
      <c r="AO114" s="1" t="str">
        <f>HYPERLINK("http://exon.niaid.nih.gov/transcriptome/T_rubida/S1/links/SWISSP/Triru-contig_591-SWISSP.txt","Replication protein A 70 kDa DNA-binding subunit")</f>
        <v>Replication protein A 70 kDa DNA-binding subunit</v>
      </c>
      <c r="AP114" t="str">
        <f>HYPERLINK("http://www.uniprot.org/uniprot/Q01588","7E-025")</f>
        <v>7E-025</v>
      </c>
      <c r="AQ114" t="s">
        <v>4446</v>
      </c>
      <c r="AR114">
        <v>112</v>
      </c>
      <c r="AS114">
        <v>112</v>
      </c>
      <c r="AT114">
        <v>44</v>
      </c>
      <c r="AU114">
        <v>19</v>
      </c>
      <c r="AV114">
        <v>63</v>
      </c>
      <c r="AW114">
        <v>0</v>
      </c>
      <c r="AX114">
        <v>493</v>
      </c>
      <c r="AY114">
        <v>8</v>
      </c>
      <c r="AZ114">
        <v>1</v>
      </c>
      <c r="BA114">
        <v>2</v>
      </c>
      <c r="BB114" t="s">
        <v>11</v>
      </c>
      <c r="BD114" t="s">
        <v>704</v>
      </c>
      <c r="BE114" t="s">
        <v>2158</v>
      </c>
      <c r="BF114" t="s">
        <v>4447</v>
      </c>
      <c r="BG114" t="s">
        <v>4448</v>
      </c>
      <c r="BH114" s="1" t="s">
        <v>4449</v>
      </c>
      <c r="BI114">
        <f>HYPERLINK("http://exon.niaid.nih.gov/transcriptome/T_rubida/S1/links/GO/Triru-contig_591-GO.txt",7E-24)</f>
        <v>6.9999999999999993E-24</v>
      </c>
      <c r="BJ114" s="1" t="str">
        <f>HYPERLINK("http://exon.niaid.nih.gov/transcriptome/T_rubida/S1/links/CDD/Triru-contig_591-CDD.txt","Rep_fac-A_C")</f>
        <v>Rep_fac-A_C</v>
      </c>
      <c r="BK114" t="str">
        <f>HYPERLINK("http://www.ncbi.nlm.nih.gov/Structure/cdd/cddsrv.cgi?uid=pfam08646&amp;version=v4.0","2E-038")</f>
        <v>2E-038</v>
      </c>
      <c r="BL114" t="s">
        <v>4450</v>
      </c>
      <c r="BM114" s="1" t="str">
        <f>HYPERLINK("http://exon.niaid.nih.gov/transcriptome/T_rubida/S1/links/KOG/Triru-contig_591-KOG.txt","Peroxisomal long-chain acyl-CoA transporter, ABC superfamily")</f>
        <v>Peroxisomal long-chain acyl-CoA transporter, ABC superfamily</v>
      </c>
      <c r="BN114" t="str">
        <f>HYPERLINK("http://www.ncbi.nlm.nih.gov/COG/grace/shokog.cgi?KOG0064","0.82")</f>
        <v>0.82</v>
      </c>
      <c r="BO114" t="s">
        <v>709</v>
      </c>
      <c r="BP114" s="1" t="str">
        <f>HYPERLINK("http://exon.niaid.nih.gov/transcriptome/T_rubida/S1/links/PFAM/Triru-contig_591-PFAM.txt","Rep_fac-A_C")</f>
        <v>Rep_fac-A_C</v>
      </c>
      <c r="BQ114" t="str">
        <f>HYPERLINK("http://pfam.sanger.ac.uk/family?acc=PF08646","5E-039")</f>
        <v>5E-039</v>
      </c>
      <c r="BR114" s="1" t="str">
        <f>HYPERLINK("http://exon.niaid.nih.gov/transcriptome/T_rubida/S1/links/SMART/Triru-contig_591-SMART.txt","SPEC")</f>
        <v>SPEC</v>
      </c>
      <c r="BS114" t="str">
        <f>HYPERLINK("http://smart.embl-heidelberg.de/smart/do_annotation.pl?DOMAIN=SPEC&amp;BLAST=DUMMY","0.026")</f>
        <v>0.026</v>
      </c>
      <c r="BT114" s="1" t="str">
        <f>HYPERLINK("http://exon.niaid.nih.gov/transcriptome/T_rubida/S1/links/PRK/Triru-contig_591-PRK.txt","fatty acid hydroxylase.")</f>
        <v>fatty acid hydroxylase.</v>
      </c>
      <c r="BU114">
        <v>0.63</v>
      </c>
      <c r="BV114" s="1" t="s">
        <v>57</v>
      </c>
      <c r="BW114" t="s">
        <v>57</v>
      </c>
      <c r="BX114" s="1" t="s">
        <v>57</v>
      </c>
      <c r="BY114" t="s">
        <v>57</v>
      </c>
    </row>
    <row r="115" spans="1:77" s="3" customFormat="1">
      <c r="A115" s="12" t="s">
        <v>5035</v>
      </c>
      <c r="T115" s="22"/>
    </row>
    <row r="116" spans="1:77">
      <c r="A116" t="str">
        <f>HYPERLINK("http://exon.niaid.nih.gov/transcriptome/T_rubida/S1/links/Triru/Triru-contig_83.txt","Triru-contig_83")</f>
        <v>Triru-contig_83</v>
      </c>
      <c r="B116">
        <v>18</v>
      </c>
      <c r="C116" t="str">
        <f>HYPERLINK("http://exon.niaid.nih.gov/transcriptome/T_rubida/S1/links/Triru/Triru-5-48-asb-83.txt","Contig-83")</f>
        <v>Contig-83</v>
      </c>
      <c r="D116" t="str">
        <f>HYPERLINK("http://exon.niaid.nih.gov/transcriptome/T_rubida/S1/links/Triru/Triru-5-48-83-CLU.txt","Contig83")</f>
        <v>Contig83</v>
      </c>
      <c r="E116" t="str">
        <f>HYPERLINK("http://exon.niaid.nih.gov/transcriptome/T_rubida/S1/links/Triru/Triru-5-48-83-qual.txt","93.7")</f>
        <v>93.7</v>
      </c>
      <c r="F116" t="s">
        <v>10</v>
      </c>
      <c r="G116">
        <v>69.8</v>
      </c>
      <c r="H116">
        <v>691</v>
      </c>
      <c r="I116" t="s">
        <v>95</v>
      </c>
      <c r="J116">
        <v>692</v>
      </c>
      <c r="K116">
        <v>711</v>
      </c>
      <c r="L116">
        <v>486</v>
      </c>
      <c r="M116" t="s">
        <v>5160</v>
      </c>
      <c r="N116" s="15">
        <v>2</v>
      </c>
      <c r="O116" s="14" t="str">
        <f>HYPERLINK("http://exon.niaid.nih.gov/transcriptome/T_rubida/S1/links/Sigp/TRIRU-CONTIG_83-SigP.txt","SIG")</f>
        <v>SIG</v>
      </c>
      <c r="P116" t="s">
        <v>5061</v>
      </c>
      <c r="Q116" s="5" t="s">
        <v>4833</v>
      </c>
      <c r="R116" t="s">
        <v>4834</v>
      </c>
      <c r="S116" t="str">
        <f>HYPERLINK("http://exon.niaid.nih.gov/transcriptome/T_rubida/S1/links/NR/Triru-contig_83-NR.txt","NR")</f>
        <v>NR</v>
      </c>
      <c r="T116" s="23">
        <v>7.0000000000000003E-80</v>
      </c>
      <c r="U116">
        <v>31.7</v>
      </c>
      <c r="V116" s="1" t="str">
        <f>HYPERLINK("http://exon.niaid.nih.gov/transcriptome/T_rubida/S1/links/NR/Triru-contig_83-NR.txt","cytochrome P450-like protein")</f>
        <v>cytochrome P450-like protein</v>
      </c>
      <c r="W116" t="str">
        <f>HYPERLINK("http://www.ncbi.nlm.nih.gov/sutils/blink.cgi?pid=307095134","7E-080")</f>
        <v>7E-080</v>
      </c>
      <c r="X116" t="str">
        <f>HYPERLINK("http://www.ncbi.nlm.nih.gov/protein/307095134","gi|307095134")</f>
        <v>gi|307095134</v>
      </c>
      <c r="Y116">
        <v>301</v>
      </c>
      <c r="Z116">
        <v>159</v>
      </c>
      <c r="AA116">
        <v>504</v>
      </c>
      <c r="AB116">
        <v>85</v>
      </c>
      <c r="AC116">
        <v>32</v>
      </c>
      <c r="AD116">
        <v>23</v>
      </c>
      <c r="AE116">
        <v>0</v>
      </c>
      <c r="AF116">
        <v>344</v>
      </c>
      <c r="AG116">
        <v>5</v>
      </c>
      <c r="AH116">
        <v>1</v>
      </c>
      <c r="AI116">
        <v>2</v>
      </c>
      <c r="AJ116" t="s">
        <v>11</v>
      </c>
      <c r="AL116" t="s">
        <v>1121</v>
      </c>
      <c r="AM116" t="s">
        <v>1122</v>
      </c>
      <c r="AN116" t="s">
        <v>1123</v>
      </c>
      <c r="AO116" s="1" t="str">
        <f>HYPERLINK("http://exon.niaid.nih.gov/transcriptome/T_rubida/S1/links/SWISSP/Triru-contig_83-SWISSP.txt","Probable cytochrome P450 6a14")</f>
        <v>Probable cytochrome P450 6a14</v>
      </c>
      <c r="AP116" t="str">
        <f>HYPERLINK("http://www.uniprot.org/uniprot/Q9V4U7","2E-031")</f>
        <v>2E-031</v>
      </c>
      <c r="AQ116" t="s">
        <v>1124</v>
      </c>
      <c r="AR116">
        <v>136</v>
      </c>
      <c r="AS116">
        <v>157</v>
      </c>
      <c r="AT116">
        <v>39</v>
      </c>
      <c r="AU116">
        <v>31</v>
      </c>
      <c r="AV116">
        <v>95</v>
      </c>
      <c r="AW116">
        <v>0</v>
      </c>
      <c r="AX116">
        <v>352</v>
      </c>
      <c r="AY116">
        <v>5</v>
      </c>
      <c r="AZ116">
        <v>1</v>
      </c>
      <c r="BA116">
        <v>2</v>
      </c>
      <c r="BB116" t="s">
        <v>11</v>
      </c>
      <c r="BD116" t="s">
        <v>704</v>
      </c>
      <c r="BE116" t="s">
        <v>1125</v>
      </c>
      <c r="BF116" t="s">
        <v>1126</v>
      </c>
      <c r="BG116" t="s">
        <v>1127</v>
      </c>
      <c r="BH116" s="1" t="s">
        <v>1128</v>
      </c>
      <c r="BI116">
        <f>HYPERLINK("http://exon.niaid.nih.gov/transcriptome/T_rubida/S1/links/GO/Triru-contig_83-GO.txt",3E-31)</f>
        <v>2.9999999999999998E-31</v>
      </c>
      <c r="BJ116" s="1" t="str">
        <f>HYPERLINK("http://exon.niaid.nih.gov/transcriptome/T_rubida/S1/links/CDD/Triru-contig_83-CDD.txt","p450")</f>
        <v>p450</v>
      </c>
      <c r="BK116" t="str">
        <f>HYPERLINK("http://www.ncbi.nlm.nih.gov/Structure/cdd/cddsrv.cgi?uid=pfam00067&amp;version=v4.0","4E-036")</f>
        <v>4E-036</v>
      </c>
      <c r="BL116" t="s">
        <v>1129</v>
      </c>
      <c r="BM116" s="1" t="str">
        <f>HYPERLINK("http://exon.niaid.nih.gov/transcriptome/T_rubida/S1/links/KOG/Triru-contig_83-KOG.txt","Cytochrome P450 CYP3/CYP5/CYP6/CYP9 subfamilies")</f>
        <v>Cytochrome P450 CYP3/CYP5/CYP6/CYP9 subfamilies</v>
      </c>
      <c r="BN116" t="str">
        <f>HYPERLINK("http://www.ncbi.nlm.nih.gov/COG/grace/shokog.cgi?KOG0158","1E-043")</f>
        <v>1E-043</v>
      </c>
      <c r="BO116" t="s">
        <v>1130</v>
      </c>
      <c r="BP116" s="1" t="str">
        <f>HYPERLINK("http://exon.niaid.nih.gov/transcriptome/T_rubida/S1/links/PFAM/Triru-contig_83-PFAM.txt","p450")</f>
        <v>p450</v>
      </c>
      <c r="BQ116" t="str">
        <f>HYPERLINK("http://pfam.sanger.ac.uk/family?acc=PF00067","7E-037")</f>
        <v>7E-037</v>
      </c>
      <c r="BR116" s="1" t="str">
        <f>HYPERLINK("http://exon.niaid.nih.gov/transcriptome/T_rubida/S1/links/SMART/Triru-contig_83-SMART.txt","RasGEF")</f>
        <v>RasGEF</v>
      </c>
      <c r="BS116" t="str">
        <f>HYPERLINK("http://smart.embl-heidelberg.de/smart/do_annotation.pl?DOMAIN=RasGEF&amp;BLAST=DUMMY","0.020")</f>
        <v>0.020</v>
      </c>
      <c r="BT116" s="1" t="str">
        <f>HYPERLINK("http://exon.niaid.nih.gov/transcriptome/T_rubida/S1/links/PRK/Triru-contig_83-PRK.txt","ent-kaurenoic acid oxidase.")</f>
        <v>ent-kaurenoic acid oxidase.</v>
      </c>
      <c r="BU116" s="2">
        <v>4.0000000000000003E-15</v>
      </c>
      <c r="BV116" s="1" t="s">
        <v>57</v>
      </c>
      <c r="BW116" t="s">
        <v>57</v>
      </c>
      <c r="BX116" s="1" t="s">
        <v>57</v>
      </c>
      <c r="BY116" t="s">
        <v>57</v>
      </c>
    </row>
    <row r="117" spans="1:77">
      <c r="A117" t="str">
        <f>HYPERLINK("http://exon.niaid.nih.gov/transcriptome/T_rubida/S1/links/Triru/Triru-contig_147.txt","Triru-contig_147")</f>
        <v>Triru-contig_147</v>
      </c>
      <c r="B117">
        <v>2</v>
      </c>
      <c r="C117" t="str">
        <f>HYPERLINK("http://exon.niaid.nih.gov/transcriptome/T_rubida/S1/links/Triru/Triru-5-48-asb-147.txt","Contig-147")</f>
        <v>Contig-147</v>
      </c>
      <c r="D117" t="str">
        <f>HYPERLINK("http://exon.niaid.nih.gov/transcriptome/T_rubida/S1/links/Triru/Triru-5-48-147-CLU.txt","Contig147")</f>
        <v>Contig147</v>
      </c>
      <c r="E117" t="str">
        <f>HYPERLINK("http://exon.niaid.nih.gov/transcriptome/T_rubida/S1/links/Triru/Triru-5-48-147-qual.txt","84.")</f>
        <v>84.</v>
      </c>
      <c r="F117" t="s">
        <v>10</v>
      </c>
      <c r="G117">
        <v>64.3</v>
      </c>
      <c r="H117">
        <v>244</v>
      </c>
      <c r="I117" t="s">
        <v>159</v>
      </c>
      <c r="J117">
        <v>244</v>
      </c>
      <c r="K117">
        <v>263</v>
      </c>
      <c r="L117">
        <v>102</v>
      </c>
      <c r="M117" t="s">
        <v>5163</v>
      </c>
      <c r="N117" s="15">
        <v>2</v>
      </c>
      <c r="Q117" s="5" t="s">
        <v>4882</v>
      </c>
      <c r="R117" t="s">
        <v>4834</v>
      </c>
      <c r="S117" t="str">
        <f>HYPERLINK("http://exon.niaid.nih.gov/transcriptome/T_rubida/S1/links/PRK/Triru-contig_147-PRK.txt","PRK")</f>
        <v>PRK</v>
      </c>
      <c r="T117" s="23">
        <v>1.9999999999999999E-11</v>
      </c>
      <c r="U117">
        <v>18.399999999999999</v>
      </c>
      <c r="V117" s="1" t="str">
        <f>HYPERLINK("http://exon.niaid.nih.gov/transcriptome/T_rubida/S1/links/NR/Triru-contig_147-NR.txt","superoxide dismutase")</f>
        <v>superoxide dismutase</v>
      </c>
      <c r="W117" t="str">
        <f>HYPERLINK("http://www.ncbi.nlm.nih.gov/sutils/blink.cgi?pid=149898934","1E-009")</f>
        <v>1E-009</v>
      </c>
      <c r="X117" t="str">
        <f>HYPERLINK("http://www.ncbi.nlm.nih.gov/protein/149898934","gi|149898934")</f>
        <v>gi|149898934</v>
      </c>
      <c r="Y117">
        <v>66.599999999999994</v>
      </c>
      <c r="Z117">
        <v>30</v>
      </c>
      <c r="AA117">
        <v>154</v>
      </c>
      <c r="AB117">
        <v>100</v>
      </c>
      <c r="AC117">
        <v>20</v>
      </c>
      <c r="AD117">
        <v>0</v>
      </c>
      <c r="AE117">
        <v>0</v>
      </c>
      <c r="AF117">
        <v>124</v>
      </c>
      <c r="AG117">
        <v>6</v>
      </c>
      <c r="AH117">
        <v>1</v>
      </c>
      <c r="AI117">
        <v>3</v>
      </c>
      <c r="AJ117" t="s">
        <v>11</v>
      </c>
      <c r="AL117" t="s">
        <v>1067</v>
      </c>
      <c r="AM117" t="s">
        <v>1561</v>
      </c>
      <c r="AN117" t="s">
        <v>1562</v>
      </c>
      <c r="AO117" s="1" t="str">
        <f>HYPERLINK("http://exon.niaid.nih.gov/transcriptome/T_rubida/S1/links/SWISSP/Triru-contig_147-SWISSP.txt","Superoxide dismutase")</f>
        <v>Superoxide dismutase</v>
      </c>
      <c r="AP117" t="str">
        <f>HYPERLINK("http://www.uniprot.org/uniprot/P28755","2E-009")</f>
        <v>2E-009</v>
      </c>
      <c r="AQ117" t="s">
        <v>1563</v>
      </c>
      <c r="AR117">
        <v>61.2</v>
      </c>
      <c r="AS117">
        <v>29</v>
      </c>
      <c r="AT117">
        <v>93</v>
      </c>
      <c r="AU117">
        <v>20</v>
      </c>
      <c r="AV117">
        <v>2</v>
      </c>
      <c r="AW117">
        <v>0</v>
      </c>
      <c r="AX117">
        <v>123</v>
      </c>
      <c r="AY117">
        <v>6</v>
      </c>
      <c r="AZ117">
        <v>1</v>
      </c>
      <c r="BA117">
        <v>3</v>
      </c>
      <c r="BB117" t="s">
        <v>11</v>
      </c>
      <c r="BD117" t="s">
        <v>704</v>
      </c>
      <c r="BE117" t="s">
        <v>1564</v>
      </c>
      <c r="BF117" t="s">
        <v>1565</v>
      </c>
      <c r="BG117" t="s">
        <v>1566</v>
      </c>
      <c r="BH117" s="1" t="s">
        <v>1567</v>
      </c>
      <c r="BI117">
        <f>HYPERLINK("http://exon.niaid.nih.gov/transcriptome/T_rubida/S1/links/GO/Triru-contig_147-GO.txt",0.00000001)</f>
        <v>1E-8</v>
      </c>
      <c r="BJ117" s="1" t="str">
        <f>HYPERLINK("http://exon.niaid.nih.gov/transcriptome/T_rubida/S1/links/CDD/Triru-contig_147-CDD.txt","PLN02386")</f>
        <v>PLN02386</v>
      </c>
      <c r="BK117" t="str">
        <f>HYPERLINK("http://www.ncbi.nlm.nih.gov/Structure/cdd/cddsrv.cgi?uid=PLN02386&amp;version=v4.0","5E-011")</f>
        <v>5E-011</v>
      </c>
      <c r="BL117" t="s">
        <v>1568</v>
      </c>
      <c r="BM117" s="1" t="str">
        <f>HYPERLINK("http://exon.niaid.nih.gov/transcriptome/T_rubida/S1/links/KOG/Triru-contig_147-KOG.txt","Cu2+/Zn2+ superoxide dismutase SOD1")</f>
        <v>Cu2+/Zn2+ superoxide dismutase SOD1</v>
      </c>
      <c r="BN117" t="str">
        <f>HYPERLINK("http://www.ncbi.nlm.nih.gov/COG/grace/shokog.cgi?KOG0441","1E-009")</f>
        <v>1E-009</v>
      </c>
      <c r="BO117" t="s">
        <v>849</v>
      </c>
      <c r="BP117" s="1" t="str">
        <f>HYPERLINK("http://exon.niaid.nih.gov/transcriptome/T_rubida/S1/links/PFAM/Triru-contig_147-PFAM.txt","Sod_Cu")</f>
        <v>Sod_Cu</v>
      </c>
      <c r="BQ117" t="str">
        <f>HYPERLINK("http://pfam.sanger.ac.uk/family?acc=PF00080","1E-005")</f>
        <v>1E-005</v>
      </c>
      <c r="BR117" s="1" t="str">
        <f>HYPERLINK("http://exon.niaid.nih.gov/transcriptome/T_rubida/S1/links/SMART/Triru-contig_147-SMART.txt","SH3")</f>
        <v>SH3</v>
      </c>
      <c r="BS117" t="str">
        <f>HYPERLINK("http://smart.embl-heidelberg.de/smart/do_annotation.pl?DOMAIN=SH3&amp;BLAST=DUMMY","0.24")</f>
        <v>0.24</v>
      </c>
      <c r="BT117" s="1" t="str">
        <f>HYPERLINK("http://exon.niaid.nih.gov/transcriptome/T_rubida/S1/links/PRK/Triru-contig_147-PRK.txt","superoxide dismutase [Cu-Zn].")</f>
        <v>superoxide dismutase [Cu-Zn].</v>
      </c>
      <c r="BU117" s="2">
        <v>1.9999999999999999E-11</v>
      </c>
      <c r="BV117" s="1" t="s">
        <v>57</v>
      </c>
      <c r="BW117" t="s">
        <v>57</v>
      </c>
      <c r="BX117" s="1" t="s">
        <v>57</v>
      </c>
      <c r="BY117" t="s">
        <v>57</v>
      </c>
    </row>
    <row r="118" spans="1:77">
      <c r="A118" t="str">
        <f>HYPERLINK("http://exon.niaid.nih.gov/transcriptome/T_rubida/S1/links/Triru/Triru-contig_342.txt","Triru-contig_342")</f>
        <v>Triru-contig_342</v>
      </c>
      <c r="B118">
        <v>1</v>
      </c>
      <c r="C118" t="str">
        <f>HYPERLINK("http://exon.niaid.nih.gov/transcriptome/T_rubida/S1/links/Triru/Triru-5-48-asb-342.txt","Contig-342")</f>
        <v>Contig-342</v>
      </c>
      <c r="D118" t="str">
        <f>HYPERLINK("http://exon.niaid.nih.gov/transcriptome/T_rubida/S1/links/Triru/Triru-5-48-342-CLU.txt","Contig342")</f>
        <v>Contig342</v>
      </c>
      <c r="E118" t="str">
        <f>HYPERLINK("http://exon.niaid.nih.gov/transcriptome/T_rubida/S1/links/Triru/Triru-5-48-342-qual.txt","50.6")</f>
        <v>50.6</v>
      </c>
      <c r="F118">
        <v>0.1</v>
      </c>
      <c r="G118">
        <v>64.7</v>
      </c>
      <c r="H118">
        <v>945</v>
      </c>
      <c r="I118" t="s">
        <v>354</v>
      </c>
      <c r="J118">
        <v>945</v>
      </c>
      <c r="K118">
        <v>964</v>
      </c>
      <c r="L118">
        <v>789</v>
      </c>
      <c r="M118" t="s">
        <v>5154</v>
      </c>
      <c r="N118" s="15">
        <v>3</v>
      </c>
      <c r="O118" s="14" t="str">
        <f>HYPERLINK("http://exon.niaid.nih.gov/transcriptome/T_rubida/S1/links/Sigp/TRIRU-CONTIG_342-SigP.txt","Cyt")</f>
        <v>Cyt</v>
      </c>
      <c r="Q118" s="5" t="s">
        <v>4937</v>
      </c>
      <c r="R118" t="s">
        <v>4917</v>
      </c>
      <c r="S118" t="str">
        <f>HYPERLINK("http://exon.niaid.nih.gov/transcriptome/T_rubida/S1/links/KOG/Triru-contig_342-KOG.txt","KOG")</f>
        <v>KOG</v>
      </c>
      <c r="T118" s="23">
        <v>0</v>
      </c>
      <c r="U118">
        <v>69</v>
      </c>
      <c r="V118" s="1" t="str">
        <f>HYPERLINK("http://exon.niaid.nih.gov/transcriptome/T_rubida/S1/links/NR/Triru-contig_342-NR.txt","similar to alcohol dehydrogenase")</f>
        <v>similar to alcohol dehydrogenase</v>
      </c>
      <c r="W118" t="str">
        <f>HYPERLINK("http://www.ncbi.nlm.nih.gov/sutils/blink.cgi?pid=156554298","1E-120")</f>
        <v>1E-120</v>
      </c>
      <c r="X118" t="str">
        <f>HYPERLINK("http://www.ncbi.nlm.nih.gov/protein/156554298","gi|156554298")</f>
        <v>gi|156554298</v>
      </c>
      <c r="Y118">
        <v>436</v>
      </c>
      <c r="Z118">
        <v>257</v>
      </c>
      <c r="AA118">
        <v>377</v>
      </c>
      <c r="AB118">
        <v>79</v>
      </c>
      <c r="AC118">
        <v>68</v>
      </c>
      <c r="AD118">
        <v>53</v>
      </c>
      <c r="AE118">
        <v>0</v>
      </c>
      <c r="AF118">
        <v>120</v>
      </c>
      <c r="AG118">
        <v>12</v>
      </c>
      <c r="AH118">
        <v>1</v>
      </c>
      <c r="AI118">
        <v>3</v>
      </c>
      <c r="AJ118" t="s">
        <v>11</v>
      </c>
      <c r="AL118" t="s">
        <v>1330</v>
      </c>
      <c r="AM118" t="s">
        <v>2796</v>
      </c>
      <c r="AN118" t="s">
        <v>2797</v>
      </c>
      <c r="AO118" s="1" t="str">
        <f>HYPERLINK("http://exon.niaid.nih.gov/transcriptome/T_rubida/S1/links/SWISSP/Triru-contig_342-SWISSP.txt","Alcohol dehydrogenase class-3")</f>
        <v>Alcohol dehydrogenase class-3</v>
      </c>
      <c r="AP118" t="str">
        <f>HYPERLINK("http://www.uniprot.org/uniprot/P79896","1E-114")</f>
        <v>1E-114</v>
      </c>
      <c r="AQ118" t="s">
        <v>2798</v>
      </c>
      <c r="AR118">
        <v>413</v>
      </c>
      <c r="AS118">
        <v>257</v>
      </c>
      <c r="AT118">
        <v>73</v>
      </c>
      <c r="AU118">
        <v>69</v>
      </c>
      <c r="AV118">
        <v>68</v>
      </c>
      <c r="AW118">
        <v>0</v>
      </c>
      <c r="AX118">
        <v>119</v>
      </c>
      <c r="AY118">
        <v>12</v>
      </c>
      <c r="AZ118">
        <v>1</v>
      </c>
      <c r="BA118">
        <v>3</v>
      </c>
      <c r="BB118" t="s">
        <v>11</v>
      </c>
      <c r="BD118" t="s">
        <v>704</v>
      </c>
      <c r="BE118" t="s">
        <v>2799</v>
      </c>
      <c r="BF118" t="s">
        <v>2800</v>
      </c>
      <c r="BG118" t="s">
        <v>2801</v>
      </c>
      <c r="BH118" s="1" t="s">
        <v>2802</v>
      </c>
      <c r="BI118">
        <f>HYPERLINK("http://exon.niaid.nih.gov/transcriptome/T_rubida/S1/links/GO/Triru-contig_342-GO.txt",0)</f>
        <v>0</v>
      </c>
      <c r="BJ118" s="1" t="str">
        <f>HYPERLINK("http://exon.niaid.nih.gov/transcriptome/T_rubida/S1/links/CDD/Triru-contig_342-CDD.txt","alcohol_DH_clas")</f>
        <v>alcohol_DH_clas</v>
      </c>
      <c r="BK118" t="str">
        <f>HYPERLINK("http://www.ncbi.nlm.nih.gov/Structure/cdd/cddsrv.cgi?uid=cd08300&amp;version=v4.0","1E-158")</f>
        <v>1E-158</v>
      </c>
      <c r="BL118" t="s">
        <v>2803</v>
      </c>
      <c r="BM118" s="1" t="str">
        <f>HYPERLINK("http://exon.niaid.nih.gov/transcriptome/T_rubida/S1/links/KOG/Triru-contig_342-KOG.txt","Alcohol dehydrogenase, class III")</f>
        <v>Alcohol dehydrogenase, class III</v>
      </c>
      <c r="BN118" t="str">
        <f>HYPERLINK("http://www.ncbi.nlm.nih.gov/COG/grace/shokog.cgi?KOG0022","1E-128")</f>
        <v>1E-128</v>
      </c>
      <c r="BO118" t="s">
        <v>1130</v>
      </c>
      <c r="BP118" s="1" t="str">
        <f>HYPERLINK("http://exon.niaid.nih.gov/transcriptome/T_rubida/S1/links/PFAM/Triru-contig_342-PFAM.txt","ADH_zinc_N")</f>
        <v>ADH_zinc_N</v>
      </c>
      <c r="BQ118" t="str">
        <f>HYPERLINK("http://pfam.sanger.ac.uk/family?acc=PF00107","1E-025")</f>
        <v>1E-025</v>
      </c>
      <c r="BR118" s="1" t="str">
        <f>HYPERLINK("http://exon.niaid.nih.gov/transcriptome/T_rubida/S1/links/SMART/Triru-contig_342-SMART.txt","ZnF_C4")</f>
        <v>ZnF_C4</v>
      </c>
      <c r="BS118" t="str">
        <f>HYPERLINK("http://smart.embl-heidelberg.de/smart/do_annotation.pl?DOMAIN=ZnF_C4&amp;BLAST=DUMMY","0.004")</f>
        <v>0.004</v>
      </c>
      <c r="BT118" s="1" t="str">
        <f>HYPERLINK("http://exon.niaid.nih.gov/transcriptome/T_rubida/S1/links/PRK/Triru-contig_342-PRK.txt","Alcohol dehydrogenase-like.")</f>
        <v>Alcohol dehydrogenase-like.</v>
      </c>
      <c r="BU118" s="2">
        <v>6.0000000000000002E-83</v>
      </c>
      <c r="BV118" s="1" t="s">
        <v>57</v>
      </c>
      <c r="BW118" t="s">
        <v>57</v>
      </c>
      <c r="BX118" s="1" t="s">
        <v>57</v>
      </c>
      <c r="BY118" t="s">
        <v>57</v>
      </c>
    </row>
    <row r="119" spans="1:77">
      <c r="A119" t="str">
        <f>HYPERLINK("http://exon.niaid.nih.gov/transcriptome/T_rubida/S1/links/Triru/Triru-contig_546.txt","Triru-contig_546")</f>
        <v>Triru-contig_546</v>
      </c>
      <c r="B119">
        <v>1</v>
      </c>
      <c r="C119" t="str">
        <f>HYPERLINK("http://exon.niaid.nih.gov/transcriptome/T_rubida/S1/links/Triru/Triru-5-48-asb-546.txt","Contig-546")</f>
        <v>Contig-546</v>
      </c>
      <c r="D119" t="str">
        <f>HYPERLINK("http://exon.niaid.nih.gov/transcriptome/T_rubida/S1/links/Triru/Triru-5-48-546-CLU.txt","Contig546")</f>
        <v>Contig546</v>
      </c>
      <c r="E119" t="str">
        <f>HYPERLINK("http://exon.niaid.nih.gov/transcriptome/T_rubida/S1/links/Triru/Triru-5-48-546-qual.txt","60.2")</f>
        <v>60.2</v>
      </c>
      <c r="F119" t="s">
        <v>10</v>
      </c>
      <c r="G119">
        <v>64</v>
      </c>
      <c r="H119">
        <v>787</v>
      </c>
      <c r="I119" t="s">
        <v>558</v>
      </c>
      <c r="J119">
        <v>787</v>
      </c>
      <c r="K119">
        <v>806</v>
      </c>
      <c r="L119">
        <v>609</v>
      </c>
      <c r="M119" t="s">
        <v>5155</v>
      </c>
      <c r="N119" s="15">
        <v>2</v>
      </c>
      <c r="O119" s="14" t="str">
        <f>HYPERLINK("http://exon.niaid.nih.gov/transcriptome/T_rubida/S1/links/Sigp/TRIRU-CONTIG_546-SigP.txt","Cyt")</f>
        <v>Cyt</v>
      </c>
      <c r="Q119" s="5" t="s">
        <v>4937</v>
      </c>
      <c r="R119" t="s">
        <v>4917</v>
      </c>
      <c r="S119" t="str">
        <f>HYPERLINK("http://exon.niaid.nih.gov/transcriptome/T_rubida/S1/links/KOG/Triru-contig_546-KOG.txt","KOG")</f>
        <v>KOG</v>
      </c>
      <c r="T119" s="23">
        <v>6.0000000000000003E-95</v>
      </c>
      <c r="U119">
        <v>50.6</v>
      </c>
      <c r="V119" s="1" t="str">
        <f>HYPERLINK("http://exon.niaid.nih.gov/transcriptome/T_rubida/S1/links/NR/Triru-contig_546-NR.txt","similar to alcohol dehydrogenase")</f>
        <v>similar to alcohol dehydrogenase</v>
      </c>
      <c r="W119" t="str">
        <f>HYPERLINK("http://www.ncbi.nlm.nih.gov/sutils/blink.cgi?pid=156554298","4E-087")</f>
        <v>4E-087</v>
      </c>
      <c r="X119" t="str">
        <f>HYPERLINK("http://www.ncbi.nlm.nih.gov/protein/156554298","gi|156554298")</f>
        <v>gi|156554298</v>
      </c>
      <c r="Y119">
        <v>325</v>
      </c>
      <c r="Z119">
        <v>192</v>
      </c>
      <c r="AA119">
        <v>377</v>
      </c>
      <c r="AB119">
        <v>79</v>
      </c>
      <c r="AC119">
        <v>51</v>
      </c>
      <c r="AD119">
        <v>40</v>
      </c>
      <c r="AE119">
        <v>0</v>
      </c>
      <c r="AF119">
        <v>185</v>
      </c>
      <c r="AG119">
        <v>26</v>
      </c>
      <c r="AH119">
        <v>1</v>
      </c>
      <c r="AI119">
        <v>2</v>
      </c>
      <c r="AJ119" t="s">
        <v>11</v>
      </c>
      <c r="AL119" t="s">
        <v>1330</v>
      </c>
      <c r="AM119" t="s">
        <v>4164</v>
      </c>
      <c r="AN119" t="s">
        <v>4165</v>
      </c>
      <c r="AO119" s="1" t="str">
        <f>HYPERLINK("http://exon.niaid.nih.gov/transcriptome/T_rubida/S1/links/SWISSP/Triru-contig_546-SWISSP.txt","Alcohol dehydrogenase class-3")</f>
        <v>Alcohol dehydrogenase class-3</v>
      </c>
      <c r="AP119" t="str">
        <f>HYPERLINK("http://www.uniprot.org/uniprot/P79896","2E-083")</f>
        <v>2E-083</v>
      </c>
      <c r="AQ119" t="s">
        <v>2798</v>
      </c>
      <c r="AR119">
        <v>309</v>
      </c>
      <c r="AS119">
        <v>192</v>
      </c>
      <c r="AT119">
        <v>73</v>
      </c>
      <c r="AU119">
        <v>51</v>
      </c>
      <c r="AV119">
        <v>52</v>
      </c>
      <c r="AW119">
        <v>0</v>
      </c>
      <c r="AX119">
        <v>184</v>
      </c>
      <c r="AY119">
        <v>26</v>
      </c>
      <c r="AZ119">
        <v>1</v>
      </c>
      <c r="BA119">
        <v>2</v>
      </c>
      <c r="BB119" t="s">
        <v>11</v>
      </c>
      <c r="BD119" t="s">
        <v>704</v>
      </c>
      <c r="BE119" t="s">
        <v>2799</v>
      </c>
      <c r="BF119" t="s">
        <v>4166</v>
      </c>
      <c r="BG119" t="s">
        <v>4167</v>
      </c>
      <c r="BH119" s="1" t="s">
        <v>2802</v>
      </c>
      <c r="BI119">
        <f>HYPERLINK("http://exon.niaid.nih.gov/transcriptome/T_rubida/S1/links/GO/Triru-contig_546-GO.txt",2E-82)</f>
        <v>1.9999999999999999E-82</v>
      </c>
      <c r="BJ119" s="1" t="str">
        <f>HYPERLINK("http://exon.niaid.nih.gov/transcriptome/T_rubida/S1/links/CDD/Triru-contig_546-CDD.txt","alcohol_DH_clas")</f>
        <v>alcohol_DH_clas</v>
      </c>
      <c r="BK119" t="str">
        <f>HYPERLINK("http://www.ncbi.nlm.nih.gov/Structure/cdd/cddsrv.cgi?uid=cd08300&amp;version=v4.0","1E-113")</f>
        <v>1E-113</v>
      </c>
      <c r="BL119" t="s">
        <v>4168</v>
      </c>
      <c r="BM119" s="1" t="str">
        <f>HYPERLINK("http://exon.niaid.nih.gov/transcriptome/T_rubida/S1/links/KOG/Triru-contig_546-KOG.txt","Alcohol dehydrogenase, class III")</f>
        <v>Alcohol dehydrogenase, class III</v>
      </c>
      <c r="BN119" t="str">
        <f>HYPERLINK("http://www.ncbi.nlm.nih.gov/COG/grace/shokog.cgi?KOG0022","6E-095")</f>
        <v>6E-095</v>
      </c>
      <c r="BO119" t="s">
        <v>1130</v>
      </c>
      <c r="BP119" s="1" t="str">
        <f>HYPERLINK("http://exon.niaid.nih.gov/transcriptome/T_rubida/S1/links/PFAM/Triru-contig_546-PFAM.txt","ADH_zinc_N")</f>
        <v>ADH_zinc_N</v>
      </c>
      <c r="BQ119" t="str">
        <f>HYPERLINK("http://pfam.sanger.ac.uk/family?acc=PF00107","9E-026")</f>
        <v>9E-026</v>
      </c>
      <c r="BR119" s="1" t="str">
        <f>HYPERLINK("http://exon.niaid.nih.gov/transcriptome/T_rubida/S1/links/SMART/Triru-contig_546-SMART.txt","ZnF_C4")</f>
        <v>ZnF_C4</v>
      </c>
      <c r="BS119" t="str">
        <f>HYPERLINK("http://smart.embl-heidelberg.de/smart/do_annotation.pl?DOMAIN=ZnF_C4&amp;BLAST=DUMMY","0.011")</f>
        <v>0.011</v>
      </c>
      <c r="BT119" s="1" t="str">
        <f>HYPERLINK("http://exon.niaid.nih.gov/transcriptome/T_rubida/S1/links/PRK/Triru-contig_546-PRK.txt","Alcohol dehydrogenase-like.")</f>
        <v>Alcohol dehydrogenase-like.</v>
      </c>
      <c r="BU119" s="2">
        <v>4.0000000000000002E-62</v>
      </c>
      <c r="BV119" s="1" t="s">
        <v>57</v>
      </c>
      <c r="BW119" t="s">
        <v>57</v>
      </c>
      <c r="BX119" s="1" t="s">
        <v>57</v>
      </c>
      <c r="BY119" t="s">
        <v>57</v>
      </c>
    </row>
    <row r="120" spans="1:77">
      <c r="A120" t="str">
        <f>HYPERLINK("http://exon.niaid.nih.gov/transcriptome/T_rubida/S1/links/Triru/Triru-contig_295.txt","Triru-contig_295")</f>
        <v>Triru-contig_295</v>
      </c>
      <c r="B120">
        <v>1</v>
      </c>
      <c r="C120" t="str">
        <f>HYPERLINK("http://exon.niaid.nih.gov/transcriptome/T_rubida/S1/links/Triru/Triru-5-48-asb-295.txt","Contig-295")</f>
        <v>Contig-295</v>
      </c>
      <c r="D120" t="str">
        <f>HYPERLINK("http://exon.niaid.nih.gov/transcriptome/T_rubida/S1/links/Triru/Triru-5-48-295-CLU.txt","Contig295")</f>
        <v>Contig295</v>
      </c>
      <c r="E120" t="str">
        <f>HYPERLINK("http://exon.niaid.nih.gov/transcriptome/T_rubida/S1/links/Triru/Triru-5-48-295-qual.txt","58.7")</f>
        <v>58.7</v>
      </c>
      <c r="F120" t="s">
        <v>10</v>
      </c>
      <c r="G120">
        <v>63.5</v>
      </c>
      <c r="H120">
        <v>406</v>
      </c>
      <c r="I120" t="s">
        <v>307</v>
      </c>
      <c r="J120">
        <v>406</v>
      </c>
      <c r="K120">
        <v>425</v>
      </c>
      <c r="L120">
        <v>222</v>
      </c>
      <c r="M120" t="s">
        <v>5156</v>
      </c>
      <c r="N120" s="15">
        <v>2</v>
      </c>
      <c r="O120" s="14" t="str">
        <f>HYPERLINK("http://exon.niaid.nih.gov/transcriptome/T_rubida/S1/links/Sigp/TRIRU-CONTIG_295-SigP.txt","BL")</f>
        <v>BL</v>
      </c>
      <c r="Q120" s="5" t="s">
        <v>4916</v>
      </c>
      <c r="R120" t="s">
        <v>4917</v>
      </c>
      <c r="S120" t="str">
        <f>HYPERLINK("http://exon.niaid.nih.gov/transcriptome/T_rubida/S1/links/NR/Triru-contig_295-NR.txt","NR")</f>
        <v>NR</v>
      </c>
      <c r="T120" s="23">
        <v>2.0000000000000001E-13</v>
      </c>
      <c r="U120">
        <v>28</v>
      </c>
      <c r="V120" s="1" t="str">
        <f>HYPERLINK("http://exon.niaid.nih.gov/transcriptome/T_rubida/S1/links/NR/Triru-contig_295-NR.txt","GST")</f>
        <v>GST</v>
      </c>
      <c r="W120" t="str">
        <f>HYPERLINK("http://www.ncbi.nlm.nih.gov/sutils/blink.cgi?pid=83755202","5E-022")</f>
        <v>5E-022</v>
      </c>
      <c r="X120" t="str">
        <f>HYPERLINK("http://www.ncbi.nlm.nih.gov/protein/83755202","gi|83755202")</f>
        <v>gi|83755202</v>
      </c>
      <c r="Y120">
        <v>95.9</v>
      </c>
      <c r="Z120">
        <v>93</v>
      </c>
      <c r="AA120">
        <v>216</v>
      </c>
      <c r="AB120">
        <v>62</v>
      </c>
      <c r="AC120">
        <v>44</v>
      </c>
      <c r="AD120">
        <v>26</v>
      </c>
      <c r="AE120">
        <v>0</v>
      </c>
      <c r="AF120">
        <v>121</v>
      </c>
      <c r="AG120">
        <v>3</v>
      </c>
      <c r="AH120">
        <v>2</v>
      </c>
      <c r="AI120">
        <v>2</v>
      </c>
      <c r="AJ120" t="s">
        <v>888</v>
      </c>
      <c r="AL120" t="s">
        <v>1216</v>
      </c>
      <c r="AM120" t="s">
        <v>2471</v>
      </c>
      <c r="AN120" t="s">
        <v>2472</v>
      </c>
      <c r="AO120" s="1" t="str">
        <f>HYPERLINK("http://exon.niaid.nih.gov/transcriptome/T_rubida/S1/links/SWISSP/Triru-contig_295-SWISSP.txt","Glutathione S-transferase 1, isoform D")</f>
        <v>Glutathione S-transferase 1, isoform D</v>
      </c>
      <c r="AP120" t="str">
        <f>HYPERLINK("http://www.uniprot.org/uniprot/Q93113","1E-012")</f>
        <v>1E-012</v>
      </c>
      <c r="AQ120" t="s">
        <v>2473</v>
      </c>
      <c r="AR120">
        <v>71.599999999999994</v>
      </c>
      <c r="AS120">
        <v>62</v>
      </c>
      <c r="AT120">
        <v>53</v>
      </c>
      <c r="AU120">
        <v>30</v>
      </c>
      <c r="AV120">
        <v>30</v>
      </c>
      <c r="AW120">
        <v>0</v>
      </c>
      <c r="AX120">
        <v>147</v>
      </c>
      <c r="AY120">
        <v>86</v>
      </c>
      <c r="AZ120">
        <v>1</v>
      </c>
      <c r="BA120">
        <v>2</v>
      </c>
      <c r="BB120" t="s">
        <v>11</v>
      </c>
      <c r="BD120" t="s">
        <v>704</v>
      </c>
      <c r="BE120" t="s">
        <v>2084</v>
      </c>
      <c r="BF120" t="s">
        <v>2474</v>
      </c>
      <c r="BG120" t="s">
        <v>2475</v>
      </c>
      <c r="BH120" s="1" t="s">
        <v>2476</v>
      </c>
      <c r="BI120">
        <f>HYPERLINK("http://exon.niaid.nih.gov/transcriptome/T_rubida/S1/links/GO/Triru-contig_295-GO.txt",0.00000000004)</f>
        <v>3.9999999999999998E-11</v>
      </c>
      <c r="BJ120" s="1" t="str">
        <f>HYPERLINK("http://exon.niaid.nih.gov/transcriptome/T_rubida/S1/links/CDD/Triru-contig_295-CDD.txt","GST_C_Delta_Eps")</f>
        <v>GST_C_Delta_Eps</v>
      </c>
      <c r="BK120" t="str">
        <f>HYPERLINK("http://www.ncbi.nlm.nih.gov/Structure/cdd/cddsrv.cgi?uid=cd03177&amp;version=v4.0","6E-015")</f>
        <v>6E-015</v>
      </c>
      <c r="BL120" t="s">
        <v>2477</v>
      </c>
      <c r="BM120" s="1" t="str">
        <f>HYPERLINK("http://exon.niaid.nih.gov/transcriptome/T_rubida/S1/links/KOG/Triru-contig_295-KOG.txt","Glutathione S-transferase")</f>
        <v>Glutathione S-transferase</v>
      </c>
      <c r="BN120" t="str">
        <f>HYPERLINK("http://www.ncbi.nlm.nih.gov/COG/grace/shokog.cgi?KOG0867","6E-009")</f>
        <v>6E-009</v>
      </c>
      <c r="BO120" t="s">
        <v>954</v>
      </c>
      <c r="BP120" s="1" t="str">
        <f>HYPERLINK("http://exon.niaid.nih.gov/transcriptome/T_rubida/S1/links/PFAM/Triru-contig_295-PFAM.txt","GST_C")</f>
        <v>GST_C</v>
      </c>
      <c r="BQ120" t="str">
        <f>HYPERLINK("http://pfam.sanger.ac.uk/family?acc=PF00043","0.009")</f>
        <v>0.009</v>
      </c>
      <c r="BR120" s="1" t="str">
        <f>HYPERLINK("http://exon.niaid.nih.gov/transcriptome/T_rubida/S1/links/SMART/Triru-contig_295-SMART.txt","WIF")</f>
        <v>WIF</v>
      </c>
      <c r="BS120" t="str">
        <f>HYPERLINK("http://smart.embl-heidelberg.de/smart/do_annotation.pl?DOMAIN=WIF&amp;BLAST=DUMMY","0.033")</f>
        <v>0.033</v>
      </c>
      <c r="BT120" s="1" t="str">
        <f>HYPERLINK("http://exon.niaid.nih.gov/transcriptome/T_rubida/S1/links/PRK/Triru-contig_295-PRK.txt","allantoinase.")</f>
        <v>allantoinase.</v>
      </c>
      <c r="BU120">
        <v>6.7000000000000004E-2</v>
      </c>
      <c r="BV120" s="1" t="s">
        <v>57</v>
      </c>
      <c r="BW120" t="s">
        <v>57</v>
      </c>
      <c r="BX120" s="1" t="s">
        <v>57</v>
      </c>
      <c r="BY120" t="s">
        <v>57</v>
      </c>
    </row>
    <row r="121" spans="1:77">
      <c r="A121" t="str">
        <f>HYPERLINK("http://exon.niaid.nih.gov/transcriptome/T_rubida/S1/links/Triru/Triru-contig_474.txt","Triru-contig_474")</f>
        <v>Triru-contig_474</v>
      </c>
      <c r="B121">
        <v>1</v>
      </c>
      <c r="C121" t="str">
        <f>HYPERLINK("http://exon.niaid.nih.gov/transcriptome/T_rubida/S1/links/Triru/Triru-5-48-asb-474.txt","Contig-474")</f>
        <v>Contig-474</v>
      </c>
      <c r="D121" t="str">
        <f>HYPERLINK("http://exon.niaid.nih.gov/transcriptome/T_rubida/S1/links/Triru/Triru-5-48-474-CLU.txt","Contig474")</f>
        <v>Contig474</v>
      </c>
      <c r="E121" t="str">
        <f>HYPERLINK("http://exon.niaid.nih.gov/transcriptome/T_rubida/S1/links/Triru/Triru-5-48-474-qual.txt","17.8")</f>
        <v>17.8</v>
      </c>
      <c r="F121" t="s">
        <v>10</v>
      </c>
      <c r="G121">
        <v>58.3</v>
      </c>
      <c r="H121" t="s">
        <v>57</v>
      </c>
      <c r="I121" t="s">
        <v>486</v>
      </c>
      <c r="J121" t="s">
        <v>57</v>
      </c>
      <c r="K121">
        <v>1268</v>
      </c>
      <c r="L121">
        <v>441</v>
      </c>
      <c r="M121" t="s">
        <v>5157</v>
      </c>
      <c r="N121" s="15">
        <v>1</v>
      </c>
      <c r="O121" s="14" t="str">
        <f>HYPERLINK("http://exon.niaid.nih.gov/transcriptome/T_rubida/S1/links/Sigp/TRIRU-CONTIG_474-SigP.txt","SIG")</f>
        <v>SIG</v>
      </c>
      <c r="P121" t="s">
        <v>5060</v>
      </c>
      <c r="Q121" s="5" t="s">
        <v>4981</v>
      </c>
      <c r="R121" t="s">
        <v>4834</v>
      </c>
      <c r="S121" t="str">
        <f>HYPERLINK("http://exon.niaid.nih.gov/transcriptome/T_rubida/S1/links/CDD/Triru-contig_474-CDD.txt","CDD")</f>
        <v>CDD</v>
      </c>
      <c r="T121" s="23">
        <v>0</v>
      </c>
      <c r="U121">
        <v>47.3</v>
      </c>
      <c r="V121" s="1" t="str">
        <f>HYPERLINK("http://exon.niaid.nih.gov/transcriptome/T_rubida/S1/links/NR/Triru-contig_474-NR.txt","Catalase, putative")</f>
        <v>Catalase, putative</v>
      </c>
      <c r="W121" t="str">
        <f>HYPERLINK("http://www.ncbi.nlm.nih.gov/sutils/blink.cgi?pid=242014048","2E-085")</f>
        <v>2E-085</v>
      </c>
      <c r="X121" t="str">
        <f>HYPERLINK("http://www.ncbi.nlm.nih.gov/protein/242014048","gi|242014048")</f>
        <v>gi|242014048</v>
      </c>
      <c r="Y121">
        <v>320</v>
      </c>
      <c r="Z121">
        <v>264</v>
      </c>
      <c r="AA121">
        <v>491</v>
      </c>
      <c r="AB121">
        <v>59</v>
      </c>
      <c r="AC121">
        <v>54</v>
      </c>
      <c r="AD121">
        <v>108</v>
      </c>
      <c r="AE121">
        <v>1</v>
      </c>
      <c r="AF121">
        <v>145</v>
      </c>
      <c r="AG121">
        <v>46</v>
      </c>
      <c r="AH121">
        <v>1</v>
      </c>
      <c r="AI121">
        <v>1</v>
      </c>
      <c r="AJ121" t="s">
        <v>11</v>
      </c>
      <c r="AK121">
        <v>0.75800000000000001</v>
      </c>
      <c r="AL121" t="s">
        <v>1177</v>
      </c>
      <c r="AM121" t="s">
        <v>3684</v>
      </c>
      <c r="AN121" t="s">
        <v>3685</v>
      </c>
      <c r="AO121" s="1" t="str">
        <f>HYPERLINK("http://exon.niaid.nih.gov/transcriptome/T_rubida/S1/links/SWISSP/Triru-contig_474-SWISSP.txt","Catalase")</f>
        <v>Catalase</v>
      </c>
      <c r="AP121" t="str">
        <f>HYPERLINK("http://www.uniprot.org/uniprot/P17336","9E-083")</f>
        <v>9E-083</v>
      </c>
      <c r="AQ121" t="s">
        <v>3686</v>
      </c>
      <c r="AR121">
        <v>307</v>
      </c>
      <c r="AS121">
        <v>264</v>
      </c>
      <c r="AT121">
        <v>58</v>
      </c>
      <c r="AU121">
        <v>52</v>
      </c>
      <c r="AV121">
        <v>110</v>
      </c>
      <c r="AW121">
        <v>1</v>
      </c>
      <c r="AX121">
        <v>146</v>
      </c>
      <c r="AY121">
        <v>46</v>
      </c>
      <c r="AZ121">
        <v>1</v>
      </c>
      <c r="BA121">
        <v>1</v>
      </c>
      <c r="BB121" t="s">
        <v>11</v>
      </c>
      <c r="BC121">
        <v>0.75800000000000001</v>
      </c>
      <c r="BD121" t="s">
        <v>704</v>
      </c>
      <c r="BE121" t="s">
        <v>1125</v>
      </c>
      <c r="BF121" t="s">
        <v>3687</v>
      </c>
      <c r="BG121" t="s">
        <v>3688</v>
      </c>
      <c r="BH121" s="1" t="s">
        <v>3689</v>
      </c>
      <c r="BI121">
        <f>HYPERLINK("http://exon.niaid.nih.gov/transcriptome/T_rubida/S1/links/GO/Triru-contig_474-GO.txt",3E-83)</f>
        <v>3.0000000000000001E-83</v>
      </c>
      <c r="BJ121" s="1" t="str">
        <f>HYPERLINK("http://exon.niaid.nih.gov/transcriptome/T_rubida/S1/links/CDD/Triru-contig_474-CDD.txt","catalase_clade_")</f>
        <v>catalase_clade_</v>
      </c>
      <c r="BK121" t="str">
        <f>HYPERLINK("http://www.ncbi.nlm.nih.gov/Structure/cdd/cddsrv.cgi?uid=cd08156&amp;version=v4.0","1E-108")</f>
        <v>1E-108</v>
      </c>
      <c r="BL121" t="s">
        <v>3690</v>
      </c>
      <c r="BM121" s="1" t="str">
        <f>HYPERLINK("http://exon.niaid.nih.gov/transcriptome/T_rubida/S1/links/KOG/Triru-contig_474-KOG.txt","Catalase")</f>
        <v>Catalase</v>
      </c>
      <c r="BN121" t="str">
        <f>HYPERLINK("http://www.ncbi.nlm.nih.gov/COG/grace/shokog.cgi?KOG0047","1E-095")</f>
        <v>1E-095</v>
      </c>
      <c r="BO121" t="s">
        <v>849</v>
      </c>
      <c r="BP121" s="1" t="str">
        <f>HYPERLINK("http://exon.niaid.nih.gov/transcriptome/T_rubida/S1/links/PFAM/Triru-contig_474-PFAM.txt","Catalase")</f>
        <v>Catalase</v>
      </c>
      <c r="BQ121" t="str">
        <f>HYPERLINK("http://pfam.sanger.ac.uk/family?acc=PF00199","8E-086")</f>
        <v>8E-086</v>
      </c>
      <c r="BR121" s="1" t="str">
        <f>HYPERLINK("http://exon.niaid.nih.gov/transcriptome/T_rubida/S1/links/SMART/Triru-contig_474-SMART.txt","btg1")</f>
        <v>btg1</v>
      </c>
      <c r="BS121" t="str">
        <f>HYPERLINK("http://smart.embl-heidelberg.de/smart/do_annotation.pl?DOMAIN=btg1&amp;BLAST=DUMMY","0.068")</f>
        <v>0.068</v>
      </c>
      <c r="BT121" s="1" t="str">
        <f>HYPERLINK("http://exon.niaid.nih.gov/transcriptome/T_rubida/S1/links/PRK/Triru-contig_474-PRK.txt","catalase.")</f>
        <v>catalase.</v>
      </c>
      <c r="BU121" s="2">
        <v>9.9999999999999996E-70</v>
      </c>
      <c r="BV121" s="1" t="s">
        <v>57</v>
      </c>
      <c r="BW121" t="s">
        <v>57</v>
      </c>
      <c r="BX121" s="1" t="s">
        <v>57</v>
      </c>
      <c r="BY121" t="s">
        <v>57</v>
      </c>
    </row>
    <row r="122" spans="1:77">
      <c r="A122" t="str">
        <f>HYPERLINK("http://exon.niaid.nih.gov/transcriptome/T_rubida/S1/links/Triru/Triru-contig_627.txt","Triru-contig_627")</f>
        <v>Triru-contig_627</v>
      </c>
      <c r="B122">
        <v>1</v>
      </c>
      <c r="C122" t="str">
        <f>HYPERLINK("http://exon.niaid.nih.gov/transcriptome/T_rubida/S1/links/Triru/Triru-5-48-asb-627.txt","Contig-627")</f>
        <v>Contig-627</v>
      </c>
      <c r="D122" t="str">
        <f>HYPERLINK("http://exon.niaid.nih.gov/transcriptome/T_rubida/S1/links/Triru/Triru-5-48-627-CLU.txt","Contig627")</f>
        <v>Contig627</v>
      </c>
      <c r="E122" t="str">
        <f>HYPERLINK("http://exon.niaid.nih.gov/transcriptome/T_rubida/S1/links/Triru/Triru-5-48-627-qual.txt","61.6")</f>
        <v>61.6</v>
      </c>
      <c r="F122" t="s">
        <v>10</v>
      </c>
      <c r="G122">
        <v>63.2</v>
      </c>
      <c r="H122">
        <v>435</v>
      </c>
      <c r="I122" t="s">
        <v>639</v>
      </c>
      <c r="J122">
        <v>435</v>
      </c>
      <c r="K122">
        <v>454</v>
      </c>
      <c r="L122">
        <v>366</v>
      </c>
      <c r="M122" t="s">
        <v>5158</v>
      </c>
      <c r="N122" s="15">
        <v>1</v>
      </c>
      <c r="O122" s="14" t="str">
        <f>HYPERLINK("http://exon.niaid.nih.gov/transcriptome/T_rubida/S1/links/Sigp/TRIRU-CONTIG_627-SigP.txt","SIG")</f>
        <v>SIG</v>
      </c>
      <c r="P122" t="s">
        <v>5057</v>
      </c>
      <c r="Q122" s="5" t="s">
        <v>4955</v>
      </c>
      <c r="R122" t="s">
        <v>4834</v>
      </c>
      <c r="S122" t="str">
        <f>HYPERLINK("http://exon.niaid.nih.gov/transcriptome/T_rubida/S1/links/KOG/Triru-contig_627-KOG.txt","KOG")</f>
        <v>KOG</v>
      </c>
      <c r="T122" s="23">
        <v>5.0000000000000004E-32</v>
      </c>
      <c r="U122">
        <v>22.8</v>
      </c>
      <c r="V122" s="1" t="str">
        <f>HYPERLINK("http://exon.niaid.nih.gov/transcriptome/T_rubida/S1/links/NR/Triru-contig_627-NR.txt","cytochrome P450 9e2-like")</f>
        <v>cytochrome P450 9e2-like</v>
      </c>
      <c r="W122" t="str">
        <f>HYPERLINK("http://www.ncbi.nlm.nih.gov/sutils/blink.cgi?pid=340710579","1E-023")</f>
        <v>1E-023</v>
      </c>
      <c r="X122" t="str">
        <f>HYPERLINK("http://www.ncbi.nlm.nih.gov/protein/340710579","gi|340710579")</f>
        <v>gi|340710579</v>
      </c>
      <c r="Y122">
        <v>112</v>
      </c>
      <c r="Z122">
        <v>116</v>
      </c>
      <c r="AA122">
        <v>496</v>
      </c>
      <c r="AB122">
        <v>47</v>
      </c>
      <c r="AC122">
        <v>24</v>
      </c>
      <c r="AD122">
        <v>62</v>
      </c>
      <c r="AE122">
        <v>4</v>
      </c>
      <c r="AF122">
        <v>379</v>
      </c>
      <c r="AG122">
        <v>25</v>
      </c>
      <c r="AH122">
        <v>1</v>
      </c>
      <c r="AI122">
        <v>1</v>
      </c>
      <c r="AJ122" t="s">
        <v>11</v>
      </c>
      <c r="AL122" t="s">
        <v>1360</v>
      </c>
      <c r="AM122" t="s">
        <v>4654</v>
      </c>
      <c r="AN122" t="s">
        <v>4655</v>
      </c>
      <c r="AO122" s="1" t="str">
        <f>HYPERLINK("http://exon.niaid.nih.gov/transcriptome/T_rubida/S1/links/SWISSP/Triru-contig_627-SWISSP.txt","Cytochrome P450 3A31")</f>
        <v>Cytochrome P450 3A31</v>
      </c>
      <c r="AP122" t="str">
        <f>HYPERLINK("http://www.uniprot.org/uniprot/O70537","1E-020")</f>
        <v>1E-020</v>
      </c>
      <c r="AQ122" t="s">
        <v>4656</v>
      </c>
      <c r="AR122">
        <v>99</v>
      </c>
      <c r="AS122">
        <v>109</v>
      </c>
      <c r="AT122">
        <v>40</v>
      </c>
      <c r="AU122">
        <v>22</v>
      </c>
      <c r="AV122">
        <v>66</v>
      </c>
      <c r="AW122">
        <v>2</v>
      </c>
      <c r="AX122">
        <v>382</v>
      </c>
      <c r="AY122">
        <v>31</v>
      </c>
      <c r="AZ122">
        <v>1</v>
      </c>
      <c r="BA122">
        <v>1</v>
      </c>
      <c r="BB122" t="s">
        <v>11</v>
      </c>
      <c r="BD122" t="s">
        <v>704</v>
      </c>
      <c r="BE122" t="s">
        <v>4657</v>
      </c>
      <c r="BF122" t="s">
        <v>4658</v>
      </c>
      <c r="BG122" t="s">
        <v>4659</v>
      </c>
      <c r="BH122" s="1" t="s">
        <v>4660</v>
      </c>
      <c r="BI122">
        <f>HYPERLINK("http://exon.niaid.nih.gov/transcriptome/T_rubida/S1/links/GO/Triru-contig_627-GO.txt",0.000000000000000001)</f>
        <v>1.0000000000000001E-18</v>
      </c>
      <c r="BJ122" s="1" t="str">
        <f>HYPERLINK("http://exon.niaid.nih.gov/transcriptome/T_rubida/S1/links/CDD/Triru-contig_627-CDD.txt","p450")</f>
        <v>p450</v>
      </c>
      <c r="BK122" t="str">
        <f>HYPERLINK("http://www.ncbi.nlm.nih.gov/Structure/cdd/cddsrv.cgi?uid=pfam00067&amp;version=v4.0","1E-024")</f>
        <v>1E-024</v>
      </c>
      <c r="BL122" t="s">
        <v>4661</v>
      </c>
      <c r="BM122" s="1" t="str">
        <f>HYPERLINK("http://exon.niaid.nih.gov/transcriptome/T_rubida/S1/links/KOG/Triru-contig_627-KOG.txt","Cytochrome P450 CYP3/CYP5/CYP6/CYP9 subfamilies")</f>
        <v>Cytochrome P450 CYP3/CYP5/CYP6/CYP9 subfamilies</v>
      </c>
      <c r="BN122" t="str">
        <f>HYPERLINK("http://www.ncbi.nlm.nih.gov/COG/grace/shokog.cgi?KOG0158","5E-032")</f>
        <v>5E-032</v>
      </c>
      <c r="BO122" t="s">
        <v>1130</v>
      </c>
      <c r="BP122" s="1" t="str">
        <f>HYPERLINK("http://exon.niaid.nih.gov/transcriptome/T_rubida/S1/links/PFAM/Triru-contig_627-PFAM.txt","p450")</f>
        <v>p450</v>
      </c>
      <c r="BQ122" t="str">
        <f>HYPERLINK("http://pfam.sanger.ac.uk/family?acc=PF00067","2E-025")</f>
        <v>2E-025</v>
      </c>
      <c r="BR122" s="1" t="str">
        <f>HYPERLINK("http://exon.niaid.nih.gov/transcriptome/T_rubida/S1/links/SMART/Triru-contig_627-SMART.txt","AgrB")</f>
        <v>AgrB</v>
      </c>
      <c r="BS122" t="str">
        <f>HYPERLINK("http://smart.embl-heidelberg.de/smart/do_annotation.pl?DOMAIN=AgrB&amp;BLAST=DUMMY","0.073")</f>
        <v>0.073</v>
      </c>
      <c r="BT122" s="1" t="str">
        <f>HYPERLINK("http://exon.niaid.nih.gov/transcriptome/T_rubida/S1/links/PRK/Triru-contig_627-PRK.txt","cytokinin trans-hydroxylase.")</f>
        <v>cytokinin trans-hydroxylase.</v>
      </c>
      <c r="BU122" s="2">
        <v>3.9999999999999999E-12</v>
      </c>
      <c r="BV122" s="1" t="s">
        <v>57</v>
      </c>
      <c r="BW122" t="s">
        <v>57</v>
      </c>
      <c r="BX122" s="1" t="s">
        <v>57</v>
      </c>
      <c r="BY122" t="s">
        <v>57</v>
      </c>
    </row>
    <row r="123" spans="1:77">
      <c r="A123" t="str">
        <f>HYPERLINK("http://exon.niaid.nih.gov/transcriptome/T_rubida/S1/links/Triru/Triru-contig_398.txt","Triru-contig_398")</f>
        <v>Triru-contig_398</v>
      </c>
      <c r="B123">
        <v>1</v>
      </c>
      <c r="C123" t="str">
        <f>HYPERLINK("http://exon.niaid.nih.gov/transcriptome/T_rubida/S1/links/Triru/Triru-5-48-asb-398.txt","Contig-398")</f>
        <v>Contig-398</v>
      </c>
      <c r="D123" t="str">
        <f>HYPERLINK("http://exon.niaid.nih.gov/transcriptome/T_rubida/S1/links/Triru/Triru-5-48-398-CLU.txt","Contig398")</f>
        <v>Contig398</v>
      </c>
      <c r="E123" t="str">
        <f>HYPERLINK("http://exon.niaid.nih.gov/transcriptome/T_rubida/S1/links/Triru/Triru-5-48-398-qual.txt","63.")</f>
        <v>63.</v>
      </c>
      <c r="F123" t="s">
        <v>10</v>
      </c>
      <c r="G123">
        <v>64.2</v>
      </c>
      <c r="H123">
        <v>690</v>
      </c>
      <c r="I123" t="s">
        <v>410</v>
      </c>
      <c r="J123">
        <v>690</v>
      </c>
      <c r="K123">
        <v>709</v>
      </c>
      <c r="L123">
        <v>633</v>
      </c>
      <c r="M123" t="s">
        <v>5159</v>
      </c>
      <c r="N123" s="15">
        <v>3</v>
      </c>
      <c r="O123" s="14" t="str">
        <f>HYPERLINK("http://exon.niaid.nih.gov/transcriptome/T_rubida/S1/links/Sigp/TRIRU-CONTIG_398-SigP.txt","BL")</f>
        <v>BL</v>
      </c>
      <c r="P123" t="s">
        <v>5059</v>
      </c>
      <c r="Q123" s="5" t="s">
        <v>4955</v>
      </c>
      <c r="R123" t="s">
        <v>4834</v>
      </c>
      <c r="S123" t="str">
        <f>HYPERLINK("http://exon.niaid.nih.gov/transcriptome/T_rubida/S1/links/KOG/Triru-contig_398-KOG.txt","KOG")</f>
        <v>KOG</v>
      </c>
      <c r="T123" s="23">
        <v>2E-55</v>
      </c>
      <c r="U123">
        <v>39.200000000000003</v>
      </c>
      <c r="V123" s="1" t="str">
        <f>HYPERLINK("http://exon.niaid.nih.gov/transcriptome/T_rubida/S1/links/NR/Triru-contig_398-NR.txt","cytochrome P450-like protein")</f>
        <v>cytochrome P450-like protein</v>
      </c>
      <c r="W123" t="str">
        <f>HYPERLINK("http://www.ncbi.nlm.nih.gov/sutils/blink.cgi?pid=307095134","9E-088")</f>
        <v>9E-088</v>
      </c>
      <c r="X123" t="str">
        <f>HYPERLINK("http://www.ncbi.nlm.nih.gov/protein/307095134","gi|307095134")</f>
        <v>gi|307095134</v>
      </c>
      <c r="Y123">
        <v>327</v>
      </c>
      <c r="Z123">
        <v>204</v>
      </c>
      <c r="AA123">
        <v>504</v>
      </c>
      <c r="AB123">
        <v>75</v>
      </c>
      <c r="AC123">
        <v>41</v>
      </c>
      <c r="AD123">
        <v>50</v>
      </c>
      <c r="AE123">
        <v>0</v>
      </c>
      <c r="AF123">
        <v>299</v>
      </c>
      <c r="AG123">
        <v>12</v>
      </c>
      <c r="AH123">
        <v>1</v>
      </c>
      <c r="AI123">
        <v>3</v>
      </c>
      <c r="AJ123" t="s">
        <v>11</v>
      </c>
      <c r="AL123" t="s">
        <v>1121</v>
      </c>
      <c r="AM123" t="s">
        <v>3179</v>
      </c>
      <c r="AN123" t="s">
        <v>3180</v>
      </c>
      <c r="AO123" s="1" t="str">
        <f>HYPERLINK("http://exon.niaid.nih.gov/transcriptome/T_rubida/S1/links/SWISSP/Triru-contig_398-SWISSP.txt","Probable cytochrome P450 6a13")</f>
        <v>Probable cytochrome P450 6a13</v>
      </c>
      <c r="AP123" t="str">
        <f>HYPERLINK("http://www.uniprot.org/uniprot/Q9V4U9","2E-038")</f>
        <v>2E-038</v>
      </c>
      <c r="AQ123" t="s">
        <v>3181</v>
      </c>
      <c r="AR123">
        <v>159</v>
      </c>
      <c r="AS123">
        <v>206</v>
      </c>
      <c r="AT123">
        <v>37</v>
      </c>
      <c r="AU123">
        <v>42</v>
      </c>
      <c r="AV123">
        <v>130</v>
      </c>
      <c r="AW123">
        <v>0</v>
      </c>
      <c r="AX123">
        <v>286</v>
      </c>
      <c r="AY123">
        <v>6</v>
      </c>
      <c r="AZ123">
        <v>1</v>
      </c>
      <c r="BA123">
        <v>3</v>
      </c>
      <c r="BB123" t="s">
        <v>11</v>
      </c>
      <c r="BD123" t="s">
        <v>704</v>
      </c>
      <c r="BE123" t="s">
        <v>1125</v>
      </c>
      <c r="BF123" t="s">
        <v>3182</v>
      </c>
      <c r="BG123" t="s">
        <v>3183</v>
      </c>
      <c r="BH123" s="1" t="s">
        <v>1128</v>
      </c>
      <c r="BI123">
        <f>HYPERLINK("http://exon.niaid.nih.gov/transcriptome/T_rubida/S1/links/GO/Triru-contig_398-GO.txt",2E-38)</f>
        <v>1.9999999999999999E-38</v>
      </c>
      <c r="BJ123" s="1" t="str">
        <f>HYPERLINK("http://exon.niaid.nih.gov/transcriptome/T_rubida/S1/links/CDD/Triru-contig_398-CDD.txt","p450")</f>
        <v>p450</v>
      </c>
      <c r="BK123" t="str">
        <f>HYPERLINK("http://www.ncbi.nlm.nih.gov/Structure/cdd/cddsrv.cgi?uid=pfam00067&amp;version=v4.0","2E-049")</f>
        <v>2E-049</v>
      </c>
      <c r="BL123" t="s">
        <v>3184</v>
      </c>
      <c r="BM123" s="1" t="str">
        <f>HYPERLINK("http://exon.niaid.nih.gov/transcriptome/T_rubida/S1/links/KOG/Triru-contig_398-KOG.txt","Cytochrome P450 CYP3/CYP5/CYP6/CYP9 subfamilies")</f>
        <v>Cytochrome P450 CYP3/CYP5/CYP6/CYP9 subfamilies</v>
      </c>
      <c r="BN123" t="str">
        <f>HYPERLINK("http://www.ncbi.nlm.nih.gov/COG/grace/shokog.cgi?KOG0158","2E-055")</f>
        <v>2E-055</v>
      </c>
      <c r="BO123" t="s">
        <v>1130</v>
      </c>
      <c r="BP123" s="1" t="str">
        <f>HYPERLINK("http://exon.niaid.nih.gov/transcriptome/T_rubida/S1/links/PFAM/Triru-contig_398-PFAM.txt","p450")</f>
        <v>p450</v>
      </c>
      <c r="BQ123" t="str">
        <f>HYPERLINK("http://pfam.sanger.ac.uk/family?acc=PF00067","4E-050")</f>
        <v>4E-050</v>
      </c>
      <c r="BR123" s="1" t="str">
        <f>HYPERLINK("http://exon.niaid.nih.gov/transcriptome/T_rubida/S1/links/SMART/Triru-contig_398-SMART.txt","POL3Bc")</f>
        <v>POL3Bc</v>
      </c>
      <c r="BS123" t="str">
        <f>HYPERLINK("http://smart.embl-heidelberg.de/smart/do_annotation.pl?DOMAIN=POL3Bc&amp;BLAST=DUMMY","0.003")</f>
        <v>0.003</v>
      </c>
      <c r="BT123" s="1" t="str">
        <f>HYPERLINK("http://exon.niaid.nih.gov/transcriptome/T_rubida/S1/links/PRK/Triru-contig_398-PRK.txt","cytochrome P450")</f>
        <v>cytochrome P450</v>
      </c>
      <c r="BU123" s="2">
        <v>3.9999999999999996E-21</v>
      </c>
      <c r="BV123" s="1" t="s">
        <v>57</v>
      </c>
      <c r="BW123" t="s">
        <v>57</v>
      </c>
      <c r="BX123" s="1" t="s">
        <v>57</v>
      </c>
      <c r="BY123" t="s">
        <v>57</v>
      </c>
    </row>
    <row r="124" spans="1:77">
      <c r="A124" t="str">
        <f>HYPERLINK("http://exon.niaid.nih.gov/transcriptome/T_rubida/S1/links/Triru/Triru-contig_467.txt","Triru-contig_467")</f>
        <v>Triru-contig_467</v>
      </c>
      <c r="B124">
        <v>1</v>
      </c>
      <c r="C124" t="str">
        <f>HYPERLINK("http://exon.niaid.nih.gov/transcriptome/T_rubida/S1/links/Triru/Triru-5-48-asb-467.txt","Contig-467")</f>
        <v>Contig-467</v>
      </c>
      <c r="D124" t="str">
        <f>HYPERLINK("http://exon.niaid.nih.gov/transcriptome/T_rubida/S1/links/Triru/Triru-5-48-467-CLU.txt","Contig467")</f>
        <v>Contig467</v>
      </c>
      <c r="E124" t="str">
        <f>HYPERLINK("http://exon.niaid.nih.gov/transcriptome/T_rubida/S1/links/Triru/Triru-5-48-467-qual.txt","52.7")</f>
        <v>52.7</v>
      </c>
      <c r="F124" t="s">
        <v>10</v>
      </c>
      <c r="G124">
        <v>69</v>
      </c>
      <c r="H124">
        <v>262</v>
      </c>
      <c r="I124" t="s">
        <v>479</v>
      </c>
      <c r="J124">
        <v>262</v>
      </c>
      <c r="K124">
        <v>281</v>
      </c>
      <c r="L124">
        <v>204</v>
      </c>
      <c r="M124" t="s">
        <v>5161</v>
      </c>
      <c r="N124" s="15">
        <v>3</v>
      </c>
      <c r="O124" s="14" t="str">
        <f>HYPERLINK("http://exon.niaid.nih.gov/transcriptome/T_rubida/S1/links/Sigp/TRIRU-CONTIG_467-SigP.txt","Cyt")</f>
        <v>Cyt</v>
      </c>
      <c r="Q124" s="5" t="s">
        <v>4833</v>
      </c>
      <c r="R124" t="s">
        <v>4834</v>
      </c>
      <c r="S124" t="str">
        <f>HYPERLINK("http://exon.niaid.nih.gov/transcriptome/T_rubida/S1/links/NR/Triru-contig_467-NR.txt","NR")</f>
        <v>NR</v>
      </c>
      <c r="T124" s="23">
        <v>5.0000000000000004E-18</v>
      </c>
      <c r="U124">
        <v>10.7</v>
      </c>
      <c r="V124" s="1" t="str">
        <f>HYPERLINK("http://exon.niaid.nih.gov/transcriptome/T_rubida/S1/links/NR/Triru-contig_467-NR.txt","cytochrome P450-like protein")</f>
        <v>cytochrome P450-like protein</v>
      </c>
      <c r="W124" t="str">
        <f>HYPERLINK("http://www.ncbi.nlm.nih.gov/sutils/blink.cgi?pid=307095134","5E-018")</f>
        <v>5E-018</v>
      </c>
      <c r="X124" t="str">
        <f>HYPERLINK("http://www.ncbi.nlm.nih.gov/protein/307095134","gi|307095134")</f>
        <v>gi|307095134</v>
      </c>
      <c r="Y124">
        <v>89</v>
      </c>
      <c r="Z124">
        <v>65</v>
      </c>
      <c r="AA124">
        <v>504</v>
      </c>
      <c r="AB124">
        <v>77</v>
      </c>
      <c r="AC124">
        <v>13</v>
      </c>
      <c r="AD124">
        <v>12</v>
      </c>
      <c r="AE124">
        <v>0</v>
      </c>
      <c r="AF124">
        <v>438</v>
      </c>
      <c r="AG124">
        <v>1</v>
      </c>
      <c r="AH124">
        <v>2</v>
      </c>
      <c r="AI124">
        <v>3</v>
      </c>
      <c r="AJ124" t="s">
        <v>888</v>
      </c>
      <c r="AL124" t="s">
        <v>1121</v>
      </c>
      <c r="AM124" t="s">
        <v>3636</v>
      </c>
      <c r="AN124" t="s">
        <v>3637</v>
      </c>
      <c r="AO124" s="1" t="str">
        <f>HYPERLINK("http://exon.niaid.nih.gov/transcriptome/T_rubida/S1/links/SWISSP/Triru-contig_467-SWISSP.txt","Probable cytochrome P450 6a19")</f>
        <v>Probable cytochrome P450 6a19</v>
      </c>
      <c r="AP124" t="str">
        <f>HYPERLINK("http://www.uniprot.org/uniprot/P82711","6E-004")</f>
        <v>6E-004</v>
      </c>
      <c r="AQ124" t="s">
        <v>3638</v>
      </c>
      <c r="AR124">
        <v>40.799999999999997</v>
      </c>
      <c r="AS124">
        <v>63</v>
      </c>
      <c r="AT124">
        <v>33</v>
      </c>
      <c r="AU124">
        <v>13</v>
      </c>
      <c r="AV124">
        <v>34</v>
      </c>
      <c r="AW124">
        <v>0</v>
      </c>
      <c r="AX124">
        <v>437</v>
      </c>
      <c r="AY124">
        <v>1</v>
      </c>
      <c r="AZ124">
        <v>2</v>
      </c>
      <c r="BA124">
        <v>3</v>
      </c>
      <c r="BB124" t="s">
        <v>888</v>
      </c>
      <c r="BD124" t="s">
        <v>704</v>
      </c>
      <c r="BE124" t="s">
        <v>1125</v>
      </c>
      <c r="BF124" t="s">
        <v>3639</v>
      </c>
      <c r="BG124" t="s">
        <v>3640</v>
      </c>
      <c r="BH124" s="1" t="s">
        <v>57</v>
      </c>
      <c r="BI124" t="s">
        <v>57</v>
      </c>
      <c r="BJ124" s="1" t="str">
        <f>HYPERLINK("http://exon.niaid.nih.gov/transcriptome/T_rubida/S1/links/CDD/Triru-contig_467-CDD.txt","p450")</f>
        <v>p450</v>
      </c>
      <c r="BK124" t="str">
        <f>HYPERLINK("http://www.ncbi.nlm.nih.gov/Structure/cdd/cddsrv.cgi?uid=pfam00067&amp;version=v4.0","0.001")</f>
        <v>0.001</v>
      </c>
      <c r="BL124" t="s">
        <v>3641</v>
      </c>
      <c r="BM124" s="1" t="str">
        <f>HYPERLINK("http://exon.niaid.nih.gov/transcriptome/T_rubida/S1/links/KOG/Triru-contig_467-KOG.txt","Cytochrome P450 CYP3/CYP5/CYP6/CYP9 subfamilies")</f>
        <v>Cytochrome P450 CYP3/CYP5/CYP6/CYP9 subfamilies</v>
      </c>
      <c r="BN124" t="str">
        <f>HYPERLINK("http://www.ncbi.nlm.nih.gov/COG/grace/shokog.cgi?KOG0158","6E-007")</f>
        <v>6E-007</v>
      </c>
      <c r="BO124" t="s">
        <v>1130</v>
      </c>
      <c r="BP124" s="1" t="str">
        <f>HYPERLINK("http://exon.niaid.nih.gov/transcriptome/T_rubida/S1/links/PFAM/Triru-contig_467-PFAM.txt","p450")</f>
        <v>p450</v>
      </c>
      <c r="BQ124" t="str">
        <f>HYPERLINK("http://pfam.sanger.ac.uk/family?acc=PF00067","3E-004")</f>
        <v>3E-004</v>
      </c>
      <c r="BR124" s="1" t="str">
        <f>HYPERLINK("http://exon.niaid.nih.gov/transcriptome/T_rubida/S1/links/SMART/Triru-contig_467-SMART.txt","PSN")</f>
        <v>PSN</v>
      </c>
      <c r="BS124" t="str">
        <f>HYPERLINK("http://smart.embl-heidelberg.de/smart/do_annotation.pl?DOMAIN=PSN&amp;BLAST=DUMMY","0.004")</f>
        <v>0.004</v>
      </c>
      <c r="BT124" s="1" t="str">
        <f>HYPERLINK("http://exon.niaid.nih.gov/transcriptome/T_rubida/S1/links/PRK/Triru-contig_467-PRK.txt","enoyl-CoA reductase.")</f>
        <v>enoyl-CoA reductase.</v>
      </c>
      <c r="BU124">
        <v>0.09</v>
      </c>
      <c r="BV124" s="1" t="s">
        <v>57</v>
      </c>
      <c r="BW124" t="s">
        <v>57</v>
      </c>
      <c r="BX124" s="1" t="s">
        <v>57</v>
      </c>
      <c r="BY124" t="s">
        <v>57</v>
      </c>
    </row>
    <row r="125" spans="1:77">
      <c r="A125" t="str">
        <f>HYPERLINK("http://exon.niaid.nih.gov/transcriptome/T_rubida/S1/links/Triru/Triru-contig_439.txt","Triru-contig_439")</f>
        <v>Triru-contig_439</v>
      </c>
      <c r="B125">
        <v>1</v>
      </c>
      <c r="C125" t="str">
        <f>HYPERLINK("http://exon.niaid.nih.gov/transcriptome/T_rubida/S1/links/Triru/Triru-5-48-asb-439.txt","Contig-439")</f>
        <v>Contig-439</v>
      </c>
      <c r="D125" t="str">
        <f>HYPERLINK("http://exon.niaid.nih.gov/transcriptome/T_rubida/S1/links/Triru/Triru-5-48-439-CLU.txt","Contig439")</f>
        <v>Contig439</v>
      </c>
      <c r="E125" t="str">
        <f>HYPERLINK("http://exon.niaid.nih.gov/transcriptome/T_rubida/S1/links/Triru/Triru-5-48-439-qual.txt","55.3")</f>
        <v>55.3</v>
      </c>
      <c r="F125" t="s">
        <v>10</v>
      </c>
      <c r="G125">
        <v>66.599999999999994</v>
      </c>
      <c r="H125">
        <v>597</v>
      </c>
      <c r="I125" t="s">
        <v>451</v>
      </c>
      <c r="J125">
        <v>597</v>
      </c>
      <c r="K125">
        <v>616</v>
      </c>
      <c r="L125">
        <v>324</v>
      </c>
      <c r="M125" t="s">
        <v>5162</v>
      </c>
      <c r="N125" s="15">
        <v>2</v>
      </c>
      <c r="O125" s="14" t="str">
        <f>HYPERLINK("http://exon.niaid.nih.gov/transcriptome/T_rubida/S1/links/Sigp/TRIRU-CONTIG_439-SigP.txt","Cyt")</f>
        <v>Cyt</v>
      </c>
      <c r="Q125" s="5" t="s">
        <v>4967</v>
      </c>
      <c r="R125" t="s">
        <v>4834</v>
      </c>
      <c r="S125" t="str">
        <f>HYPERLINK("http://exon.niaid.nih.gov/transcriptome/T_rubida/S1/links/NR/Triru-contig_439-NR.txt","NR")</f>
        <v>NR</v>
      </c>
      <c r="T125" s="23">
        <v>3E-43</v>
      </c>
      <c r="U125">
        <v>62.7</v>
      </c>
      <c r="V125" s="1" t="str">
        <f>HYPERLINK("http://exon.niaid.nih.gov/transcriptome/T_rubida/S1/links/NR/Triru-contig_439-NR.txt","phospholipid hydroperoxide glutathione peroxidase, putative")</f>
        <v>phospholipid hydroperoxide glutathione peroxidase, putative</v>
      </c>
      <c r="W125" t="str">
        <f>HYPERLINK("http://www.ncbi.nlm.nih.gov/sutils/blink.cgi?pid=242017040","3E-043")</f>
        <v>3E-043</v>
      </c>
      <c r="X125" t="str">
        <f>HYPERLINK("http://www.ncbi.nlm.nih.gov/protein/242017040","gi|242017040")</f>
        <v>gi|242017040</v>
      </c>
      <c r="Y125">
        <v>179</v>
      </c>
      <c r="Z125">
        <v>107</v>
      </c>
      <c r="AA125">
        <v>172</v>
      </c>
      <c r="AB125">
        <v>75</v>
      </c>
      <c r="AC125">
        <v>63</v>
      </c>
      <c r="AD125">
        <v>27</v>
      </c>
      <c r="AE125">
        <v>0</v>
      </c>
      <c r="AF125">
        <v>65</v>
      </c>
      <c r="AG125">
        <v>23</v>
      </c>
      <c r="AH125">
        <v>1</v>
      </c>
      <c r="AI125">
        <v>2</v>
      </c>
      <c r="AJ125" t="s">
        <v>11</v>
      </c>
      <c r="AL125" t="s">
        <v>1177</v>
      </c>
      <c r="AM125" t="s">
        <v>3449</v>
      </c>
      <c r="AN125" t="s">
        <v>3450</v>
      </c>
      <c r="AO125" s="1" t="str">
        <f>HYPERLINK("http://exon.niaid.nih.gov/transcriptome/T_rubida/S1/links/SWISSP/Triru-contig_439-SWISSP.txt","Glutathione peroxidase")</f>
        <v>Glutathione peroxidase</v>
      </c>
      <c r="AP125" t="str">
        <f>HYPERLINK("http://www.uniprot.org/uniprot/Q00277","2E-027")</f>
        <v>2E-027</v>
      </c>
      <c r="AQ125" t="s">
        <v>3451</v>
      </c>
      <c r="AR125">
        <v>122</v>
      </c>
      <c r="AS125">
        <v>92</v>
      </c>
      <c r="AT125">
        <v>61</v>
      </c>
      <c r="AU125">
        <v>55</v>
      </c>
      <c r="AV125">
        <v>36</v>
      </c>
      <c r="AW125">
        <v>1</v>
      </c>
      <c r="AX125">
        <v>63</v>
      </c>
      <c r="AY125">
        <v>38</v>
      </c>
      <c r="AZ125">
        <v>1</v>
      </c>
      <c r="BA125">
        <v>2</v>
      </c>
      <c r="BB125" t="s">
        <v>11</v>
      </c>
      <c r="BD125" t="s">
        <v>704</v>
      </c>
      <c r="BE125" t="s">
        <v>2605</v>
      </c>
      <c r="BF125" t="s">
        <v>3452</v>
      </c>
      <c r="BG125" t="s">
        <v>3453</v>
      </c>
      <c r="BH125" s="1" t="s">
        <v>3454</v>
      </c>
      <c r="BI125">
        <f>HYPERLINK("http://exon.niaid.nih.gov/transcriptome/T_rubida/S1/links/GO/Triru-contig_439-GO.txt",2E-30)</f>
        <v>2.0000000000000002E-30</v>
      </c>
      <c r="BJ125" s="1" t="str">
        <f>HYPERLINK("http://exon.niaid.nih.gov/transcriptome/T_rubida/S1/links/CDD/Triru-contig_439-CDD.txt","GSH_Peroxidase")</f>
        <v>GSH_Peroxidase</v>
      </c>
      <c r="BK125" t="str">
        <f>HYPERLINK("http://www.ncbi.nlm.nih.gov/Structure/cdd/cddsrv.cgi?uid=cd00340&amp;version=v4.0","5E-040")</f>
        <v>5E-040</v>
      </c>
      <c r="BL125" t="s">
        <v>3455</v>
      </c>
      <c r="BM125" s="1" t="str">
        <f>HYPERLINK("http://exon.niaid.nih.gov/transcriptome/T_rubida/S1/links/KOG/Triru-contig_439-KOG.txt","Glutathione peroxidase")</f>
        <v>Glutathione peroxidase</v>
      </c>
      <c r="BN125" t="str">
        <f>HYPERLINK("http://www.ncbi.nlm.nih.gov/COG/grace/shokog.cgi?KOG1651","1E-038")</f>
        <v>1E-038</v>
      </c>
      <c r="BO125" t="s">
        <v>954</v>
      </c>
      <c r="BP125" s="1" t="str">
        <f>HYPERLINK("http://exon.niaid.nih.gov/transcriptome/T_rubida/S1/links/PFAM/Triru-contig_439-PFAM.txt","GSHPx")</f>
        <v>GSHPx</v>
      </c>
      <c r="BQ125" t="str">
        <f>HYPERLINK("http://pfam.sanger.ac.uk/family?acc=PF00255","1E-020")</f>
        <v>1E-020</v>
      </c>
      <c r="BR125" s="1" t="str">
        <f>HYPERLINK("http://exon.niaid.nih.gov/transcriptome/T_rubida/S1/links/SMART/Triru-contig_439-SMART.txt","AAA")</f>
        <v>AAA</v>
      </c>
      <c r="BS125" t="str">
        <f>HYPERLINK("http://smart.embl-heidelberg.de/smart/do_annotation.pl?DOMAIN=AAA&amp;BLAST=DUMMY","0.049")</f>
        <v>0.049</v>
      </c>
      <c r="BT125" s="1" t="str">
        <f>HYPERLINK("http://exon.niaid.nih.gov/transcriptome/T_rubida/S1/links/PRK/Triru-contig_439-PRK.txt","probable glutathione peroxidase.")</f>
        <v>probable glutathione peroxidase.</v>
      </c>
      <c r="BU125" s="2">
        <v>5.9999999999999996E-31</v>
      </c>
      <c r="BV125" s="1" t="s">
        <v>57</v>
      </c>
      <c r="BW125" t="s">
        <v>57</v>
      </c>
      <c r="BX125" s="1" t="s">
        <v>57</v>
      </c>
      <c r="BY125" t="s">
        <v>57</v>
      </c>
    </row>
    <row r="126" spans="1:77" s="3" customFormat="1">
      <c r="A126" s="12" t="s">
        <v>5036</v>
      </c>
      <c r="T126" s="22"/>
    </row>
    <row r="127" spans="1:77">
      <c r="A127" t="str">
        <f>HYPERLINK("http://exon.niaid.nih.gov/transcriptome/T_rubida/S1/links/Triru/Triru-contig_567.txt","Triru-contig_567")</f>
        <v>Triru-contig_567</v>
      </c>
      <c r="B127">
        <v>1</v>
      </c>
      <c r="C127" t="str">
        <f>HYPERLINK("http://exon.niaid.nih.gov/transcriptome/T_rubida/S1/links/Triru/Triru-5-48-asb-567.txt","Contig-567")</f>
        <v>Contig-567</v>
      </c>
      <c r="D127" t="str">
        <f>HYPERLINK("http://exon.niaid.nih.gov/transcriptome/T_rubida/S1/links/Triru/Triru-5-48-567-CLU.txt","Contig567")</f>
        <v>Contig567</v>
      </c>
      <c r="E127" t="str">
        <f>HYPERLINK("http://exon.niaid.nih.gov/transcriptome/T_rubida/S1/links/Triru/Triru-5-48-567-qual.txt","59.2")</f>
        <v>59.2</v>
      </c>
      <c r="F127">
        <v>0.1</v>
      </c>
      <c r="G127">
        <v>75.2</v>
      </c>
      <c r="H127">
        <v>719</v>
      </c>
      <c r="I127" t="s">
        <v>579</v>
      </c>
      <c r="J127">
        <v>719</v>
      </c>
      <c r="K127">
        <v>738</v>
      </c>
      <c r="L127">
        <v>216</v>
      </c>
      <c r="M127" t="s">
        <v>5164</v>
      </c>
      <c r="N127" s="15">
        <v>3</v>
      </c>
      <c r="O127" s="14" t="str">
        <f>HYPERLINK("http://exon.niaid.nih.gov/transcriptome/T_rubida/S1/links/Sigp/TRIRU-CONTIG_567-SigP.txt","Cyt")</f>
        <v>Cyt</v>
      </c>
      <c r="Q127" s="5" t="s">
        <v>5010</v>
      </c>
      <c r="R127" t="s">
        <v>5011</v>
      </c>
      <c r="S127" t="str">
        <f>HYPERLINK("http://exon.niaid.nih.gov/transcriptome/T_rubida/S1/links/PFAM/Triru-contig_567-PFAM.txt","PFAM")</f>
        <v>PFAM</v>
      </c>
      <c r="T127" s="23">
        <v>2E-14</v>
      </c>
      <c r="U127">
        <v>100</v>
      </c>
      <c r="V127" s="1" t="str">
        <f>HYPERLINK("http://exon.niaid.nih.gov/transcriptome/T_rubida/S1/links/NR/Triru-contig_567-NR.txt","conserved hypothetical protein")</f>
        <v>conserved hypothetical protein</v>
      </c>
      <c r="W127" t="str">
        <f>HYPERLINK("http://www.ncbi.nlm.nih.gov/sutils/blink.cgi?pid=242004839","2E-014")</f>
        <v>2E-014</v>
      </c>
      <c r="X127" t="str">
        <f>HYPERLINK("http://www.ncbi.nlm.nih.gov/protein/242004839","gi|242004839")</f>
        <v>gi|242004839</v>
      </c>
      <c r="Y127">
        <v>84.3</v>
      </c>
      <c r="Z127">
        <v>65</v>
      </c>
      <c r="AA127">
        <v>424</v>
      </c>
      <c r="AB127">
        <v>65</v>
      </c>
      <c r="AC127">
        <v>16</v>
      </c>
      <c r="AD127">
        <v>23</v>
      </c>
      <c r="AE127">
        <v>0</v>
      </c>
      <c r="AF127">
        <v>358</v>
      </c>
      <c r="AG127">
        <v>18</v>
      </c>
      <c r="AH127">
        <v>1</v>
      </c>
      <c r="AI127">
        <v>3</v>
      </c>
      <c r="AJ127" t="s">
        <v>11</v>
      </c>
      <c r="AL127" t="s">
        <v>1177</v>
      </c>
      <c r="AM127" t="s">
        <v>4298</v>
      </c>
      <c r="AN127" t="s">
        <v>4299</v>
      </c>
      <c r="AO127" s="1" t="str">
        <f>HYPERLINK("http://exon.niaid.nih.gov/transcriptome/T_rubida/S1/links/SWISSP/Triru-contig_567-SWISSP.txt","Interferon-related developmental regulator 1")</f>
        <v>Interferon-related developmental regulator 1</v>
      </c>
      <c r="AP127" t="str">
        <f>HYPERLINK("http://www.uniprot.org/uniprot/Q5S1U6","8E-008")</f>
        <v>8E-008</v>
      </c>
      <c r="AQ127" t="s">
        <v>4300</v>
      </c>
      <c r="AR127">
        <v>57.8</v>
      </c>
      <c r="AS127">
        <v>65</v>
      </c>
      <c r="AT127">
        <v>49</v>
      </c>
      <c r="AU127">
        <v>15</v>
      </c>
      <c r="AV127">
        <v>34</v>
      </c>
      <c r="AW127">
        <v>3</v>
      </c>
      <c r="AX127">
        <v>381</v>
      </c>
      <c r="AY127">
        <v>18</v>
      </c>
      <c r="AZ127">
        <v>1</v>
      </c>
      <c r="BA127">
        <v>3</v>
      </c>
      <c r="BB127" t="s">
        <v>11</v>
      </c>
      <c r="BD127" t="s">
        <v>704</v>
      </c>
      <c r="BE127" t="s">
        <v>2025</v>
      </c>
      <c r="BF127" t="s">
        <v>4301</v>
      </c>
      <c r="BG127" t="s">
        <v>4302</v>
      </c>
      <c r="BH127" s="1" t="s">
        <v>4303</v>
      </c>
      <c r="BI127">
        <f>HYPERLINK("http://exon.niaid.nih.gov/transcriptome/T_rubida/S1/links/GO/Triru-contig_567-GO.txt",0.000000000001)</f>
        <v>9.9999999999999998E-13</v>
      </c>
      <c r="BJ127" s="1" t="str">
        <f>HYPERLINK("http://exon.niaid.nih.gov/transcriptome/T_rubida/S1/links/CDD/Triru-contig_567-CDD.txt","IFRD_C")</f>
        <v>IFRD_C</v>
      </c>
      <c r="BK127" t="str">
        <f>HYPERLINK("http://www.ncbi.nlm.nih.gov/Structure/cdd/cddsrv.cgi?uid=pfam04836&amp;version=v4.0","9E-014")</f>
        <v>9E-014</v>
      </c>
      <c r="BL127" t="s">
        <v>4304</v>
      </c>
      <c r="BM127" s="1" t="str">
        <f>HYPERLINK("http://exon.niaid.nih.gov/transcriptome/T_rubida/S1/links/KOG/Triru-contig_567-KOG.txt","Interferon-related protein PC4 like")</f>
        <v>Interferon-related protein PC4 like</v>
      </c>
      <c r="BN127" t="str">
        <f>HYPERLINK("http://www.ncbi.nlm.nih.gov/COG/grace/shokog.cgi?KOG2842","9E-014")</f>
        <v>9E-014</v>
      </c>
      <c r="BO127" t="s">
        <v>867</v>
      </c>
      <c r="BP127" s="1" t="str">
        <f>HYPERLINK("http://exon.niaid.nih.gov/transcriptome/T_rubida/S1/links/PFAM/Triru-contig_567-PFAM.txt","IFRD_C")</f>
        <v>IFRD_C</v>
      </c>
      <c r="BQ127" t="str">
        <f>HYPERLINK("http://pfam.sanger.ac.uk/family?acc=PF04836","2E-014")</f>
        <v>2E-014</v>
      </c>
      <c r="BR127" s="1" t="str">
        <f>HYPERLINK("http://exon.niaid.nih.gov/transcriptome/T_rubida/S1/links/SMART/Triru-contig_567-SMART.txt","AKAP_110")</f>
        <v>AKAP_110</v>
      </c>
      <c r="BS127" t="str">
        <f>HYPERLINK("http://smart.embl-heidelberg.de/smart/do_annotation.pl?DOMAIN=AKAP_110&amp;BLAST=DUMMY","0.090")</f>
        <v>0.090</v>
      </c>
      <c r="BT127" s="1" t="str">
        <f>HYPERLINK("http://exon.niaid.nih.gov/transcriptome/T_rubida/S1/links/PRK/Triru-contig_567-PRK.txt","NADH dehydrogenase subunit 4L")</f>
        <v>NADH dehydrogenase subunit 4L</v>
      </c>
      <c r="BU127">
        <v>3.5999999999999997E-2</v>
      </c>
      <c r="BV127" s="1" t="s">
        <v>57</v>
      </c>
      <c r="BW127" t="s">
        <v>57</v>
      </c>
      <c r="BX127" s="1" t="s">
        <v>57</v>
      </c>
      <c r="BY127" t="s">
        <v>57</v>
      </c>
    </row>
    <row r="128" spans="1:77" s="3" customFormat="1">
      <c r="A128" s="13" t="s">
        <v>5037</v>
      </c>
      <c r="T128" s="22"/>
    </row>
    <row r="129" spans="1:77">
      <c r="A129" t="str">
        <f>HYPERLINK("http://exon.niaid.nih.gov/transcriptome/T_rubida/S1/links/Triru/Triru-contig_511.txt","Triru-contig_511")</f>
        <v>Triru-contig_511</v>
      </c>
      <c r="B129">
        <v>1</v>
      </c>
      <c r="C129" t="str">
        <f>HYPERLINK("http://exon.niaid.nih.gov/transcriptome/T_rubida/S1/links/Triru/Triru-5-48-asb-511.txt","Contig-511")</f>
        <v>Contig-511</v>
      </c>
      <c r="D129" t="str">
        <f>HYPERLINK("http://exon.niaid.nih.gov/transcriptome/T_rubida/S1/links/Triru/Triru-5-48-511-CLU.txt","Contig511")</f>
        <v>Contig511</v>
      </c>
      <c r="E129" t="str">
        <f>HYPERLINK("http://exon.niaid.nih.gov/transcriptome/T_rubida/S1/links/Triru/Triru-5-48-511-qual.txt","54.6")</f>
        <v>54.6</v>
      </c>
      <c r="F129" t="s">
        <v>10</v>
      </c>
      <c r="G129">
        <v>72.2</v>
      </c>
      <c r="H129">
        <v>298</v>
      </c>
      <c r="I129" t="s">
        <v>523</v>
      </c>
      <c r="J129">
        <v>298</v>
      </c>
      <c r="K129">
        <v>317</v>
      </c>
      <c r="L129">
        <v>165</v>
      </c>
      <c r="M129" t="s">
        <v>5165</v>
      </c>
      <c r="N129" s="15">
        <v>3</v>
      </c>
      <c r="O129" s="14" t="str">
        <f>HYPERLINK("http://exon.niaid.nih.gov/transcriptome/T_rubida/S1/links/Sigp/TRIRU-CONTIG_511-SigP.txt","Cyt")</f>
        <v>Cyt</v>
      </c>
      <c r="Q129" s="5" t="s">
        <v>4993</v>
      </c>
      <c r="R129" t="s">
        <v>4994</v>
      </c>
      <c r="S129" t="str">
        <f>HYPERLINK("http://exon.niaid.nih.gov/transcriptome/T_rubida/S1/links/KOG/Triru-contig_511-KOG.txt","KOG")</f>
        <v>KOG</v>
      </c>
      <c r="T129" s="23">
        <v>9.9999999999999998E-13</v>
      </c>
      <c r="U129">
        <v>13.4</v>
      </c>
      <c r="V129" s="1" t="str">
        <f>HYPERLINK("http://exon.niaid.nih.gov/transcriptome/T_rubida/S1/links/NR/Triru-contig_511-NR.txt","aminomethyltransferase, mitochondrial-like")</f>
        <v>aminomethyltransferase, mitochondrial-like</v>
      </c>
      <c r="W129" t="str">
        <f>HYPERLINK("http://www.ncbi.nlm.nih.gov/sutils/blink.cgi?pid=328700383","4E-010")</f>
        <v>4E-010</v>
      </c>
      <c r="X129" t="str">
        <f>HYPERLINK("http://www.ncbi.nlm.nih.gov/protein/328700383","gi|328700383")</f>
        <v>gi|328700383</v>
      </c>
      <c r="Y129">
        <v>68.2</v>
      </c>
      <c r="Z129">
        <v>51</v>
      </c>
      <c r="AA129">
        <v>406</v>
      </c>
      <c r="AB129">
        <v>55</v>
      </c>
      <c r="AC129">
        <v>13</v>
      </c>
      <c r="AD129">
        <v>23</v>
      </c>
      <c r="AE129">
        <v>0</v>
      </c>
      <c r="AF129">
        <v>352</v>
      </c>
      <c r="AG129">
        <v>3</v>
      </c>
      <c r="AH129">
        <v>1</v>
      </c>
      <c r="AI129">
        <v>3</v>
      </c>
      <c r="AJ129" t="s">
        <v>11</v>
      </c>
      <c r="AL129" t="s">
        <v>1160</v>
      </c>
      <c r="AM129" t="s">
        <v>3938</v>
      </c>
      <c r="AN129" t="s">
        <v>3939</v>
      </c>
      <c r="AO129" s="1" t="str">
        <f>HYPERLINK("http://exon.niaid.nih.gov/transcriptome/T_rubida/S1/links/SWISSP/Triru-contig_511-SWISSP.txt","Aminomethyltransferase, mitochondrial")</f>
        <v>Aminomethyltransferase, mitochondrial</v>
      </c>
      <c r="AP129" t="str">
        <f>HYPERLINK("http://www.uniprot.org/uniprot/P28337","4E-009")</f>
        <v>4E-009</v>
      </c>
      <c r="AQ129" t="s">
        <v>3940</v>
      </c>
      <c r="AR129">
        <v>60.1</v>
      </c>
      <c r="AS129">
        <v>53</v>
      </c>
      <c r="AT129">
        <v>53</v>
      </c>
      <c r="AU129">
        <v>14</v>
      </c>
      <c r="AV129">
        <v>25</v>
      </c>
      <c r="AW129">
        <v>0</v>
      </c>
      <c r="AX129">
        <v>339</v>
      </c>
      <c r="AY129">
        <v>3</v>
      </c>
      <c r="AZ129">
        <v>1</v>
      </c>
      <c r="BA129">
        <v>3</v>
      </c>
      <c r="BB129" t="s">
        <v>11</v>
      </c>
      <c r="BD129" t="s">
        <v>704</v>
      </c>
      <c r="BE129" t="s">
        <v>1196</v>
      </c>
      <c r="BF129" t="s">
        <v>3941</v>
      </c>
      <c r="BG129" t="s">
        <v>3942</v>
      </c>
      <c r="BH129" s="1" t="s">
        <v>3943</v>
      </c>
      <c r="BI129">
        <f>HYPERLINK("http://exon.niaid.nih.gov/transcriptome/T_rubida/S1/links/GO/Triru-contig_511-GO.txt",0.000000003)</f>
        <v>3E-9</v>
      </c>
      <c r="BJ129" s="1" t="str">
        <f>HYPERLINK("http://exon.niaid.nih.gov/transcriptome/T_rubida/S1/links/CDD/Triru-contig_511-CDD.txt","gcvT")</f>
        <v>gcvT</v>
      </c>
      <c r="BK129" t="str">
        <f>HYPERLINK("http://www.ncbi.nlm.nih.gov/Structure/cdd/cddsrv.cgi?uid=PRK13579&amp;version=v4.0","7E-011")</f>
        <v>7E-011</v>
      </c>
      <c r="BL129" t="s">
        <v>3944</v>
      </c>
      <c r="BM129" s="1" t="str">
        <f>HYPERLINK("http://exon.niaid.nih.gov/transcriptome/T_rubida/S1/links/KOG/Triru-contig_511-KOG.txt","Aminomethyl transferase")</f>
        <v>Aminomethyl transferase</v>
      </c>
      <c r="BN129" t="str">
        <f>HYPERLINK("http://www.ncbi.nlm.nih.gov/COG/grace/shokog.cgi?KOG2770","1E-012")</f>
        <v>1E-012</v>
      </c>
      <c r="BO129" t="s">
        <v>839</v>
      </c>
      <c r="BP129" s="1" t="str">
        <f>HYPERLINK("http://exon.niaid.nih.gov/transcriptome/T_rubida/S1/links/PFAM/Triru-contig_511-PFAM.txt","GCV_T_C")</f>
        <v>GCV_T_C</v>
      </c>
      <c r="BQ129" t="str">
        <f>HYPERLINK("http://pfam.sanger.ac.uk/family?acc=PF08669","2E-009")</f>
        <v>2E-009</v>
      </c>
      <c r="BR129" s="1" t="str">
        <f>HYPERLINK("http://exon.niaid.nih.gov/transcriptome/T_rubida/S1/links/SMART/Triru-contig_511-SMART.txt","YceI")</f>
        <v>YceI</v>
      </c>
      <c r="BS129" t="str">
        <f>HYPERLINK("http://smart.embl-heidelberg.de/smart/do_annotation.pl?DOMAIN=YceI&amp;BLAST=DUMMY","0.18")</f>
        <v>0.18</v>
      </c>
      <c r="BT129" s="1" t="str">
        <f>HYPERLINK("http://exon.niaid.nih.gov/transcriptome/T_rubida/S1/links/PRK/Triru-contig_511-PRK.txt","glycine cleavage system aminomethyltransferase T")</f>
        <v>glycine cleavage system aminomethyltransferase T</v>
      </c>
      <c r="BU129" s="2">
        <v>3E-11</v>
      </c>
      <c r="BV129" s="1" t="s">
        <v>57</v>
      </c>
      <c r="BW129" t="s">
        <v>57</v>
      </c>
      <c r="BX129" s="1" t="s">
        <v>57</v>
      </c>
      <c r="BY129" t="s">
        <v>57</v>
      </c>
    </row>
    <row r="130" spans="1:77" s="3" customFormat="1">
      <c r="A130" s="13" t="s">
        <v>5731</v>
      </c>
      <c r="T130" s="22"/>
    </row>
    <row r="131" spans="1:77">
      <c r="A131" t="str">
        <f>HYPERLINK("http://exon.niaid.nih.gov/transcriptome/T_rubida/S1/links/Triru/Triru-contig_277.txt","Triru-contig_277")</f>
        <v>Triru-contig_277</v>
      </c>
      <c r="B131">
        <v>1</v>
      </c>
      <c r="C131" t="str">
        <f>HYPERLINK("http://exon.niaid.nih.gov/transcriptome/T_rubida/S1/links/Triru/Triru-5-48-asb-277.txt","Contig-277")</f>
        <v>Contig-277</v>
      </c>
      <c r="D131" t="str">
        <f>HYPERLINK("http://exon.niaid.nih.gov/transcriptome/T_rubida/S1/links/Triru/Triru-5-48-277-CLU.txt","Contig277")</f>
        <v>Contig277</v>
      </c>
      <c r="E131" t="str">
        <f>HYPERLINK("http://exon.niaid.nih.gov/transcriptome/T_rubida/S1/links/Triru/Triru-5-48-277-qual.txt","64.1")</f>
        <v>64.1</v>
      </c>
      <c r="F131" t="s">
        <v>10</v>
      </c>
      <c r="G131">
        <v>68.5</v>
      </c>
      <c r="H131">
        <v>425</v>
      </c>
      <c r="I131" t="s">
        <v>289</v>
      </c>
      <c r="J131">
        <v>425</v>
      </c>
      <c r="K131">
        <v>444</v>
      </c>
      <c r="L131">
        <v>192</v>
      </c>
      <c r="M131" t="s">
        <v>5166</v>
      </c>
      <c r="N131" s="15">
        <v>1</v>
      </c>
      <c r="Q131" s="5" t="s">
        <v>4910</v>
      </c>
      <c r="R131" t="s">
        <v>4911</v>
      </c>
      <c r="S131" t="str">
        <f>HYPERLINK("http://exon.niaid.nih.gov/transcriptome/T_rubida/S1/links/GO/Triru-contig_277-GO.txt","GO")</f>
        <v>GO</v>
      </c>
      <c r="T131" s="23">
        <v>5.0000000000000002E-23</v>
      </c>
      <c r="U131">
        <v>6.8</v>
      </c>
      <c r="V131" s="1" t="str">
        <f>HYPERLINK("http://exon.niaid.nih.gov/transcriptome/T_rubida/S1/links/NR/Triru-contig_277-NR.txt","uncharacterized family 31 glucosidase KIAA1161-like")</f>
        <v>uncharacterized family 31 glucosidase KIAA1161-like</v>
      </c>
      <c r="W131" t="str">
        <f>HYPERLINK("http://www.ncbi.nlm.nih.gov/sutils/blink.cgi?pid=328718760","2E-022")</f>
        <v>2E-022</v>
      </c>
      <c r="X131" t="str">
        <f>HYPERLINK("http://www.ncbi.nlm.nih.gov/protein/328718760","gi|328718760")</f>
        <v>gi|328718760</v>
      </c>
      <c r="Y131">
        <v>108</v>
      </c>
      <c r="Z131">
        <v>62</v>
      </c>
      <c r="AA131">
        <v>839</v>
      </c>
      <c r="AB131">
        <v>77</v>
      </c>
      <c r="AC131">
        <v>8</v>
      </c>
      <c r="AD131">
        <v>14</v>
      </c>
      <c r="AE131">
        <v>0</v>
      </c>
      <c r="AF131">
        <v>777</v>
      </c>
      <c r="AG131">
        <v>4</v>
      </c>
      <c r="AH131">
        <v>3</v>
      </c>
      <c r="AI131">
        <v>1</v>
      </c>
      <c r="AJ131" t="s">
        <v>888</v>
      </c>
      <c r="AL131" t="s">
        <v>1160</v>
      </c>
      <c r="AM131" t="s">
        <v>2346</v>
      </c>
      <c r="AN131" t="s">
        <v>2347</v>
      </c>
      <c r="AO131" s="1" t="str">
        <f>HYPERLINK("http://exon.niaid.nih.gov/transcriptome/T_rubida/S1/links/SWISSP/Triru-contig_277-SWISSP.txt","Uncharacterized family 31 glucosidase KIAA1161")</f>
        <v>Uncharacterized family 31 glucosidase KIAA1161</v>
      </c>
      <c r="AP131" t="str">
        <f>HYPERLINK("http://www.uniprot.org/uniprot/Q6NSJ0","3E-005")</f>
        <v>3E-005</v>
      </c>
      <c r="AQ131" t="s">
        <v>2348</v>
      </c>
      <c r="AR131">
        <v>47.8</v>
      </c>
      <c r="AS131">
        <v>53</v>
      </c>
      <c r="AT131">
        <v>46</v>
      </c>
      <c r="AU131">
        <v>8</v>
      </c>
      <c r="AV131">
        <v>29</v>
      </c>
      <c r="AW131">
        <v>0</v>
      </c>
      <c r="AX131">
        <v>657</v>
      </c>
      <c r="AY131">
        <v>4</v>
      </c>
      <c r="AZ131">
        <v>1</v>
      </c>
      <c r="BA131">
        <v>1</v>
      </c>
      <c r="BB131" t="s">
        <v>11</v>
      </c>
      <c r="BD131" t="s">
        <v>704</v>
      </c>
      <c r="BE131" t="s">
        <v>1233</v>
      </c>
      <c r="BF131" t="s">
        <v>2349</v>
      </c>
      <c r="BG131" t="s">
        <v>2350</v>
      </c>
      <c r="BH131" s="1" t="s">
        <v>2351</v>
      </c>
      <c r="BI131">
        <f>HYPERLINK("http://exon.niaid.nih.gov/transcriptome/T_rubida/S1/links/GO/Triru-contig_277-GO.txt",5E-23)</f>
        <v>5.0000000000000002E-23</v>
      </c>
      <c r="BJ131" s="1" t="str">
        <f>HYPERLINK("http://exon.niaid.nih.gov/transcriptome/T_rubida/S1/links/CDD/Triru-contig_277-CDD.txt","Glyco_hydro_31")</f>
        <v>Glyco_hydro_31</v>
      </c>
      <c r="BK131" t="str">
        <f>HYPERLINK("http://www.ncbi.nlm.nih.gov/Structure/cdd/cddsrv.cgi?uid=pfam01055&amp;version=v4.0","9E-009")</f>
        <v>9E-009</v>
      </c>
      <c r="BL131" t="s">
        <v>2352</v>
      </c>
      <c r="BM131" s="1" t="str">
        <f>HYPERLINK("http://exon.niaid.nih.gov/transcriptome/T_rubida/S1/links/KOG/Triru-contig_277-KOG.txt","Maltase glucoamylase and related hydrolases, glycosyl hydrolase family 31")</f>
        <v>Maltase glucoamylase and related hydrolases, glycosyl hydrolase family 31</v>
      </c>
      <c r="BN131" t="str">
        <f>HYPERLINK("http://www.ncbi.nlm.nih.gov/COG/grace/shokog.cgi?KOG1065","8E-018")</f>
        <v>8E-018</v>
      </c>
      <c r="BO131" t="s">
        <v>946</v>
      </c>
      <c r="BP131" s="1" t="str">
        <f>HYPERLINK("http://exon.niaid.nih.gov/transcriptome/T_rubida/S1/links/PFAM/Triru-contig_277-PFAM.txt","Glyco_hydro_31")</f>
        <v>Glyco_hydro_31</v>
      </c>
      <c r="BQ131" t="str">
        <f>HYPERLINK("http://pfam.sanger.ac.uk/family?acc=PF01055","2E-009")</f>
        <v>2E-009</v>
      </c>
      <c r="BR131" s="1" t="str">
        <f>HYPERLINK("http://exon.niaid.nih.gov/transcriptome/T_rubida/S1/links/SMART/Triru-contig_277-SMART.txt","MUTSd")</f>
        <v>MUTSd</v>
      </c>
      <c r="BS131" t="str">
        <f>HYPERLINK("http://smart.embl-heidelberg.de/smart/do_annotation.pl?DOMAIN=MUTSd&amp;BLAST=DUMMY","0.16")</f>
        <v>0.16</v>
      </c>
      <c r="BT131" s="1" t="str">
        <f>HYPERLINK("http://exon.niaid.nih.gov/transcriptome/T_rubida/S1/links/PRK/Triru-contig_277-PRK.txt","alpha-glucosidase")</f>
        <v>alpha-glucosidase</v>
      </c>
      <c r="BU131" s="2">
        <v>2.0000000000000001E-4</v>
      </c>
      <c r="BV131" s="1" t="s">
        <v>57</v>
      </c>
      <c r="BW131" t="s">
        <v>57</v>
      </c>
      <c r="BX131" s="1" t="s">
        <v>57</v>
      </c>
      <c r="BY131" t="s">
        <v>57</v>
      </c>
    </row>
    <row r="132" spans="1:77" s="3" customFormat="1">
      <c r="A132" s="13" t="s">
        <v>5038</v>
      </c>
      <c r="T132" s="22"/>
    </row>
    <row r="133" spans="1:77">
      <c r="A133" t="str">
        <f>HYPERLINK("http://exon.niaid.nih.gov/transcriptome/T_rubida/S1/links/Triru/Triru-contig_89.txt","Triru-contig_89")</f>
        <v>Triru-contig_89</v>
      </c>
      <c r="B133">
        <v>11</v>
      </c>
      <c r="C133" t="str">
        <f>HYPERLINK("http://exon.niaid.nih.gov/transcriptome/T_rubida/S1/links/Triru/Triru-5-48-asb-89.txt","Contig-89")</f>
        <v>Contig-89</v>
      </c>
      <c r="D133" t="str">
        <f>HYPERLINK("http://exon.niaid.nih.gov/transcriptome/T_rubida/S1/links/Triru/Triru-5-48-89-CLU.txt","Contig89")</f>
        <v>Contig89</v>
      </c>
      <c r="E133" t="str">
        <f>HYPERLINK("http://exon.niaid.nih.gov/transcriptome/T_rubida/S1/links/Triru/Triru-5-48-89-qual.txt","67.5")</f>
        <v>67.5</v>
      </c>
      <c r="F133" t="s">
        <v>10</v>
      </c>
      <c r="G133">
        <v>65.599999999999994</v>
      </c>
      <c r="H133">
        <v>1505</v>
      </c>
      <c r="I133" t="s">
        <v>101</v>
      </c>
      <c r="J133">
        <v>806</v>
      </c>
      <c r="K133">
        <v>1526</v>
      </c>
      <c r="L133">
        <v>231</v>
      </c>
      <c r="M133" t="s">
        <v>5169</v>
      </c>
      <c r="N133" s="15">
        <v>2</v>
      </c>
      <c r="O133" s="14" t="str">
        <f>HYPERLINK("http://exon.niaid.nih.gov/transcriptome/T_rubida/S1/links/Sigp/TRIRU-CONTIG_89-SigP.txt","Cyt")</f>
        <v>Cyt</v>
      </c>
      <c r="Q133" s="5" t="s">
        <v>4839</v>
      </c>
      <c r="R133" t="s">
        <v>4836</v>
      </c>
      <c r="S133" t="str">
        <f>HYPERLINK("http://exon.niaid.nih.gov/transcriptome/T_rubida/S1/links/NR/Triru-contig_89-NR.txt","NR")</f>
        <v>NR</v>
      </c>
      <c r="T133" s="23">
        <v>0</v>
      </c>
      <c r="U133">
        <v>43.9</v>
      </c>
      <c r="V133" s="1" t="str">
        <f>HYPERLINK("http://exon.niaid.nih.gov/transcriptome/T_rubida/S1/links/NR/Triru-contig_89-NR.txt","cytochrome oxidase subunit I")</f>
        <v>cytochrome oxidase subunit I</v>
      </c>
      <c r="W133" t="str">
        <f>HYPERLINK("http://www.ncbi.nlm.nih.gov/sutils/blink.cgi?pid=3831495","0.0")</f>
        <v>0.0</v>
      </c>
      <c r="X133" t="str">
        <f>HYPERLINK("http://www.ncbi.nlm.nih.gov/protein/3831495","gi|3831495")</f>
        <v>gi|3831495</v>
      </c>
      <c r="Y133">
        <v>351</v>
      </c>
      <c r="Z133">
        <v>393</v>
      </c>
      <c r="AA133">
        <v>482</v>
      </c>
      <c r="AB133">
        <v>83</v>
      </c>
      <c r="AC133">
        <v>82</v>
      </c>
      <c r="AD133">
        <v>35</v>
      </c>
      <c r="AE133">
        <v>0</v>
      </c>
      <c r="AF133">
        <v>89</v>
      </c>
      <c r="AG133">
        <v>14</v>
      </c>
      <c r="AH133">
        <v>2</v>
      </c>
      <c r="AI133">
        <v>3</v>
      </c>
      <c r="AJ133" t="s">
        <v>888</v>
      </c>
      <c r="AK133">
        <v>1.7809999999999999</v>
      </c>
      <c r="AL133" t="s">
        <v>1168</v>
      </c>
      <c r="AM133" t="s">
        <v>1169</v>
      </c>
      <c r="AN133" t="s">
        <v>1170</v>
      </c>
      <c r="AO133" s="1" t="str">
        <f>HYPERLINK("http://exon.niaid.nih.gov/transcriptome/T_rubida/S1/links/SWISSP/Triru-contig_89-SWISSP.txt","Cytochrome c oxidase subunit 1")</f>
        <v>Cytochrome c oxidase subunit 1</v>
      </c>
      <c r="AP133" t="str">
        <f>HYPERLINK("http://www.uniprot.org/uniprot/P00400","1E-162")</f>
        <v>1E-162</v>
      </c>
      <c r="AQ133" t="s">
        <v>1171</v>
      </c>
      <c r="AR133">
        <v>298</v>
      </c>
      <c r="AS133">
        <v>390</v>
      </c>
      <c r="AT133">
        <v>68</v>
      </c>
      <c r="AU133">
        <v>76</v>
      </c>
      <c r="AV133">
        <v>65</v>
      </c>
      <c r="AW133">
        <v>0</v>
      </c>
      <c r="AX133">
        <v>120</v>
      </c>
      <c r="AY133">
        <v>14</v>
      </c>
      <c r="AZ133">
        <v>2</v>
      </c>
      <c r="BA133">
        <v>3</v>
      </c>
      <c r="BB133" t="s">
        <v>888</v>
      </c>
      <c r="BC133">
        <v>1.7949999999999999</v>
      </c>
      <c r="BD133" t="s">
        <v>704</v>
      </c>
      <c r="BE133" t="s">
        <v>1172</v>
      </c>
      <c r="BF133" t="s">
        <v>1173</v>
      </c>
      <c r="BG133" t="s">
        <v>1174</v>
      </c>
      <c r="BH133" s="1" t="s">
        <v>1175</v>
      </c>
      <c r="BI133">
        <f>HYPERLINK("http://exon.niaid.nih.gov/transcriptome/T_rubida/S1/links/GO/Triru-contig_89-GO.txt",0)</f>
        <v>0</v>
      </c>
      <c r="BJ133" s="1" t="str">
        <f>HYPERLINK("http://exon.niaid.nih.gov/transcriptome/T_rubida/S1/links/CDD/Triru-contig_89-CDD.txt","COX1")</f>
        <v>COX1</v>
      </c>
      <c r="BK133" t="str">
        <f>HYPERLINK("http://www.ncbi.nlm.nih.gov/Structure/cdd/cddsrv.cgi?uid=MTH00153&amp;version=v4.0","1E-119")</f>
        <v>1E-119</v>
      </c>
      <c r="BL133" t="s">
        <v>1176</v>
      </c>
      <c r="BM133" s="1" t="str">
        <f>HYPERLINK("http://exon.niaid.nih.gov/transcriptome/T_rubida/S1/links/KOG/Triru-contig_89-KOG.txt","Cytochrome c oxidase, subunit I")</f>
        <v>Cytochrome c oxidase, subunit I</v>
      </c>
      <c r="BN133" t="str">
        <f>HYPERLINK("http://www.ncbi.nlm.nih.gov/COG/grace/shokog.cgi?KOG4769","3E-041")</f>
        <v>3E-041</v>
      </c>
      <c r="BO133" t="s">
        <v>1139</v>
      </c>
      <c r="BP133" s="1" t="str">
        <f>HYPERLINK("http://exon.niaid.nih.gov/transcriptome/T_rubida/S1/links/PFAM/Triru-contig_89-PFAM.txt","COX1")</f>
        <v>COX1</v>
      </c>
      <c r="BQ133" t="str">
        <f>HYPERLINK("http://pfam.sanger.ac.uk/family?acc=PF00115","7E-060")</f>
        <v>7E-060</v>
      </c>
      <c r="BR133" s="1" t="str">
        <f>HYPERLINK("http://exon.niaid.nih.gov/transcriptome/T_rubida/S1/links/SMART/Triru-contig_89-SMART.txt","OLF")</f>
        <v>OLF</v>
      </c>
      <c r="BS133" t="str">
        <f>HYPERLINK("http://smart.embl-heidelberg.de/smart/do_annotation.pl?DOMAIN=OLF&amp;BLAST=DUMMY","0.26")</f>
        <v>0.26</v>
      </c>
      <c r="BT133" s="1" t="str">
        <f>HYPERLINK("http://exon.niaid.nih.gov/transcriptome/T_rubida/S1/links/PRK/Triru-contig_89-PRK.txt","cytochrome c oxidase subunit I")</f>
        <v>cytochrome c oxidase subunit I</v>
      </c>
      <c r="BU133" s="2">
        <v>1E-119</v>
      </c>
      <c r="BV133" s="1" t="str">
        <f>HYPERLINK("http://exon.niaid.nih.gov/transcriptome/T_rubida/S1/links/MIT-PLA/Triru-contig_89-MIT-PLA.txt","Triatoma dimidiata mitochondrial DNA, complete genome")</f>
        <v>Triatoma dimidiata mitochondrial DNA, complete genome</v>
      </c>
      <c r="BW133" t="str">
        <f>HYPERLINK("http://www.ncbi.nlm.nih.gov/entrez/viewer.fcgi?db=nucleotide&amp;val=11139100","0.0")</f>
        <v>0.0</v>
      </c>
      <c r="BX133" s="1" t="s">
        <v>57</v>
      </c>
      <c r="BY133" t="s">
        <v>57</v>
      </c>
    </row>
    <row r="134" spans="1:77">
      <c r="A134" t="str">
        <f>HYPERLINK("http://exon.niaid.nih.gov/transcriptome/T_rubida/S1/links/Triru/Triru-contig_85.txt","Triru-contig_85")</f>
        <v>Triru-contig_85</v>
      </c>
      <c r="B134">
        <v>9</v>
      </c>
      <c r="C134" t="str">
        <f>HYPERLINK("http://exon.niaid.nih.gov/transcriptome/T_rubida/S1/links/Triru/Triru-5-48-asb-85.txt","Contig-85")</f>
        <v>Contig-85</v>
      </c>
      <c r="D134" t="str">
        <f>HYPERLINK("http://exon.niaid.nih.gov/transcriptome/T_rubida/S1/links/Triru/Triru-5-48-85-CLU.txt","Contig85")</f>
        <v>Contig85</v>
      </c>
      <c r="E134" t="str">
        <f>HYPERLINK("http://exon.niaid.nih.gov/transcriptome/T_rubida/S1/links/Triru/Triru-5-48-85-qual.txt","84.8")</f>
        <v>84.8</v>
      </c>
      <c r="F134" t="s">
        <v>10</v>
      </c>
      <c r="G134">
        <v>65.2</v>
      </c>
      <c r="H134">
        <v>511</v>
      </c>
      <c r="I134" t="s">
        <v>97</v>
      </c>
      <c r="J134">
        <v>515</v>
      </c>
      <c r="K134">
        <v>535</v>
      </c>
      <c r="L134">
        <v>174</v>
      </c>
      <c r="M134" t="s">
        <v>5168</v>
      </c>
      <c r="N134" s="15">
        <v>1</v>
      </c>
      <c r="Q134" s="5" t="s">
        <v>4835</v>
      </c>
      <c r="R134" t="s">
        <v>4836</v>
      </c>
      <c r="S134" t="str">
        <f>HYPERLINK("http://exon.niaid.nih.gov/transcriptome/T_rubida/S1/links/KOG/Triru-contig_85-KOG.txt","KOG")</f>
        <v>KOG</v>
      </c>
      <c r="T134" s="23">
        <v>1.0000000000000001E-68</v>
      </c>
      <c r="U134">
        <v>69</v>
      </c>
      <c r="V134" s="1" t="str">
        <f>HYPERLINK("http://exon.niaid.nih.gov/transcriptome/T_rubida/S1/links/NR/Triru-contig_85-NR.txt","cytochrome c oxidase subunit II")</f>
        <v>cytochrome c oxidase subunit II</v>
      </c>
      <c r="W134" t="str">
        <f>HYPERLINK("http://www.ncbi.nlm.nih.gov/sutils/blink.cgi?pid=11182464","2E-075")</f>
        <v>2E-075</v>
      </c>
      <c r="X134" t="str">
        <f>HYPERLINK("http://www.ncbi.nlm.nih.gov/protein/11182464","gi|11182464")</f>
        <v>gi|11182464</v>
      </c>
      <c r="Y134">
        <v>285</v>
      </c>
      <c r="Z134">
        <v>165</v>
      </c>
      <c r="AA134">
        <v>226</v>
      </c>
      <c r="AB134">
        <v>86</v>
      </c>
      <c r="AC134">
        <v>73</v>
      </c>
      <c r="AD134">
        <v>23</v>
      </c>
      <c r="AE134">
        <v>0</v>
      </c>
      <c r="AF134">
        <v>60</v>
      </c>
      <c r="AG134">
        <v>13</v>
      </c>
      <c r="AH134">
        <v>1</v>
      </c>
      <c r="AI134">
        <v>1</v>
      </c>
      <c r="AJ134" t="s">
        <v>11</v>
      </c>
      <c r="AK134">
        <v>3.03</v>
      </c>
      <c r="AL134" t="s">
        <v>700</v>
      </c>
      <c r="AM134" t="s">
        <v>1140</v>
      </c>
      <c r="AN134" t="s">
        <v>1132</v>
      </c>
      <c r="AO134" s="1" t="str">
        <f>HYPERLINK("http://exon.niaid.nih.gov/transcriptome/T_rubida/S1/links/SWISSP/Triru-contig_85-SWISSP.txt","Cytochrome c oxidase subunit 2")</f>
        <v>Cytochrome c oxidase subunit 2</v>
      </c>
      <c r="AP134" t="str">
        <f>HYPERLINK("http://www.uniprot.org/uniprot/P29876","2E-064")</f>
        <v>2E-064</v>
      </c>
      <c r="AQ134" t="s">
        <v>1133</v>
      </c>
      <c r="AR134">
        <v>244</v>
      </c>
      <c r="AS134">
        <v>160</v>
      </c>
      <c r="AT134">
        <v>72</v>
      </c>
      <c r="AU134">
        <v>70</v>
      </c>
      <c r="AV134">
        <v>45</v>
      </c>
      <c r="AW134">
        <v>0</v>
      </c>
      <c r="AX134">
        <v>60</v>
      </c>
      <c r="AY134">
        <v>13</v>
      </c>
      <c r="AZ134">
        <v>1</v>
      </c>
      <c r="BA134">
        <v>1</v>
      </c>
      <c r="BB134" t="s">
        <v>11</v>
      </c>
      <c r="BC134">
        <v>2.5</v>
      </c>
      <c r="BD134" t="s">
        <v>704</v>
      </c>
      <c r="BE134" t="s">
        <v>1134</v>
      </c>
      <c r="BF134" t="s">
        <v>1141</v>
      </c>
      <c r="BG134" t="s">
        <v>1142</v>
      </c>
      <c r="BH134" s="1" t="s">
        <v>1137</v>
      </c>
      <c r="BI134">
        <f>HYPERLINK("http://exon.niaid.nih.gov/transcriptome/T_rubida/S1/links/GO/Triru-contig_85-GO.txt",1E-62)</f>
        <v>1E-62</v>
      </c>
      <c r="BJ134" s="1" t="str">
        <f>HYPERLINK("http://exon.niaid.nih.gov/transcriptome/T_rubida/S1/links/CDD/Triru-contig_85-CDD.txt","COX2")</f>
        <v>COX2</v>
      </c>
      <c r="BK134" t="str">
        <f>HYPERLINK("http://www.ncbi.nlm.nih.gov/Structure/cdd/cddsrv.cgi?uid=MTH00154&amp;version=v4.0","8E-094")</f>
        <v>8E-094</v>
      </c>
      <c r="BL134" t="s">
        <v>1143</v>
      </c>
      <c r="BM134" s="1" t="str">
        <f>HYPERLINK("http://exon.niaid.nih.gov/transcriptome/T_rubida/S1/links/KOG/Triru-contig_85-KOG.txt","Cytochrome c oxidase, subunit II, and related proteins")</f>
        <v>Cytochrome c oxidase, subunit II, and related proteins</v>
      </c>
      <c r="BN134" t="str">
        <f>HYPERLINK("http://www.ncbi.nlm.nih.gov/COG/grace/shokog.cgi?KOG4767","1E-068")</f>
        <v>1E-068</v>
      </c>
      <c r="BO134" t="s">
        <v>1139</v>
      </c>
      <c r="BP134" s="1" t="str">
        <f>HYPERLINK("http://exon.niaid.nih.gov/transcriptome/T_rubida/S1/links/PFAM/Triru-contig_85-PFAM.txt","COX2")</f>
        <v>COX2</v>
      </c>
      <c r="BQ134" t="str">
        <f>HYPERLINK("http://pfam.sanger.ac.uk/family?acc=PF00116","3E-054")</f>
        <v>3E-054</v>
      </c>
      <c r="BR134" s="1" t="str">
        <f>HYPERLINK("http://exon.niaid.nih.gov/transcriptome/T_rubida/S1/links/SMART/Triru-contig_85-SMART.txt","RPOLA_N")</f>
        <v>RPOLA_N</v>
      </c>
      <c r="BS134" t="str">
        <f>HYPERLINK("http://smart.embl-heidelberg.de/smart/do_annotation.pl?DOMAIN=RPOLA_N&amp;BLAST=DUMMY","0.36")</f>
        <v>0.36</v>
      </c>
      <c r="BT134" s="1" t="str">
        <f>HYPERLINK("http://exon.niaid.nih.gov/transcriptome/T_rubida/S1/links/PRK/Triru-contig_85-PRK.txt","cytochrome c oxidase subunit II")</f>
        <v>cytochrome c oxidase subunit II</v>
      </c>
      <c r="BU134" s="2">
        <v>3.0000000000000001E-94</v>
      </c>
      <c r="BV134" s="1" t="str">
        <f>HYPERLINK("http://exon.niaid.nih.gov/transcriptome/T_rubida/S1/links/MIT-PLA/Triru-contig_85-MIT-PLA.txt","Triatoma dimidiata mitochondrial DNA, complete genome")</f>
        <v>Triatoma dimidiata mitochondrial DNA, complete genome</v>
      </c>
      <c r="BW134" t="str">
        <f>HYPERLINK("http://www.ncbi.nlm.nih.gov/entrez/viewer.fcgi?db=nucleotide&amp;val=11139100","1E-102")</f>
        <v>1E-102</v>
      </c>
      <c r="BX134" s="1" t="s">
        <v>57</v>
      </c>
      <c r="BY134" t="s">
        <v>57</v>
      </c>
    </row>
    <row r="135" spans="1:77">
      <c r="A135" t="str">
        <f>HYPERLINK("http://exon.niaid.nih.gov/transcriptome/T_rubida/S1/links/Triru/Triru-contig_93.txt","Triru-contig_93")</f>
        <v>Triru-contig_93</v>
      </c>
      <c r="B135">
        <v>8</v>
      </c>
      <c r="C135" t="str">
        <f>HYPERLINK("http://exon.niaid.nih.gov/transcriptome/T_rubida/S1/links/Triru/Triru-5-48-asb-93.txt","Contig-93")</f>
        <v>Contig-93</v>
      </c>
      <c r="D135" t="str">
        <f>HYPERLINK("http://exon.niaid.nih.gov/transcriptome/T_rubida/S1/links/Triru/Triru-5-48-93-CLU.txt","Contig93")</f>
        <v>Contig93</v>
      </c>
      <c r="E135" t="str">
        <f>HYPERLINK("http://exon.niaid.nih.gov/transcriptome/T_rubida/S1/links/Triru/Triru-5-48-93-qual.txt","89.9")</f>
        <v>89.9</v>
      </c>
      <c r="F135" t="s">
        <v>10</v>
      </c>
      <c r="G135">
        <v>66.2</v>
      </c>
      <c r="H135">
        <v>840</v>
      </c>
      <c r="I135" t="s">
        <v>105</v>
      </c>
      <c r="J135">
        <v>843</v>
      </c>
      <c r="K135">
        <v>860</v>
      </c>
      <c r="L135">
        <v>237</v>
      </c>
      <c r="M135" t="s">
        <v>5176</v>
      </c>
      <c r="N135" s="15">
        <v>2</v>
      </c>
      <c r="Q135" s="5" t="s">
        <v>4841</v>
      </c>
      <c r="R135" t="s">
        <v>4836</v>
      </c>
      <c r="S135" t="str">
        <f>HYPERLINK("http://exon.niaid.nih.gov/transcriptome/T_rubida/S1/links/NR/Triru-contig_93-NR.txt","NR")</f>
        <v>NR</v>
      </c>
      <c r="T135" s="23">
        <v>0</v>
      </c>
      <c r="U135">
        <v>75.2</v>
      </c>
      <c r="V135" s="1" t="str">
        <f>HYPERLINK("http://exon.niaid.nih.gov/transcriptome/T_rubida/S1/links/NR/Triru-contig_93-NR.txt","truncated cytochrome b")</f>
        <v>truncated cytochrome b</v>
      </c>
      <c r="W135" t="str">
        <f>HYPERLINK("http://www.ncbi.nlm.nih.gov/sutils/blink.cgi?pid=149898868","1E-129")</f>
        <v>1E-129</v>
      </c>
      <c r="X135" t="str">
        <f>HYPERLINK("http://www.ncbi.nlm.nih.gov/protein/149898868","gi|149898868")</f>
        <v>gi|149898868</v>
      </c>
      <c r="Y135">
        <v>466</v>
      </c>
      <c r="Z135">
        <v>276</v>
      </c>
      <c r="AA135">
        <v>368</v>
      </c>
      <c r="AB135">
        <v>83</v>
      </c>
      <c r="AC135">
        <v>75</v>
      </c>
      <c r="AD135">
        <v>45</v>
      </c>
      <c r="AE135">
        <v>0</v>
      </c>
      <c r="AF135">
        <v>91</v>
      </c>
      <c r="AG135">
        <v>5</v>
      </c>
      <c r="AH135">
        <v>1</v>
      </c>
      <c r="AI135">
        <v>2</v>
      </c>
      <c r="AJ135" t="s">
        <v>11</v>
      </c>
      <c r="AK135">
        <v>3.2610000000000001</v>
      </c>
      <c r="AL135" t="s">
        <v>1067</v>
      </c>
      <c r="AM135" t="s">
        <v>1200</v>
      </c>
      <c r="AN135" t="s">
        <v>1201</v>
      </c>
      <c r="AO135" s="1" t="str">
        <f>HYPERLINK("http://exon.niaid.nih.gov/transcriptome/T_rubida/S1/links/SWISSP/Triru-contig_93-SWISSP.txt","Cytochrome b")</f>
        <v>Cytochrome b</v>
      </c>
      <c r="AP135" t="str">
        <f>HYPERLINK("http://www.uniprot.org/uniprot/Q9MGL5","1E-108")</f>
        <v>1E-108</v>
      </c>
      <c r="AQ135" t="s">
        <v>1202</v>
      </c>
      <c r="AR135">
        <v>390</v>
      </c>
      <c r="AS135">
        <v>277</v>
      </c>
      <c r="AT135">
        <v>66</v>
      </c>
      <c r="AU135">
        <v>74</v>
      </c>
      <c r="AV135">
        <v>92</v>
      </c>
      <c r="AW135">
        <v>0</v>
      </c>
      <c r="AX135">
        <v>100</v>
      </c>
      <c r="AY135">
        <v>5</v>
      </c>
      <c r="AZ135">
        <v>1</v>
      </c>
      <c r="BA135">
        <v>2</v>
      </c>
      <c r="BB135" t="s">
        <v>11</v>
      </c>
      <c r="BC135">
        <v>3.2490000000000001</v>
      </c>
      <c r="BD135" t="s">
        <v>704</v>
      </c>
      <c r="BE135" t="s">
        <v>1203</v>
      </c>
      <c r="BF135" t="s">
        <v>1204</v>
      </c>
      <c r="BG135" t="s">
        <v>1205</v>
      </c>
      <c r="BH135" s="1" t="s">
        <v>1206</v>
      </c>
      <c r="BI135">
        <f>HYPERLINK("http://exon.niaid.nih.gov/transcriptome/T_rubida/S1/links/GO/Triru-contig_93-GO.txt",0)</f>
        <v>0</v>
      </c>
      <c r="BJ135" s="1" t="str">
        <f>HYPERLINK("http://exon.niaid.nih.gov/transcriptome/T_rubida/S1/links/CDD/Triru-contig_93-CDD.txt","CYTB")</f>
        <v>CYTB</v>
      </c>
      <c r="BK135" t="str">
        <f>HYPERLINK("http://www.ncbi.nlm.nih.gov/Structure/cdd/cddsrv.cgi?uid=MTH00156&amp;version=v4.0","1E-162")</f>
        <v>1E-162</v>
      </c>
      <c r="BL135" t="s">
        <v>1207</v>
      </c>
      <c r="BM135" s="1" t="str">
        <f>HYPERLINK("http://exon.niaid.nih.gov/transcriptome/T_rubida/S1/links/KOG/Triru-contig_93-KOG.txt","Cytochrome b")</f>
        <v>Cytochrome b</v>
      </c>
      <c r="BN135" t="str">
        <f>HYPERLINK("http://www.ncbi.nlm.nih.gov/COG/grace/shokog.cgi?KOG4663","6E-041")</f>
        <v>6E-041</v>
      </c>
      <c r="BO135" t="s">
        <v>1139</v>
      </c>
      <c r="BP135" s="1" t="str">
        <f>HYPERLINK("http://exon.niaid.nih.gov/transcriptome/T_rubida/S1/links/PFAM/Triru-contig_93-PFAM.txt","Cytochrom_B_C")</f>
        <v>Cytochrom_B_C</v>
      </c>
      <c r="BQ135" t="str">
        <f>HYPERLINK("http://pfam.sanger.ac.uk/family?acc=PF00032","8E-048")</f>
        <v>8E-048</v>
      </c>
      <c r="BR135" s="1" t="str">
        <f>HYPERLINK("http://exon.niaid.nih.gov/transcriptome/T_rubida/S1/links/SMART/Triru-contig_93-SMART.txt","VKc")</f>
        <v>VKc</v>
      </c>
      <c r="BS135" t="str">
        <f>HYPERLINK("http://smart.embl-heidelberg.de/smart/do_annotation.pl?DOMAIN=VKc&amp;BLAST=DUMMY","0.19")</f>
        <v>0.19</v>
      </c>
      <c r="BT135" s="1" t="str">
        <f>HYPERLINK("http://exon.niaid.nih.gov/transcriptome/T_rubida/S1/links/PRK/Triru-contig_93-PRK.txt","cytochrome b")</f>
        <v>cytochrome b</v>
      </c>
      <c r="BU135" s="2">
        <v>9.9999999999999992E-164</v>
      </c>
      <c r="BV135" s="1" t="str">
        <f>HYPERLINK("http://exon.niaid.nih.gov/transcriptome/T_rubida/S1/links/MIT-PLA/Triru-contig_93-MIT-PLA.txt","Triatoma dimidiata mitochondrial DNA, complete genome")</f>
        <v>Triatoma dimidiata mitochondrial DNA, complete genome</v>
      </c>
      <c r="BW135" t="str">
        <f>HYPERLINK("http://www.ncbi.nlm.nih.gov/entrez/viewer.fcgi?db=nucleotide&amp;val=11139100","1E-115")</f>
        <v>1E-115</v>
      </c>
      <c r="BX135" s="1" t="s">
        <v>57</v>
      </c>
      <c r="BY135" t="s">
        <v>57</v>
      </c>
    </row>
    <row r="136" spans="1:77">
      <c r="A136" t="str">
        <f>HYPERLINK("http://exon.niaid.nih.gov/transcriptome/T_rubida/S1/links/Triru/Triru-contig_84.txt","Triru-contig_84")</f>
        <v>Triru-contig_84</v>
      </c>
      <c r="B136">
        <v>6</v>
      </c>
      <c r="C136" t="str">
        <f>HYPERLINK("http://exon.niaid.nih.gov/transcriptome/T_rubida/S1/links/Triru/Triru-5-48-asb-84.txt","Contig-84")</f>
        <v>Contig-84</v>
      </c>
      <c r="D136" t="str">
        <f>HYPERLINK("http://exon.niaid.nih.gov/transcriptome/T_rubida/S1/links/Triru/Triru-5-48-84-CLU.txt","Contig84")</f>
        <v>Contig84</v>
      </c>
      <c r="E136" t="str">
        <f>HYPERLINK("http://exon.niaid.nih.gov/transcriptome/T_rubida/S1/links/Triru/Triru-5-48-84-qual.txt","77.5")</f>
        <v>77.5</v>
      </c>
      <c r="F136" t="s">
        <v>10</v>
      </c>
      <c r="G136">
        <v>65.8</v>
      </c>
      <c r="H136">
        <v>472</v>
      </c>
      <c r="I136" t="s">
        <v>96</v>
      </c>
      <c r="J136">
        <v>476</v>
      </c>
      <c r="K136">
        <v>491</v>
      </c>
      <c r="L136">
        <v>174</v>
      </c>
      <c r="M136" t="s">
        <v>5168</v>
      </c>
      <c r="N136" s="15">
        <v>3</v>
      </c>
      <c r="Q136" s="5" t="s">
        <v>4835</v>
      </c>
      <c r="R136" t="s">
        <v>4836</v>
      </c>
      <c r="S136" t="str">
        <f>HYPERLINK("http://exon.niaid.nih.gov/transcriptome/T_rubida/S1/links/KOG/Triru-contig_84-KOG.txt","KOG")</f>
        <v>KOG</v>
      </c>
      <c r="T136" s="23">
        <v>1E-62</v>
      </c>
      <c r="U136">
        <v>65</v>
      </c>
      <c r="V136" s="1" t="str">
        <f>HYPERLINK("http://exon.niaid.nih.gov/transcriptome/T_rubida/S1/links/NR/Triru-contig_84-NR.txt","cytochrome c oxidase subunit II")</f>
        <v>cytochrome c oxidase subunit II</v>
      </c>
      <c r="W136" t="str">
        <f>HYPERLINK("http://www.ncbi.nlm.nih.gov/sutils/blink.cgi?pid=11182464","6E-068")</f>
        <v>6E-068</v>
      </c>
      <c r="X136" t="str">
        <f>HYPERLINK("http://www.ncbi.nlm.nih.gov/protein/11182464","gi|11182464")</f>
        <v>gi|11182464</v>
      </c>
      <c r="Y136">
        <v>260</v>
      </c>
      <c r="Z136">
        <v>154</v>
      </c>
      <c r="AA136">
        <v>226</v>
      </c>
      <c r="AB136">
        <v>82</v>
      </c>
      <c r="AC136">
        <v>69</v>
      </c>
      <c r="AD136">
        <v>27</v>
      </c>
      <c r="AE136">
        <v>0</v>
      </c>
      <c r="AF136">
        <v>72</v>
      </c>
      <c r="AG136">
        <v>6</v>
      </c>
      <c r="AH136">
        <v>1</v>
      </c>
      <c r="AI136">
        <v>3</v>
      </c>
      <c r="AJ136" t="s">
        <v>11</v>
      </c>
      <c r="AK136">
        <v>2.597</v>
      </c>
      <c r="AL136" t="s">
        <v>700</v>
      </c>
      <c r="AM136" t="s">
        <v>1131</v>
      </c>
      <c r="AN136" t="s">
        <v>1132</v>
      </c>
      <c r="AO136" s="1" t="str">
        <f>HYPERLINK("http://exon.niaid.nih.gov/transcriptome/T_rubida/S1/links/SWISSP/Triru-contig_84-SWISSP.txt","Cytochrome c oxidase subunit 2")</f>
        <v>Cytochrome c oxidase subunit 2</v>
      </c>
      <c r="AP136" t="str">
        <f>HYPERLINK("http://www.uniprot.org/uniprot/P29876","4E-058")</f>
        <v>4E-058</v>
      </c>
      <c r="AQ136" t="s">
        <v>1133</v>
      </c>
      <c r="AR136">
        <v>223</v>
      </c>
      <c r="AS136">
        <v>148</v>
      </c>
      <c r="AT136">
        <v>69</v>
      </c>
      <c r="AU136">
        <v>65</v>
      </c>
      <c r="AV136">
        <v>45</v>
      </c>
      <c r="AW136">
        <v>0</v>
      </c>
      <c r="AX136">
        <v>72</v>
      </c>
      <c r="AY136">
        <v>6</v>
      </c>
      <c r="AZ136">
        <v>1</v>
      </c>
      <c r="BA136">
        <v>3</v>
      </c>
      <c r="BB136" t="s">
        <v>11</v>
      </c>
      <c r="BC136">
        <v>2.0270000000000001</v>
      </c>
      <c r="BD136" t="s">
        <v>704</v>
      </c>
      <c r="BE136" t="s">
        <v>1134</v>
      </c>
      <c r="BF136" t="s">
        <v>1135</v>
      </c>
      <c r="BG136" t="s">
        <v>1136</v>
      </c>
      <c r="BH136" s="1" t="s">
        <v>1137</v>
      </c>
      <c r="BI136">
        <f>HYPERLINK("http://exon.niaid.nih.gov/transcriptome/T_rubida/S1/links/GO/Triru-contig_84-GO.txt",2E-57)</f>
        <v>1.9999999999999999E-57</v>
      </c>
      <c r="BJ136" s="1" t="str">
        <f>HYPERLINK("http://exon.niaid.nih.gov/transcriptome/T_rubida/S1/links/CDD/Triru-contig_84-CDD.txt","COX2")</f>
        <v>COX2</v>
      </c>
      <c r="BK136" t="str">
        <f>HYPERLINK("http://www.ncbi.nlm.nih.gov/Structure/cdd/cddsrv.cgi?uid=MTH00154&amp;version=v4.0","7E-083")</f>
        <v>7E-083</v>
      </c>
      <c r="BL136" t="s">
        <v>1138</v>
      </c>
      <c r="BM136" s="1" t="str">
        <f>HYPERLINK("http://exon.niaid.nih.gov/transcriptome/T_rubida/S1/links/KOG/Triru-contig_84-KOG.txt","Cytochrome c oxidase, subunit II, and related proteins")</f>
        <v>Cytochrome c oxidase, subunit II, and related proteins</v>
      </c>
      <c r="BN136" t="str">
        <f>HYPERLINK("http://www.ncbi.nlm.nih.gov/COG/grace/shokog.cgi?KOG4767","1E-062")</f>
        <v>1E-062</v>
      </c>
      <c r="BO136" t="s">
        <v>1139</v>
      </c>
      <c r="BP136" s="1" t="str">
        <f>HYPERLINK("http://exon.niaid.nih.gov/transcriptome/T_rubida/S1/links/PFAM/Triru-contig_84-PFAM.txt","COX2")</f>
        <v>COX2</v>
      </c>
      <c r="BQ136" t="str">
        <f>HYPERLINK("http://pfam.sanger.ac.uk/family?acc=PF00116","9E-054")</f>
        <v>9E-054</v>
      </c>
      <c r="BR136" s="1" t="str">
        <f>HYPERLINK("http://exon.niaid.nih.gov/transcriptome/T_rubida/S1/links/SMART/Triru-contig_84-SMART.txt","RPOLA_N")</f>
        <v>RPOLA_N</v>
      </c>
      <c r="BS136" t="str">
        <f>HYPERLINK("http://smart.embl-heidelberg.de/smart/do_annotation.pl?DOMAIN=RPOLA_N&amp;BLAST=DUMMY","0.32")</f>
        <v>0.32</v>
      </c>
      <c r="BT136" s="1" t="str">
        <f>HYPERLINK("http://exon.niaid.nih.gov/transcriptome/T_rubida/S1/links/PRK/Triru-contig_84-PRK.txt","cytochrome c oxidase subunit II")</f>
        <v>cytochrome c oxidase subunit II</v>
      </c>
      <c r="BU136" s="2">
        <v>3.0000000000000001E-83</v>
      </c>
      <c r="BV136" s="1" t="str">
        <f>HYPERLINK("http://exon.niaid.nih.gov/transcriptome/T_rubida/S1/links/MIT-PLA/Triru-contig_84-MIT-PLA.txt","Triatoma dimidiata mitochondrial DNA, complete genome")</f>
        <v>Triatoma dimidiata mitochondrial DNA, complete genome</v>
      </c>
      <c r="BW136" t="str">
        <f>HYPERLINK("http://www.ncbi.nlm.nih.gov/entrez/viewer.fcgi?db=nucleotide&amp;val=11139100","3E-085")</f>
        <v>3E-085</v>
      </c>
      <c r="BX136" s="1" t="s">
        <v>57</v>
      </c>
      <c r="BY136" t="s">
        <v>57</v>
      </c>
    </row>
    <row r="137" spans="1:77">
      <c r="A137" t="str">
        <f>HYPERLINK("http://exon.niaid.nih.gov/transcriptome/T_rubida/S1/links/Triru/Triru-contig_104.txt","Triru-contig_104")</f>
        <v>Triru-contig_104</v>
      </c>
      <c r="B137">
        <v>5</v>
      </c>
      <c r="C137" t="str">
        <f>HYPERLINK("http://exon.niaid.nih.gov/transcriptome/T_rubida/S1/links/Triru/Triru-5-48-asb-104.txt","Contig-104")</f>
        <v>Contig-104</v>
      </c>
      <c r="D137" t="str">
        <f>HYPERLINK("http://exon.niaid.nih.gov/transcriptome/T_rubida/S1/links/Triru/Triru-5-48-104-CLU.txt","Contig104")</f>
        <v>Contig104</v>
      </c>
      <c r="E137" t="str">
        <f>HYPERLINK("http://exon.niaid.nih.gov/transcriptome/T_rubida/S1/links/Triru/Triru-5-48-104-qual.txt","88.7")</f>
        <v>88.7</v>
      </c>
      <c r="F137" t="s">
        <v>10</v>
      </c>
      <c r="G137">
        <v>68.5</v>
      </c>
      <c r="H137">
        <v>734</v>
      </c>
      <c r="I137" t="s">
        <v>116</v>
      </c>
      <c r="J137">
        <v>734</v>
      </c>
      <c r="K137">
        <v>753</v>
      </c>
      <c r="L137">
        <v>279</v>
      </c>
      <c r="M137" t="s">
        <v>5170</v>
      </c>
      <c r="N137" s="15">
        <v>1</v>
      </c>
      <c r="O137" s="14" t="str">
        <f>HYPERLINK("http://exon.niaid.nih.gov/transcriptome/T_rubida/S1/links/Sigp/TRIRU-CONTIG_104-SigP.txt","Anch")</f>
        <v>Anch</v>
      </c>
      <c r="Q137" s="5" t="s">
        <v>4851</v>
      </c>
      <c r="R137" t="s">
        <v>4836</v>
      </c>
      <c r="S137" t="str">
        <f>HYPERLINK("http://exon.niaid.nih.gov/transcriptome/T_rubida/S1/links/KOG/Triru-contig_104-KOG.txt","KOG")</f>
        <v>KOG</v>
      </c>
      <c r="T137" s="23">
        <v>9.9999999999999999E-93</v>
      </c>
      <c r="U137">
        <v>90.4</v>
      </c>
      <c r="V137" s="1" t="str">
        <f>HYPERLINK("http://exon.niaid.nih.gov/transcriptome/T_rubida/S1/links/NR/Triru-contig_104-NR.txt","cytochrome c oxidase subunit III")</f>
        <v>cytochrome c oxidase subunit III</v>
      </c>
      <c r="W137" t="str">
        <f>HYPERLINK("http://www.ncbi.nlm.nih.gov/sutils/blink.cgi?pid=11182465","1E-111")</f>
        <v>1E-111</v>
      </c>
      <c r="X137" t="str">
        <f>HYPERLINK("http://www.ncbi.nlm.nih.gov/protein/11182465","gi|11182465")</f>
        <v>gi|11182465</v>
      </c>
      <c r="Y137">
        <v>404</v>
      </c>
      <c r="Z137">
        <v>240</v>
      </c>
      <c r="AA137">
        <v>261</v>
      </c>
      <c r="AB137">
        <v>85</v>
      </c>
      <c r="AC137">
        <v>92</v>
      </c>
      <c r="AD137">
        <v>36</v>
      </c>
      <c r="AE137">
        <v>0</v>
      </c>
      <c r="AF137">
        <v>21</v>
      </c>
      <c r="AG137">
        <v>10</v>
      </c>
      <c r="AH137">
        <v>1</v>
      </c>
      <c r="AI137">
        <v>1</v>
      </c>
      <c r="AJ137" t="s">
        <v>11</v>
      </c>
      <c r="AK137">
        <v>4.1669999999999998</v>
      </c>
      <c r="AL137" t="s">
        <v>700</v>
      </c>
      <c r="AM137" t="s">
        <v>1279</v>
      </c>
      <c r="AN137" t="s">
        <v>1280</v>
      </c>
      <c r="AO137" s="1" t="str">
        <f>HYPERLINK("http://exon.niaid.nih.gov/transcriptome/T_rubida/S1/links/SWISSP/Triru-contig_104-SWISSP.txt","Cytochrome c oxidase subunit 3")</f>
        <v>Cytochrome c oxidase subunit 3</v>
      </c>
      <c r="AP137" t="str">
        <f>HYPERLINK("http://www.uniprot.org/uniprot/P00418","8E-090")</f>
        <v>8E-090</v>
      </c>
      <c r="AQ137" t="s">
        <v>1281</v>
      </c>
      <c r="AR137">
        <v>330</v>
      </c>
      <c r="AS137">
        <v>235</v>
      </c>
      <c r="AT137">
        <v>67</v>
      </c>
      <c r="AU137">
        <v>90</v>
      </c>
      <c r="AV137">
        <v>77</v>
      </c>
      <c r="AW137">
        <v>0</v>
      </c>
      <c r="AX137">
        <v>23</v>
      </c>
      <c r="AY137">
        <v>13</v>
      </c>
      <c r="AZ137">
        <v>1</v>
      </c>
      <c r="BA137">
        <v>1</v>
      </c>
      <c r="BB137" t="s">
        <v>11</v>
      </c>
      <c r="BC137">
        <v>3.4039999999999999</v>
      </c>
      <c r="BD137" t="s">
        <v>704</v>
      </c>
      <c r="BE137" t="s">
        <v>1172</v>
      </c>
      <c r="BF137" t="s">
        <v>1282</v>
      </c>
      <c r="BG137" t="s">
        <v>1283</v>
      </c>
      <c r="BH137" s="1" t="s">
        <v>1284</v>
      </c>
      <c r="BI137">
        <f>HYPERLINK("http://exon.niaid.nih.gov/transcriptome/T_rubida/S1/links/GO/Triru-contig_104-GO.txt",8E-90)</f>
        <v>8E-90</v>
      </c>
      <c r="BJ137" s="1" t="str">
        <f>HYPERLINK("http://exon.niaid.nih.gov/transcriptome/T_rubida/S1/links/CDD/Triru-contig_104-CDD.txt","COX3")</f>
        <v>COX3</v>
      </c>
      <c r="BK137" t="str">
        <f>HYPERLINK("http://www.ncbi.nlm.nih.gov/Structure/cdd/cddsrv.cgi?uid=MTH00155&amp;version=v4.0","1E-132")</f>
        <v>1E-132</v>
      </c>
      <c r="BL137" t="s">
        <v>1285</v>
      </c>
      <c r="BM137" s="1" t="str">
        <f>HYPERLINK("http://exon.niaid.nih.gov/transcriptome/T_rubida/S1/links/KOG/Triru-contig_104-KOG.txt","Cytochrome oxidase subunit III and related proteins")</f>
        <v>Cytochrome oxidase subunit III and related proteins</v>
      </c>
      <c r="BN137" t="str">
        <f>HYPERLINK("http://www.ncbi.nlm.nih.gov/COG/grace/shokog.cgi?KOG4664","1E-092")</f>
        <v>1E-092</v>
      </c>
      <c r="BO137" t="s">
        <v>1139</v>
      </c>
      <c r="BP137" s="1" t="str">
        <f>HYPERLINK("http://exon.niaid.nih.gov/transcriptome/T_rubida/S1/links/PFAM/Triru-contig_104-PFAM.txt","COX3")</f>
        <v>COX3</v>
      </c>
      <c r="BQ137" t="str">
        <f>HYPERLINK("http://pfam.sanger.ac.uk/family?acc=PF00510","1E-112")</f>
        <v>1E-112</v>
      </c>
      <c r="BR137" s="1" t="str">
        <f>HYPERLINK("http://exon.niaid.nih.gov/transcriptome/T_rubida/S1/links/SMART/Triru-contig_104-SMART.txt","AgrB")</f>
        <v>AgrB</v>
      </c>
      <c r="BS137" t="str">
        <f>HYPERLINK("http://smart.embl-heidelberg.de/smart/do_annotation.pl?DOMAIN=AgrB&amp;BLAST=DUMMY","0.016")</f>
        <v>0.016</v>
      </c>
      <c r="BT137" s="1" t="str">
        <f>HYPERLINK("http://exon.niaid.nih.gov/transcriptome/T_rubida/S1/links/PRK/Triru-contig_104-PRK.txt","cytochrome c oxidase subunit III")</f>
        <v>cytochrome c oxidase subunit III</v>
      </c>
      <c r="BU137" s="2">
        <v>9.9999999999999999E-133</v>
      </c>
      <c r="BV137" s="1" t="str">
        <f>HYPERLINK("http://exon.niaid.nih.gov/transcriptome/T_rubida/S1/links/MIT-PLA/Triru-contig_104-MIT-PLA.txt","Triatoma dimidiata mitochondrial DNA, complete genome")</f>
        <v>Triatoma dimidiata mitochondrial DNA, complete genome</v>
      </c>
      <c r="BW137" t="str">
        <f>HYPERLINK("http://www.ncbi.nlm.nih.gov/entrez/viewer.fcgi?db=nucleotide&amp;val=11139100","1E-180")</f>
        <v>1E-180</v>
      </c>
      <c r="BX137" s="1" t="s">
        <v>57</v>
      </c>
      <c r="BY137" t="s">
        <v>57</v>
      </c>
    </row>
    <row r="138" spans="1:77">
      <c r="A138" t="str">
        <f>HYPERLINK("http://exon.niaid.nih.gov/transcriptome/T_rubida/S1/links/Triru/Triru-contig_123.txt","Triru-contig_123")</f>
        <v>Triru-contig_123</v>
      </c>
      <c r="B138">
        <v>3</v>
      </c>
      <c r="C138" t="str">
        <f>HYPERLINK("http://exon.niaid.nih.gov/transcriptome/T_rubida/S1/links/Triru/Triru-5-48-asb-123.txt","Contig-123")</f>
        <v>Contig-123</v>
      </c>
      <c r="D138" t="str">
        <f>HYPERLINK("http://exon.niaid.nih.gov/transcriptome/T_rubida/S1/links/Triru/Triru-5-48-123-CLU.txt","Contig123")</f>
        <v>Contig123</v>
      </c>
      <c r="E138" t="str">
        <f>HYPERLINK("http://exon.niaid.nih.gov/transcriptome/T_rubida/S1/links/Triru/Triru-5-48-123-qual.txt","90.5")</f>
        <v>90.5</v>
      </c>
      <c r="F138" t="s">
        <v>10</v>
      </c>
      <c r="G138">
        <v>74.8</v>
      </c>
      <c r="H138">
        <v>305</v>
      </c>
      <c r="I138" t="s">
        <v>135</v>
      </c>
      <c r="J138">
        <v>307</v>
      </c>
      <c r="K138">
        <v>326</v>
      </c>
      <c r="L138">
        <v>213</v>
      </c>
      <c r="M138" t="s">
        <v>5173</v>
      </c>
      <c r="N138" s="15">
        <v>1</v>
      </c>
      <c r="Q138" s="5" t="s">
        <v>4869</v>
      </c>
      <c r="R138" t="s">
        <v>4836</v>
      </c>
      <c r="S138" t="str">
        <f>HYPERLINK("http://exon.niaid.nih.gov/transcriptome/T_rubida/S1/links/KOG/Triru-contig_123-KOG.txt","KOG")</f>
        <v>KOG</v>
      </c>
      <c r="T138" s="23">
        <v>4.0000000000000003E-31</v>
      </c>
      <c r="U138">
        <v>31.4</v>
      </c>
      <c r="V138" s="1" t="str">
        <f>HYPERLINK("http://exon.niaid.nih.gov/transcriptome/T_rubida/S1/links/NR/Triru-contig_123-NR.txt","NADH dehydrogenase subunit I")</f>
        <v>NADH dehydrogenase subunit I</v>
      </c>
      <c r="W138" t="str">
        <f>HYPERLINK("http://www.ncbi.nlm.nih.gov/sutils/blink.cgi?pid=291621797","1E-040")</f>
        <v>1E-040</v>
      </c>
      <c r="X138" t="str">
        <f>HYPERLINK("http://www.ncbi.nlm.nih.gov/protein/291621797","gi|291621797")</f>
        <v>gi|291621797</v>
      </c>
      <c r="Y138">
        <v>169</v>
      </c>
      <c r="Z138">
        <v>91</v>
      </c>
      <c r="AA138">
        <v>307</v>
      </c>
      <c r="AB138">
        <v>88</v>
      </c>
      <c r="AC138">
        <v>30</v>
      </c>
      <c r="AD138">
        <v>11</v>
      </c>
      <c r="AE138">
        <v>0</v>
      </c>
      <c r="AF138">
        <v>216</v>
      </c>
      <c r="AG138">
        <v>7</v>
      </c>
      <c r="AH138">
        <v>1</v>
      </c>
      <c r="AI138">
        <v>1</v>
      </c>
      <c r="AJ138" t="s">
        <v>11</v>
      </c>
      <c r="AK138">
        <v>1.099</v>
      </c>
      <c r="AL138" t="s">
        <v>1419</v>
      </c>
      <c r="AM138" t="s">
        <v>1420</v>
      </c>
      <c r="AN138" t="s">
        <v>1421</v>
      </c>
      <c r="AO138" s="1" t="str">
        <f>HYPERLINK("http://exon.niaid.nih.gov/transcriptome/T_rubida/S1/links/SWISSP/Triru-contig_123-SWISSP.txt","NADH-ubiquinone oxidoreductase chain 1")</f>
        <v>NADH-ubiquinone oxidoreductase chain 1</v>
      </c>
      <c r="AP138" t="str">
        <f>HYPERLINK("http://www.uniprot.org/uniprot/B0FWD8","5E-031")</f>
        <v>5E-031</v>
      </c>
      <c r="AQ138" t="s">
        <v>1422</v>
      </c>
      <c r="AR138">
        <v>132</v>
      </c>
      <c r="AS138">
        <v>93</v>
      </c>
      <c r="AT138">
        <v>69</v>
      </c>
      <c r="AU138">
        <v>30</v>
      </c>
      <c r="AV138">
        <v>29</v>
      </c>
      <c r="AW138">
        <v>0</v>
      </c>
      <c r="AX138">
        <v>218</v>
      </c>
      <c r="AY138">
        <v>7</v>
      </c>
      <c r="AZ138">
        <v>1</v>
      </c>
      <c r="BA138">
        <v>1</v>
      </c>
      <c r="BB138" t="s">
        <v>11</v>
      </c>
      <c r="BC138">
        <v>2.1509999999999998</v>
      </c>
      <c r="BD138" t="s">
        <v>704</v>
      </c>
      <c r="BE138" t="s">
        <v>1400</v>
      </c>
      <c r="BF138" t="s">
        <v>1423</v>
      </c>
      <c r="BG138" t="s">
        <v>1424</v>
      </c>
      <c r="BH138" s="1" t="s">
        <v>1425</v>
      </c>
      <c r="BI138">
        <f>HYPERLINK("http://exon.niaid.nih.gov/transcriptome/T_rubida/S1/links/GO/Triru-contig_123-GO.txt",1E-27)</f>
        <v>1E-27</v>
      </c>
      <c r="BJ138" s="1" t="str">
        <f>HYPERLINK("http://exon.niaid.nih.gov/transcriptome/T_rubida/S1/links/CDD/Triru-contig_123-CDD.txt","ND1")</f>
        <v>ND1</v>
      </c>
      <c r="BK138" t="str">
        <f>HYPERLINK("http://www.ncbi.nlm.nih.gov/Structure/cdd/cddsrv.cgi?uid=MTH00193&amp;version=v4.0","2E-042")</f>
        <v>2E-042</v>
      </c>
      <c r="BL138" t="s">
        <v>1426</v>
      </c>
      <c r="BM138" s="1" t="str">
        <f>HYPERLINK("http://exon.niaid.nih.gov/transcriptome/T_rubida/S1/links/KOG/Triru-contig_123-KOG.txt","NADH dehydrogenase subunit 1")</f>
        <v>NADH dehydrogenase subunit 1</v>
      </c>
      <c r="BN138" t="str">
        <f>HYPERLINK("http://www.ncbi.nlm.nih.gov/COG/grace/shokog.cgi?KOG4770","4E-031")</f>
        <v>4E-031</v>
      </c>
      <c r="BO138" t="s">
        <v>1139</v>
      </c>
      <c r="BP138" s="1" t="str">
        <f>HYPERLINK("http://exon.niaid.nih.gov/transcriptome/T_rubida/S1/links/PFAM/Triru-contig_123-PFAM.txt","NADHdh")</f>
        <v>NADHdh</v>
      </c>
      <c r="BQ138" t="str">
        <f>HYPERLINK("http://pfam.sanger.ac.uk/family?acc=PF00146","3E-034")</f>
        <v>3E-034</v>
      </c>
      <c r="BR138" s="1" t="str">
        <f>HYPERLINK("http://exon.niaid.nih.gov/transcriptome/T_rubida/S1/links/SMART/Triru-contig_123-SMART.txt","PSN")</f>
        <v>PSN</v>
      </c>
      <c r="BS138" t="str">
        <f>HYPERLINK("http://smart.embl-heidelberg.de/smart/do_annotation.pl?DOMAIN=PSN&amp;BLAST=DUMMY","0.017")</f>
        <v>0.017</v>
      </c>
      <c r="BT138" s="1" t="str">
        <f>HYPERLINK("http://exon.niaid.nih.gov/transcriptome/T_rubida/S1/links/PRK/Triru-contig_123-PRK.txt","NADH dehydrogenase subunit 1")</f>
        <v>NADH dehydrogenase subunit 1</v>
      </c>
      <c r="BU138" s="2">
        <v>6.9999999999999999E-43</v>
      </c>
      <c r="BV138" s="1" t="str">
        <f>HYPERLINK("http://exon.niaid.nih.gov/transcriptome/T_rubida/S1/links/MIT-PLA/Triru-contig_123-MIT-PLA.txt","Triatoma dimidiata mitochondrial DNA, complete genome")</f>
        <v>Triatoma dimidiata mitochondrial DNA, complete genome</v>
      </c>
      <c r="BW138" t="str">
        <f>HYPERLINK("http://www.ncbi.nlm.nih.gov/entrez/viewer.fcgi?db=nucleotide&amp;val=11139100","5E-083")</f>
        <v>5E-083</v>
      </c>
      <c r="BX138" s="1" t="s">
        <v>57</v>
      </c>
      <c r="BY138" t="s">
        <v>57</v>
      </c>
    </row>
    <row r="139" spans="1:77">
      <c r="A139" t="str">
        <f>HYPERLINK("http://exon.niaid.nih.gov/transcriptome/T_rubida/S1/links/Triru/Triru-contig_233.txt","Triru-contig_233")</f>
        <v>Triru-contig_233</v>
      </c>
      <c r="B139">
        <v>1</v>
      </c>
      <c r="C139" t="str">
        <f>HYPERLINK("http://exon.niaid.nih.gov/transcriptome/T_rubida/S1/links/Triru/Triru-5-48-asb-233.txt","Contig-233")</f>
        <v>Contig-233</v>
      </c>
      <c r="D139" t="str">
        <f>HYPERLINK("http://exon.niaid.nih.gov/transcriptome/T_rubida/S1/links/Triru/Triru-5-48-233-CLU.txt","Contig233")</f>
        <v>Contig233</v>
      </c>
      <c r="E139" t="str">
        <f>HYPERLINK("http://exon.niaid.nih.gov/transcriptome/T_rubida/S1/links/Triru/Triru-5-48-233-qual.txt","61.2")</f>
        <v>61.2</v>
      </c>
      <c r="F139" t="s">
        <v>10</v>
      </c>
      <c r="G139">
        <v>72.599999999999994</v>
      </c>
      <c r="H139">
        <v>171</v>
      </c>
      <c r="I139" t="s">
        <v>245</v>
      </c>
      <c r="J139">
        <v>171</v>
      </c>
      <c r="K139">
        <v>190</v>
      </c>
      <c r="L139">
        <v>189</v>
      </c>
      <c r="M139" t="s">
        <v>5167</v>
      </c>
      <c r="N139" s="15">
        <v>1</v>
      </c>
      <c r="Q139" s="5" t="s">
        <v>4900</v>
      </c>
      <c r="R139" t="s">
        <v>4836</v>
      </c>
      <c r="S139" t="str">
        <f>HYPERLINK("http://exon.niaid.nih.gov/transcriptome/T_rubida/S1/links/KOG/Triru-contig_233-KOG.txt","KOG")</f>
        <v>KOG</v>
      </c>
      <c r="T139" s="23">
        <v>2E-8</v>
      </c>
      <c r="U139">
        <v>24.2</v>
      </c>
      <c r="V139" s="1" t="str">
        <f>HYPERLINK("http://exon.niaid.nih.gov/transcriptome/T_rubida/S1/links/NR/Triru-contig_233-NR.txt","truncated ATPase subunit 6")</f>
        <v>truncated ATPase subunit 6</v>
      </c>
      <c r="W139" t="str">
        <f>HYPERLINK("http://www.ncbi.nlm.nih.gov/sutils/blink.cgi?pid=149898887","2E-011")</f>
        <v>2E-011</v>
      </c>
      <c r="X139" t="str">
        <f>HYPERLINK("http://www.ncbi.nlm.nih.gov/protein/149898887","gi|149898887")</f>
        <v>gi|149898887</v>
      </c>
      <c r="Y139">
        <v>72.400000000000006</v>
      </c>
      <c r="Z139">
        <v>55</v>
      </c>
      <c r="AA139">
        <v>222</v>
      </c>
      <c r="AB139">
        <v>66</v>
      </c>
      <c r="AC139">
        <v>25</v>
      </c>
      <c r="AD139">
        <v>19</v>
      </c>
      <c r="AE139">
        <v>1</v>
      </c>
      <c r="AF139">
        <v>167</v>
      </c>
      <c r="AG139">
        <v>4</v>
      </c>
      <c r="AH139">
        <v>1</v>
      </c>
      <c r="AI139">
        <v>1</v>
      </c>
      <c r="AJ139" t="s">
        <v>11</v>
      </c>
      <c r="AL139" t="s">
        <v>1067</v>
      </c>
      <c r="AM139" t="s">
        <v>2075</v>
      </c>
      <c r="AN139" t="s">
        <v>2076</v>
      </c>
      <c r="AO139" s="1" t="str">
        <f>HYPERLINK("http://exon.niaid.nih.gov/transcriptome/T_rubida/S1/links/SWISSP/Triru-contig_233-SWISSP.txt","ATP synthase subunit a")</f>
        <v>ATP synthase subunit a</v>
      </c>
      <c r="AP139" t="str">
        <f>HYPERLINK("http://www.uniprot.org/uniprot/Q1HRS5","7E-007")</f>
        <v>7E-007</v>
      </c>
      <c r="AQ139" t="s">
        <v>2077</v>
      </c>
      <c r="AR139">
        <v>52.8</v>
      </c>
      <c r="AS139">
        <v>56</v>
      </c>
      <c r="AT139">
        <v>50</v>
      </c>
      <c r="AU139">
        <v>25</v>
      </c>
      <c r="AV139">
        <v>28</v>
      </c>
      <c r="AW139">
        <v>2</v>
      </c>
      <c r="AX139">
        <v>169</v>
      </c>
      <c r="AY139">
        <v>4</v>
      </c>
      <c r="AZ139">
        <v>1</v>
      </c>
      <c r="BA139">
        <v>1</v>
      </c>
      <c r="BB139" t="s">
        <v>11</v>
      </c>
      <c r="BD139" t="s">
        <v>704</v>
      </c>
      <c r="BE139" t="s">
        <v>1400</v>
      </c>
      <c r="BF139" t="s">
        <v>2078</v>
      </c>
      <c r="BG139" t="s">
        <v>2079</v>
      </c>
      <c r="BH139" s="1" t="s">
        <v>2080</v>
      </c>
      <c r="BI139">
        <f>HYPERLINK("http://exon.niaid.nih.gov/transcriptome/T_rubida/S1/links/GO/Triru-contig_233-GO.txt",0.000001)</f>
        <v>9.9999999999999995E-7</v>
      </c>
      <c r="BJ139" s="1" t="str">
        <f>HYPERLINK("http://exon.niaid.nih.gov/transcriptome/T_rubida/S1/links/CDD/Triru-contig_233-CDD.txt","ATP6")</f>
        <v>ATP6</v>
      </c>
      <c r="BK139" t="str">
        <f>HYPERLINK("http://www.ncbi.nlm.nih.gov/Structure/cdd/cddsrv.cgi?uid=MTH00157&amp;version=v4.0","4E-018")</f>
        <v>4E-018</v>
      </c>
      <c r="BL139" t="s">
        <v>2081</v>
      </c>
      <c r="BM139" s="1" t="str">
        <f>HYPERLINK("http://exon.niaid.nih.gov/transcriptome/T_rubida/S1/links/KOG/Triru-contig_233-KOG.txt","ATP synthase F0 subunit 6 and related proteins")</f>
        <v>ATP synthase F0 subunit 6 and related proteins</v>
      </c>
      <c r="BN139" t="str">
        <f>HYPERLINK("http://www.ncbi.nlm.nih.gov/COG/grace/shokog.cgi?KOG4665","2E-008")</f>
        <v>2E-008</v>
      </c>
      <c r="BO139" t="s">
        <v>1139</v>
      </c>
      <c r="BP139" s="1" t="str">
        <f>HYPERLINK("http://exon.niaid.nih.gov/transcriptome/T_rubida/S1/links/PFAM/Triru-contig_233-PFAM.txt","ATP-synt_A")</f>
        <v>ATP-synt_A</v>
      </c>
      <c r="BQ139" t="str">
        <f>HYPERLINK("http://pfam.sanger.ac.uk/family?acc=PF00119","3E-009")</f>
        <v>3E-009</v>
      </c>
      <c r="BR139" s="1" t="str">
        <f>HYPERLINK("http://exon.niaid.nih.gov/transcriptome/T_rubida/S1/links/SMART/Triru-contig_233-SMART.txt","Trans_reg_C")</f>
        <v>Trans_reg_C</v>
      </c>
      <c r="BS139" t="str">
        <f>HYPERLINK("http://smart.embl-heidelberg.de/smart/do_annotation.pl?DOMAIN=Trans_reg_C&amp;BLAST=DUMMY","0.070")</f>
        <v>0.070</v>
      </c>
      <c r="BT139" s="1" t="str">
        <f>HYPERLINK("http://exon.niaid.nih.gov/transcriptome/T_rubida/S1/links/PRK/Triru-contig_233-PRK.txt","ATP synthase F0 subunit 6")</f>
        <v>ATP synthase F0 subunit 6</v>
      </c>
      <c r="BU139" s="2">
        <v>1.0000000000000001E-18</v>
      </c>
      <c r="BV139" s="1" t="str">
        <f>HYPERLINK("http://exon.niaid.nih.gov/transcriptome/T_rubida/S1/links/MIT-PLA/Triru-contig_233-MIT-PLA.txt","Arcyptera coreana mitochondrion, complete genome")</f>
        <v>Arcyptera coreana mitochondrion, complete genome</v>
      </c>
      <c r="BW139" t="str">
        <f>HYPERLINK("http://www.ncbi.nlm.nih.gov/entrez/viewer.fcgi?db=nucleotide&amp;val=284429057","2E-010")</f>
        <v>2E-010</v>
      </c>
      <c r="BX139" s="1" t="s">
        <v>57</v>
      </c>
      <c r="BY139" t="s">
        <v>57</v>
      </c>
    </row>
    <row r="140" spans="1:77">
      <c r="A140" t="str">
        <f>HYPERLINK("http://exon.niaid.nih.gov/transcriptome/T_rubida/S1/links/Triru/Triru-contig_534.txt","Triru-contig_534")</f>
        <v>Triru-contig_534</v>
      </c>
      <c r="B140">
        <v>1</v>
      </c>
      <c r="C140" t="str">
        <f>HYPERLINK("http://exon.niaid.nih.gov/transcriptome/T_rubida/S1/links/Triru/Triru-5-48-asb-534.txt","Contig-534")</f>
        <v>Contig-534</v>
      </c>
      <c r="D140" t="str">
        <f>HYPERLINK("http://exon.niaid.nih.gov/transcriptome/T_rubida/S1/links/Triru/Triru-5-48-534-CLU.txt","Contig534")</f>
        <v>Contig534</v>
      </c>
      <c r="E140" t="str">
        <f>HYPERLINK("http://exon.niaid.nih.gov/transcriptome/T_rubida/S1/links/Triru/Triru-5-48-534-qual.txt","58.5")</f>
        <v>58.5</v>
      </c>
      <c r="F140">
        <v>0.2</v>
      </c>
      <c r="G140">
        <v>64.3</v>
      </c>
      <c r="H140">
        <v>412</v>
      </c>
      <c r="I140" t="s">
        <v>546</v>
      </c>
      <c r="J140">
        <v>412</v>
      </c>
      <c r="K140">
        <v>431</v>
      </c>
      <c r="L140">
        <v>312</v>
      </c>
      <c r="M140" t="s">
        <v>5171</v>
      </c>
      <c r="N140" s="15">
        <v>1</v>
      </c>
      <c r="O140" s="14" t="str">
        <f>HYPERLINK("http://exon.niaid.nih.gov/transcriptome/T_rubida/S1/links/Sigp/TRIRU-CONTIG_534-SigP.txt","Cyt")</f>
        <v>Cyt</v>
      </c>
      <c r="Q140" s="5" t="s">
        <v>5002</v>
      </c>
      <c r="R140" t="s">
        <v>4836</v>
      </c>
      <c r="S140" t="str">
        <f>HYPERLINK("http://exon.niaid.nih.gov/transcriptome/T_rubida/S1/links/KOG/Triru-contig_534-KOG.txt","KOG")</f>
        <v>KOG</v>
      </c>
      <c r="T140" s="23">
        <v>4.0000000000000003E-43</v>
      </c>
      <c r="U140">
        <v>31</v>
      </c>
      <c r="V140" s="1" t="str">
        <f>HYPERLINK("http://exon.niaid.nih.gov/transcriptome/T_rubida/S1/links/NR/Triru-contig_534-NR.txt","conserved unknown protein")</f>
        <v>conserved unknown protein</v>
      </c>
      <c r="W140" t="str">
        <f>HYPERLINK("http://www.ncbi.nlm.nih.gov/sutils/blink.cgi?pid=299473038","5E-034")</f>
        <v>5E-034</v>
      </c>
      <c r="X140" t="str">
        <f>HYPERLINK("http://www.ncbi.nlm.nih.gov/protein/299473038","gi|299473038")</f>
        <v>gi|299473038</v>
      </c>
      <c r="Y140">
        <v>147</v>
      </c>
      <c r="Z140">
        <v>97</v>
      </c>
      <c r="AA140">
        <v>335</v>
      </c>
      <c r="AB140">
        <v>71</v>
      </c>
      <c r="AC140">
        <v>29</v>
      </c>
      <c r="AD140">
        <v>28</v>
      </c>
      <c r="AE140">
        <v>0</v>
      </c>
      <c r="AF140">
        <v>233</v>
      </c>
      <c r="AG140">
        <v>43</v>
      </c>
      <c r="AH140">
        <v>1</v>
      </c>
      <c r="AI140">
        <v>1</v>
      </c>
      <c r="AJ140" t="s">
        <v>11</v>
      </c>
      <c r="AL140" t="s">
        <v>4092</v>
      </c>
      <c r="AM140" t="s">
        <v>4093</v>
      </c>
      <c r="AN140" t="s">
        <v>4094</v>
      </c>
      <c r="AO140" s="1" t="str">
        <f>HYPERLINK("http://exon.niaid.nih.gov/transcriptome/T_rubida/S1/links/SWISSP/Triru-contig_534-SWISSP.txt","Hydroxymethylglutaryl-CoA lyase, mitochondrial")</f>
        <v>Hydroxymethylglutaryl-CoA lyase, mitochondrial</v>
      </c>
      <c r="AP140" t="str">
        <f>HYPERLINK("http://www.uniprot.org/uniprot/P38060","4E-035")</f>
        <v>4E-035</v>
      </c>
      <c r="AQ140" t="s">
        <v>4095</v>
      </c>
      <c r="AR140">
        <v>146</v>
      </c>
      <c r="AS140">
        <v>118</v>
      </c>
      <c r="AT140">
        <v>62</v>
      </c>
      <c r="AU140">
        <v>37</v>
      </c>
      <c r="AV140">
        <v>45</v>
      </c>
      <c r="AW140">
        <v>5</v>
      </c>
      <c r="AX140">
        <v>207</v>
      </c>
      <c r="AY140">
        <v>4</v>
      </c>
      <c r="AZ140">
        <v>1</v>
      </c>
      <c r="BA140">
        <v>1</v>
      </c>
      <c r="BB140" t="s">
        <v>11</v>
      </c>
      <c r="BC140">
        <v>1.6950000000000001</v>
      </c>
      <c r="BD140" t="s">
        <v>704</v>
      </c>
      <c r="BE140" t="s">
        <v>807</v>
      </c>
      <c r="BF140" t="s">
        <v>4096</v>
      </c>
      <c r="BG140" t="s">
        <v>4097</v>
      </c>
      <c r="BH140" s="1" t="s">
        <v>4098</v>
      </c>
      <c r="BI140">
        <f>HYPERLINK("http://exon.niaid.nih.gov/transcriptome/T_rubida/S1/links/GO/Triru-contig_534-GO.txt",9E-35)</f>
        <v>9.0000000000000002E-35</v>
      </c>
      <c r="BJ140" s="1" t="str">
        <f>HYPERLINK("http://exon.niaid.nih.gov/transcriptome/T_rubida/S1/links/CDD/Triru-contig_534-CDD.txt","PLN02746")</f>
        <v>PLN02746</v>
      </c>
      <c r="BK140" t="str">
        <f>HYPERLINK("http://www.ncbi.nlm.nih.gov/Structure/cdd/cddsrv.cgi?uid=PLN02746&amp;version=v4.0","1E-047")</f>
        <v>1E-047</v>
      </c>
      <c r="BL140" t="s">
        <v>4099</v>
      </c>
      <c r="BM140" s="1" t="str">
        <f>HYPERLINK("http://exon.niaid.nih.gov/transcriptome/T_rubida/S1/links/KOG/Triru-contig_534-KOG.txt","Hydroxymethylglutaryl-CoA lyase")</f>
        <v>Hydroxymethylglutaryl-CoA lyase</v>
      </c>
      <c r="BN140" t="str">
        <f>HYPERLINK("http://www.ncbi.nlm.nih.gov/COG/grace/shokog.cgi?KOG2368","4E-043")</f>
        <v>4E-043</v>
      </c>
      <c r="BO140" t="s">
        <v>3408</v>
      </c>
      <c r="BP140" s="1" t="str">
        <f>HYPERLINK("http://exon.niaid.nih.gov/transcriptome/T_rubida/S1/links/PFAM/Triru-contig_534-PFAM.txt","HMGL-like")</f>
        <v>HMGL-like</v>
      </c>
      <c r="BQ140" t="str">
        <f>HYPERLINK("http://pfam.sanger.ac.uk/family?acc=PF00682","5E-015")</f>
        <v>5E-015</v>
      </c>
      <c r="BR140" s="1" t="str">
        <f>HYPERLINK("http://exon.niaid.nih.gov/transcriptome/T_rubida/S1/links/SMART/Triru-contig_534-SMART.txt","NGF")</f>
        <v>NGF</v>
      </c>
      <c r="BS140" t="str">
        <f>HYPERLINK("http://smart.embl-heidelberg.de/smart/do_annotation.pl?DOMAIN=NGF&amp;BLAST=DUMMY","0.088")</f>
        <v>0.088</v>
      </c>
      <c r="BT140" s="1" t="str">
        <f>HYPERLINK("http://exon.niaid.nih.gov/transcriptome/T_rubida/S1/links/PRK/Triru-contig_534-PRK.txt","hydroxymethylglutaryl-CoA lyase.")</f>
        <v>hydroxymethylglutaryl-CoA lyase.</v>
      </c>
      <c r="BU140" s="2">
        <v>4.9999999999999999E-48</v>
      </c>
      <c r="BV140" s="1" t="s">
        <v>57</v>
      </c>
      <c r="BW140" t="s">
        <v>57</v>
      </c>
      <c r="BX140" s="1" t="s">
        <v>57</v>
      </c>
      <c r="BY140" t="s">
        <v>57</v>
      </c>
    </row>
    <row r="141" spans="1:77">
      <c r="A141" t="str">
        <f>HYPERLINK("http://exon.niaid.nih.gov/transcriptome/T_rubida/S1/links/Triru/Triru-contig_283.txt","Triru-contig_283")</f>
        <v>Triru-contig_283</v>
      </c>
      <c r="B141">
        <v>1</v>
      </c>
      <c r="C141" t="str">
        <f>HYPERLINK("http://exon.niaid.nih.gov/transcriptome/T_rubida/S1/links/Triru/Triru-5-48-asb-283.txt","Contig-283")</f>
        <v>Contig-283</v>
      </c>
      <c r="D141" t="str">
        <f>HYPERLINK("http://exon.niaid.nih.gov/transcriptome/T_rubida/S1/links/Triru/Triru-5-48-283-CLU.txt","Contig283")</f>
        <v>Contig283</v>
      </c>
      <c r="E141" t="str">
        <f>HYPERLINK("http://exon.niaid.nih.gov/transcriptome/T_rubida/S1/links/Triru/Triru-5-48-283-qual.txt","51.3")</f>
        <v>51.3</v>
      </c>
      <c r="F141" t="s">
        <v>10</v>
      </c>
      <c r="G141">
        <v>63.7</v>
      </c>
      <c r="H141">
        <v>789</v>
      </c>
      <c r="I141" t="s">
        <v>295</v>
      </c>
      <c r="J141">
        <v>789</v>
      </c>
      <c r="K141">
        <v>808</v>
      </c>
      <c r="L141">
        <v>351</v>
      </c>
      <c r="M141" t="s">
        <v>5172</v>
      </c>
      <c r="N141" s="15">
        <v>1</v>
      </c>
      <c r="Q141" s="5" t="s">
        <v>4914</v>
      </c>
      <c r="R141" t="s">
        <v>4836</v>
      </c>
      <c r="S141" t="str">
        <f>HYPERLINK("http://exon.niaid.nih.gov/transcriptome/T_rubida/S1/links/KOG/Triru-contig_283-KOG.txt","KOG")</f>
        <v>KOG</v>
      </c>
      <c r="T141" s="23">
        <v>3.9999999999999998E-44</v>
      </c>
      <c r="U141">
        <v>83.2</v>
      </c>
      <c r="V141" s="1" t="str">
        <f>HYPERLINK("http://exon.niaid.nih.gov/transcriptome/T_rubida/S1/links/NR/Triru-contig_283-NR.txt","MIP02330p")</f>
        <v>MIP02330p</v>
      </c>
      <c r="W141" t="str">
        <f>HYPERLINK("http://www.ncbi.nlm.nih.gov/sutils/blink.cgi?pid=223029543","6E-040")</f>
        <v>6E-040</v>
      </c>
      <c r="X141" t="str">
        <f>HYPERLINK("http://www.ncbi.nlm.nih.gov/protein/223029543","gi|223029543")</f>
        <v>gi|223029543</v>
      </c>
      <c r="Y141">
        <v>169</v>
      </c>
      <c r="Z141">
        <v>108</v>
      </c>
      <c r="AA141">
        <v>134</v>
      </c>
      <c r="AB141">
        <v>80</v>
      </c>
      <c r="AC141">
        <v>81</v>
      </c>
      <c r="AD141">
        <v>22</v>
      </c>
      <c r="AE141">
        <v>0</v>
      </c>
      <c r="AF141">
        <v>26</v>
      </c>
      <c r="AG141">
        <v>13</v>
      </c>
      <c r="AH141">
        <v>1</v>
      </c>
      <c r="AI141">
        <v>1</v>
      </c>
      <c r="AJ141" t="s">
        <v>11</v>
      </c>
      <c r="AL141" t="s">
        <v>1125</v>
      </c>
      <c r="AM141" t="s">
        <v>2386</v>
      </c>
      <c r="AN141" t="s">
        <v>2387</v>
      </c>
      <c r="AO141" s="1" t="str">
        <f>HYPERLINK("http://exon.niaid.nih.gov/transcriptome/T_rubida/S1/links/SWISSP/Triru-contig_283-SWISSP.txt","ATP synthase lipid-binding protein, mitochondrial")</f>
        <v>ATP synthase lipid-binding protein, mitochondrial</v>
      </c>
      <c r="AP141" t="str">
        <f>HYPERLINK("http://www.uniprot.org/uniprot/Q9U505","4E-040")</f>
        <v>4E-040</v>
      </c>
      <c r="AQ141" t="s">
        <v>2388</v>
      </c>
      <c r="AR141">
        <v>165</v>
      </c>
      <c r="AS141">
        <v>104</v>
      </c>
      <c r="AT141">
        <v>82</v>
      </c>
      <c r="AU141">
        <v>80</v>
      </c>
      <c r="AV141">
        <v>19</v>
      </c>
      <c r="AW141">
        <v>0</v>
      </c>
      <c r="AX141">
        <v>27</v>
      </c>
      <c r="AY141">
        <v>31</v>
      </c>
      <c r="AZ141">
        <v>1</v>
      </c>
      <c r="BA141">
        <v>1</v>
      </c>
      <c r="BB141" t="s">
        <v>11</v>
      </c>
      <c r="BD141" t="s">
        <v>704</v>
      </c>
      <c r="BE141" t="s">
        <v>1274</v>
      </c>
      <c r="BF141" t="s">
        <v>2389</v>
      </c>
      <c r="BG141" t="s">
        <v>2390</v>
      </c>
      <c r="BH141" s="1" t="s">
        <v>2391</v>
      </c>
      <c r="BI141">
        <f>HYPERLINK("http://exon.niaid.nih.gov/transcriptome/T_rubida/S1/links/GO/Triru-contig_283-GO.txt",2E-41)</f>
        <v>2E-41</v>
      </c>
      <c r="BJ141" s="1" t="str">
        <f>HYPERLINK("http://exon.niaid.nih.gov/transcriptome/T_rubida/S1/links/CDD/Triru-contig_283-CDD.txt","ATP9")</f>
        <v>ATP9</v>
      </c>
      <c r="BK141" t="str">
        <f>HYPERLINK("http://www.ncbi.nlm.nih.gov/Structure/cdd/cddsrv.cgi?uid=MTH00222&amp;version=v4.0","1E-040")</f>
        <v>1E-040</v>
      </c>
      <c r="BL141" t="s">
        <v>2392</v>
      </c>
      <c r="BM141" s="1" t="str">
        <f>HYPERLINK("http://exon.niaid.nih.gov/transcriptome/T_rubida/S1/links/KOG/Triru-contig_283-KOG.txt","Mitochondrial F1F0-ATP synthase, subunit c/ATP9/proteolipid")</f>
        <v>Mitochondrial F1F0-ATP synthase, subunit c/ATP9/proteolipid</v>
      </c>
      <c r="BN141" t="str">
        <f>HYPERLINK("http://www.ncbi.nlm.nih.gov/COG/grace/shokog.cgi?KOG3025","4E-044")</f>
        <v>4E-044</v>
      </c>
      <c r="BO141" t="s">
        <v>1139</v>
      </c>
      <c r="BP141" s="1" t="str">
        <f>HYPERLINK("http://exon.niaid.nih.gov/transcriptome/T_rubida/S1/links/PFAM/Triru-contig_283-PFAM.txt","ATP-synt_C")</f>
        <v>ATP-synt_C</v>
      </c>
      <c r="BQ141" t="str">
        <f>HYPERLINK("http://pfam.sanger.ac.uk/family?acc=PF00137","5E-017")</f>
        <v>5E-017</v>
      </c>
      <c r="BR141" s="1" t="str">
        <f>HYPERLINK("http://exon.niaid.nih.gov/transcriptome/T_rubida/S1/links/SMART/Triru-contig_283-SMART.txt","VKc")</f>
        <v>VKc</v>
      </c>
      <c r="BS141" t="str">
        <f>HYPERLINK("http://smart.embl-heidelberg.de/smart/do_annotation.pl?DOMAIN=VKc&amp;BLAST=DUMMY","0.005")</f>
        <v>0.005</v>
      </c>
      <c r="BT141" s="1" t="str">
        <f>HYPERLINK("http://exon.niaid.nih.gov/transcriptome/T_rubida/S1/links/PRK/Triru-contig_283-PRK.txt","ATP synthase F0 subunit 9")</f>
        <v>ATP synthase F0 subunit 9</v>
      </c>
      <c r="BU141" s="2">
        <v>5.9999999999999998E-41</v>
      </c>
      <c r="BV141" s="1" t="s">
        <v>57</v>
      </c>
      <c r="BW141" t="s">
        <v>57</v>
      </c>
      <c r="BX141" s="1" t="s">
        <v>57</v>
      </c>
      <c r="BY141" t="s">
        <v>57</v>
      </c>
    </row>
    <row r="142" spans="1:77">
      <c r="A142" t="str">
        <f>HYPERLINK("http://exon.niaid.nih.gov/transcriptome/T_rubida/S1/links/Triru/Triru-contig_524.txt","Triru-contig_524")</f>
        <v>Triru-contig_524</v>
      </c>
      <c r="B142">
        <v>1</v>
      </c>
      <c r="C142" t="str">
        <f>HYPERLINK("http://exon.niaid.nih.gov/transcriptome/T_rubida/S1/links/Triru/Triru-5-48-asb-524.txt","Contig-524")</f>
        <v>Contig-524</v>
      </c>
      <c r="D142" t="str">
        <f>HYPERLINK("http://exon.niaid.nih.gov/transcriptome/T_rubida/S1/links/Triru/Triru-5-48-524-CLU.txt","Contig524")</f>
        <v>Contig524</v>
      </c>
      <c r="E142" t="str">
        <f>HYPERLINK("http://exon.niaid.nih.gov/transcriptome/T_rubida/S1/links/Triru/Triru-5-48-524-qual.txt","61.7")</f>
        <v>61.7</v>
      </c>
      <c r="F142" t="s">
        <v>10</v>
      </c>
      <c r="G142">
        <v>62.9</v>
      </c>
      <c r="H142">
        <v>259</v>
      </c>
      <c r="I142" t="s">
        <v>536</v>
      </c>
      <c r="J142">
        <v>259</v>
      </c>
      <c r="K142">
        <v>278</v>
      </c>
      <c r="L142">
        <v>192</v>
      </c>
      <c r="M142" t="s">
        <v>5174</v>
      </c>
      <c r="N142" s="15">
        <v>3</v>
      </c>
      <c r="O142" s="14" t="str">
        <f>HYPERLINK("http://exon.niaid.nih.gov/transcriptome/T_rubida/S1/links/Sigp/TRIRU-CONTIG_524-SigP.txt","Cyt")</f>
        <v>Cyt</v>
      </c>
      <c r="Q142" s="5" t="s">
        <v>4997</v>
      </c>
      <c r="R142" t="s">
        <v>4836</v>
      </c>
      <c r="S142" t="str">
        <f>HYPERLINK("http://exon.niaid.nih.gov/transcriptome/T_rubida/S1/links/KOG/Triru-contig_524-KOG.txt","KOG")</f>
        <v>KOG</v>
      </c>
      <c r="T142" s="23">
        <v>5.9999999999999998E-21</v>
      </c>
      <c r="U142">
        <v>36.5</v>
      </c>
      <c r="V142" s="1" t="str">
        <f>HYPERLINK("http://exon.niaid.nih.gov/transcriptome/T_rubida/S1/links/NR/Triru-contig_524-NR.txt","NADH-ubiquinone oxidoreductase NDUFS4/18 kDa subunit")</f>
        <v>NADH-ubiquinone oxidoreductase NDUFS4/18 kDa subunit</v>
      </c>
      <c r="W142" t="str">
        <f>HYPERLINK("http://www.ncbi.nlm.nih.gov/sutils/blink.cgi?pid=289741441","8E-020")</f>
        <v>8E-020</v>
      </c>
      <c r="X142" t="str">
        <f>HYPERLINK("http://www.ncbi.nlm.nih.gov/protein/289741441","gi|289741441")</f>
        <v>gi|289741441</v>
      </c>
      <c r="Y142">
        <v>100</v>
      </c>
      <c r="Z142">
        <v>63</v>
      </c>
      <c r="AA142">
        <v>182</v>
      </c>
      <c r="AB142">
        <v>68</v>
      </c>
      <c r="AC142">
        <v>35</v>
      </c>
      <c r="AD142">
        <v>20</v>
      </c>
      <c r="AE142">
        <v>1</v>
      </c>
      <c r="AF142">
        <v>119</v>
      </c>
      <c r="AG142">
        <v>21</v>
      </c>
      <c r="AH142">
        <v>1</v>
      </c>
      <c r="AI142">
        <v>3</v>
      </c>
      <c r="AJ142" t="s">
        <v>11</v>
      </c>
      <c r="AL142" t="s">
        <v>3616</v>
      </c>
      <c r="AM142" t="s">
        <v>4024</v>
      </c>
      <c r="AN142" t="s">
        <v>4025</v>
      </c>
      <c r="AO142" s="1" t="str">
        <f>HYPERLINK("http://exon.niaid.nih.gov/transcriptome/T_rubida/S1/links/SWISSP/Triru-contig_524-SWISSP.txt","NADH dehydrogenase")</f>
        <v>NADH dehydrogenase</v>
      </c>
      <c r="AP142" t="str">
        <f>HYPERLINK("http://www.uniprot.org/uniprot/Q66XS7","6E-019")</f>
        <v>6E-019</v>
      </c>
      <c r="AQ142" t="s">
        <v>4026</v>
      </c>
      <c r="AR142">
        <v>92.8</v>
      </c>
      <c r="AS142">
        <v>62</v>
      </c>
      <c r="AT142">
        <v>68</v>
      </c>
      <c r="AU142">
        <v>36</v>
      </c>
      <c r="AV142">
        <v>20</v>
      </c>
      <c r="AW142">
        <v>0</v>
      </c>
      <c r="AX142">
        <v>113</v>
      </c>
      <c r="AY142">
        <v>21</v>
      </c>
      <c r="AZ142">
        <v>1</v>
      </c>
      <c r="BA142">
        <v>3</v>
      </c>
      <c r="BB142" t="s">
        <v>11</v>
      </c>
      <c r="BD142" t="s">
        <v>704</v>
      </c>
      <c r="BE142" t="s">
        <v>2920</v>
      </c>
      <c r="BF142" t="s">
        <v>4027</v>
      </c>
      <c r="BG142" t="s">
        <v>4028</v>
      </c>
      <c r="BH142" s="1" t="s">
        <v>4029</v>
      </c>
      <c r="BI142">
        <f>HYPERLINK("http://exon.niaid.nih.gov/transcriptome/T_rubida/S1/links/GO/Triru-contig_524-GO.txt",0.0000000000000000002)</f>
        <v>2E-19</v>
      </c>
      <c r="BJ142" s="1" t="str">
        <f>HYPERLINK("http://exon.niaid.nih.gov/transcriptome/T_rubida/S1/links/CDD/Triru-contig_524-CDD.txt","ETC_C1_NDUFA4")</f>
        <v>ETC_C1_NDUFA4</v>
      </c>
      <c r="BK142" t="str">
        <f>HYPERLINK("http://www.ncbi.nlm.nih.gov/Structure/cdd/cddsrv.cgi?uid=pfam04800&amp;version=v4.0","2E-017")</f>
        <v>2E-017</v>
      </c>
      <c r="BL142" t="s">
        <v>4030</v>
      </c>
      <c r="BM142" s="1" t="str">
        <f>HYPERLINK("http://exon.niaid.nih.gov/transcriptome/T_rubida/S1/links/KOG/Triru-contig_524-KOG.txt","NADH:ubiquinone oxidoreductase, NDUFS4/18 kDa subunit")</f>
        <v>NADH:ubiquinone oxidoreductase, NDUFS4/18 kDa subunit</v>
      </c>
      <c r="BN142" t="str">
        <f>HYPERLINK("http://www.ncbi.nlm.nih.gov/COG/grace/shokog.cgi?KOG3389","6E-021")</f>
        <v>6E-021</v>
      </c>
      <c r="BO142" t="s">
        <v>1139</v>
      </c>
      <c r="BP142" s="1" t="str">
        <f>HYPERLINK("http://exon.niaid.nih.gov/transcriptome/T_rubida/S1/links/PFAM/Triru-contig_524-PFAM.txt","ETC_C1_NDUFA4")</f>
        <v>ETC_C1_NDUFA4</v>
      </c>
      <c r="BQ142" t="str">
        <f>HYPERLINK("http://pfam.sanger.ac.uk/family?acc=PF04800","3E-018")</f>
        <v>3E-018</v>
      </c>
      <c r="BR142" s="1" t="str">
        <f>HYPERLINK("http://exon.niaid.nih.gov/transcriptome/T_rubida/S1/links/SMART/Triru-contig_524-SMART.txt","LytTR")</f>
        <v>LytTR</v>
      </c>
      <c r="BS142" t="str">
        <f>HYPERLINK("http://smart.embl-heidelberg.de/smart/do_annotation.pl?DOMAIN=LytTR&amp;BLAST=DUMMY","0.035")</f>
        <v>0.035</v>
      </c>
      <c r="BT142" s="1" t="str">
        <f>HYPERLINK("http://exon.niaid.nih.gov/transcriptome/T_rubida/S1/links/PRK/Triru-contig_524-PRK.txt","acyl-CoA synthetase")</f>
        <v>acyl-CoA synthetase</v>
      </c>
      <c r="BU142">
        <v>0.37</v>
      </c>
      <c r="BV142" s="1" t="s">
        <v>57</v>
      </c>
      <c r="BW142" t="s">
        <v>57</v>
      </c>
      <c r="BX142" s="1" t="s">
        <v>57</v>
      </c>
      <c r="BY142" t="s">
        <v>57</v>
      </c>
    </row>
    <row r="143" spans="1:77">
      <c r="A143" t="str">
        <f>HYPERLINK("http://exon.niaid.nih.gov/transcriptome/T_rubida/S1/links/Triru/Triru-contig_297.txt","Triru-contig_297")</f>
        <v>Triru-contig_297</v>
      </c>
      <c r="B143">
        <v>1</v>
      </c>
      <c r="C143" t="str">
        <f>HYPERLINK("http://exon.niaid.nih.gov/transcriptome/T_rubida/S1/links/Triru/Triru-5-48-asb-297.txt","Contig-297")</f>
        <v>Contig-297</v>
      </c>
      <c r="D143" t="str">
        <f>HYPERLINK("http://exon.niaid.nih.gov/transcriptome/T_rubida/S1/links/Triru/Triru-5-48-297-CLU.txt","Contig297")</f>
        <v>Contig297</v>
      </c>
      <c r="E143" t="str">
        <f>HYPERLINK("http://exon.niaid.nih.gov/transcriptome/T_rubida/S1/links/Triru/Triru-5-48-297-qual.txt","57.1")</f>
        <v>57.1</v>
      </c>
      <c r="F143" t="s">
        <v>10</v>
      </c>
      <c r="G143">
        <v>69.7</v>
      </c>
      <c r="H143">
        <v>370</v>
      </c>
      <c r="I143" t="s">
        <v>309</v>
      </c>
      <c r="J143">
        <v>370</v>
      </c>
      <c r="K143">
        <v>389</v>
      </c>
      <c r="L143">
        <v>249</v>
      </c>
      <c r="M143" t="s">
        <v>5175</v>
      </c>
      <c r="N143" s="15">
        <v>2</v>
      </c>
      <c r="Q143" s="5" t="s">
        <v>4919</v>
      </c>
      <c r="R143" t="s">
        <v>4836</v>
      </c>
      <c r="S143" t="str">
        <f>HYPERLINK("http://exon.niaid.nih.gov/transcriptome/T_rubida/S1/links/KOG/Triru-contig_297-KOG.txt","KOG")</f>
        <v>KOG</v>
      </c>
      <c r="T143" s="23">
        <v>9.0000000000000001E-32</v>
      </c>
      <c r="U143">
        <v>69.099999999999994</v>
      </c>
      <c r="V143" s="1" t="str">
        <f>HYPERLINK("http://exon.niaid.nih.gov/transcriptome/T_rubida/S1/links/NR/Triru-contig_297-NR.txt","ACYPI000747")</f>
        <v>ACYPI000747</v>
      </c>
      <c r="W143" t="str">
        <f>HYPERLINK("http://www.ncbi.nlm.nih.gov/sutils/blink.cgi?pid=239788117","2E-030")</f>
        <v>2E-030</v>
      </c>
      <c r="X143" t="str">
        <f>HYPERLINK("http://www.ncbi.nlm.nih.gov/protein/239788117","gi|239788117")</f>
        <v>gi|239788117</v>
      </c>
      <c r="Y143">
        <v>135</v>
      </c>
      <c r="Z143">
        <v>81</v>
      </c>
      <c r="AA143">
        <v>123</v>
      </c>
      <c r="AB143">
        <v>70</v>
      </c>
      <c r="AC143">
        <v>67</v>
      </c>
      <c r="AD143">
        <v>24</v>
      </c>
      <c r="AE143">
        <v>0</v>
      </c>
      <c r="AF143">
        <v>42</v>
      </c>
      <c r="AG143">
        <v>2</v>
      </c>
      <c r="AH143">
        <v>1</v>
      </c>
      <c r="AI143">
        <v>2</v>
      </c>
      <c r="AJ143" t="s">
        <v>11</v>
      </c>
      <c r="AL143" t="s">
        <v>1160</v>
      </c>
      <c r="AM143" t="s">
        <v>2485</v>
      </c>
      <c r="AN143" t="s">
        <v>2486</v>
      </c>
      <c r="AO143" s="1" t="str">
        <f>HYPERLINK("http://exon.niaid.nih.gov/transcriptome/T_rubida/S1/links/SWISSP/Triru-contig_297-SWISSP.txt","NADH dehydrogenase")</f>
        <v>NADH dehydrogenase</v>
      </c>
      <c r="AP143" t="str">
        <f>HYPERLINK("http://www.uniprot.org/uniprot/P52503","6E-021")</f>
        <v>6E-021</v>
      </c>
      <c r="AQ143" t="s">
        <v>2487</v>
      </c>
      <c r="AR143">
        <v>99.4</v>
      </c>
      <c r="AS143">
        <v>81</v>
      </c>
      <c r="AT143">
        <v>59</v>
      </c>
      <c r="AU143">
        <v>71</v>
      </c>
      <c r="AV143">
        <v>34</v>
      </c>
      <c r="AW143">
        <v>1</v>
      </c>
      <c r="AX143">
        <v>35</v>
      </c>
      <c r="AY143">
        <v>2</v>
      </c>
      <c r="AZ143">
        <v>1</v>
      </c>
      <c r="BA143">
        <v>2</v>
      </c>
      <c r="BB143" t="s">
        <v>11</v>
      </c>
      <c r="BD143" t="s">
        <v>704</v>
      </c>
      <c r="BE143" t="s">
        <v>807</v>
      </c>
      <c r="BF143" t="s">
        <v>2488</v>
      </c>
      <c r="BG143" t="s">
        <v>2489</v>
      </c>
      <c r="BH143" s="1" t="s">
        <v>2490</v>
      </c>
      <c r="BI143">
        <f>HYPERLINK("http://exon.niaid.nih.gov/transcriptome/T_rubida/S1/links/GO/Triru-contig_297-GO.txt",7E-30)</f>
        <v>7.0000000000000006E-30</v>
      </c>
      <c r="BJ143" s="1" t="str">
        <f>HYPERLINK("http://exon.niaid.nih.gov/transcriptome/T_rubida/S1/links/CDD/Triru-contig_297-CDD.txt","zf-CHCC")</f>
        <v>zf-CHCC</v>
      </c>
      <c r="BK143" t="str">
        <f>HYPERLINK("http://www.ncbi.nlm.nih.gov/Structure/cdd/cddsrv.cgi?uid=pfam10276&amp;version=v4.0","4E-014")</f>
        <v>4E-014</v>
      </c>
      <c r="BL143" t="s">
        <v>2491</v>
      </c>
      <c r="BM143" s="1" t="str">
        <f>HYPERLINK("http://exon.niaid.nih.gov/transcriptome/T_rubida/S1/links/KOG/Triru-contig_297-KOG.txt","NADH:ubiquinone oxidoreductase, NDUFS6/13 kDa subunit")</f>
        <v>NADH:ubiquinone oxidoreductase, NDUFS6/13 kDa subunit</v>
      </c>
      <c r="BN143" t="str">
        <f>HYPERLINK("http://www.ncbi.nlm.nih.gov/COG/grace/shokog.cgi?KOG3456","9E-032")</f>
        <v>9E-032</v>
      </c>
      <c r="BO143" t="s">
        <v>1139</v>
      </c>
      <c r="BP143" s="1" t="str">
        <f>HYPERLINK("http://exon.niaid.nih.gov/transcriptome/T_rubida/S1/links/PFAM/Triru-contig_297-PFAM.txt","zf-CHCC")</f>
        <v>zf-CHCC</v>
      </c>
      <c r="BQ143" t="str">
        <f>HYPERLINK("http://pfam.sanger.ac.uk/family?acc=PF10276","9E-015")</f>
        <v>9E-015</v>
      </c>
      <c r="BR143" s="1" t="str">
        <f>HYPERLINK("http://exon.niaid.nih.gov/transcriptome/T_rubida/S1/links/SMART/Triru-contig_297-SMART.txt","LYZ1")</f>
        <v>LYZ1</v>
      </c>
      <c r="BS143" t="str">
        <f>HYPERLINK("http://smart.embl-heidelberg.de/smart/do_annotation.pl?DOMAIN=LYZ1&amp;BLAST=DUMMY","0.21")</f>
        <v>0.21</v>
      </c>
      <c r="BT143" s="1" t="str">
        <f>HYPERLINK("http://exon.niaid.nih.gov/transcriptome/T_rubida/S1/links/PRK/Triru-contig_297-PRK.txt","cytochrome c oxidase subunit I")</f>
        <v>cytochrome c oxidase subunit I</v>
      </c>
      <c r="BU143">
        <v>6.7000000000000004E-2</v>
      </c>
      <c r="BV143" s="1" t="s">
        <v>57</v>
      </c>
      <c r="BW143" t="s">
        <v>57</v>
      </c>
      <c r="BX143" s="1" t="s">
        <v>57</v>
      </c>
      <c r="BY143" t="s">
        <v>57</v>
      </c>
    </row>
    <row r="144" spans="1:77">
      <c r="A144" t="str">
        <f>HYPERLINK("http://exon.niaid.nih.gov/transcriptome/T_rubida/S1/links/Triru/Triru-contig_320.txt","Triru-contig_320")</f>
        <v>Triru-contig_320</v>
      </c>
      <c r="B144">
        <v>1</v>
      </c>
      <c r="C144" t="str">
        <f>HYPERLINK("http://exon.niaid.nih.gov/transcriptome/T_rubida/S1/links/Triru/Triru-5-48-asb-320.txt","Contig-320")</f>
        <v>Contig-320</v>
      </c>
      <c r="D144" t="str">
        <f>HYPERLINK("http://exon.niaid.nih.gov/transcriptome/T_rubida/S1/links/Triru/Triru-5-48-320-CLU.txt","Contig320")</f>
        <v>Contig320</v>
      </c>
      <c r="E144" t="str">
        <f>HYPERLINK("http://exon.niaid.nih.gov/transcriptome/T_rubida/S1/links/Triru/Triru-5-48-320-qual.txt","46.1")</f>
        <v>46.1</v>
      </c>
      <c r="F144">
        <v>0.1</v>
      </c>
      <c r="G144">
        <v>70</v>
      </c>
      <c r="H144">
        <v>731</v>
      </c>
      <c r="I144" t="s">
        <v>332</v>
      </c>
      <c r="J144">
        <v>731</v>
      </c>
      <c r="K144">
        <v>750</v>
      </c>
      <c r="L144">
        <v>138</v>
      </c>
      <c r="M144" t="s">
        <v>5177</v>
      </c>
      <c r="N144" s="15">
        <v>3</v>
      </c>
      <c r="Q144" s="5" t="s">
        <v>4928</v>
      </c>
      <c r="R144" t="s">
        <v>4836</v>
      </c>
      <c r="S144" t="str">
        <f>HYPERLINK("http://exon.niaid.nih.gov/transcriptome/T_rubida/S1/links/GO/Triru-contig_320-GO.txt","GO")</f>
        <v>GO</v>
      </c>
      <c r="T144" s="23">
        <v>7.0000000000000005E-13</v>
      </c>
      <c r="U144">
        <v>13</v>
      </c>
      <c r="V144" s="1" t="str">
        <f>HYPERLINK("http://exon.niaid.nih.gov/transcriptome/T_rubida/S1/links/NR/Triru-contig_320-NR.txt","GA18418")</f>
        <v>GA18418</v>
      </c>
      <c r="W144" t="str">
        <f>HYPERLINK("http://www.ncbi.nlm.nih.gov/sutils/blink.cgi?pid=125979449","5E-012")</f>
        <v>5E-012</v>
      </c>
      <c r="X144" t="str">
        <f>HYPERLINK("http://www.ncbi.nlm.nih.gov/protein/125979449","gi|125979449")</f>
        <v>gi|125979449</v>
      </c>
      <c r="Y144">
        <v>59.7</v>
      </c>
      <c r="Z144">
        <v>65</v>
      </c>
      <c r="AA144">
        <v>307</v>
      </c>
      <c r="AB144">
        <v>75</v>
      </c>
      <c r="AC144">
        <v>21</v>
      </c>
      <c r="AD144">
        <v>10</v>
      </c>
      <c r="AE144">
        <v>0</v>
      </c>
      <c r="AF144">
        <v>239</v>
      </c>
      <c r="AG144">
        <v>3</v>
      </c>
      <c r="AH144">
        <v>2</v>
      </c>
      <c r="AI144">
        <v>3</v>
      </c>
      <c r="AJ144" t="s">
        <v>888</v>
      </c>
      <c r="AL144" t="s">
        <v>1895</v>
      </c>
      <c r="AM144" t="s">
        <v>2648</v>
      </c>
      <c r="AN144" t="s">
        <v>2649</v>
      </c>
      <c r="AO144" s="1" t="str">
        <f>HYPERLINK("http://exon.niaid.nih.gov/transcriptome/T_rubida/S1/links/SWISSP/Triru-contig_320-SWISSP.txt","Cytochrome c1, heme protein, mitochondrial")</f>
        <v>Cytochrome c1, heme protein, mitochondrial</v>
      </c>
      <c r="AP144" t="str">
        <f>HYPERLINK("http://www.uniprot.org/uniprot/Q00988","5E-007")</f>
        <v>5E-007</v>
      </c>
      <c r="AQ144" t="s">
        <v>2650</v>
      </c>
      <c r="AR144">
        <v>55.1</v>
      </c>
      <c r="AS144">
        <v>68</v>
      </c>
      <c r="AT144">
        <v>57</v>
      </c>
      <c r="AU144">
        <v>24</v>
      </c>
      <c r="AV144">
        <v>17</v>
      </c>
      <c r="AW144">
        <v>0</v>
      </c>
      <c r="AX144">
        <v>223</v>
      </c>
      <c r="AY144">
        <v>5</v>
      </c>
      <c r="AZ144">
        <v>2</v>
      </c>
      <c r="BA144">
        <v>3</v>
      </c>
      <c r="BB144" t="s">
        <v>888</v>
      </c>
      <c r="BD144" t="s">
        <v>704</v>
      </c>
      <c r="BE144" t="s">
        <v>2651</v>
      </c>
      <c r="BF144" t="s">
        <v>2652</v>
      </c>
      <c r="BG144" t="s">
        <v>2653</v>
      </c>
      <c r="BH144" s="1" t="s">
        <v>2654</v>
      </c>
      <c r="BI144">
        <f>HYPERLINK("http://exon.niaid.nih.gov/transcriptome/T_rubida/S1/links/GO/Triru-contig_320-GO.txt",0.0000000000007)</f>
        <v>7.0000000000000005E-13</v>
      </c>
      <c r="BJ144" s="1" t="str">
        <f>HYPERLINK("http://exon.niaid.nih.gov/transcriptome/T_rubida/S1/links/CDD/Triru-contig_320-CDD.txt","Cytochrom_C1")</f>
        <v>Cytochrom_C1</v>
      </c>
      <c r="BK144" t="str">
        <f>HYPERLINK("http://www.ncbi.nlm.nih.gov/Structure/cdd/cddsrv.cgi?uid=pfam02167&amp;version=v4.0","2E-010")</f>
        <v>2E-010</v>
      </c>
      <c r="BL144" t="s">
        <v>2655</v>
      </c>
      <c r="BM144" s="1" t="str">
        <f>HYPERLINK("http://exon.niaid.nih.gov/transcriptome/T_rubida/S1/links/KOG/Triru-contig_320-KOG.txt","Cytochrome c1")</f>
        <v>Cytochrome c1</v>
      </c>
      <c r="BN144" t="str">
        <f>HYPERLINK("http://www.ncbi.nlm.nih.gov/COG/grace/shokog.cgi?KOG3052","2E-011")</f>
        <v>2E-011</v>
      </c>
      <c r="BO144" t="s">
        <v>1139</v>
      </c>
      <c r="BP144" s="1" t="str">
        <f>HYPERLINK("http://exon.niaid.nih.gov/transcriptome/T_rubida/S1/links/PFAM/Triru-contig_320-PFAM.txt","Cytochrom_C1")</f>
        <v>Cytochrom_C1</v>
      </c>
      <c r="BQ144" t="str">
        <f>HYPERLINK("http://pfam.sanger.ac.uk/family?acc=PF02167","3E-011")</f>
        <v>3E-011</v>
      </c>
      <c r="BR144" s="1" t="str">
        <f>HYPERLINK("http://exon.niaid.nih.gov/transcriptome/T_rubida/S1/links/SMART/Triru-contig_320-SMART.txt","Knot1")</f>
        <v>Knot1</v>
      </c>
      <c r="BS144" t="str">
        <f>HYPERLINK("http://smart.embl-heidelberg.de/smart/do_annotation.pl?DOMAIN=Knot1&amp;BLAST=DUMMY","0.56")</f>
        <v>0.56</v>
      </c>
      <c r="BT144" s="1" t="str">
        <f>HYPERLINK("http://exon.niaid.nih.gov/transcriptome/T_rubida/S1/links/PRK/Triru-contig_320-PRK.txt","Ycf1")</f>
        <v>Ycf1</v>
      </c>
      <c r="BU144">
        <v>6.7000000000000004E-2</v>
      </c>
      <c r="BV144" s="1" t="s">
        <v>57</v>
      </c>
      <c r="BW144" t="s">
        <v>57</v>
      </c>
      <c r="BX144" s="1" t="s">
        <v>57</v>
      </c>
      <c r="BY144" t="s">
        <v>57</v>
      </c>
    </row>
    <row r="145" spans="1:77">
      <c r="A145" t="str">
        <f>HYPERLINK("http://exon.niaid.nih.gov/transcriptome/T_rubida/S1/links/Triru/Triru-contig_458.txt","Triru-contig_458")</f>
        <v>Triru-contig_458</v>
      </c>
      <c r="B145">
        <v>1</v>
      </c>
      <c r="C145" t="str">
        <f>HYPERLINK("http://exon.niaid.nih.gov/transcriptome/T_rubida/S1/links/Triru/Triru-5-48-asb-458.txt","Contig-458")</f>
        <v>Contig-458</v>
      </c>
      <c r="D145" t="str">
        <f>HYPERLINK("http://exon.niaid.nih.gov/transcriptome/T_rubida/S1/links/Triru/Triru-5-48-458-CLU.txt","Contig458")</f>
        <v>Contig458</v>
      </c>
      <c r="E145" t="str">
        <f>HYPERLINK("http://exon.niaid.nih.gov/transcriptome/T_rubida/S1/links/Triru/Triru-5-48-458-qual.txt","49.6")</f>
        <v>49.6</v>
      </c>
      <c r="F145" t="s">
        <v>10</v>
      </c>
      <c r="G145">
        <v>70.2</v>
      </c>
      <c r="H145">
        <v>662</v>
      </c>
      <c r="I145" t="s">
        <v>470</v>
      </c>
      <c r="J145">
        <v>662</v>
      </c>
      <c r="K145">
        <v>681</v>
      </c>
      <c r="L145">
        <v>315</v>
      </c>
      <c r="M145" t="s">
        <v>5178</v>
      </c>
      <c r="N145" s="15">
        <v>1</v>
      </c>
      <c r="Q145" s="5" t="s">
        <v>4975</v>
      </c>
      <c r="R145" t="s">
        <v>4836</v>
      </c>
      <c r="S145" t="str">
        <f>HYPERLINK("http://exon.niaid.nih.gov/transcriptome/T_rubida/S1/links/GO/Triru-contig_458-GO.txt","GO")</f>
        <v>GO</v>
      </c>
      <c r="T145" s="23">
        <v>9.9999999999999997E-65</v>
      </c>
      <c r="U145">
        <v>98.6</v>
      </c>
      <c r="V145" s="1" t="str">
        <f>HYPERLINK("http://exon.niaid.nih.gov/transcriptome/T_rubida/S1/links/NR/Triru-contig_458-NR.txt","truncated ATPase subunit 6")</f>
        <v>truncated ATPase subunit 6</v>
      </c>
      <c r="W145" t="str">
        <f>HYPERLINK("http://www.ncbi.nlm.nih.gov/sutils/blink.cgi?pid=149898887","1E-082")</f>
        <v>1E-082</v>
      </c>
      <c r="X145" t="str">
        <f>HYPERLINK("http://www.ncbi.nlm.nih.gov/protein/149898887","gi|149898887")</f>
        <v>gi|149898887</v>
      </c>
      <c r="Y145">
        <v>310</v>
      </c>
      <c r="Z145">
        <v>219</v>
      </c>
      <c r="AA145">
        <v>222</v>
      </c>
      <c r="AB145">
        <v>70</v>
      </c>
      <c r="AC145">
        <v>99</v>
      </c>
      <c r="AD145">
        <v>66</v>
      </c>
      <c r="AE145">
        <v>1</v>
      </c>
      <c r="AF145">
        <v>3</v>
      </c>
      <c r="AG145">
        <v>1</v>
      </c>
      <c r="AH145">
        <v>1</v>
      </c>
      <c r="AI145">
        <v>1</v>
      </c>
      <c r="AJ145" t="s">
        <v>11</v>
      </c>
      <c r="AK145">
        <v>1.8260000000000001</v>
      </c>
      <c r="AL145" t="s">
        <v>1067</v>
      </c>
      <c r="AM145" t="s">
        <v>3586</v>
      </c>
      <c r="AN145" t="s">
        <v>2076</v>
      </c>
      <c r="AO145" s="1" t="str">
        <f>HYPERLINK("http://exon.niaid.nih.gov/transcriptome/T_rubida/S1/links/SWISSP/Triru-contig_458-SWISSP.txt","ATP synthase subunit a")</f>
        <v>ATP synthase subunit a</v>
      </c>
      <c r="AP145" t="str">
        <f>HYPERLINK("http://www.uniprot.org/uniprot/P00851","3E-065")</f>
        <v>3E-065</v>
      </c>
      <c r="AQ145" t="s">
        <v>3587</v>
      </c>
      <c r="AR145">
        <v>248</v>
      </c>
      <c r="AS145">
        <v>220</v>
      </c>
      <c r="AT145">
        <v>57</v>
      </c>
      <c r="AU145">
        <v>99</v>
      </c>
      <c r="AV145">
        <v>95</v>
      </c>
      <c r="AW145">
        <v>2</v>
      </c>
      <c r="AX145">
        <v>3</v>
      </c>
      <c r="AY145">
        <v>1</v>
      </c>
      <c r="AZ145">
        <v>1</v>
      </c>
      <c r="BA145">
        <v>1</v>
      </c>
      <c r="BB145" t="s">
        <v>11</v>
      </c>
      <c r="BC145">
        <v>1.8180000000000001</v>
      </c>
      <c r="BD145" t="s">
        <v>704</v>
      </c>
      <c r="BE145" t="s">
        <v>1172</v>
      </c>
      <c r="BF145" t="s">
        <v>3588</v>
      </c>
      <c r="BG145" t="s">
        <v>3589</v>
      </c>
      <c r="BH145" s="1" t="s">
        <v>2080</v>
      </c>
      <c r="BI145">
        <f>HYPERLINK("http://exon.niaid.nih.gov/transcriptome/T_rubida/S1/links/GO/Triru-contig_458-GO.txt",1E-64)</f>
        <v>9.9999999999999997E-65</v>
      </c>
      <c r="BJ145" s="1" t="str">
        <f>HYPERLINK("http://exon.niaid.nih.gov/transcriptome/T_rubida/S1/links/CDD/Triru-contig_458-CDD.txt","ATP6")</f>
        <v>ATP6</v>
      </c>
      <c r="BK145" t="str">
        <f>HYPERLINK("http://www.ncbi.nlm.nih.gov/Structure/cdd/cddsrv.cgi?uid=MTH00157&amp;version=v4.0","5E-097")</f>
        <v>5E-097</v>
      </c>
      <c r="BL145" t="s">
        <v>3590</v>
      </c>
      <c r="BM145" s="1" t="str">
        <f>HYPERLINK("http://exon.niaid.nih.gov/transcriptome/T_rubida/S1/links/KOG/Triru-contig_458-KOG.txt","ATP synthase F0 subunit 6 and related proteins")</f>
        <v>ATP synthase F0 subunit 6 and related proteins</v>
      </c>
      <c r="BN145" t="str">
        <f>HYPERLINK("http://www.ncbi.nlm.nih.gov/COG/grace/shokog.cgi?KOG4665","9E-050")</f>
        <v>9E-050</v>
      </c>
      <c r="BO145" t="s">
        <v>1139</v>
      </c>
      <c r="BP145" s="1" t="str">
        <f>HYPERLINK("http://exon.niaid.nih.gov/transcriptome/T_rubida/S1/links/PFAM/Triru-contig_458-PFAM.txt","ATP-synt_A")</f>
        <v>ATP-synt_A</v>
      </c>
      <c r="BQ145" t="str">
        <f>HYPERLINK("http://pfam.sanger.ac.uk/family?acc=PF00119","7E-051")</f>
        <v>7E-051</v>
      </c>
      <c r="BR145" s="1" t="str">
        <f>HYPERLINK("http://exon.niaid.nih.gov/transcriptome/T_rubida/S1/links/SMART/Triru-contig_458-SMART.txt","Trans_reg_C")</f>
        <v>Trans_reg_C</v>
      </c>
      <c r="BS145" t="str">
        <f>HYPERLINK("http://smart.embl-heidelberg.de/smart/do_annotation.pl?DOMAIN=Trans_reg_C&amp;BLAST=DUMMY","0.24")</f>
        <v>0.24</v>
      </c>
      <c r="BT145" s="1" t="str">
        <f>HYPERLINK("http://exon.niaid.nih.gov/transcriptome/T_rubida/S1/links/PRK/Triru-contig_458-PRK.txt","ATP synthase F0 subunit 6")</f>
        <v>ATP synthase F0 subunit 6</v>
      </c>
      <c r="BU145" s="2">
        <v>2.0000000000000001E-97</v>
      </c>
      <c r="BV145" s="1" t="str">
        <f>HYPERLINK("http://exon.niaid.nih.gov/transcriptome/T_rubida/S1/links/MIT-PLA/Triru-contig_458-MIT-PLA.txt","Valentia hoffmanni mitochondrion, complete genome")</f>
        <v>Valentia hoffmanni mitochondrion, complete genome</v>
      </c>
      <c r="BW145" t="str">
        <f>HYPERLINK("http://www.ncbi.nlm.nih.gov/entrez/viewer.fcgi?db=nucleotide&amp;val=215789117","3E-025")</f>
        <v>3E-025</v>
      </c>
      <c r="BX145" s="1" t="s">
        <v>57</v>
      </c>
      <c r="BY145" t="s">
        <v>57</v>
      </c>
    </row>
    <row r="146" spans="1:77">
      <c r="A146" t="str">
        <f>HYPERLINK("http://exon.niaid.nih.gov/transcriptome/T_rubida/S1/links/Triru/Triru-contig_345.txt","Triru-contig_345")</f>
        <v>Triru-contig_345</v>
      </c>
      <c r="B146">
        <v>1</v>
      </c>
      <c r="C146" t="str">
        <f>HYPERLINK("http://exon.niaid.nih.gov/transcriptome/T_rubida/S1/links/Triru/Triru-5-48-asb-345.txt","Contig-345")</f>
        <v>Contig-345</v>
      </c>
      <c r="D146" t="str">
        <f>HYPERLINK("http://exon.niaid.nih.gov/transcriptome/T_rubida/S1/links/Triru/Triru-5-48-345-CLU.txt","Contig345")</f>
        <v>Contig345</v>
      </c>
      <c r="E146" t="str">
        <f>HYPERLINK("http://exon.niaid.nih.gov/transcriptome/T_rubida/S1/links/Triru/Triru-5-48-345-qual.txt","57.5")</f>
        <v>57.5</v>
      </c>
      <c r="F146" t="s">
        <v>10</v>
      </c>
      <c r="G146">
        <v>69</v>
      </c>
      <c r="H146">
        <v>223</v>
      </c>
      <c r="I146" t="s">
        <v>357</v>
      </c>
      <c r="J146">
        <v>223</v>
      </c>
      <c r="K146">
        <v>242</v>
      </c>
      <c r="L146">
        <v>141</v>
      </c>
      <c r="M146" t="s">
        <v>5179</v>
      </c>
      <c r="N146" s="15">
        <v>3</v>
      </c>
      <c r="Q146" s="5" t="s">
        <v>4938</v>
      </c>
      <c r="R146" t="s">
        <v>4836</v>
      </c>
      <c r="S146" t="str">
        <f>HYPERLINK("http://exon.niaid.nih.gov/transcriptome/T_rubida/S1/links/KOG/Triru-contig_345-KOG.txt","KOG")</f>
        <v>KOG</v>
      </c>
      <c r="T146" s="23">
        <v>9.9999999999999998E-13</v>
      </c>
      <c r="U146">
        <v>46.5</v>
      </c>
      <c r="V146" s="1" t="str">
        <f>HYPERLINK("http://exon.niaid.nih.gov/transcriptome/T_rubida/S1/links/NR/Triru-contig_345-NR.txt","similar to translocase of inner mitochondrial membrane 8 homolog b")</f>
        <v>similar to translocase of inner mitochondrial membrane 8 homolog b</v>
      </c>
      <c r="W146" t="str">
        <f>HYPERLINK("http://www.ncbi.nlm.nih.gov/sutils/blink.cgi?pid=91080627","2E-010")</f>
        <v>2E-010</v>
      </c>
      <c r="X146" t="str">
        <f>HYPERLINK("http://www.ncbi.nlm.nih.gov/protein/91080627","gi|91080627")</f>
        <v>gi|91080627</v>
      </c>
      <c r="Y146">
        <v>68.900000000000006</v>
      </c>
      <c r="Z146">
        <v>38</v>
      </c>
      <c r="AA146">
        <v>92</v>
      </c>
      <c r="AB146">
        <v>79</v>
      </c>
      <c r="AC146">
        <v>42</v>
      </c>
      <c r="AD146">
        <v>8</v>
      </c>
      <c r="AE146">
        <v>0</v>
      </c>
      <c r="AF146">
        <v>53</v>
      </c>
      <c r="AG146">
        <v>20</v>
      </c>
      <c r="AH146">
        <v>1</v>
      </c>
      <c r="AI146">
        <v>2</v>
      </c>
      <c r="AJ146" t="s">
        <v>11</v>
      </c>
      <c r="AL146" t="s">
        <v>1483</v>
      </c>
      <c r="AM146" t="s">
        <v>2816</v>
      </c>
      <c r="AN146" t="s">
        <v>2817</v>
      </c>
      <c r="AO146" s="1" t="str">
        <f>HYPERLINK("http://exon.niaid.nih.gov/transcriptome/T_rubida/S1/links/SWISSP/Triru-contig_345-SWISSP.txt","Mitochondrial import inner membrane translocase subunit Tim8")</f>
        <v>Mitochondrial import inner membrane translocase subunit Tim8</v>
      </c>
      <c r="AP146" t="str">
        <f>HYPERLINK("http://www.uniprot.org/uniprot/Q9Y1A3","2E-009")</f>
        <v>2E-009</v>
      </c>
      <c r="AQ146" t="s">
        <v>2818</v>
      </c>
      <c r="AR146">
        <v>61.2</v>
      </c>
      <c r="AS146">
        <v>41</v>
      </c>
      <c r="AT146">
        <v>69</v>
      </c>
      <c r="AU146">
        <v>48</v>
      </c>
      <c r="AV146">
        <v>13</v>
      </c>
      <c r="AW146">
        <v>0</v>
      </c>
      <c r="AX146">
        <v>44</v>
      </c>
      <c r="AY146">
        <v>11</v>
      </c>
      <c r="AZ146">
        <v>1</v>
      </c>
      <c r="BA146">
        <v>2</v>
      </c>
      <c r="BB146" t="s">
        <v>11</v>
      </c>
      <c r="BC146">
        <v>2.4390000000000001</v>
      </c>
      <c r="BD146" t="s">
        <v>704</v>
      </c>
      <c r="BE146" t="s">
        <v>1125</v>
      </c>
      <c r="BF146" t="s">
        <v>2819</v>
      </c>
      <c r="BG146" t="s">
        <v>2820</v>
      </c>
      <c r="BH146" s="1" t="s">
        <v>2821</v>
      </c>
      <c r="BI146">
        <f>HYPERLINK("http://exon.niaid.nih.gov/transcriptome/T_rubida/S1/links/GO/Triru-contig_345-GO.txt",0.000000001)</f>
        <v>1.0000000000000001E-9</v>
      </c>
      <c r="BJ146" s="1" t="str">
        <f>HYPERLINK("http://exon.niaid.nih.gov/transcriptome/T_rubida/S1/links/CDD/Triru-contig_345-CDD.txt","zf-Tim10_DDP")</f>
        <v>zf-Tim10_DDP</v>
      </c>
      <c r="BK146" t="str">
        <f>HYPERLINK("http://www.ncbi.nlm.nih.gov/Structure/cdd/cddsrv.cgi?uid=pfam02953&amp;version=v4.0","2E-008")</f>
        <v>2E-008</v>
      </c>
      <c r="BL146" t="s">
        <v>2822</v>
      </c>
      <c r="BM146" s="1" t="str">
        <f>HYPERLINK("http://exon.niaid.nih.gov/transcriptome/T_rubida/S1/links/KOG/Triru-contig_345-KOG.txt","Mitochondrial import inner membrane translocase, subunit TIM8")</f>
        <v>Mitochondrial import inner membrane translocase, subunit TIM8</v>
      </c>
      <c r="BN146" t="str">
        <f>HYPERLINK("http://www.ncbi.nlm.nih.gov/COG/grace/shokog.cgi?KOG3489","1E-012")</f>
        <v>1E-012</v>
      </c>
      <c r="BO146" t="s">
        <v>1082</v>
      </c>
      <c r="BP146" s="1" t="str">
        <f>HYPERLINK("http://exon.niaid.nih.gov/transcriptome/T_rubida/S1/links/PFAM/Triru-contig_345-PFAM.txt","zf-Tim10_DDP")</f>
        <v>zf-Tim10_DDP</v>
      </c>
      <c r="BQ146" t="str">
        <f>HYPERLINK("http://pfam.sanger.ac.uk/family?acc=PF02953","4E-009")</f>
        <v>4E-009</v>
      </c>
      <c r="BR146" s="1" t="str">
        <f>HYPERLINK("http://exon.niaid.nih.gov/transcriptome/T_rubida/S1/links/SMART/Triru-contig_345-SMART.txt","Cog4")</f>
        <v>Cog4</v>
      </c>
      <c r="BS146" t="str">
        <f>HYPERLINK("http://smart.embl-heidelberg.de/smart/do_annotation.pl?DOMAIN=Cog4&amp;BLAST=DUMMY","0.045")</f>
        <v>0.045</v>
      </c>
      <c r="BT146" s="1" t="str">
        <f>HYPERLINK("http://exon.niaid.nih.gov/transcriptome/T_rubida/S1/links/PRK/Triru-contig_345-PRK.txt","enhanced disease resistance protein (EDR2)")</f>
        <v>enhanced disease resistance protein (EDR2)</v>
      </c>
      <c r="BU146">
        <v>0.48</v>
      </c>
      <c r="BV146" s="1" t="s">
        <v>57</v>
      </c>
      <c r="BW146" t="s">
        <v>57</v>
      </c>
      <c r="BX146" s="1" t="s">
        <v>57</v>
      </c>
      <c r="BY146" t="s">
        <v>57</v>
      </c>
    </row>
    <row r="147" spans="1:77">
      <c r="A147" t="str">
        <f>HYPERLINK("http://exon.niaid.nih.gov/transcriptome/T_rubida/S1/links/Triru/Triru-contig_234.txt","Triru-contig_234")</f>
        <v>Triru-contig_234</v>
      </c>
      <c r="B147">
        <v>1</v>
      </c>
      <c r="C147" t="str">
        <f>HYPERLINK("http://exon.niaid.nih.gov/transcriptome/T_rubida/S1/links/Triru/Triru-5-48-asb-234.txt","Contig-234")</f>
        <v>Contig-234</v>
      </c>
      <c r="D147" t="str">
        <f>HYPERLINK("http://exon.niaid.nih.gov/transcriptome/T_rubida/S1/links/Triru/Triru-5-48-234-CLU.txt","Contig234")</f>
        <v>Contig234</v>
      </c>
      <c r="E147" t="str">
        <f>HYPERLINK("http://exon.niaid.nih.gov/transcriptome/T_rubida/S1/links/Triru/Triru-5-48-234-qual.txt","61.7")</f>
        <v>61.7</v>
      </c>
      <c r="F147" t="s">
        <v>10</v>
      </c>
      <c r="G147">
        <v>75.099999999999994</v>
      </c>
      <c r="H147">
        <v>154</v>
      </c>
      <c r="I147" t="s">
        <v>246</v>
      </c>
      <c r="J147">
        <v>154</v>
      </c>
      <c r="K147">
        <v>173</v>
      </c>
      <c r="L147">
        <v>150</v>
      </c>
      <c r="M147" t="s">
        <v>5323</v>
      </c>
      <c r="N147" s="15">
        <v>2</v>
      </c>
      <c r="Q147" s="5" t="s">
        <v>4901</v>
      </c>
      <c r="R147" t="s">
        <v>4836</v>
      </c>
      <c r="S147" t="str">
        <f>HYPERLINK("http://exon.niaid.nih.gov/transcriptome/T_rubida/S1/links/PRK/Triru-contig_234-PRK.txt","PRK")</f>
        <v>PRK</v>
      </c>
      <c r="T147" s="23">
        <v>8.0000000000000002E-13</v>
      </c>
      <c r="U147">
        <v>28.7</v>
      </c>
      <c r="V147" s="1" t="str">
        <f>HYPERLINK("http://exon.niaid.nih.gov/transcriptome/T_rubida/S1/links/NR/Triru-contig_234-NR.txt","NADH dehydrogenase subunit 6")</f>
        <v>NADH dehydrogenase subunit 6</v>
      </c>
      <c r="W147" t="str">
        <f>HYPERLINK("http://www.ncbi.nlm.nih.gov/sutils/blink.cgi?pid=11182472","2E-011")</f>
        <v>2E-011</v>
      </c>
      <c r="X147" t="str">
        <f>HYPERLINK("http://www.ncbi.nlm.nih.gov/protein/11182472","gi|11182472")</f>
        <v>gi|11182472</v>
      </c>
      <c r="Y147">
        <v>72.8</v>
      </c>
      <c r="Z147">
        <v>48</v>
      </c>
      <c r="AA147">
        <v>167</v>
      </c>
      <c r="AB147">
        <v>71</v>
      </c>
      <c r="AC147">
        <v>29</v>
      </c>
      <c r="AD147">
        <v>14</v>
      </c>
      <c r="AE147">
        <v>0</v>
      </c>
      <c r="AF147">
        <v>119</v>
      </c>
      <c r="AG147">
        <v>5</v>
      </c>
      <c r="AH147">
        <v>1</v>
      </c>
      <c r="AI147">
        <v>2</v>
      </c>
      <c r="AJ147" t="s">
        <v>11</v>
      </c>
      <c r="AL147" t="s">
        <v>700</v>
      </c>
      <c r="AM147" t="s">
        <v>2082</v>
      </c>
      <c r="AN147" t="s">
        <v>1739</v>
      </c>
      <c r="AO147" s="1" t="str">
        <f>HYPERLINK("http://exon.niaid.nih.gov/transcriptome/T_rubida/S1/links/SWISSP/Triru-contig_234-SWISSP.txt","NADH-ubiquinone oxidoreductase chain 6")</f>
        <v>NADH-ubiquinone oxidoreductase chain 6</v>
      </c>
      <c r="AP147" t="str">
        <f>HYPERLINK("http://www.uniprot.org/uniprot/P34856","4E-004")</f>
        <v>4E-004</v>
      </c>
      <c r="AQ147" t="s">
        <v>2083</v>
      </c>
      <c r="AR147">
        <v>43.5</v>
      </c>
      <c r="AS147">
        <v>41</v>
      </c>
      <c r="AT147">
        <v>42</v>
      </c>
      <c r="AU147">
        <v>24</v>
      </c>
      <c r="AV147">
        <v>24</v>
      </c>
      <c r="AW147">
        <v>0</v>
      </c>
      <c r="AX147">
        <v>130</v>
      </c>
      <c r="AY147">
        <v>17</v>
      </c>
      <c r="AZ147">
        <v>1</v>
      </c>
      <c r="BA147">
        <v>2</v>
      </c>
      <c r="BB147" t="s">
        <v>11</v>
      </c>
      <c r="BD147" t="s">
        <v>704</v>
      </c>
      <c r="BE147" t="s">
        <v>2084</v>
      </c>
      <c r="BF147" t="s">
        <v>2085</v>
      </c>
      <c r="BG147" t="s">
        <v>2086</v>
      </c>
      <c r="BH147" s="1" t="s">
        <v>57</v>
      </c>
      <c r="BI147" t="s">
        <v>57</v>
      </c>
      <c r="BJ147" s="1" t="str">
        <f>HYPERLINK("http://exon.niaid.nih.gov/transcriptome/T_rubida/S1/links/CDD/Triru-contig_234-CDD.txt","ND6")</f>
        <v>ND6</v>
      </c>
      <c r="BK147" t="str">
        <f>HYPERLINK("http://www.ncbi.nlm.nih.gov/Structure/cdd/cddsrv.cgi?uid=MTH00166&amp;version=v4.0","2E-012")</f>
        <v>2E-012</v>
      </c>
      <c r="BL147" t="s">
        <v>2087</v>
      </c>
      <c r="BM147" s="1" t="str">
        <f>HYPERLINK("http://exon.niaid.nih.gov/transcriptome/T_rubida/S1/links/KOG/Triru-contig_234-KOG.txt","Amino acid transporter protein")</f>
        <v>Amino acid transporter protein</v>
      </c>
      <c r="BN147" t="str">
        <f>HYPERLINK("http://www.ncbi.nlm.nih.gov/COG/grace/shokog.cgi?KOG1305","0.67")</f>
        <v>0.67</v>
      </c>
      <c r="BO147" t="s">
        <v>839</v>
      </c>
      <c r="BP147" s="1" t="str">
        <f>HYPERLINK("http://exon.niaid.nih.gov/transcriptome/T_rubida/S1/links/PFAM/Triru-contig_234-PFAM.txt","Oxidored_q3")</f>
        <v>Oxidored_q3</v>
      </c>
      <c r="BQ147" t="str">
        <f>HYPERLINK("http://pfam.sanger.ac.uk/family?acc=PF00499","0.036")</f>
        <v>0.036</v>
      </c>
      <c r="BR147" s="1" t="str">
        <f>HYPERLINK("http://exon.niaid.nih.gov/transcriptome/T_rubida/S1/links/SMART/Triru-contig_234-SMART.txt","AgrB")</f>
        <v>AgrB</v>
      </c>
      <c r="BS147" t="str">
        <f>HYPERLINK("http://smart.embl-heidelberg.de/smart/do_annotation.pl?DOMAIN=AgrB&amp;BLAST=DUMMY","0.11")</f>
        <v>0.11</v>
      </c>
      <c r="BT147" s="1" t="str">
        <f>HYPERLINK("http://exon.niaid.nih.gov/transcriptome/T_rubida/S1/links/PRK/Triru-contig_234-PRK.txt","NADH dehydrogenase subunit 6")</f>
        <v>NADH dehydrogenase subunit 6</v>
      </c>
      <c r="BU147" s="2">
        <v>8.0000000000000002E-13</v>
      </c>
      <c r="BV147" s="1" t="s">
        <v>57</v>
      </c>
      <c r="BW147" t="s">
        <v>57</v>
      </c>
      <c r="BX147" s="1" t="s">
        <v>57</v>
      </c>
      <c r="BY147" t="s">
        <v>57</v>
      </c>
    </row>
    <row r="148" spans="1:77">
      <c r="A148" t="str">
        <f>HYPERLINK("http://exon.niaid.nih.gov/transcriptome/T_rubida/S1/links/Triru/Triru-contig_498.txt","Triru-contig_498")</f>
        <v>Triru-contig_498</v>
      </c>
      <c r="B148">
        <v>1</v>
      </c>
      <c r="C148" t="str">
        <f>HYPERLINK("http://exon.niaid.nih.gov/transcriptome/T_rubida/S1/links/Triru/Triru-5-48-asb-498.txt","Contig-498")</f>
        <v>Contig-498</v>
      </c>
      <c r="D148" t="str">
        <f>HYPERLINK("http://exon.niaid.nih.gov/transcriptome/T_rubida/S1/links/Triru/Triru-5-48-498-CLU.txt","Contig498")</f>
        <v>Contig498</v>
      </c>
      <c r="E148" t="str">
        <f>HYPERLINK("http://exon.niaid.nih.gov/transcriptome/T_rubida/S1/links/Triru/Triru-5-48-498-qual.txt","61.")</f>
        <v>61.</v>
      </c>
      <c r="F148" t="s">
        <v>10</v>
      </c>
      <c r="G148">
        <v>76.7</v>
      </c>
      <c r="H148">
        <v>153</v>
      </c>
      <c r="I148" t="s">
        <v>510</v>
      </c>
      <c r="J148">
        <v>153</v>
      </c>
      <c r="K148">
        <v>172</v>
      </c>
      <c r="L148">
        <v>147</v>
      </c>
      <c r="M148" t="s">
        <v>5324</v>
      </c>
      <c r="N148" s="15">
        <v>2</v>
      </c>
      <c r="Q148" s="5" t="s">
        <v>4901</v>
      </c>
      <c r="R148" t="s">
        <v>4836</v>
      </c>
      <c r="S148" t="str">
        <f>HYPERLINK("http://exon.niaid.nih.gov/transcriptome/T_rubida/S1/links/PRK/Triru-contig_498-PRK.txt","PRK")</f>
        <v>PRK</v>
      </c>
      <c r="T148" s="23">
        <v>8.0000000000000002E-13</v>
      </c>
      <c r="U148">
        <v>28.7</v>
      </c>
      <c r="V148" s="1" t="str">
        <f>HYPERLINK("http://exon.niaid.nih.gov/transcriptome/T_rubida/S1/links/NR/Triru-contig_498-NR.txt","NADH dehydrogenase subunit 6")</f>
        <v>NADH dehydrogenase subunit 6</v>
      </c>
      <c r="W148" t="str">
        <f>HYPERLINK("http://www.ncbi.nlm.nih.gov/sutils/blink.cgi?pid=11182472","2E-011")</f>
        <v>2E-011</v>
      </c>
      <c r="X148" t="str">
        <f>HYPERLINK("http://www.ncbi.nlm.nih.gov/protein/11182472","gi|11182472")</f>
        <v>gi|11182472</v>
      </c>
      <c r="Y148">
        <v>72.8</v>
      </c>
      <c r="Z148">
        <v>48</v>
      </c>
      <c r="AA148">
        <v>167</v>
      </c>
      <c r="AB148">
        <v>71</v>
      </c>
      <c r="AC148">
        <v>29</v>
      </c>
      <c r="AD148">
        <v>14</v>
      </c>
      <c r="AE148">
        <v>0</v>
      </c>
      <c r="AF148">
        <v>119</v>
      </c>
      <c r="AG148">
        <v>2</v>
      </c>
      <c r="AH148">
        <v>1</v>
      </c>
      <c r="AI148">
        <v>2</v>
      </c>
      <c r="AJ148" t="s">
        <v>11</v>
      </c>
      <c r="AL148" t="s">
        <v>700</v>
      </c>
      <c r="AM148" t="s">
        <v>2082</v>
      </c>
      <c r="AN148" t="s">
        <v>1739</v>
      </c>
      <c r="AO148" s="1" t="str">
        <f>HYPERLINK("http://exon.niaid.nih.gov/transcriptome/T_rubida/S1/links/SWISSP/Triru-contig_498-SWISSP.txt","NADH-ubiquinone oxidoreductase chain 6")</f>
        <v>NADH-ubiquinone oxidoreductase chain 6</v>
      </c>
      <c r="AP148" t="str">
        <f>HYPERLINK("http://www.uniprot.org/uniprot/P34856","4E-004")</f>
        <v>4E-004</v>
      </c>
      <c r="AQ148" t="s">
        <v>2083</v>
      </c>
      <c r="AR148">
        <v>43.5</v>
      </c>
      <c r="AS148">
        <v>41</v>
      </c>
      <c r="AT148">
        <v>42</v>
      </c>
      <c r="AU148">
        <v>24</v>
      </c>
      <c r="AV148">
        <v>24</v>
      </c>
      <c r="AW148">
        <v>0</v>
      </c>
      <c r="AX148">
        <v>130</v>
      </c>
      <c r="AY148">
        <v>14</v>
      </c>
      <c r="AZ148">
        <v>1</v>
      </c>
      <c r="BA148">
        <v>2</v>
      </c>
      <c r="BB148" t="s">
        <v>11</v>
      </c>
      <c r="BD148" t="s">
        <v>704</v>
      </c>
      <c r="BE148" t="s">
        <v>2084</v>
      </c>
      <c r="BF148" t="s">
        <v>2085</v>
      </c>
      <c r="BG148" t="s">
        <v>2086</v>
      </c>
      <c r="BH148" s="1" t="s">
        <v>57</v>
      </c>
      <c r="BI148" t="s">
        <v>57</v>
      </c>
      <c r="BJ148" s="1" t="str">
        <f>HYPERLINK("http://exon.niaid.nih.gov/transcriptome/T_rubida/S1/links/CDD/Triru-contig_498-CDD.txt","ND6")</f>
        <v>ND6</v>
      </c>
      <c r="BK148" t="str">
        <f>HYPERLINK("http://www.ncbi.nlm.nih.gov/Structure/cdd/cddsrv.cgi?uid=MTH00166&amp;version=v4.0","2E-012")</f>
        <v>2E-012</v>
      </c>
      <c r="BL148" t="s">
        <v>2087</v>
      </c>
      <c r="BM148" s="1" t="str">
        <f>HYPERLINK("http://exon.niaid.nih.gov/transcriptome/T_rubida/S1/links/KOG/Triru-contig_498-KOG.txt","Amino acid transporter protein")</f>
        <v>Amino acid transporter protein</v>
      </c>
      <c r="BN148" t="str">
        <f>HYPERLINK("http://www.ncbi.nlm.nih.gov/COG/grace/shokog.cgi?KOG1305","0.67")</f>
        <v>0.67</v>
      </c>
      <c r="BO148" t="s">
        <v>839</v>
      </c>
      <c r="BP148" s="1" t="str">
        <f>HYPERLINK("http://exon.niaid.nih.gov/transcriptome/T_rubida/S1/links/PFAM/Triru-contig_498-PFAM.txt","Oxidored_q3")</f>
        <v>Oxidored_q3</v>
      </c>
      <c r="BQ148" t="str">
        <f>HYPERLINK("http://pfam.sanger.ac.uk/family?acc=PF00499","0.036")</f>
        <v>0.036</v>
      </c>
      <c r="BR148" s="1" t="str">
        <f>HYPERLINK("http://exon.niaid.nih.gov/transcriptome/T_rubida/S1/links/SMART/Triru-contig_498-SMART.txt","AgrB")</f>
        <v>AgrB</v>
      </c>
      <c r="BS148" t="str">
        <f>HYPERLINK("http://smart.embl-heidelberg.de/smart/do_annotation.pl?DOMAIN=AgrB&amp;BLAST=DUMMY","0.11")</f>
        <v>0.11</v>
      </c>
      <c r="BT148" s="1" t="str">
        <f>HYPERLINK("http://exon.niaid.nih.gov/transcriptome/T_rubida/S1/links/PRK/Triru-contig_498-PRK.txt","NADH dehydrogenase subunit 6")</f>
        <v>NADH dehydrogenase subunit 6</v>
      </c>
      <c r="BU148" s="2">
        <v>8.0000000000000002E-13</v>
      </c>
      <c r="BV148" s="1" t="s">
        <v>57</v>
      </c>
      <c r="BW148" t="s">
        <v>57</v>
      </c>
      <c r="BX148" s="1" t="s">
        <v>57</v>
      </c>
      <c r="BY148" t="s">
        <v>57</v>
      </c>
    </row>
    <row r="149" spans="1:77" s="3" customFormat="1">
      <c r="A149" s="13" t="s">
        <v>5039</v>
      </c>
      <c r="T149" s="22"/>
    </row>
    <row r="150" spans="1:77">
      <c r="A150" t="str">
        <f>HYPERLINK("http://exon.niaid.nih.gov/transcriptome/T_rubida/S1/links/Triru/Triru-contig_86.txt","Triru-contig_86")</f>
        <v>Triru-contig_86</v>
      </c>
      <c r="B150">
        <v>8</v>
      </c>
      <c r="C150" t="str">
        <f>HYPERLINK("http://exon.niaid.nih.gov/transcriptome/T_rubida/S1/links/Triru/Triru-5-48-asb-86.txt","Contig-86")</f>
        <v>Contig-86</v>
      </c>
      <c r="D150" t="str">
        <f>HYPERLINK("http://exon.niaid.nih.gov/transcriptome/T_rubida/S1/links/Triru/Triru-5-48-86-CLU.txt","Contig86")</f>
        <v>Contig86</v>
      </c>
      <c r="E150" t="str">
        <f>HYPERLINK("http://exon.niaid.nih.gov/transcriptome/T_rubida/S1/links/Triru/Triru-5-48-86-qual.txt","88.1")</f>
        <v>88.1</v>
      </c>
      <c r="F150" t="s">
        <v>10</v>
      </c>
      <c r="G150">
        <v>62</v>
      </c>
      <c r="H150">
        <v>890</v>
      </c>
      <c r="I150" t="s">
        <v>98</v>
      </c>
      <c r="J150">
        <v>912</v>
      </c>
      <c r="K150">
        <v>913</v>
      </c>
      <c r="L150">
        <v>819</v>
      </c>
      <c r="M150" t="s">
        <v>5182</v>
      </c>
      <c r="N150" s="15">
        <v>3</v>
      </c>
      <c r="O150" s="14" t="str">
        <f>HYPERLINK("http://exon.niaid.nih.gov/transcriptome/T_rubida/S1/links/Sigp/TRIRU-CONTIG_86-SigP.txt","Cyt")</f>
        <v>Cyt</v>
      </c>
      <c r="Q150" s="5" t="s">
        <v>4837</v>
      </c>
      <c r="R150" t="s">
        <v>4838</v>
      </c>
      <c r="S150" t="str">
        <f>HYPERLINK("http://exon.niaid.nih.gov/transcriptome/T_rubida/S1/links/KOG/Triru-contig_86-KOG.txt","KOG")</f>
        <v>KOG</v>
      </c>
      <c r="T150" s="23">
        <v>3.0000000000000001E-45</v>
      </c>
      <c r="U150">
        <v>94.2</v>
      </c>
      <c r="V150" s="1" t="str">
        <f>HYPERLINK("http://exon.niaid.nih.gov/transcriptome/T_rubida/S1/links/NR/Triru-contig_86-NR.txt","hypothetical protein SINV_04663")</f>
        <v>hypothetical protein SINV_04663</v>
      </c>
      <c r="W150" t="str">
        <f>HYPERLINK("http://www.ncbi.nlm.nih.gov/sutils/blink.cgi?pid=322802268","2E-043")</f>
        <v>2E-043</v>
      </c>
      <c r="X150" t="str">
        <f>HYPERLINK("http://www.ncbi.nlm.nih.gov/protein/322802268","gi|322802268")</f>
        <v>gi|322802268</v>
      </c>
      <c r="Y150">
        <v>180</v>
      </c>
      <c r="Z150">
        <v>260</v>
      </c>
      <c r="AA150">
        <v>354</v>
      </c>
      <c r="AB150">
        <v>37</v>
      </c>
      <c r="AC150">
        <v>74</v>
      </c>
      <c r="AD150">
        <v>164</v>
      </c>
      <c r="AE150">
        <v>4</v>
      </c>
      <c r="AF150">
        <v>91</v>
      </c>
      <c r="AG150">
        <v>21</v>
      </c>
      <c r="AH150">
        <v>1</v>
      </c>
      <c r="AI150">
        <v>3</v>
      </c>
      <c r="AJ150" t="s">
        <v>11</v>
      </c>
      <c r="AL150" t="s">
        <v>1144</v>
      </c>
      <c r="AM150" t="s">
        <v>1145</v>
      </c>
      <c r="AN150" t="s">
        <v>1146</v>
      </c>
      <c r="AO150" s="1" t="str">
        <f>HYPERLINK("http://exon.niaid.nih.gov/transcriptome/T_rubida/S1/links/SWISSP/Triru-contig_86-SWISSP.txt","15-hydroxyprostaglandin dehydrogenase")</f>
        <v>15-hydroxyprostaglandin dehydrogenase</v>
      </c>
      <c r="AP150" t="str">
        <f>HYPERLINK("http://www.uniprot.org/uniprot/Q8MJY8","2E-034")</f>
        <v>2E-034</v>
      </c>
      <c r="AQ150" t="s">
        <v>1147</v>
      </c>
      <c r="AR150">
        <v>146</v>
      </c>
      <c r="AS150">
        <v>196</v>
      </c>
      <c r="AT150">
        <v>39</v>
      </c>
      <c r="AU150">
        <v>74</v>
      </c>
      <c r="AV150">
        <v>122</v>
      </c>
      <c r="AW150">
        <v>0</v>
      </c>
      <c r="AX150">
        <v>1</v>
      </c>
      <c r="AY150">
        <v>48</v>
      </c>
      <c r="AZ150">
        <v>1</v>
      </c>
      <c r="BA150">
        <v>3</v>
      </c>
      <c r="BB150" t="s">
        <v>11</v>
      </c>
      <c r="BD150" t="s">
        <v>704</v>
      </c>
      <c r="BE150" t="s">
        <v>1148</v>
      </c>
      <c r="BF150" t="s">
        <v>1149</v>
      </c>
      <c r="BG150" t="s">
        <v>1150</v>
      </c>
      <c r="BH150" s="1" t="s">
        <v>1151</v>
      </c>
      <c r="BI150">
        <f>HYPERLINK("http://exon.niaid.nih.gov/transcriptome/T_rubida/S1/links/GO/Triru-contig_86-GO.txt",3E-37)</f>
        <v>3E-37</v>
      </c>
      <c r="BJ150" s="1" t="str">
        <f>HYPERLINK("http://exon.niaid.nih.gov/transcriptome/T_rubida/S1/links/CDD/Triru-contig_86-CDD.txt","ADH_SDR_c_like")</f>
        <v>ADH_SDR_c_like</v>
      </c>
      <c r="BK150" t="str">
        <f>HYPERLINK("http://www.ncbi.nlm.nih.gov/Structure/cdd/cddsrv.cgi?uid=cd05323&amp;version=v4.0","3E-051")</f>
        <v>3E-051</v>
      </c>
      <c r="BL150" t="s">
        <v>1152</v>
      </c>
      <c r="BM150" s="1" t="str">
        <f>HYPERLINK("http://exon.niaid.nih.gov/transcriptome/T_rubida/S1/links/KOG/Triru-contig_86-KOG.txt","15-hydroxyprostaglandin dehydrogenase and related dehydrogenases")</f>
        <v>15-hydroxyprostaglandin dehydrogenase and related dehydrogenases</v>
      </c>
      <c r="BN150" t="str">
        <f>HYPERLINK("http://www.ncbi.nlm.nih.gov/COG/grace/shokog.cgi?KOG4169","3E-045")</f>
        <v>3E-045</v>
      </c>
      <c r="BO150" t="s">
        <v>962</v>
      </c>
      <c r="BP150" s="1" t="str">
        <f>HYPERLINK("http://exon.niaid.nih.gov/transcriptome/T_rubida/S1/links/PFAM/Triru-contig_86-PFAM.txt","adh_short")</f>
        <v>adh_short</v>
      </c>
      <c r="BQ150" t="str">
        <f>HYPERLINK("http://pfam.sanger.ac.uk/family?acc=PF00106","2E-021")</f>
        <v>2E-021</v>
      </c>
      <c r="BR150" s="1" t="str">
        <f>HYPERLINK("http://exon.niaid.nih.gov/transcriptome/T_rubida/S1/links/SMART/Triru-contig_86-SMART.txt","PKS_KR")</f>
        <v>PKS_KR</v>
      </c>
      <c r="BS150" t="str">
        <f>HYPERLINK("http://smart.embl-heidelberg.de/smart/do_annotation.pl?DOMAIN=PKS_KR&amp;BLAST=DUMMY","4E-007")</f>
        <v>4E-007</v>
      </c>
      <c r="BT150" s="1" t="str">
        <f>HYPERLINK("http://exon.niaid.nih.gov/transcriptome/T_rubida/S1/links/PRK/Triru-contig_86-PRK.txt","3-ketoacyl-(acyl-carrier-protein) reductase")</f>
        <v>3-ketoacyl-(acyl-carrier-protein) reductase</v>
      </c>
      <c r="BU150" s="2">
        <v>2E-35</v>
      </c>
      <c r="BV150" s="1" t="s">
        <v>57</v>
      </c>
      <c r="BW150" t="s">
        <v>57</v>
      </c>
      <c r="BX150" s="1" t="s">
        <v>57</v>
      </c>
      <c r="BY150" t="s">
        <v>57</v>
      </c>
    </row>
    <row r="151" spans="1:77">
      <c r="A151" t="str">
        <f>HYPERLINK("http://exon.niaid.nih.gov/transcriptome/T_rubida/S1/links/Triru/Triru-contig_87.txt","Triru-contig_87")</f>
        <v>Triru-contig_87</v>
      </c>
      <c r="B151">
        <v>3</v>
      </c>
      <c r="C151" t="str">
        <f>HYPERLINK("http://exon.niaid.nih.gov/transcriptome/T_rubida/S1/links/Triru/Triru-5-48-asb-87.txt","Contig-87")</f>
        <v>Contig-87</v>
      </c>
      <c r="D151" t="str">
        <f>HYPERLINK("http://exon.niaid.nih.gov/transcriptome/T_rubida/S1/links/Triru/Triru-5-48-87-CLU.txt","Contig87")</f>
        <v>Contig87</v>
      </c>
      <c r="E151" t="str">
        <f>HYPERLINK("http://exon.niaid.nih.gov/transcriptome/T_rubida/S1/links/Triru/Triru-5-48-87-qual.txt","79.1")</f>
        <v>79.1</v>
      </c>
      <c r="F151" t="s">
        <v>10</v>
      </c>
      <c r="G151">
        <v>63.1</v>
      </c>
      <c r="H151">
        <v>983</v>
      </c>
      <c r="I151" t="s">
        <v>99</v>
      </c>
      <c r="J151">
        <v>958</v>
      </c>
      <c r="K151">
        <v>1002</v>
      </c>
      <c r="L151">
        <v>882</v>
      </c>
      <c r="M151" t="s">
        <v>5181</v>
      </c>
      <c r="N151" s="15">
        <v>1</v>
      </c>
      <c r="O151" s="14" t="str">
        <f>HYPERLINK("http://exon.niaid.nih.gov/transcriptome/T_rubida/S1/links/Sigp/TRIRU-CONTIG_87-SigP.txt","Cyt")</f>
        <v>Cyt</v>
      </c>
      <c r="Q151" s="5" t="s">
        <v>4837</v>
      </c>
      <c r="R151" t="s">
        <v>4838</v>
      </c>
      <c r="S151" t="str">
        <f>HYPERLINK("http://exon.niaid.nih.gov/transcriptome/T_rubida/S1/links/KOG/Triru-contig_87-KOG.txt","KOG")</f>
        <v>KOG</v>
      </c>
      <c r="T151" s="23">
        <v>3.9999999999999999E-47</v>
      </c>
      <c r="U151">
        <v>93.8</v>
      </c>
      <c r="V151" s="1" t="str">
        <f>HYPERLINK("http://exon.niaid.nih.gov/transcriptome/T_rubida/S1/links/NR/Triru-contig_87-NR.txt","15-hydroxyprostaglandin dehydrogenase")</f>
        <v>15-hydroxyprostaglandin dehydrogenase</v>
      </c>
      <c r="W151" t="str">
        <f>HYPERLINK("http://www.ncbi.nlm.nih.gov/sutils/blink.cgi?pid=328779312","5E-048")</f>
        <v>5E-048</v>
      </c>
      <c r="X151" t="str">
        <f>HYPERLINK("http://www.ncbi.nlm.nih.gov/protein/328779312","gi|328779312")</f>
        <v>gi|328779312</v>
      </c>
      <c r="Y151">
        <v>196</v>
      </c>
      <c r="Z151">
        <v>251</v>
      </c>
      <c r="AA151">
        <v>272</v>
      </c>
      <c r="AB151">
        <v>40</v>
      </c>
      <c r="AC151">
        <v>93</v>
      </c>
      <c r="AD151">
        <v>152</v>
      </c>
      <c r="AE151">
        <v>1</v>
      </c>
      <c r="AF151">
        <v>16</v>
      </c>
      <c r="AG151">
        <v>94</v>
      </c>
      <c r="AH151">
        <v>1</v>
      </c>
      <c r="AI151">
        <v>1</v>
      </c>
      <c r="AJ151" t="s">
        <v>11</v>
      </c>
      <c r="AL151" t="s">
        <v>1153</v>
      </c>
      <c r="AM151" t="s">
        <v>1154</v>
      </c>
      <c r="AN151" t="s">
        <v>1155</v>
      </c>
      <c r="AO151" s="1" t="str">
        <f>HYPERLINK("http://exon.niaid.nih.gov/transcriptome/T_rubida/S1/links/SWISSP/Triru-contig_87-SWISSP.txt","15-hydroxyprostaglandin dehydrogenase")</f>
        <v>15-hydroxyprostaglandin dehydrogenase</v>
      </c>
      <c r="AP151" t="str">
        <f>HYPERLINK("http://www.uniprot.org/uniprot/Q8VCC1","7E-038")</f>
        <v>7E-038</v>
      </c>
      <c r="AQ151" t="s">
        <v>1156</v>
      </c>
      <c r="AR151">
        <v>158</v>
      </c>
      <c r="AS151">
        <v>196</v>
      </c>
      <c r="AT151">
        <v>40</v>
      </c>
      <c r="AU151">
        <v>73</v>
      </c>
      <c r="AV151">
        <v>119</v>
      </c>
      <c r="AW151">
        <v>0</v>
      </c>
      <c r="AX151">
        <v>1</v>
      </c>
      <c r="AY151">
        <v>100</v>
      </c>
      <c r="AZ151">
        <v>1</v>
      </c>
      <c r="BA151">
        <v>1</v>
      </c>
      <c r="BB151" t="s">
        <v>11</v>
      </c>
      <c r="BD151" t="s">
        <v>704</v>
      </c>
      <c r="BE151" t="s">
        <v>807</v>
      </c>
      <c r="BF151" t="s">
        <v>1157</v>
      </c>
      <c r="BG151" t="s">
        <v>1158</v>
      </c>
      <c r="BH151" s="1" t="s">
        <v>1151</v>
      </c>
      <c r="BI151">
        <f>HYPERLINK("http://exon.niaid.nih.gov/transcriptome/T_rubida/S1/links/GO/Triru-contig_87-GO.txt",1E-40)</f>
        <v>9.9999999999999993E-41</v>
      </c>
      <c r="BJ151" s="1" t="str">
        <f>HYPERLINK("http://exon.niaid.nih.gov/transcriptome/T_rubida/S1/links/CDD/Triru-contig_87-CDD.txt","ADH_SDR_c_like")</f>
        <v>ADH_SDR_c_like</v>
      </c>
      <c r="BK151" t="str">
        <f>HYPERLINK("http://www.ncbi.nlm.nih.gov/Structure/cdd/cddsrv.cgi?uid=cd05323&amp;version=v4.0","1E-055")</f>
        <v>1E-055</v>
      </c>
      <c r="BL151" t="s">
        <v>1159</v>
      </c>
      <c r="BM151" s="1" t="str">
        <f>HYPERLINK("http://exon.niaid.nih.gov/transcriptome/T_rubida/S1/links/KOG/Triru-contig_87-KOG.txt","15-hydroxyprostaglandin dehydrogenase and related dehydrogenases")</f>
        <v>15-hydroxyprostaglandin dehydrogenase and related dehydrogenases</v>
      </c>
      <c r="BN151" t="str">
        <f>HYPERLINK("http://www.ncbi.nlm.nih.gov/COG/grace/shokog.cgi?KOG4169","4E-047")</f>
        <v>4E-047</v>
      </c>
      <c r="BO151" t="s">
        <v>962</v>
      </c>
      <c r="BP151" s="1" t="str">
        <f>HYPERLINK("http://exon.niaid.nih.gov/transcriptome/T_rubida/S1/links/PFAM/Triru-contig_87-PFAM.txt","adh_short")</f>
        <v>adh_short</v>
      </c>
      <c r="BQ151" t="str">
        <f>HYPERLINK("http://pfam.sanger.ac.uk/family?acc=PF00106","6E-022")</f>
        <v>6E-022</v>
      </c>
      <c r="BR151" s="1" t="str">
        <f>HYPERLINK("http://exon.niaid.nih.gov/transcriptome/T_rubida/S1/links/SMART/Triru-contig_87-SMART.txt","PKS_KR")</f>
        <v>PKS_KR</v>
      </c>
      <c r="BS151" t="str">
        <f>HYPERLINK("http://smart.embl-heidelberg.de/smart/do_annotation.pl?DOMAIN=PKS_KR&amp;BLAST=DUMMY","3E-008")</f>
        <v>3E-008</v>
      </c>
      <c r="BT151" s="1" t="str">
        <f>HYPERLINK("http://exon.niaid.nih.gov/transcriptome/T_rubida/S1/links/PRK/Triru-contig_87-PRK.txt","3-ketoacyl-(acyl-carrier-protein) reductase")</f>
        <v>3-ketoacyl-(acyl-carrier-protein) reductase</v>
      </c>
      <c r="BU151" s="2">
        <v>9.9999999999999996E-39</v>
      </c>
      <c r="BV151" s="1" t="s">
        <v>57</v>
      </c>
      <c r="BW151" t="s">
        <v>57</v>
      </c>
      <c r="BX151" s="1" t="s">
        <v>57</v>
      </c>
      <c r="BY151" t="s">
        <v>57</v>
      </c>
    </row>
    <row r="152" spans="1:77">
      <c r="A152" t="str">
        <f>HYPERLINK("http://exon.niaid.nih.gov/transcriptome/T_rubida/S1/links/Triru/Triru-contig_88.txt","Triru-contig_88")</f>
        <v>Triru-contig_88</v>
      </c>
      <c r="B152">
        <v>1</v>
      </c>
      <c r="C152" t="str">
        <f>HYPERLINK("http://exon.niaid.nih.gov/transcriptome/T_rubida/S1/links/Triru/Triru-5-48-asb-88.txt","Contig-88")</f>
        <v>Contig-88</v>
      </c>
      <c r="D152" t="str">
        <f>HYPERLINK("http://exon.niaid.nih.gov/transcriptome/T_rubida/S1/links/Triru/Triru-5-48-88-CLU.txt","Contig88")</f>
        <v>Contig88</v>
      </c>
      <c r="E152" t="str">
        <f>HYPERLINK("http://exon.niaid.nih.gov/transcriptome/T_rubida/S1/links/Triru/Triru-5-48-88-qual.txt","44.6")</f>
        <v>44.6</v>
      </c>
      <c r="F152" t="s">
        <v>10</v>
      </c>
      <c r="G152">
        <v>61.7</v>
      </c>
      <c r="H152">
        <v>642</v>
      </c>
      <c r="I152" t="s">
        <v>100</v>
      </c>
      <c r="J152">
        <v>642</v>
      </c>
      <c r="K152">
        <v>661</v>
      </c>
      <c r="L152">
        <v>570</v>
      </c>
      <c r="M152" t="s">
        <v>5180</v>
      </c>
      <c r="N152" s="15">
        <v>1</v>
      </c>
      <c r="O152" s="14" t="str">
        <f>HYPERLINK("http://exon.niaid.nih.gov/transcriptome/T_rubida/S1/links/Sigp/TRIRU-CONTIG_88-SigP.txt","Cyt")</f>
        <v>Cyt</v>
      </c>
      <c r="Q152" s="5" t="s">
        <v>4837</v>
      </c>
      <c r="R152" t="s">
        <v>4838</v>
      </c>
      <c r="S152" t="str">
        <f>HYPERLINK("http://exon.niaid.nih.gov/transcriptome/T_rubida/S1/links/KOG/Triru-contig_88-KOG.txt","KOG")</f>
        <v>KOG</v>
      </c>
      <c r="T152" s="23">
        <v>5.0000000000000004E-31</v>
      </c>
      <c r="U152">
        <v>63.9</v>
      </c>
      <c r="V152" s="1" t="str">
        <f>HYPERLINK("http://exon.niaid.nih.gov/transcriptome/T_rubida/S1/links/NR/Triru-contig_88-NR.txt","15-hydroxyprostaglandin dehydrogenase")</f>
        <v>15-hydroxyprostaglandin dehydrogenase</v>
      </c>
      <c r="W152" t="str">
        <f>HYPERLINK("http://www.ncbi.nlm.nih.gov/sutils/blink.cgi?pid=328713782","7E-026")</f>
        <v>7E-026</v>
      </c>
      <c r="X152" t="str">
        <f>HYPERLINK("http://www.ncbi.nlm.nih.gov/protein/328713782","gi|328713782")</f>
        <v>gi|328713782</v>
      </c>
      <c r="Y152">
        <v>121</v>
      </c>
      <c r="Z152">
        <v>171</v>
      </c>
      <c r="AA152">
        <v>256</v>
      </c>
      <c r="AB152">
        <v>38</v>
      </c>
      <c r="AC152">
        <v>67</v>
      </c>
      <c r="AD152">
        <v>107</v>
      </c>
      <c r="AE152">
        <v>5</v>
      </c>
      <c r="AF152">
        <v>82</v>
      </c>
      <c r="AG152">
        <v>40</v>
      </c>
      <c r="AH152">
        <v>1</v>
      </c>
      <c r="AI152">
        <v>1</v>
      </c>
      <c r="AJ152" t="s">
        <v>11</v>
      </c>
      <c r="AL152" t="s">
        <v>1160</v>
      </c>
      <c r="AM152" t="s">
        <v>1161</v>
      </c>
      <c r="AN152" t="s">
        <v>1162</v>
      </c>
      <c r="AO152" s="1" t="str">
        <f>HYPERLINK("http://exon.niaid.nih.gov/transcriptome/T_rubida/S1/links/SWISSP/Triru-contig_88-SWISSP.txt","15-hydroxyprostaglandin dehydrogenase")</f>
        <v>15-hydroxyprostaglandin dehydrogenase</v>
      </c>
      <c r="AP152" t="str">
        <f>HYPERLINK("http://www.uniprot.org/uniprot/O08699","1E-018")</f>
        <v>1E-018</v>
      </c>
      <c r="AQ152" t="s">
        <v>1163</v>
      </c>
      <c r="AR152">
        <v>93.2</v>
      </c>
      <c r="AS152">
        <v>115</v>
      </c>
      <c r="AT152">
        <v>37</v>
      </c>
      <c r="AU152">
        <v>44</v>
      </c>
      <c r="AV152">
        <v>74</v>
      </c>
      <c r="AW152">
        <v>0</v>
      </c>
      <c r="AX152">
        <v>82</v>
      </c>
      <c r="AY152">
        <v>40</v>
      </c>
      <c r="AZ152">
        <v>1</v>
      </c>
      <c r="BA152">
        <v>1</v>
      </c>
      <c r="BB152" t="s">
        <v>11</v>
      </c>
      <c r="BD152" t="s">
        <v>704</v>
      </c>
      <c r="BE152" t="s">
        <v>1164</v>
      </c>
      <c r="BF152" t="s">
        <v>1165</v>
      </c>
      <c r="BG152" t="s">
        <v>1166</v>
      </c>
      <c r="BH152" s="1" t="s">
        <v>1151</v>
      </c>
      <c r="BI152">
        <f>HYPERLINK("http://exon.niaid.nih.gov/transcriptome/T_rubida/S1/links/GO/Triru-contig_88-GO.txt",1E-20)</f>
        <v>9.9999999999999995E-21</v>
      </c>
      <c r="BJ152" s="1" t="str">
        <f>HYPERLINK("http://exon.niaid.nih.gov/transcriptome/T_rubida/S1/links/CDD/Triru-contig_88-CDD.txt","ADH_SDR_c_like")</f>
        <v>ADH_SDR_c_like</v>
      </c>
      <c r="BK152" t="str">
        <f>HYPERLINK("http://www.ncbi.nlm.nih.gov/Structure/cdd/cddsrv.cgi?uid=cd05323&amp;version=v4.0","5E-033")</f>
        <v>5E-033</v>
      </c>
      <c r="BL152" t="s">
        <v>1167</v>
      </c>
      <c r="BM152" s="1" t="str">
        <f>HYPERLINK("http://exon.niaid.nih.gov/transcriptome/T_rubida/S1/links/KOG/Triru-contig_88-KOG.txt","15-hydroxyprostaglandin dehydrogenase and related dehydrogenases")</f>
        <v>15-hydroxyprostaglandin dehydrogenase and related dehydrogenases</v>
      </c>
      <c r="BN152" t="str">
        <f>HYPERLINK("http://www.ncbi.nlm.nih.gov/COG/grace/shokog.cgi?KOG4169","5E-031")</f>
        <v>5E-031</v>
      </c>
      <c r="BO152" t="s">
        <v>962</v>
      </c>
      <c r="BP152" s="1" t="str">
        <f>HYPERLINK("http://exon.niaid.nih.gov/transcriptome/T_rubida/S1/links/PFAM/Triru-contig_88-PFAM.txt","adh_short")</f>
        <v>adh_short</v>
      </c>
      <c r="BQ152" t="str">
        <f>HYPERLINK("http://pfam.sanger.ac.uk/family?acc=PF00106","2E-008")</f>
        <v>2E-008</v>
      </c>
      <c r="BR152" s="1" t="str">
        <f>HYPERLINK("http://exon.niaid.nih.gov/transcriptome/T_rubida/S1/links/SMART/Triru-contig_88-SMART.txt","CLECT")</f>
        <v>CLECT</v>
      </c>
      <c r="BS152" t="str">
        <f>HYPERLINK("http://smart.embl-heidelberg.de/smart/do_annotation.pl?DOMAIN=CLECT&amp;BLAST=DUMMY","0.11")</f>
        <v>0.11</v>
      </c>
      <c r="BT152" s="1" t="str">
        <f>HYPERLINK("http://exon.niaid.nih.gov/transcriptome/T_rubida/S1/links/PRK/Triru-contig_88-PRK.txt","3-ketoacyl-(acyl-carrier-protein) reductase")</f>
        <v>3-ketoacyl-(acyl-carrier-protein) reductase</v>
      </c>
      <c r="BU152" s="2">
        <v>9.0000000000000003E-19</v>
      </c>
      <c r="BV152" s="1" t="s">
        <v>57</v>
      </c>
      <c r="BW152" t="s">
        <v>57</v>
      </c>
      <c r="BX152" s="1" t="s">
        <v>57</v>
      </c>
      <c r="BY152" t="s">
        <v>57</v>
      </c>
    </row>
    <row r="153" spans="1:77">
      <c r="A153" t="str">
        <f>HYPERLINK("http://exon.niaid.nih.gov/transcriptome/T_rubida/S1/links/Triru/Triru-contig_378.txt","Triru-contig_378")</f>
        <v>Triru-contig_378</v>
      </c>
      <c r="B153">
        <v>1</v>
      </c>
      <c r="C153" t="str">
        <f>HYPERLINK("http://exon.niaid.nih.gov/transcriptome/T_rubida/S1/links/Triru/Triru-5-48-asb-378.txt","Contig-378")</f>
        <v>Contig-378</v>
      </c>
      <c r="D153" t="str">
        <f>HYPERLINK("http://exon.niaid.nih.gov/transcriptome/T_rubida/S1/links/Triru/Triru-5-48-378-CLU.txt","Contig378")</f>
        <v>Contig378</v>
      </c>
      <c r="E153" t="str">
        <f>HYPERLINK("http://exon.niaid.nih.gov/transcriptome/T_rubida/S1/links/Triru/Triru-5-48-378-qual.txt","63.")</f>
        <v>63.</v>
      </c>
      <c r="F153" t="s">
        <v>10</v>
      </c>
      <c r="G153">
        <v>65.2</v>
      </c>
      <c r="H153">
        <v>702</v>
      </c>
      <c r="I153" t="s">
        <v>390</v>
      </c>
      <c r="J153">
        <v>702</v>
      </c>
      <c r="K153">
        <v>721</v>
      </c>
      <c r="L153">
        <v>684</v>
      </c>
      <c r="M153" t="s">
        <v>5183</v>
      </c>
      <c r="N153" s="15">
        <v>3</v>
      </c>
      <c r="O153" s="14" t="str">
        <f>HYPERLINK("http://exon.niaid.nih.gov/transcriptome/T_rubida/S1/links/Sigp/TRIRU-CONTIG_378-SigP.txt","Anch")</f>
        <v>Anch</v>
      </c>
      <c r="Q153" s="5" t="s">
        <v>4948</v>
      </c>
      <c r="R153" t="s">
        <v>4838</v>
      </c>
      <c r="S153" t="str">
        <f>HYPERLINK("http://exon.niaid.nih.gov/transcriptome/T_rubida/S1/links/KOG/Triru-contig_378-KOG.txt","KOG")</f>
        <v>KOG</v>
      </c>
      <c r="T153" s="23">
        <v>4.0000000000000001E-53</v>
      </c>
      <c r="U153">
        <v>84.3</v>
      </c>
      <c r="V153" s="1" t="str">
        <f>HYPERLINK("http://exon.niaid.nih.gov/transcriptome/T_rubida/S1/links/NR/Triru-contig_378-NR.txt","ACYPI007931")</f>
        <v>ACYPI007931</v>
      </c>
      <c r="W153" t="str">
        <f>HYPERLINK("http://www.ncbi.nlm.nih.gov/sutils/blink.cgi?pid=239791051","1E-042")</f>
        <v>1E-042</v>
      </c>
      <c r="X153" t="str">
        <f>HYPERLINK("http://www.ncbi.nlm.nih.gov/protein/239791051","gi|239791051")</f>
        <v>gi|239791051</v>
      </c>
      <c r="Y153">
        <v>177</v>
      </c>
      <c r="Z153">
        <v>220</v>
      </c>
      <c r="AA153">
        <v>278</v>
      </c>
      <c r="AB153">
        <v>41</v>
      </c>
      <c r="AC153">
        <v>79</v>
      </c>
      <c r="AD153">
        <v>132</v>
      </c>
      <c r="AE153">
        <v>0</v>
      </c>
      <c r="AF153">
        <v>50</v>
      </c>
      <c r="AG153">
        <v>6</v>
      </c>
      <c r="AH153">
        <v>1</v>
      </c>
      <c r="AI153">
        <v>3</v>
      </c>
      <c r="AJ153" t="s">
        <v>11</v>
      </c>
      <c r="AL153" t="s">
        <v>1160</v>
      </c>
      <c r="AM153" t="s">
        <v>3037</v>
      </c>
      <c r="AN153" t="s">
        <v>3038</v>
      </c>
      <c r="AO153" s="1" t="str">
        <f>HYPERLINK("http://exon.niaid.nih.gov/transcriptome/T_rubida/S1/links/SWISSP/Triru-contig_378-SWISSP.txt","Elongation of very long chain fatty acids protein 7")</f>
        <v>Elongation of very long chain fatty acids protein 7</v>
      </c>
      <c r="AP153" t="str">
        <f>HYPERLINK("http://www.uniprot.org/uniprot/A1L3X0","2E-035")</f>
        <v>2E-035</v>
      </c>
      <c r="AQ153" t="s">
        <v>3039</v>
      </c>
      <c r="AR153">
        <v>149</v>
      </c>
      <c r="AS153">
        <v>219</v>
      </c>
      <c r="AT153">
        <v>36</v>
      </c>
      <c r="AU153">
        <v>78</v>
      </c>
      <c r="AV153">
        <v>148</v>
      </c>
      <c r="AW153">
        <v>8</v>
      </c>
      <c r="AX153">
        <v>44</v>
      </c>
      <c r="AY153">
        <v>6</v>
      </c>
      <c r="AZ153">
        <v>1</v>
      </c>
      <c r="BA153">
        <v>3</v>
      </c>
      <c r="BB153" t="s">
        <v>11</v>
      </c>
      <c r="BD153" t="s">
        <v>704</v>
      </c>
      <c r="BE153" t="s">
        <v>1233</v>
      </c>
      <c r="BF153" t="s">
        <v>3040</v>
      </c>
      <c r="BG153" t="s">
        <v>3041</v>
      </c>
      <c r="BH153" s="1" t="s">
        <v>3042</v>
      </c>
      <c r="BI153">
        <f>HYPERLINK("http://exon.niaid.nih.gov/transcriptome/T_rubida/S1/links/GO/Triru-contig_378-GO.txt",6E-40)</f>
        <v>6.0000000000000004E-40</v>
      </c>
      <c r="BJ153" s="1" t="str">
        <f>HYPERLINK("http://exon.niaid.nih.gov/transcriptome/T_rubida/S1/links/CDD/Triru-contig_378-CDD.txt","ELO")</f>
        <v>ELO</v>
      </c>
      <c r="BK153" t="str">
        <f>HYPERLINK("http://www.ncbi.nlm.nih.gov/Structure/cdd/cddsrv.cgi?uid=pfam01151&amp;version=v4.0","5E-060")</f>
        <v>5E-060</v>
      </c>
      <c r="BL153" t="s">
        <v>3043</v>
      </c>
      <c r="BM153" s="1" t="str">
        <f>HYPERLINK("http://exon.niaid.nih.gov/transcriptome/T_rubida/S1/links/KOG/Triru-contig_378-KOG.txt","Fatty acyl-CoA elongase/Polyunsaturated fatty acid specific elongation enzyme")</f>
        <v>Fatty acyl-CoA elongase/Polyunsaturated fatty acid specific elongation enzyme</v>
      </c>
      <c r="BN153" t="str">
        <f>HYPERLINK("http://www.ncbi.nlm.nih.gov/COG/grace/shokog.cgi?KOG3071","4E-053")</f>
        <v>4E-053</v>
      </c>
      <c r="BO153" t="s">
        <v>709</v>
      </c>
      <c r="BP153" s="1" t="str">
        <f>HYPERLINK("http://exon.niaid.nih.gov/transcriptome/T_rubida/S1/links/PFAM/Triru-contig_378-PFAM.txt","ELO")</f>
        <v>ELO</v>
      </c>
      <c r="BQ153" t="str">
        <f>HYPERLINK("http://pfam.sanger.ac.uk/family?acc=PF01151","9E-061")</f>
        <v>9E-061</v>
      </c>
      <c r="BR153" s="1" t="str">
        <f>HYPERLINK("http://exon.niaid.nih.gov/transcriptome/T_rubida/S1/links/SMART/Triru-contig_378-SMART.txt","TLC")</f>
        <v>TLC</v>
      </c>
      <c r="BS153" t="str">
        <f>HYPERLINK("http://smart.embl-heidelberg.de/smart/do_annotation.pl?DOMAIN=TLC&amp;BLAST=DUMMY","0.035")</f>
        <v>0.035</v>
      </c>
      <c r="BT153" s="1" t="str">
        <f>HYPERLINK("http://exon.niaid.nih.gov/transcriptome/T_rubida/S1/links/PRK/Triru-contig_378-PRK.txt","fatty acid elongase")</f>
        <v>fatty acid elongase</v>
      </c>
      <c r="BU153" s="2">
        <v>5.9999999999999997E-13</v>
      </c>
      <c r="BV153" s="1" t="s">
        <v>57</v>
      </c>
      <c r="BW153" t="s">
        <v>57</v>
      </c>
      <c r="BX153" s="1" t="s">
        <v>57</v>
      </c>
      <c r="BY153" t="s">
        <v>57</v>
      </c>
    </row>
    <row r="154" spans="1:77" s="3" customFormat="1">
      <c r="A154" s="13" t="s">
        <v>5040</v>
      </c>
      <c r="T154" s="22"/>
    </row>
    <row r="155" spans="1:77">
      <c r="A155" t="str">
        <f>HYPERLINK("http://exon.niaid.nih.gov/transcriptome/T_rubida/S1/links/Triru/Triru-contig_441.txt","Triru-contig_441")</f>
        <v>Triru-contig_441</v>
      </c>
      <c r="B155">
        <v>1</v>
      </c>
      <c r="C155" t="str">
        <f>HYPERLINK("http://exon.niaid.nih.gov/transcriptome/T_rubida/S1/links/Triru/Triru-5-48-asb-441.txt","Contig-441")</f>
        <v>Contig-441</v>
      </c>
      <c r="D155" t="str">
        <f>HYPERLINK("http://exon.niaid.nih.gov/transcriptome/T_rubida/S1/links/Triru/Triru-5-48-441-CLU.txt","Contig441")</f>
        <v>Contig441</v>
      </c>
      <c r="E155" t="str">
        <f>HYPERLINK("http://exon.niaid.nih.gov/transcriptome/T_rubida/S1/links/Triru/Triru-5-48-441-qual.txt","64.5")</f>
        <v>64.5</v>
      </c>
      <c r="F155" t="s">
        <v>10</v>
      </c>
      <c r="G155">
        <v>65.599999999999994</v>
      </c>
      <c r="H155">
        <v>585</v>
      </c>
      <c r="I155" t="s">
        <v>453</v>
      </c>
      <c r="J155">
        <v>585</v>
      </c>
      <c r="K155">
        <v>604</v>
      </c>
      <c r="L155">
        <v>561</v>
      </c>
      <c r="M155" t="s">
        <v>5184</v>
      </c>
      <c r="N155" s="15">
        <v>2</v>
      </c>
      <c r="O155" s="14" t="str">
        <f>HYPERLINK("http://exon.niaid.nih.gov/transcriptome/T_rubida/S1/links/Sigp/TRIRU-CONTIG_441-SigP.txt","Cyt")</f>
        <v>Cyt</v>
      </c>
      <c r="Q155" s="5" t="s">
        <v>4968</v>
      </c>
      <c r="R155" t="s">
        <v>4969</v>
      </c>
      <c r="S155" t="str">
        <f>HYPERLINK("http://exon.niaid.nih.gov/transcriptome/T_rubida/S1/links/KOG/Triru-contig_441-KOG.txt","KOG")</f>
        <v>KOG</v>
      </c>
      <c r="T155" s="23">
        <v>8.0000000000000002E-46</v>
      </c>
      <c r="U155">
        <v>41.4</v>
      </c>
      <c r="V155" s="1" t="str">
        <f>HYPERLINK("http://exon.niaid.nih.gov/transcriptome/T_rubida/S1/links/NR/Triru-contig_441-NR.txt","guanine deaminase-like isoform 1")</f>
        <v>guanine deaminase-like isoform 1</v>
      </c>
      <c r="W155" t="str">
        <f>HYPERLINK("http://www.ncbi.nlm.nih.gov/sutils/blink.cgi?pid=340710988","8E-049")</f>
        <v>8E-049</v>
      </c>
      <c r="X155" t="str">
        <f>HYPERLINK("http://www.ncbi.nlm.nih.gov/protein/340710988","gi|340710988")</f>
        <v>gi|340710988</v>
      </c>
      <c r="Y155">
        <v>197</v>
      </c>
      <c r="Z155">
        <v>176</v>
      </c>
      <c r="AA155">
        <v>440</v>
      </c>
      <c r="AB155">
        <v>55</v>
      </c>
      <c r="AC155">
        <v>40</v>
      </c>
      <c r="AD155">
        <v>79</v>
      </c>
      <c r="AE155">
        <v>0</v>
      </c>
      <c r="AF155">
        <v>260</v>
      </c>
      <c r="AG155">
        <v>8</v>
      </c>
      <c r="AH155">
        <v>1</v>
      </c>
      <c r="AI155">
        <v>2</v>
      </c>
      <c r="AJ155" t="s">
        <v>11</v>
      </c>
      <c r="AL155" t="s">
        <v>1360</v>
      </c>
      <c r="AM155" t="s">
        <v>3462</v>
      </c>
      <c r="AN155" t="s">
        <v>3463</v>
      </c>
      <c r="AO155" s="1" t="str">
        <f>HYPERLINK("http://exon.niaid.nih.gov/transcriptome/T_rubida/S1/links/SWISSP/Triru-contig_441-SWISSP.txt","Guanine deaminase")</f>
        <v>Guanine deaminase</v>
      </c>
      <c r="AP155" t="str">
        <f>HYPERLINK("http://www.uniprot.org/uniprot/Q86AW9","7E-040")</f>
        <v>7E-040</v>
      </c>
      <c r="AQ155" t="s">
        <v>3464</v>
      </c>
      <c r="AR155">
        <v>163</v>
      </c>
      <c r="AS155">
        <v>179</v>
      </c>
      <c r="AT155">
        <v>43</v>
      </c>
      <c r="AU155">
        <v>40</v>
      </c>
      <c r="AV155">
        <v>101</v>
      </c>
      <c r="AW155">
        <v>0</v>
      </c>
      <c r="AX155">
        <v>269</v>
      </c>
      <c r="AY155">
        <v>8</v>
      </c>
      <c r="AZ155">
        <v>1</v>
      </c>
      <c r="BA155">
        <v>2</v>
      </c>
      <c r="BB155" t="s">
        <v>11</v>
      </c>
      <c r="BD155" t="s">
        <v>704</v>
      </c>
      <c r="BE155" t="s">
        <v>918</v>
      </c>
      <c r="BF155" t="s">
        <v>3465</v>
      </c>
      <c r="BG155" t="s">
        <v>3466</v>
      </c>
      <c r="BH155" s="1" t="s">
        <v>3467</v>
      </c>
      <c r="BI155">
        <f>HYPERLINK("http://exon.niaid.nih.gov/transcriptome/T_rubida/S1/links/GO/Triru-contig_441-GO.txt",2E-42)</f>
        <v>2.0000000000000001E-42</v>
      </c>
      <c r="BJ155" s="1" t="str">
        <f>HYPERLINK("http://exon.niaid.nih.gov/transcriptome/T_rubida/S1/links/CDD/Triru-contig_441-CDD.txt","GDEase")</f>
        <v>GDEase</v>
      </c>
      <c r="BK155" t="str">
        <f>HYPERLINK("http://www.ncbi.nlm.nih.gov/Structure/cdd/cddsrv.cgi?uid=cd01303&amp;version=v4.0","5E-056")</f>
        <v>5E-056</v>
      </c>
      <c r="BL155" t="s">
        <v>3468</v>
      </c>
      <c r="BM155" s="1" t="str">
        <f>HYPERLINK("http://exon.niaid.nih.gov/transcriptome/T_rubida/S1/links/KOG/Triru-contig_441-KOG.txt","Atrazine chlorohydrolase/guanine deaminase")</f>
        <v>Atrazine chlorohydrolase/guanine deaminase</v>
      </c>
      <c r="BN155" t="str">
        <f>HYPERLINK("http://www.ncbi.nlm.nih.gov/COG/grace/shokog.cgi?KOG3968","8E-046")</f>
        <v>8E-046</v>
      </c>
      <c r="BO155" t="s">
        <v>3469</v>
      </c>
      <c r="BP155" s="1" t="str">
        <f>HYPERLINK("http://exon.niaid.nih.gov/transcriptome/T_rubida/S1/links/PFAM/Triru-contig_441-PFAM.txt","Amidohydro_1")</f>
        <v>Amidohydro_1</v>
      </c>
      <c r="BQ155" t="str">
        <f>HYPERLINK("http://pfam.sanger.ac.uk/family?acc=PF01979","9E-013")</f>
        <v>9E-013</v>
      </c>
      <c r="BR155" s="1" t="str">
        <f>HYPERLINK("http://exon.niaid.nih.gov/transcriptome/T_rubida/S1/links/SMART/Triru-contig_441-SMART.txt","Mad3_BUB1_I")</f>
        <v>Mad3_BUB1_I</v>
      </c>
      <c r="BS155" t="str">
        <f>HYPERLINK("http://smart.embl-heidelberg.de/smart/do_annotation.pl?DOMAIN=Mad3_BUB1_I&amp;BLAST=DUMMY","0.20")</f>
        <v>0.20</v>
      </c>
      <c r="BT155" s="1" t="str">
        <f>HYPERLINK("http://exon.niaid.nih.gov/transcriptome/T_rubida/S1/links/PRK/Triru-contig_441-PRK.txt","guanine deaminase")</f>
        <v>guanine deaminase</v>
      </c>
      <c r="BU155" s="2">
        <v>1.9999999999999999E-38</v>
      </c>
      <c r="BV155" s="1" t="s">
        <v>57</v>
      </c>
      <c r="BW155" t="s">
        <v>57</v>
      </c>
      <c r="BX155" s="1" t="s">
        <v>57</v>
      </c>
      <c r="BY155" t="s">
        <v>57</v>
      </c>
    </row>
    <row r="156" spans="1:77">
      <c r="A156" t="str">
        <f>HYPERLINK("http://exon.niaid.nih.gov/transcriptome/T_rubida/S1/links/Triru/Triru-contig_473.txt","Triru-contig_473")</f>
        <v>Triru-contig_473</v>
      </c>
      <c r="B156">
        <v>1</v>
      </c>
      <c r="C156" t="str">
        <f>HYPERLINK("http://exon.niaid.nih.gov/transcriptome/T_rubida/S1/links/Triru/Triru-5-48-asb-473.txt","Contig-473")</f>
        <v>Contig-473</v>
      </c>
      <c r="D156" t="str">
        <f>HYPERLINK("http://exon.niaid.nih.gov/transcriptome/T_rubida/S1/links/Triru/Triru-5-48-473-CLU.txt","Contig473")</f>
        <v>Contig473</v>
      </c>
      <c r="E156" t="str">
        <f>HYPERLINK("http://exon.niaid.nih.gov/transcriptome/T_rubida/S1/links/Triru/Triru-5-48-473-qual.txt","63.8")</f>
        <v>63.8</v>
      </c>
      <c r="F156" t="s">
        <v>10</v>
      </c>
      <c r="G156">
        <v>67.8</v>
      </c>
      <c r="H156">
        <v>409</v>
      </c>
      <c r="I156" t="s">
        <v>485</v>
      </c>
      <c r="J156">
        <v>409</v>
      </c>
      <c r="K156">
        <v>428</v>
      </c>
      <c r="L156">
        <v>255</v>
      </c>
      <c r="M156" t="s">
        <v>5185</v>
      </c>
      <c r="N156" s="15">
        <v>3</v>
      </c>
      <c r="O156" s="14" t="str">
        <f>HYPERLINK("http://exon.niaid.nih.gov/transcriptome/T_rubida/S1/links/Sigp/TRIRU-CONTIG_473-SigP.txt","Cyt")</f>
        <v>Cyt</v>
      </c>
      <c r="Q156" s="5" t="s">
        <v>4980</v>
      </c>
      <c r="R156" t="s">
        <v>4969</v>
      </c>
      <c r="S156" t="str">
        <f>HYPERLINK("http://exon.niaid.nih.gov/transcriptome/T_rubida/S1/links/KOG/Triru-contig_473-KOG.txt","KOG")</f>
        <v>KOG</v>
      </c>
      <c r="T156" s="23">
        <v>9.9999999999999998E-17</v>
      </c>
      <c r="U156">
        <v>21.2</v>
      </c>
      <c r="V156" s="1" t="str">
        <f>HYPERLINK("http://exon.niaid.nih.gov/transcriptome/T_rubida/S1/links/NR/Triru-contig_473-NR.txt","conserved hypothetical protein")</f>
        <v>conserved hypothetical protein</v>
      </c>
      <c r="W156" t="str">
        <f>HYPERLINK("http://www.ncbi.nlm.nih.gov/sutils/blink.cgi?pid=170070405","4E-019")</f>
        <v>4E-019</v>
      </c>
      <c r="X156" t="str">
        <f>HYPERLINK("http://www.ncbi.nlm.nih.gov/protein/170070405","gi|170070405")</f>
        <v>gi|170070405</v>
      </c>
      <c r="Y156">
        <v>98.2</v>
      </c>
      <c r="Z156">
        <v>74</v>
      </c>
      <c r="AA156">
        <v>296</v>
      </c>
      <c r="AB156">
        <v>56</v>
      </c>
      <c r="AC156">
        <v>25</v>
      </c>
      <c r="AD156">
        <v>33</v>
      </c>
      <c r="AE156">
        <v>0</v>
      </c>
      <c r="AF156">
        <v>219</v>
      </c>
      <c r="AG156">
        <v>12</v>
      </c>
      <c r="AH156">
        <v>1</v>
      </c>
      <c r="AI156">
        <v>3</v>
      </c>
      <c r="AJ156" t="s">
        <v>11</v>
      </c>
      <c r="AL156" t="s">
        <v>3676</v>
      </c>
      <c r="AM156" t="s">
        <v>3677</v>
      </c>
      <c r="AN156" t="s">
        <v>3678</v>
      </c>
      <c r="AO156" s="1" t="str">
        <f>HYPERLINK("http://exon.niaid.nih.gov/transcriptome/T_rubida/S1/links/SWISSP/Triru-contig_473-SWISSP.txt","Epimerase family protein SDR39U1")</f>
        <v>Epimerase family protein SDR39U1</v>
      </c>
      <c r="AP156" t="str">
        <f>HYPERLINK("http://www.uniprot.org/uniprot/Q5M8N4","8E-009")</f>
        <v>8E-009</v>
      </c>
      <c r="AQ156" t="s">
        <v>3679</v>
      </c>
      <c r="AR156">
        <v>59.3</v>
      </c>
      <c r="AS156">
        <v>75</v>
      </c>
      <c r="AT156">
        <v>42</v>
      </c>
      <c r="AU156">
        <v>25</v>
      </c>
      <c r="AV156">
        <v>44</v>
      </c>
      <c r="AW156">
        <v>3</v>
      </c>
      <c r="AX156">
        <v>225</v>
      </c>
      <c r="AY156">
        <v>21</v>
      </c>
      <c r="AZ156">
        <v>1</v>
      </c>
      <c r="BA156">
        <v>3</v>
      </c>
      <c r="BB156" t="s">
        <v>11</v>
      </c>
      <c r="BD156" t="s">
        <v>704</v>
      </c>
      <c r="BE156" t="s">
        <v>807</v>
      </c>
      <c r="BF156" t="s">
        <v>3680</v>
      </c>
      <c r="BG156" t="s">
        <v>3681</v>
      </c>
      <c r="BH156" s="1" t="s">
        <v>3682</v>
      </c>
      <c r="BI156">
        <f>HYPERLINK("http://exon.niaid.nih.gov/transcriptome/T_rubida/S1/links/GO/Triru-contig_473-GO.txt",0.0000000000004)</f>
        <v>4.0000000000000001E-13</v>
      </c>
      <c r="BJ156" s="1" t="str">
        <f>HYPERLINK("http://exon.niaid.nih.gov/transcriptome/T_rubida/S1/links/CDD/Triru-contig_473-CDD.txt","SDR_a8")</f>
        <v>SDR_a8</v>
      </c>
      <c r="BK156" t="str">
        <f>HYPERLINK("http://www.ncbi.nlm.nih.gov/Structure/cdd/cddsrv.cgi?uid=cd05242&amp;version=v4.0","1E-018")</f>
        <v>1E-018</v>
      </c>
      <c r="BL156" t="s">
        <v>3683</v>
      </c>
      <c r="BM156" s="1" t="str">
        <f>HYPERLINK("http://exon.niaid.nih.gov/transcriptome/T_rubida/S1/links/KOG/Triru-contig_473-KOG.txt","Predicted nucleoside-diphosphate sugar epimerase")</f>
        <v>Predicted nucleoside-diphosphate sugar epimerase</v>
      </c>
      <c r="BN156" t="str">
        <f>HYPERLINK("http://www.ncbi.nlm.nih.gov/COG/grace/shokog.cgi?KOG3019","1E-016")</f>
        <v>1E-016</v>
      </c>
      <c r="BO156" t="s">
        <v>2867</v>
      </c>
      <c r="BP156" s="1" t="str">
        <f>HYPERLINK("http://exon.niaid.nih.gov/transcriptome/T_rubida/S1/links/PFAM/Triru-contig_473-PFAM.txt","DUF1731")</f>
        <v>DUF1731</v>
      </c>
      <c r="BQ156" t="str">
        <f>HYPERLINK("http://pfam.sanger.ac.uk/family?acc=PF08338","4E-010")</f>
        <v>4E-010</v>
      </c>
      <c r="BR156" s="1" t="str">
        <f>HYPERLINK("http://exon.niaid.nih.gov/transcriptome/T_rubida/S1/links/SMART/Triru-contig_473-SMART.txt","EFG_C")</f>
        <v>EFG_C</v>
      </c>
      <c r="BS156" t="str">
        <f>HYPERLINK("http://smart.embl-heidelberg.de/smart/do_annotation.pl?DOMAIN=EFG_C&amp;BLAST=DUMMY","0.21")</f>
        <v>0.21</v>
      </c>
      <c r="BT156" s="1" t="str">
        <f>HYPERLINK("http://exon.niaid.nih.gov/transcriptome/T_rubida/S1/links/PRK/Triru-contig_473-PRK.txt","keto-hydroxyglutarate-aldolase/keto-deoxy- phosphogluconate aldolase")</f>
        <v>keto-hydroxyglutarate-aldolase/keto-deoxy- phosphogluconate aldolase</v>
      </c>
      <c r="BU156">
        <v>0.46</v>
      </c>
      <c r="BV156" s="1" t="s">
        <v>57</v>
      </c>
      <c r="BW156" t="s">
        <v>57</v>
      </c>
      <c r="BX156" s="1" t="s">
        <v>57</v>
      </c>
      <c r="BY156" t="s">
        <v>57</v>
      </c>
    </row>
    <row r="157" spans="1:77" s="3" customFormat="1">
      <c r="A157" s="13" t="s">
        <v>5041</v>
      </c>
      <c r="T157" s="22"/>
    </row>
    <row r="158" spans="1:77">
      <c r="A158" t="str">
        <f>HYPERLINK("http://exon.niaid.nih.gov/transcriptome/T_rubida/S1/links/Triru/Triru-contig_361.txt","Triru-contig_361")</f>
        <v>Triru-contig_361</v>
      </c>
      <c r="B158">
        <v>1</v>
      </c>
      <c r="C158" t="str">
        <f>HYPERLINK("http://exon.niaid.nih.gov/transcriptome/T_rubida/S1/links/Triru/Triru-5-48-asb-361.txt","Contig-361")</f>
        <v>Contig-361</v>
      </c>
      <c r="D158" t="str">
        <f>HYPERLINK("http://exon.niaid.nih.gov/transcriptome/T_rubida/S1/links/Triru/Triru-5-48-361-CLU.txt","Contig361")</f>
        <v>Contig361</v>
      </c>
      <c r="E158" t="str">
        <f>HYPERLINK("http://exon.niaid.nih.gov/transcriptome/T_rubida/S1/links/Triru/Triru-5-48-361-qual.txt","64.8")</f>
        <v>64.8</v>
      </c>
      <c r="F158" t="s">
        <v>10</v>
      </c>
      <c r="G158">
        <v>70.400000000000006</v>
      </c>
      <c r="H158">
        <v>339</v>
      </c>
      <c r="I158" t="s">
        <v>373</v>
      </c>
      <c r="J158">
        <v>339</v>
      </c>
      <c r="K158">
        <v>358</v>
      </c>
      <c r="L158">
        <v>288</v>
      </c>
      <c r="M158" t="s">
        <v>5186</v>
      </c>
      <c r="N158" s="15">
        <v>3</v>
      </c>
      <c r="O158" s="14" t="str">
        <f>HYPERLINK("http://exon.niaid.nih.gov/transcriptome/T_rubida/S1/links/Sigp/TRIRU-CONTIG_361-SigP.txt","Cyt")</f>
        <v>Cyt</v>
      </c>
      <c r="Q158" s="5" t="s">
        <v>4943</v>
      </c>
      <c r="R158" t="s">
        <v>4944</v>
      </c>
      <c r="S158" t="str">
        <f>HYPERLINK("http://exon.niaid.nih.gov/transcriptome/T_rubida/S1/links/KOG/Triru-contig_361-KOG.txt","KOG")</f>
        <v>KOG</v>
      </c>
      <c r="T158" s="23">
        <v>6.9999999999999999E-35</v>
      </c>
      <c r="U158">
        <v>42.1</v>
      </c>
      <c r="V158" s="1" t="str">
        <f>HYPERLINK("http://exon.niaid.nih.gov/transcriptome/T_rubida/S1/links/NR/Triru-contig_361-NR.txt","hypothetical protein SINV_02581")</f>
        <v>hypothetical protein SINV_02581</v>
      </c>
      <c r="W158" t="str">
        <f>HYPERLINK("http://www.ncbi.nlm.nih.gov/sutils/blink.cgi?pid=322794495","9E-037")</f>
        <v>9E-037</v>
      </c>
      <c r="X158" t="str">
        <f>HYPERLINK("http://www.ncbi.nlm.nih.gov/protein/322794495","gi|322794495")</f>
        <v>gi|322794495</v>
      </c>
      <c r="Y158">
        <v>156</v>
      </c>
      <c r="Z158">
        <v>94</v>
      </c>
      <c r="AA158">
        <v>232</v>
      </c>
      <c r="AB158">
        <v>76</v>
      </c>
      <c r="AC158">
        <v>41</v>
      </c>
      <c r="AD158">
        <v>22</v>
      </c>
      <c r="AE158">
        <v>0</v>
      </c>
      <c r="AF158">
        <v>138</v>
      </c>
      <c r="AG158">
        <v>6</v>
      </c>
      <c r="AH158">
        <v>1</v>
      </c>
      <c r="AI158">
        <v>3</v>
      </c>
      <c r="AJ158" t="s">
        <v>11</v>
      </c>
      <c r="AL158" t="s">
        <v>1144</v>
      </c>
      <c r="AM158" t="s">
        <v>2917</v>
      </c>
      <c r="AN158" t="s">
        <v>2918</v>
      </c>
      <c r="AO158" s="1" t="str">
        <f>HYPERLINK("http://exon.niaid.nih.gov/transcriptome/T_rubida/S1/links/SWISSP/Triru-contig_361-SWISSP.txt","Pre-mRNA-splicing factor syf2")</f>
        <v>Pre-mRNA-splicing factor syf2</v>
      </c>
      <c r="AP158" t="str">
        <f>HYPERLINK("http://www.uniprot.org/uniprot/Q6DV01","2E-034")</f>
        <v>2E-034</v>
      </c>
      <c r="AQ158" t="s">
        <v>2919</v>
      </c>
      <c r="AR158">
        <v>144</v>
      </c>
      <c r="AS158">
        <v>94</v>
      </c>
      <c r="AT158">
        <v>73</v>
      </c>
      <c r="AU158">
        <v>38</v>
      </c>
      <c r="AV158">
        <v>25</v>
      </c>
      <c r="AW158">
        <v>0</v>
      </c>
      <c r="AX158">
        <v>155</v>
      </c>
      <c r="AY158">
        <v>6</v>
      </c>
      <c r="AZ158">
        <v>1</v>
      </c>
      <c r="BA158">
        <v>3</v>
      </c>
      <c r="BB158" t="s">
        <v>11</v>
      </c>
      <c r="BD158" t="s">
        <v>704</v>
      </c>
      <c r="BE158" t="s">
        <v>2920</v>
      </c>
      <c r="BF158" t="s">
        <v>2921</v>
      </c>
      <c r="BG158" t="s">
        <v>2922</v>
      </c>
      <c r="BH158" s="1" t="s">
        <v>2923</v>
      </c>
      <c r="BI158">
        <f>HYPERLINK("http://exon.niaid.nih.gov/transcriptome/T_rubida/S1/links/GO/Triru-contig_361-GO.txt",2E-34)</f>
        <v>1.9999999999999999E-34</v>
      </c>
      <c r="BJ158" s="1" t="str">
        <f>HYPERLINK("http://exon.niaid.nih.gov/transcriptome/T_rubida/S1/links/CDD/Triru-contig_361-CDD.txt","SYF2")</f>
        <v>SYF2</v>
      </c>
      <c r="BK158" t="str">
        <f>HYPERLINK("http://www.ncbi.nlm.nih.gov/Structure/cdd/cddsrv.cgi?uid=pfam08231&amp;version=v4.0","5E-037")</f>
        <v>5E-037</v>
      </c>
      <c r="BL158" t="s">
        <v>2924</v>
      </c>
      <c r="BM158" s="1" t="str">
        <f>HYPERLINK("http://exon.niaid.nih.gov/transcriptome/T_rubida/S1/links/KOG/Triru-contig_361-KOG.txt","Cyclin D-interacting protein GCIP")</f>
        <v>Cyclin D-interacting protein GCIP</v>
      </c>
      <c r="BN158" t="str">
        <f>HYPERLINK("http://www.ncbi.nlm.nih.gov/COG/grace/shokog.cgi?KOG2609","7E-035")</f>
        <v>7E-035</v>
      </c>
      <c r="BO158" t="s">
        <v>2925</v>
      </c>
      <c r="BP158" s="1" t="str">
        <f>HYPERLINK("http://exon.niaid.nih.gov/transcriptome/T_rubida/S1/links/PFAM/Triru-contig_361-PFAM.txt","SYF2")</f>
        <v>SYF2</v>
      </c>
      <c r="BQ158" t="str">
        <f>HYPERLINK("http://pfam.sanger.ac.uk/family?acc=PF08231","1E-037")</f>
        <v>1E-037</v>
      </c>
      <c r="BR158" s="1" t="str">
        <f>HYPERLINK("http://exon.niaid.nih.gov/transcriptome/T_rubida/S1/links/SMART/Triru-contig_361-SMART.txt","HTTM")</f>
        <v>HTTM</v>
      </c>
      <c r="BS158" t="str">
        <f>HYPERLINK("http://smart.embl-heidelberg.de/smart/do_annotation.pl?DOMAIN=HTTM&amp;BLAST=DUMMY","0.007")</f>
        <v>0.007</v>
      </c>
      <c r="BT158" s="1" t="str">
        <f>HYPERLINK("http://exon.niaid.nih.gov/transcriptome/T_rubida/S1/links/PRK/Triru-contig_361-PRK.txt","p28-like protein")</f>
        <v>p28-like protein</v>
      </c>
      <c r="BU158">
        <v>3.5999999999999997E-2</v>
      </c>
      <c r="BV158" s="1" t="s">
        <v>57</v>
      </c>
      <c r="BW158" t="s">
        <v>57</v>
      </c>
      <c r="BX158" s="1" t="s">
        <v>57</v>
      </c>
      <c r="BY158" t="s">
        <v>57</v>
      </c>
    </row>
    <row r="159" spans="1:77" s="3" customFormat="1">
      <c r="A159" s="13" t="s">
        <v>5042</v>
      </c>
      <c r="T159" s="22"/>
    </row>
    <row r="160" spans="1:77">
      <c r="A160" t="str">
        <f>HYPERLINK("http://exon.niaid.nih.gov/transcriptome/T_rubida/S1/links/Triru/Triru-contig_135.txt","Triru-contig_135")</f>
        <v>Triru-contig_135</v>
      </c>
      <c r="B160">
        <v>2</v>
      </c>
      <c r="C160" t="str">
        <f>HYPERLINK("http://exon.niaid.nih.gov/transcriptome/T_rubida/S1/links/Triru/Triru-5-48-asb-135.txt","Contig-135")</f>
        <v>Contig-135</v>
      </c>
      <c r="D160" t="str">
        <f>HYPERLINK("http://exon.niaid.nih.gov/transcriptome/T_rubida/S1/links/Triru/Triru-5-48-135-CLU.txt","Contig135")</f>
        <v>Contig135</v>
      </c>
      <c r="E160" t="str">
        <f>HYPERLINK("http://exon.niaid.nih.gov/transcriptome/T_rubida/S1/links/Triru/Triru-5-48-135-qual.txt","87.9")</f>
        <v>87.9</v>
      </c>
      <c r="F160" t="s">
        <v>10</v>
      </c>
      <c r="G160">
        <v>65</v>
      </c>
      <c r="H160">
        <v>350</v>
      </c>
      <c r="I160" t="s">
        <v>147</v>
      </c>
      <c r="J160">
        <v>350</v>
      </c>
      <c r="K160">
        <v>369</v>
      </c>
      <c r="L160">
        <v>207</v>
      </c>
      <c r="M160" t="s">
        <v>5187</v>
      </c>
      <c r="N160" s="15">
        <v>2</v>
      </c>
      <c r="O160" s="14" t="str">
        <f>HYPERLINK("http://exon.niaid.nih.gov/transcriptome/T_rubida/S1/links/Sigp/TRIRU-CONTIG_135-SigP.txt","Anch")</f>
        <v>Anch</v>
      </c>
      <c r="Q160" s="5" t="s">
        <v>4878</v>
      </c>
      <c r="R160" t="s">
        <v>4881</v>
      </c>
      <c r="S160" t="str">
        <f>HYPERLINK("http://exon.niaid.nih.gov/transcriptome/T_rubida/S1/links/GO/Triru-contig_135-GO.txt","GO")</f>
        <v>GO</v>
      </c>
      <c r="T160" s="23">
        <v>6.0000000000000001E-23</v>
      </c>
      <c r="U160">
        <v>65</v>
      </c>
      <c r="V160" s="1" t="str">
        <f>HYPERLINK("http://exon.niaid.nih.gov/transcriptome/T_rubida/S1/links/NR/Triru-contig_135-NR.txt","Sec61 protein translocation complex beta subunit")</f>
        <v>Sec61 protein translocation complex beta subunit</v>
      </c>
      <c r="W160" t="str">
        <f>HYPERLINK("http://www.ncbi.nlm.nih.gov/sutils/blink.cgi?pid=149898803","2E-027")</f>
        <v>2E-027</v>
      </c>
      <c r="X160" t="str">
        <f>HYPERLINK("http://www.ncbi.nlm.nih.gov/protein/149898803","gi|149898803")</f>
        <v>gi|149898803</v>
      </c>
      <c r="Y160">
        <v>123</v>
      </c>
      <c r="Z160">
        <v>68</v>
      </c>
      <c r="AA160">
        <v>96</v>
      </c>
      <c r="AB160">
        <v>93</v>
      </c>
      <c r="AC160">
        <v>72</v>
      </c>
      <c r="AD160">
        <v>4</v>
      </c>
      <c r="AE160">
        <v>0</v>
      </c>
      <c r="AF160">
        <v>28</v>
      </c>
      <c r="AG160">
        <v>3</v>
      </c>
      <c r="AH160">
        <v>2</v>
      </c>
      <c r="AI160">
        <v>2</v>
      </c>
      <c r="AJ160" t="s">
        <v>888</v>
      </c>
      <c r="AL160" t="s">
        <v>1067</v>
      </c>
      <c r="AM160" t="s">
        <v>1505</v>
      </c>
      <c r="AN160" t="s">
        <v>1506</v>
      </c>
      <c r="AO160" s="1" t="str">
        <f>HYPERLINK("http://exon.niaid.nih.gov/transcriptome/T_rubida/S1/links/SWISSP/Triru-contig_135-SWISSP.txt","Protein transport protein Sec61 subunit beta")</f>
        <v>Protein transport protein Sec61 subunit beta</v>
      </c>
      <c r="AP160" t="str">
        <f>HYPERLINK("http://www.uniprot.org/uniprot/Q5RB31","2E-022")</f>
        <v>2E-022</v>
      </c>
      <c r="AQ160" t="s">
        <v>1507</v>
      </c>
      <c r="AR160">
        <v>104</v>
      </c>
      <c r="AS160">
        <v>63</v>
      </c>
      <c r="AT160">
        <v>75</v>
      </c>
      <c r="AU160">
        <v>67</v>
      </c>
      <c r="AV160">
        <v>16</v>
      </c>
      <c r="AW160">
        <v>0</v>
      </c>
      <c r="AX160">
        <v>33</v>
      </c>
      <c r="AY160">
        <v>17</v>
      </c>
      <c r="AZ160">
        <v>1</v>
      </c>
      <c r="BA160">
        <v>2</v>
      </c>
      <c r="BB160" t="s">
        <v>11</v>
      </c>
      <c r="BD160" t="s">
        <v>704</v>
      </c>
      <c r="BE160" t="s">
        <v>1508</v>
      </c>
      <c r="BF160" t="s">
        <v>1509</v>
      </c>
      <c r="BG160" t="s">
        <v>1510</v>
      </c>
      <c r="BH160" s="1" t="s">
        <v>1511</v>
      </c>
      <c r="BI160">
        <f>HYPERLINK("http://exon.niaid.nih.gov/transcriptome/T_rubida/S1/links/GO/Triru-contig_135-GO.txt",6E-23)</f>
        <v>6.0000000000000001E-23</v>
      </c>
      <c r="BJ160" s="1" t="str">
        <f>HYPERLINK("http://exon.niaid.nih.gov/transcriptome/T_rubida/S1/links/CDD/Triru-contig_135-CDD.txt","Sec61_beta")</f>
        <v>Sec61_beta</v>
      </c>
      <c r="BK160" t="str">
        <f>HYPERLINK("http://www.ncbi.nlm.nih.gov/Structure/cdd/cddsrv.cgi?uid=pfam03911&amp;version=v4.0","2E-015")</f>
        <v>2E-015</v>
      </c>
      <c r="BL160" t="s">
        <v>1512</v>
      </c>
      <c r="BM160" s="1" t="str">
        <f>HYPERLINK("http://exon.niaid.nih.gov/transcriptome/T_rubida/S1/links/KOG/Triru-contig_135-KOG.txt","Sec61 protein translocation complex, beta subunit")</f>
        <v>Sec61 protein translocation complex, beta subunit</v>
      </c>
      <c r="BN160" t="str">
        <f>HYPERLINK("http://www.ncbi.nlm.nih.gov/COG/grace/shokog.cgi?KOG3457","7E-023")</f>
        <v>7E-023</v>
      </c>
      <c r="BO160" t="s">
        <v>954</v>
      </c>
      <c r="BP160" s="1" t="str">
        <f>HYPERLINK("http://exon.niaid.nih.gov/transcriptome/T_rubida/S1/links/PFAM/Triru-contig_135-PFAM.txt","Sec61_beta")</f>
        <v>Sec61_beta</v>
      </c>
      <c r="BQ160" t="str">
        <f>HYPERLINK("http://pfam.sanger.ac.uk/family?acc=PF03911","6E-016")</f>
        <v>6E-016</v>
      </c>
      <c r="BR160" s="1" t="str">
        <f>HYPERLINK("http://exon.niaid.nih.gov/transcriptome/T_rubida/S1/links/SMART/Triru-contig_135-SMART.txt","EPH_lbd")</f>
        <v>EPH_lbd</v>
      </c>
      <c r="BS160" t="str">
        <f>HYPERLINK("http://smart.embl-heidelberg.de/smart/do_annotation.pl?DOMAIN=EPH_lbd&amp;BLAST=DUMMY","0.006")</f>
        <v>0.006</v>
      </c>
      <c r="BT160" s="1" t="str">
        <f>HYPERLINK("http://exon.niaid.nih.gov/transcriptome/T_rubida/S1/links/PRK/Triru-contig_135-PRK.txt","preprotein translocase subunit SecG")</f>
        <v>preprotein translocase subunit SecG</v>
      </c>
      <c r="BU160" s="2">
        <v>1E-4</v>
      </c>
      <c r="BV160" s="1" t="s">
        <v>57</v>
      </c>
      <c r="BW160" t="s">
        <v>57</v>
      </c>
      <c r="BX160" s="1" t="s">
        <v>57</v>
      </c>
      <c r="BY160" t="s">
        <v>57</v>
      </c>
    </row>
    <row r="161" spans="1:77">
      <c r="A161" t="str">
        <f>HYPERLINK("http://exon.niaid.nih.gov/transcriptome/T_rubida/S1/links/Triru/Triru-contig_139.txt","Triru-contig_139")</f>
        <v>Triru-contig_139</v>
      </c>
      <c r="B161">
        <v>2</v>
      </c>
      <c r="C161" t="str">
        <f>HYPERLINK("http://exon.niaid.nih.gov/transcriptome/T_rubida/S1/links/Triru/Triru-5-48-asb-139.txt","Contig-139")</f>
        <v>Contig-139</v>
      </c>
      <c r="D161" t="str">
        <f>HYPERLINK("http://exon.niaid.nih.gov/transcriptome/T_rubida/S1/links/Triru/Triru-5-48-139-CLU.txt","Contig139")</f>
        <v>Contig139</v>
      </c>
      <c r="E161" t="str">
        <f>HYPERLINK("http://exon.niaid.nih.gov/transcriptome/T_rubida/S1/links/Triru/Triru-5-48-139-qual.txt","80.8")</f>
        <v>80.8</v>
      </c>
      <c r="F161" t="s">
        <v>10</v>
      </c>
      <c r="G161">
        <v>66.3</v>
      </c>
      <c r="H161">
        <v>150</v>
      </c>
      <c r="I161" t="s">
        <v>151</v>
      </c>
      <c r="J161">
        <v>150</v>
      </c>
      <c r="K161">
        <v>169</v>
      </c>
      <c r="L161">
        <v>117</v>
      </c>
      <c r="M161" t="s">
        <v>5188</v>
      </c>
      <c r="N161" s="15">
        <v>1</v>
      </c>
      <c r="Q161" s="5" t="s">
        <v>4880</v>
      </c>
      <c r="R161" t="s">
        <v>4881</v>
      </c>
      <c r="S161" t="str">
        <f>HYPERLINK("http://exon.niaid.nih.gov/transcriptome/T_rubida/S1/links/KOG/Triru-contig_139-KOG.txt","KOG")</f>
        <v>KOG</v>
      </c>
      <c r="T161" s="23">
        <v>1E-8</v>
      </c>
      <c r="U161">
        <v>12.1</v>
      </c>
      <c r="V161" s="1" t="str">
        <f>HYPERLINK("http://exon.niaid.nih.gov/transcriptome/T_rubida/S1/links/NR/Triru-contig_139-NR.txt","annexin IX-like")</f>
        <v>annexin IX-like</v>
      </c>
      <c r="W161" t="str">
        <f>HYPERLINK("http://www.ncbi.nlm.nih.gov/sutils/blink.cgi?pid=240849105","9E-005")</f>
        <v>9E-005</v>
      </c>
      <c r="X161" t="str">
        <f>HYPERLINK("http://www.ncbi.nlm.nih.gov/protein/240849105","gi|240849105")</f>
        <v>gi|240849105</v>
      </c>
      <c r="Y161">
        <v>50.4</v>
      </c>
      <c r="Z161">
        <v>37</v>
      </c>
      <c r="AA161">
        <v>320</v>
      </c>
      <c r="AB161">
        <v>63</v>
      </c>
      <c r="AC161">
        <v>12</v>
      </c>
      <c r="AD161">
        <v>14</v>
      </c>
      <c r="AE161">
        <v>0</v>
      </c>
      <c r="AF161">
        <v>282</v>
      </c>
      <c r="AG161">
        <v>13</v>
      </c>
      <c r="AH161">
        <v>1</v>
      </c>
      <c r="AI161">
        <v>1</v>
      </c>
      <c r="AJ161" t="s">
        <v>11</v>
      </c>
      <c r="AL161" t="s">
        <v>1160</v>
      </c>
      <c r="AM161" t="s">
        <v>1530</v>
      </c>
      <c r="AN161" t="s">
        <v>1531</v>
      </c>
      <c r="AO161" s="1" t="str">
        <f>HYPERLINK("http://exon.niaid.nih.gov/transcriptome/T_rubida/S1/links/SWISSP/Triru-contig_139-SWISSP.txt","Annexin D6")</f>
        <v>Annexin D6</v>
      </c>
      <c r="AP161" t="str">
        <f>HYPERLINK("http://www.uniprot.org/uniprot/Q9LX08","0.039")</f>
        <v>0.039</v>
      </c>
      <c r="AQ161" t="s">
        <v>1532</v>
      </c>
      <c r="AR161">
        <v>37</v>
      </c>
      <c r="AS161">
        <v>191</v>
      </c>
      <c r="AT161">
        <v>44</v>
      </c>
      <c r="AU161">
        <v>60</v>
      </c>
      <c r="AV161">
        <v>21</v>
      </c>
      <c r="AW161">
        <v>0</v>
      </c>
      <c r="AX161">
        <v>122</v>
      </c>
      <c r="AY161">
        <v>13</v>
      </c>
      <c r="AZ161">
        <v>2</v>
      </c>
      <c r="BA161">
        <v>1</v>
      </c>
      <c r="BB161" t="s">
        <v>11</v>
      </c>
      <c r="BD161" t="s">
        <v>704</v>
      </c>
      <c r="BE161" t="s">
        <v>906</v>
      </c>
      <c r="BF161" t="s">
        <v>1533</v>
      </c>
      <c r="BG161" t="s">
        <v>1534</v>
      </c>
      <c r="BH161" s="1" t="s">
        <v>57</v>
      </c>
      <c r="BI161" t="s">
        <v>57</v>
      </c>
      <c r="BJ161" s="1" t="str">
        <f>HYPERLINK("http://exon.niaid.nih.gov/transcriptome/T_rubida/S1/links/CDD/Triru-contig_139-CDD.txt","ANX")</f>
        <v>ANX</v>
      </c>
      <c r="BK161" t="str">
        <f>HYPERLINK("http://www.ncbi.nlm.nih.gov/Structure/cdd/cddsrv.cgi?uid=smart00335&amp;version=v4.0","6E-007")</f>
        <v>6E-007</v>
      </c>
      <c r="BL161" t="s">
        <v>1535</v>
      </c>
      <c r="BM161" s="1" t="str">
        <f>HYPERLINK("http://exon.niaid.nih.gov/transcriptome/T_rubida/S1/links/KOG/Triru-contig_139-KOG.txt","Annexin")</f>
        <v>Annexin</v>
      </c>
      <c r="BN161" t="str">
        <f>HYPERLINK("http://www.ncbi.nlm.nih.gov/COG/grace/shokog.cgi?KOG0819","1E-008")</f>
        <v>1E-008</v>
      </c>
      <c r="BO161" t="s">
        <v>1082</v>
      </c>
      <c r="BP161" s="1" t="str">
        <f>HYPERLINK("http://exon.niaid.nih.gov/transcriptome/T_rubida/S1/links/PFAM/Triru-contig_139-PFAM.txt","Annexin")</f>
        <v>Annexin</v>
      </c>
      <c r="BQ161" t="str">
        <f>HYPERLINK("http://pfam.sanger.ac.uk/family?acc=PF00191","4E-007")</f>
        <v>4E-007</v>
      </c>
      <c r="BR161" s="1" t="str">
        <f>HYPERLINK("http://exon.niaid.nih.gov/transcriptome/T_rubida/S1/links/SMART/Triru-contig_139-SMART.txt","ANX")</f>
        <v>ANX</v>
      </c>
      <c r="BS161" t="str">
        <f>HYPERLINK("http://smart.embl-heidelberg.de/smart/do_annotation.pl?DOMAIN=ANX&amp;BLAST=DUMMY","5E-009")</f>
        <v>5E-009</v>
      </c>
      <c r="BT161" s="1" t="str">
        <f>HYPERLINK("http://exon.niaid.nih.gov/transcriptome/T_rubida/S1/links/PRK/Triru-contig_139-PRK.txt","NADH dehydrogenase subunit 3")</f>
        <v>NADH dehydrogenase subunit 3</v>
      </c>
      <c r="BU161">
        <v>0.75</v>
      </c>
      <c r="BV161" s="1" t="s">
        <v>57</v>
      </c>
      <c r="BW161" t="s">
        <v>57</v>
      </c>
      <c r="BX161" s="1" t="s">
        <v>57</v>
      </c>
      <c r="BY161" t="s">
        <v>57</v>
      </c>
    </row>
    <row r="162" spans="1:77">
      <c r="A162" t="str">
        <f>HYPERLINK("http://exon.niaid.nih.gov/transcriptome/T_rubida/S1/links/Triru/Triru-contig_313.txt","Triru-contig_313")</f>
        <v>Triru-contig_313</v>
      </c>
      <c r="B162">
        <v>1</v>
      </c>
      <c r="C162" t="str">
        <f>HYPERLINK("http://exon.niaid.nih.gov/transcriptome/T_rubida/S1/links/Triru/Triru-5-48-asb-313.txt","Contig-313")</f>
        <v>Contig-313</v>
      </c>
      <c r="D162" t="str">
        <f>HYPERLINK("http://exon.niaid.nih.gov/transcriptome/T_rubida/S1/links/Triru/Triru-5-48-313-CLU.txt","Contig313")</f>
        <v>Contig313</v>
      </c>
      <c r="E162" t="str">
        <f>HYPERLINK("http://exon.niaid.nih.gov/transcriptome/T_rubida/S1/links/Triru/Triru-5-48-313-qual.txt","65.2")</f>
        <v>65.2</v>
      </c>
      <c r="F162" t="s">
        <v>10</v>
      </c>
      <c r="G162">
        <v>70.099999999999994</v>
      </c>
      <c r="H162">
        <v>499</v>
      </c>
      <c r="I162" t="s">
        <v>325</v>
      </c>
      <c r="J162">
        <v>499</v>
      </c>
      <c r="K162">
        <v>518</v>
      </c>
      <c r="L162">
        <v>192</v>
      </c>
      <c r="M162" t="s">
        <v>5189</v>
      </c>
      <c r="N162" s="15">
        <v>2</v>
      </c>
      <c r="Q162" s="5" t="s">
        <v>4926</v>
      </c>
      <c r="R162" t="s">
        <v>4881</v>
      </c>
      <c r="S162" t="str">
        <f>HYPERLINK("http://exon.niaid.nih.gov/transcriptome/T_rubida/S1/links/GO/Triru-contig_313-GO.txt","GO")</f>
        <v>GO</v>
      </c>
      <c r="T162" s="23">
        <v>2.0000000000000001E-10</v>
      </c>
      <c r="U162">
        <v>6.9</v>
      </c>
      <c r="V162" s="1" t="str">
        <f>HYPERLINK("http://exon.niaid.nih.gov/transcriptome/T_rubida/S1/links/NR/Triru-contig_313-NR.txt","Exocyst complex component 6")</f>
        <v>Exocyst complex component 6</v>
      </c>
      <c r="W162" t="str">
        <f>HYPERLINK("http://www.ncbi.nlm.nih.gov/sutils/blink.cgi?pid=332023102","6E-018")</f>
        <v>6E-018</v>
      </c>
      <c r="X162" t="str">
        <f>HYPERLINK("http://www.ncbi.nlm.nih.gov/protein/332023102","gi|332023102")</f>
        <v>gi|332023102</v>
      </c>
      <c r="Y162">
        <v>94.4</v>
      </c>
      <c r="Z162">
        <v>57</v>
      </c>
      <c r="AA162">
        <v>799</v>
      </c>
      <c r="AB162">
        <v>81</v>
      </c>
      <c r="AC162">
        <v>7</v>
      </c>
      <c r="AD162">
        <v>11</v>
      </c>
      <c r="AE162">
        <v>0</v>
      </c>
      <c r="AF162">
        <v>742</v>
      </c>
      <c r="AG162">
        <v>8</v>
      </c>
      <c r="AH162">
        <v>1</v>
      </c>
      <c r="AI162">
        <v>2</v>
      </c>
      <c r="AJ162" t="s">
        <v>11</v>
      </c>
      <c r="AL162" t="s">
        <v>2597</v>
      </c>
      <c r="AM162" t="s">
        <v>2598</v>
      </c>
      <c r="AN162" t="s">
        <v>2599</v>
      </c>
      <c r="AO162" s="1" t="str">
        <f>HYPERLINK("http://exon.niaid.nih.gov/transcriptome/T_rubida/S1/links/SWISSP/Triru-contig_313-SWISSP.txt","Exocyst complex component 6")</f>
        <v>Exocyst complex component 6</v>
      </c>
      <c r="AP162" t="str">
        <f>HYPERLINK("http://www.uniprot.org/uniprot/Q9VDE6","3E-010")</f>
        <v>3E-010</v>
      </c>
      <c r="AQ162" t="s">
        <v>2600</v>
      </c>
      <c r="AR162">
        <v>64.7</v>
      </c>
      <c r="AS162">
        <v>50</v>
      </c>
      <c r="AT162">
        <v>58</v>
      </c>
      <c r="AU162">
        <v>7</v>
      </c>
      <c r="AV162">
        <v>22</v>
      </c>
      <c r="AW162">
        <v>0</v>
      </c>
      <c r="AX162">
        <v>712</v>
      </c>
      <c r="AY162">
        <v>5</v>
      </c>
      <c r="AZ162">
        <v>1</v>
      </c>
      <c r="BA162">
        <v>2</v>
      </c>
      <c r="BB162" t="s">
        <v>11</v>
      </c>
      <c r="BD162" t="s">
        <v>704</v>
      </c>
      <c r="BE162" t="s">
        <v>1125</v>
      </c>
      <c r="BF162" t="s">
        <v>2601</v>
      </c>
      <c r="BG162" t="s">
        <v>2602</v>
      </c>
      <c r="BH162" s="1" t="s">
        <v>2603</v>
      </c>
      <c r="BI162">
        <f>HYPERLINK("http://exon.niaid.nih.gov/transcriptome/T_rubida/S1/links/GO/Triru-contig_313-GO.txt",0.0000000002)</f>
        <v>2.0000000000000001E-10</v>
      </c>
      <c r="BJ162" s="1" t="str">
        <f>HYPERLINK("http://exon.niaid.nih.gov/transcriptome/T_rubida/S1/links/CDD/Triru-contig_313-CDD.txt","ycf2")</f>
        <v>ycf2</v>
      </c>
      <c r="BK162" t="str">
        <f>HYPERLINK("http://www.ncbi.nlm.nih.gov/Structure/cdd/cddsrv.cgi?uid=CHL00206&amp;version=v4.0","0.16")</f>
        <v>0.16</v>
      </c>
      <c r="BL162" t="s">
        <v>2604</v>
      </c>
      <c r="BM162" s="1" t="str">
        <f>HYPERLINK("http://exon.niaid.nih.gov/transcriptome/T_rubida/S1/links/KOG/Triru-contig_313-KOG.txt","Exocyst complex, subunit SEC15")</f>
        <v>Exocyst complex, subunit SEC15</v>
      </c>
      <c r="BN162" t="str">
        <f>HYPERLINK("http://www.ncbi.nlm.nih.gov/COG/grace/shokog.cgi?KOG2176","2E-005")</f>
        <v>2E-005</v>
      </c>
      <c r="BO162" t="s">
        <v>1082</v>
      </c>
      <c r="BP162" s="1" t="str">
        <f>HYPERLINK("http://exon.niaid.nih.gov/transcriptome/T_rubida/S1/links/PFAM/Triru-contig_313-PFAM.txt","Nup88")</f>
        <v>Nup88</v>
      </c>
      <c r="BQ162" t="str">
        <f>HYPERLINK("http://pfam.sanger.ac.uk/family?acc=PF10168","0.12")</f>
        <v>0.12</v>
      </c>
      <c r="BR162" s="1" t="str">
        <f>HYPERLINK("http://exon.niaid.nih.gov/transcriptome/T_rubida/S1/links/SMART/Triru-contig_313-SMART.txt","Pept_C1")</f>
        <v>Pept_C1</v>
      </c>
      <c r="BS162" t="str">
        <f>HYPERLINK("http://smart.embl-heidelberg.de/smart/do_annotation.pl?DOMAIN=Pept_C1&amp;BLAST=DUMMY","0.060")</f>
        <v>0.060</v>
      </c>
      <c r="BT162" s="1" t="str">
        <f>HYPERLINK("http://exon.niaid.nih.gov/transcriptome/T_rubida/S1/links/PRK/Triru-contig_313-PRK.txt","Ycf2")</f>
        <v>Ycf2</v>
      </c>
      <c r="BU162">
        <v>7.2999999999999995E-2</v>
      </c>
      <c r="BV162" s="1" t="s">
        <v>57</v>
      </c>
      <c r="BW162" t="s">
        <v>57</v>
      </c>
      <c r="BX162" s="1" t="s">
        <v>57</v>
      </c>
      <c r="BY162" t="s">
        <v>57</v>
      </c>
    </row>
    <row r="163" spans="1:77">
      <c r="A163" t="str">
        <f>HYPERLINK("http://exon.niaid.nih.gov/transcriptome/T_rubida/S1/links/Triru/Triru-contig_188.txt","Triru-contig_188")</f>
        <v>Triru-contig_188</v>
      </c>
      <c r="B163">
        <v>1</v>
      </c>
      <c r="C163" t="str">
        <f>HYPERLINK("http://exon.niaid.nih.gov/transcriptome/T_rubida/S1/links/Triru/Triru-5-48-asb-188.txt","Contig-188")</f>
        <v>Contig-188</v>
      </c>
      <c r="D163" t="str">
        <f>HYPERLINK("http://exon.niaid.nih.gov/transcriptome/T_rubida/S1/links/Triru/Triru-5-48-188-CLU.txt","Contig188")</f>
        <v>Contig188</v>
      </c>
      <c r="E163" t="str">
        <f>HYPERLINK("http://exon.niaid.nih.gov/transcriptome/T_rubida/S1/links/Triru/Triru-5-48-188-qual.txt","57.9")</f>
        <v>57.9</v>
      </c>
      <c r="F163" t="s">
        <v>10</v>
      </c>
      <c r="G163">
        <v>68.900000000000006</v>
      </c>
      <c r="H163">
        <v>515</v>
      </c>
      <c r="I163" t="s">
        <v>200</v>
      </c>
      <c r="J163">
        <v>515</v>
      </c>
      <c r="K163">
        <v>534</v>
      </c>
      <c r="L163">
        <v>357</v>
      </c>
      <c r="M163" t="s">
        <v>5190</v>
      </c>
      <c r="N163" s="15">
        <v>1</v>
      </c>
      <c r="O163" s="14" t="str">
        <f>HYPERLINK("http://exon.niaid.nih.gov/transcriptome/T_rubida/S1/links/Sigp/TRIRU-CONTIG_188-SigP.txt","Cyt")</f>
        <v>Cyt</v>
      </c>
      <c r="Q163" s="5" t="s">
        <v>4892</v>
      </c>
      <c r="R163" t="s">
        <v>4881</v>
      </c>
      <c r="S163" t="str">
        <f>HYPERLINK("http://exon.niaid.nih.gov/transcriptome/T_rubida/S1/links/GO/Triru-contig_188-GO.txt","GO")</f>
        <v>GO</v>
      </c>
      <c r="T163" s="23">
        <v>1.9999999999999999E-34</v>
      </c>
      <c r="U163">
        <v>82.7</v>
      </c>
      <c r="V163" s="1" t="str">
        <f>HYPERLINK("http://exon.niaid.nih.gov/transcriptome/T_rubida/S1/links/NR/Triru-contig_188-NR.txt","hypothetical protein BRAFLDRAFT_234778")</f>
        <v>hypothetical protein BRAFLDRAFT_234778</v>
      </c>
      <c r="W163" t="str">
        <f>HYPERLINK("http://www.ncbi.nlm.nih.gov/sutils/blink.cgi?pid=260797829","1E-036")</f>
        <v>1E-036</v>
      </c>
      <c r="X163" t="str">
        <f>HYPERLINK("http://www.ncbi.nlm.nih.gov/protein/260797829","gi|260797829")</f>
        <v>gi|260797829</v>
      </c>
      <c r="Y163">
        <v>156</v>
      </c>
      <c r="Z163">
        <v>114</v>
      </c>
      <c r="AA163">
        <v>144</v>
      </c>
      <c r="AB163">
        <v>56</v>
      </c>
      <c r="AC163">
        <v>80</v>
      </c>
      <c r="AD163">
        <v>50</v>
      </c>
      <c r="AE163">
        <v>0</v>
      </c>
      <c r="AF163">
        <v>26</v>
      </c>
      <c r="AG163">
        <v>4</v>
      </c>
      <c r="AH163">
        <v>1</v>
      </c>
      <c r="AI163">
        <v>1</v>
      </c>
      <c r="AJ163" t="s">
        <v>11</v>
      </c>
      <c r="AL163" t="s">
        <v>1802</v>
      </c>
      <c r="AM163" t="s">
        <v>1803</v>
      </c>
      <c r="AN163" t="s">
        <v>1804</v>
      </c>
      <c r="AO163" s="1" t="str">
        <f>HYPERLINK("http://exon.niaid.nih.gov/transcriptome/T_rubida/S1/links/SWISSP/Triru-contig_188-SWISSP.txt","Trafficking protein particle complex subunit 2-like protein")</f>
        <v>Trafficking protein particle complex subunit 2-like protein</v>
      </c>
      <c r="AP163" t="str">
        <f>HYPERLINK("http://www.uniprot.org/uniprot/B5XGE7","2E-035")</f>
        <v>2E-035</v>
      </c>
      <c r="AQ163" t="s">
        <v>1805</v>
      </c>
      <c r="AR163">
        <v>148</v>
      </c>
      <c r="AS163">
        <v>117</v>
      </c>
      <c r="AT163">
        <v>53</v>
      </c>
      <c r="AU163">
        <v>85</v>
      </c>
      <c r="AV163">
        <v>55</v>
      </c>
      <c r="AW163">
        <v>0</v>
      </c>
      <c r="AX163">
        <v>21</v>
      </c>
      <c r="AY163">
        <v>4</v>
      </c>
      <c r="AZ163">
        <v>1</v>
      </c>
      <c r="BA163">
        <v>1</v>
      </c>
      <c r="BB163" t="s">
        <v>11</v>
      </c>
      <c r="BD163" t="s">
        <v>704</v>
      </c>
      <c r="BE163" t="s">
        <v>1806</v>
      </c>
      <c r="BF163" t="s">
        <v>1807</v>
      </c>
      <c r="BG163" t="s">
        <v>1808</v>
      </c>
      <c r="BH163" s="1" t="s">
        <v>1809</v>
      </c>
      <c r="BI163">
        <f>HYPERLINK("http://exon.niaid.nih.gov/transcriptome/T_rubida/S1/links/GO/Triru-contig_188-GO.txt",2E-34)</f>
        <v>1.9999999999999999E-34</v>
      </c>
      <c r="BJ163" s="1" t="str">
        <f>HYPERLINK("http://exon.niaid.nih.gov/transcriptome/T_rubida/S1/links/CDD/Triru-contig_188-CDD.txt","Sedlin_N")</f>
        <v>Sedlin_N</v>
      </c>
      <c r="BK163" t="str">
        <f>HYPERLINK("http://www.ncbi.nlm.nih.gov/Structure/cdd/cddsrv.cgi?uid=pfam04628&amp;version=v4.0","8E-029")</f>
        <v>8E-029</v>
      </c>
      <c r="BL163" t="s">
        <v>1810</v>
      </c>
      <c r="BM163" s="1" t="str">
        <f>HYPERLINK("http://exon.niaid.nih.gov/transcriptome/T_rubida/S1/links/KOG/Triru-contig_188-KOG.txt","Uncharacterized conserved protein")</f>
        <v>Uncharacterized conserved protein</v>
      </c>
      <c r="BN163" t="str">
        <f>HYPERLINK("http://www.ncbi.nlm.nih.gov/COG/grace/shokog.cgi?KOG3444","7E-033")</f>
        <v>7E-033</v>
      </c>
      <c r="BO163" t="s">
        <v>737</v>
      </c>
      <c r="BP163" s="1" t="str">
        <f>HYPERLINK("http://exon.niaid.nih.gov/transcriptome/T_rubida/S1/links/PFAM/Triru-contig_188-PFAM.txt","Sedlin_N")</f>
        <v>Sedlin_N</v>
      </c>
      <c r="BQ163" t="str">
        <f>HYPERLINK("http://pfam.sanger.ac.uk/family?acc=PF04628","2E-029")</f>
        <v>2E-029</v>
      </c>
      <c r="BR163" s="1" t="str">
        <f>HYPERLINK("http://exon.niaid.nih.gov/transcriptome/T_rubida/S1/links/SMART/Triru-contig_188-SMART.txt","A4_EXTRA")</f>
        <v>A4_EXTRA</v>
      </c>
      <c r="BS163" t="str">
        <f>HYPERLINK("http://smart.embl-heidelberg.de/smart/do_annotation.pl?DOMAIN=A4_EXTRA&amp;BLAST=DUMMY","0.036")</f>
        <v>0.036</v>
      </c>
      <c r="BT163" s="1" t="str">
        <f>HYPERLINK("http://exon.niaid.nih.gov/transcriptome/T_rubida/S1/links/PRK/Triru-contig_188-PRK.txt","glucosamine:fructose-6-phosphate aminotransferase.")</f>
        <v>glucosamine:fructose-6-phosphate aminotransferase.</v>
      </c>
      <c r="BU163">
        <v>0.11</v>
      </c>
      <c r="BV163" s="1" t="s">
        <v>57</v>
      </c>
      <c r="BW163" t="s">
        <v>57</v>
      </c>
      <c r="BX163" s="1" t="s">
        <v>57</v>
      </c>
      <c r="BY163" t="s">
        <v>57</v>
      </c>
    </row>
    <row r="164" spans="1:77">
      <c r="A164" t="str">
        <f>HYPERLINK("http://exon.niaid.nih.gov/transcriptome/T_rubida/S1/links/Triru/Triru-contig_569.txt","Triru-contig_569")</f>
        <v>Triru-contig_569</v>
      </c>
      <c r="B164">
        <v>1</v>
      </c>
      <c r="C164" t="str">
        <f>HYPERLINK("http://exon.niaid.nih.gov/transcriptome/T_rubida/S1/links/Triru/Triru-5-48-asb-569.txt","Contig-569")</f>
        <v>Contig-569</v>
      </c>
      <c r="D164" t="str">
        <f>HYPERLINK("http://exon.niaid.nih.gov/transcriptome/T_rubida/S1/links/Triru/Triru-5-48-569-CLU.txt","Contig569")</f>
        <v>Contig569</v>
      </c>
      <c r="E164" t="str">
        <f>HYPERLINK("http://exon.niaid.nih.gov/transcriptome/T_rubida/S1/links/Triru/Triru-5-48-569-qual.txt","47.8")</f>
        <v>47.8</v>
      </c>
      <c r="F164" t="s">
        <v>10</v>
      </c>
      <c r="G164">
        <v>67</v>
      </c>
      <c r="H164">
        <v>811</v>
      </c>
      <c r="I164" t="s">
        <v>581</v>
      </c>
      <c r="J164">
        <v>811</v>
      </c>
      <c r="K164">
        <v>830</v>
      </c>
      <c r="L164">
        <v>678</v>
      </c>
      <c r="M164" t="s">
        <v>5191</v>
      </c>
      <c r="N164" s="15">
        <v>1</v>
      </c>
      <c r="O164" s="14" t="str">
        <f>HYPERLINK("http://exon.niaid.nih.gov/transcriptome/T_rubida/S1/links/Sigp/TRIRU-CONTIG_569-SigP.txt","Cyt")</f>
        <v>Cyt</v>
      </c>
      <c r="Q164" s="5" t="s">
        <v>5013</v>
      </c>
      <c r="R164" t="s">
        <v>4881</v>
      </c>
      <c r="S164" t="str">
        <f>HYPERLINK("http://exon.niaid.nih.gov/transcriptome/T_rubida/S1/links/KOG/Triru-contig_569-KOG.txt","KOG")</f>
        <v>KOG</v>
      </c>
      <c r="T164" s="23">
        <v>2E-66</v>
      </c>
      <c r="U164">
        <v>105.5</v>
      </c>
      <c r="V164" s="1" t="str">
        <f>HYPERLINK("http://exon.niaid.nih.gov/transcriptome/T_rubida/S1/links/NR/Triru-contig_569-NR.txt","Trafficking protein particle complex subunit 4")</f>
        <v>Trafficking protein particle complex subunit 4</v>
      </c>
      <c r="W164" t="str">
        <f>HYPERLINK("http://www.ncbi.nlm.nih.gov/sutils/blink.cgi?pid=307199208","2E-089")</f>
        <v>2E-089</v>
      </c>
      <c r="X164" t="str">
        <f>HYPERLINK("http://www.ncbi.nlm.nih.gov/protein/307199208","gi|307199208")</f>
        <v>gi|307199208</v>
      </c>
      <c r="Y164">
        <v>333</v>
      </c>
      <c r="Z164">
        <v>211</v>
      </c>
      <c r="AA164">
        <v>217</v>
      </c>
      <c r="AB164">
        <v>73</v>
      </c>
      <c r="AC164">
        <v>98</v>
      </c>
      <c r="AD164">
        <v>56</v>
      </c>
      <c r="AE164">
        <v>0</v>
      </c>
      <c r="AF164">
        <v>1</v>
      </c>
      <c r="AG164">
        <v>100</v>
      </c>
      <c r="AH164">
        <v>1</v>
      </c>
      <c r="AI164">
        <v>1</v>
      </c>
      <c r="AJ164" t="s">
        <v>11</v>
      </c>
      <c r="AL164" t="s">
        <v>1475</v>
      </c>
      <c r="AM164" t="s">
        <v>4313</v>
      </c>
      <c r="AN164" t="s">
        <v>4314</v>
      </c>
      <c r="AO164" s="1" t="str">
        <f>HYPERLINK("http://exon.niaid.nih.gov/transcriptome/T_rubida/S1/links/SWISSP/Triru-contig_569-SWISSP.txt","Trafficking protein particle complex subunit 4")</f>
        <v>Trafficking protein particle complex subunit 4</v>
      </c>
      <c r="AP164" t="str">
        <f>HYPERLINK("http://www.uniprot.org/uniprot/Q2TBL9","2E-072")</f>
        <v>2E-072</v>
      </c>
      <c r="AQ164" t="s">
        <v>4315</v>
      </c>
      <c r="AR164">
        <v>272</v>
      </c>
      <c r="AS164">
        <v>211</v>
      </c>
      <c r="AT164">
        <v>58</v>
      </c>
      <c r="AU164">
        <v>97</v>
      </c>
      <c r="AV164">
        <v>87</v>
      </c>
      <c r="AW164">
        <v>0</v>
      </c>
      <c r="AX164">
        <v>1</v>
      </c>
      <c r="AY164">
        <v>100</v>
      </c>
      <c r="AZ164">
        <v>1</v>
      </c>
      <c r="BA164">
        <v>1</v>
      </c>
      <c r="BB164" t="s">
        <v>11</v>
      </c>
      <c r="BD164" t="s">
        <v>704</v>
      </c>
      <c r="BE164" t="s">
        <v>1934</v>
      </c>
      <c r="BF164" t="s">
        <v>4316</v>
      </c>
      <c r="BG164" t="s">
        <v>4317</v>
      </c>
      <c r="BH164" s="1" t="s">
        <v>4318</v>
      </c>
      <c r="BI164">
        <f>HYPERLINK("http://exon.niaid.nih.gov/transcriptome/T_rubida/S1/links/GO/Triru-contig_569-GO.txt",2E-79)</f>
        <v>2E-79</v>
      </c>
      <c r="BJ164" s="1" t="str">
        <f>HYPERLINK("http://exon.niaid.nih.gov/transcriptome/T_rubida/S1/links/CDD/Triru-contig_569-CDD.txt","Sybindin")</f>
        <v>Sybindin</v>
      </c>
      <c r="BK164" t="str">
        <f>HYPERLINK("http://www.ncbi.nlm.nih.gov/Structure/cdd/cddsrv.cgi?uid=pfam04099&amp;version=v4.0","1E-043")</f>
        <v>1E-043</v>
      </c>
      <c r="BL164" t="s">
        <v>4319</v>
      </c>
      <c r="BM164" s="1" t="str">
        <f>HYPERLINK("http://exon.niaid.nih.gov/transcriptome/T_rubida/S1/links/KOG/Triru-contig_569-KOG.txt","Transport protein particle (TRAPP) complex subunit")</f>
        <v>Transport protein particle (TRAPP) complex subunit</v>
      </c>
      <c r="BN164" t="str">
        <f>HYPERLINK("http://www.ncbi.nlm.nih.gov/COG/grace/shokog.cgi?KOG3369","2E-066")</f>
        <v>2E-066</v>
      </c>
      <c r="BO164" t="s">
        <v>1082</v>
      </c>
      <c r="BP164" s="1" t="str">
        <f>HYPERLINK("http://exon.niaid.nih.gov/transcriptome/T_rubida/S1/links/PFAM/Triru-contig_569-PFAM.txt","Sybindin")</f>
        <v>Sybindin</v>
      </c>
      <c r="BQ164" t="str">
        <f>HYPERLINK("http://pfam.sanger.ac.uk/family?acc=PF04099","3E-044")</f>
        <v>3E-044</v>
      </c>
      <c r="BR164" s="1" t="str">
        <f>HYPERLINK("http://exon.niaid.nih.gov/transcriptome/T_rubida/S1/links/SMART/Triru-contig_569-SMART.txt","PDZ")</f>
        <v>PDZ</v>
      </c>
      <c r="BS164" t="str">
        <f>HYPERLINK("http://smart.embl-heidelberg.de/smart/do_annotation.pl?DOMAIN=PDZ&amp;BLAST=DUMMY","0.004")</f>
        <v>0.004</v>
      </c>
      <c r="BT164" s="1" t="str">
        <f>HYPERLINK("http://exon.niaid.nih.gov/transcriptome/T_rubida/S1/links/PRK/Triru-contig_569-PRK.txt","2-oxoglutarate-acceptor oxidoreductase subunit OorB")</f>
        <v>2-oxoglutarate-acceptor oxidoreductase subunit OorB</v>
      </c>
      <c r="BU164">
        <v>0.11</v>
      </c>
      <c r="BV164" s="1" t="s">
        <v>57</v>
      </c>
      <c r="BW164" t="s">
        <v>57</v>
      </c>
      <c r="BX164" s="1" t="s">
        <v>57</v>
      </c>
      <c r="BY164" t="s">
        <v>57</v>
      </c>
    </row>
    <row r="165" spans="1:77">
      <c r="A165" t="str">
        <f>HYPERLINK("http://exon.niaid.nih.gov/transcriptome/T_rubida/S1/links/Triru/Triru-contig_325.txt","Triru-contig_325")</f>
        <v>Triru-contig_325</v>
      </c>
      <c r="B165">
        <v>1</v>
      </c>
      <c r="C165" t="str">
        <f>HYPERLINK("http://exon.niaid.nih.gov/transcriptome/T_rubida/S1/links/Triru/Triru-5-48-asb-325.txt","Contig-325")</f>
        <v>Contig-325</v>
      </c>
      <c r="D165" t="str">
        <f>HYPERLINK("http://exon.niaid.nih.gov/transcriptome/T_rubida/S1/links/Triru/Triru-5-48-325-CLU.txt","Contig325")</f>
        <v>Contig325</v>
      </c>
      <c r="E165" t="str">
        <f>HYPERLINK("http://exon.niaid.nih.gov/transcriptome/T_rubida/S1/links/Triru/Triru-5-48-325-qual.txt","43.1")</f>
        <v>43.1</v>
      </c>
      <c r="F165" t="s">
        <v>10</v>
      </c>
      <c r="G165">
        <v>67</v>
      </c>
      <c r="H165">
        <v>1190</v>
      </c>
      <c r="I165" t="s">
        <v>337</v>
      </c>
      <c r="J165">
        <v>1190</v>
      </c>
      <c r="K165">
        <v>1209</v>
      </c>
      <c r="L165">
        <v>855</v>
      </c>
      <c r="M165" t="s">
        <v>5192</v>
      </c>
      <c r="N165" s="15">
        <v>3</v>
      </c>
      <c r="O165" s="14" t="str">
        <f>HYPERLINK("http://exon.niaid.nih.gov/transcriptome/T_rubida/S1/links/Sigp/TRIRU-CONTIG_325-SigP.txt","Cyt")</f>
        <v>Cyt</v>
      </c>
      <c r="Q165" s="5" t="s">
        <v>4930</v>
      </c>
      <c r="R165" t="s">
        <v>4881</v>
      </c>
      <c r="S165" t="str">
        <f>HYPERLINK("http://exon.niaid.nih.gov/transcriptome/T_rubida/S1/links/PFAM/Triru-contig_325-PFAM.txt","PFAM")</f>
        <v>PFAM</v>
      </c>
      <c r="T165" s="23">
        <v>4.9999999999999999E-13</v>
      </c>
      <c r="U165">
        <v>97.1</v>
      </c>
      <c r="V165" s="1" t="str">
        <f>HYPERLINK("http://exon.niaid.nih.gov/transcriptome/T_rubida/S1/links/NR/Triru-contig_325-NR.txt","hypothetical protein TRIADDRAFT_55790")</f>
        <v>hypothetical protein TRIADDRAFT_55790</v>
      </c>
      <c r="W165" t="str">
        <f>HYPERLINK("http://www.ncbi.nlm.nih.gov/sutils/blink.cgi?pid=196004454","7E-010")</f>
        <v>7E-010</v>
      </c>
      <c r="X165" t="str">
        <f>HYPERLINK("http://www.ncbi.nlm.nih.gov/protein/196004454","gi|196004454")</f>
        <v>gi|196004454</v>
      </c>
      <c r="Y165">
        <v>70.099999999999994</v>
      </c>
      <c r="Z165">
        <v>342</v>
      </c>
      <c r="AA165">
        <v>355</v>
      </c>
      <c r="AB165">
        <v>24</v>
      </c>
      <c r="AC165">
        <v>97</v>
      </c>
      <c r="AD165">
        <v>270</v>
      </c>
      <c r="AE165">
        <v>34</v>
      </c>
      <c r="AF165">
        <v>6</v>
      </c>
      <c r="AG165">
        <v>93</v>
      </c>
      <c r="AH165">
        <v>1</v>
      </c>
      <c r="AI165">
        <v>3</v>
      </c>
      <c r="AJ165" t="s">
        <v>11</v>
      </c>
      <c r="AK165">
        <v>0.29199999999999998</v>
      </c>
      <c r="AL165" t="s">
        <v>2678</v>
      </c>
      <c r="AM165" t="s">
        <v>2679</v>
      </c>
      <c r="AN165" t="s">
        <v>2680</v>
      </c>
      <c r="AO165" s="1" t="str">
        <f>HYPERLINK("http://exon.niaid.nih.gov/transcriptome/T_rubida/S1/links/SWISSP/Triru-contig_325-SWISSP.txt","Uncharacterized protein C16orf7 homolog")</f>
        <v>Uncharacterized protein C16orf7 homolog</v>
      </c>
      <c r="AP165" t="str">
        <f>HYPERLINK("http://www.uniprot.org/uniprot/Q8C190","2E-009")</f>
        <v>2E-009</v>
      </c>
      <c r="AQ165" t="s">
        <v>2681</v>
      </c>
      <c r="AR165">
        <v>64.3</v>
      </c>
      <c r="AS165">
        <v>484</v>
      </c>
      <c r="AT165">
        <v>24</v>
      </c>
      <c r="AU165">
        <v>75</v>
      </c>
      <c r="AV165">
        <v>195</v>
      </c>
      <c r="AW165">
        <v>37</v>
      </c>
      <c r="AX165">
        <v>155</v>
      </c>
      <c r="AY165">
        <v>21</v>
      </c>
      <c r="AZ165">
        <v>2</v>
      </c>
      <c r="BA165">
        <v>3</v>
      </c>
      <c r="BB165" t="s">
        <v>11</v>
      </c>
      <c r="BC165">
        <v>0.20699999999999999</v>
      </c>
      <c r="BD165" t="s">
        <v>704</v>
      </c>
      <c r="BE165" t="s">
        <v>807</v>
      </c>
      <c r="BF165" t="s">
        <v>2682</v>
      </c>
      <c r="BG165" t="s">
        <v>2683</v>
      </c>
      <c r="BH165" s="1" t="s">
        <v>2684</v>
      </c>
      <c r="BI165">
        <f>HYPERLINK("http://exon.niaid.nih.gov/transcriptome/T_rubida/S1/links/GO/Triru-contig_325-GO.txt",0.000000002)</f>
        <v>2.0000000000000001E-9</v>
      </c>
      <c r="BJ165" s="1" t="str">
        <f>HYPERLINK("http://exon.niaid.nih.gov/transcriptome/T_rubida/S1/links/CDD/Triru-contig_325-CDD.txt","VPS9")</f>
        <v>VPS9</v>
      </c>
      <c r="BK165" t="str">
        <f>HYPERLINK("http://www.ncbi.nlm.nih.gov/Structure/cdd/cddsrv.cgi?uid=pfam02204&amp;version=v4.0","3E-012")</f>
        <v>3E-012</v>
      </c>
      <c r="BL165" t="s">
        <v>2685</v>
      </c>
      <c r="BM165" s="1" t="str">
        <f>HYPERLINK("http://exon.niaid.nih.gov/transcriptome/T_rubida/S1/links/KOG/Triru-contig_325-KOG.txt","RAS effector RIN1 (contains VPS domain)")</f>
        <v>RAS effector RIN1 (contains VPS domain)</v>
      </c>
      <c r="BN165" t="str">
        <f>HYPERLINK("http://www.ncbi.nlm.nih.gov/COG/grace/shokog.cgi?KOG2320","3E-006")</f>
        <v>3E-006</v>
      </c>
      <c r="BO165" t="s">
        <v>1082</v>
      </c>
      <c r="BP165" s="1" t="str">
        <f>HYPERLINK("http://exon.niaid.nih.gov/transcriptome/T_rubida/S1/links/PFAM/Triru-contig_325-PFAM.txt","VPS9")</f>
        <v>VPS9</v>
      </c>
      <c r="BQ165" t="str">
        <f>HYPERLINK("http://pfam.sanger.ac.uk/family?acc=PF02204","5E-013")</f>
        <v>5E-013</v>
      </c>
      <c r="BR165" s="1" t="str">
        <f>HYPERLINK("http://exon.niaid.nih.gov/transcriptome/T_rubida/S1/links/SMART/Triru-contig_325-SMART.txt","VPS9")</f>
        <v>VPS9</v>
      </c>
      <c r="BS165" t="str">
        <f>HYPERLINK("http://smart.embl-heidelberg.de/smart/do_annotation.pl?DOMAIN=VPS9&amp;BLAST=DUMMY","2E-007")</f>
        <v>2E-007</v>
      </c>
      <c r="BT165" s="1" t="str">
        <f>HYPERLINK("http://exon.niaid.nih.gov/transcriptome/T_rubida/S1/links/PRK/Triru-contig_325-PRK.txt","reticulocyte binding protein 2-like protein")</f>
        <v>reticulocyte binding protein 2-like protein</v>
      </c>
      <c r="BU165" s="2">
        <v>1E-4</v>
      </c>
      <c r="BV165" s="1" t="s">
        <v>57</v>
      </c>
      <c r="BW165" t="s">
        <v>57</v>
      </c>
      <c r="BX165" s="1" t="s">
        <v>57</v>
      </c>
      <c r="BY165" t="s">
        <v>57</v>
      </c>
    </row>
    <row r="166" spans="1:77" s="3" customFormat="1">
      <c r="A166" s="13" t="s">
        <v>5043</v>
      </c>
      <c r="T166" s="22"/>
    </row>
    <row r="167" spans="1:77">
      <c r="A167" t="str">
        <f>HYPERLINK("http://exon.niaid.nih.gov/transcriptome/T_rubida/S1/links/Triru/Triru-contig_333.txt","Triru-contig_333")</f>
        <v>Triru-contig_333</v>
      </c>
      <c r="B167">
        <v>1</v>
      </c>
      <c r="C167" t="str">
        <f>HYPERLINK("http://exon.niaid.nih.gov/transcriptome/T_rubida/S1/links/Triru/Triru-5-48-asb-333.txt","Contig-333")</f>
        <v>Contig-333</v>
      </c>
      <c r="D167" t="str">
        <f>HYPERLINK("http://exon.niaid.nih.gov/transcriptome/T_rubida/S1/links/Triru/Triru-5-48-333-CLU.txt","Contig333")</f>
        <v>Contig333</v>
      </c>
      <c r="E167" t="str">
        <f>HYPERLINK("http://exon.niaid.nih.gov/transcriptome/T_rubida/S1/links/Triru/Triru-5-48-333-qual.txt","62.2")</f>
        <v>62.2</v>
      </c>
      <c r="F167" t="s">
        <v>10</v>
      </c>
      <c r="G167">
        <v>63.6</v>
      </c>
      <c r="H167">
        <v>478</v>
      </c>
      <c r="I167" t="s">
        <v>345</v>
      </c>
      <c r="J167">
        <v>478</v>
      </c>
      <c r="K167">
        <v>497</v>
      </c>
      <c r="L167">
        <v>324</v>
      </c>
      <c r="M167" t="s">
        <v>5194</v>
      </c>
      <c r="N167" s="15">
        <v>2</v>
      </c>
      <c r="Q167" s="5" t="s">
        <v>4934</v>
      </c>
      <c r="R167" t="s">
        <v>4850</v>
      </c>
      <c r="S167" t="str">
        <f>HYPERLINK("http://exon.niaid.nih.gov/transcriptome/T_rubida/S1/links/KOG/Triru-contig_333-KOG.txt","KOG")</f>
        <v>KOG</v>
      </c>
      <c r="T167" s="23">
        <v>1.9999999999999999E-57</v>
      </c>
      <c r="U167">
        <v>9.6999999999999993</v>
      </c>
      <c r="V167" s="1" t="str">
        <f>HYPERLINK("http://exon.niaid.nih.gov/transcriptome/T_rubida/S1/links/NR/Triru-contig_333-NR.txt","GL15031")</f>
        <v>GL15031</v>
      </c>
      <c r="W167" t="str">
        <f>HYPERLINK("http://www.ncbi.nlm.nih.gov/sutils/blink.cgi?pid=195174566","1E-051")</f>
        <v>1E-051</v>
      </c>
      <c r="X167" t="str">
        <f>HYPERLINK("http://www.ncbi.nlm.nih.gov/protein/195174566","gi|195174566")</f>
        <v>gi|195174566</v>
      </c>
      <c r="Y167">
        <v>206</v>
      </c>
      <c r="Z167">
        <v>105</v>
      </c>
      <c r="AA167">
        <v>1083</v>
      </c>
      <c r="AB167">
        <v>92</v>
      </c>
      <c r="AC167">
        <v>10</v>
      </c>
      <c r="AD167">
        <v>8</v>
      </c>
      <c r="AE167">
        <v>0</v>
      </c>
      <c r="AF167">
        <v>978</v>
      </c>
      <c r="AG167">
        <v>8</v>
      </c>
      <c r="AH167">
        <v>1</v>
      </c>
      <c r="AI167">
        <v>2</v>
      </c>
      <c r="AJ167" t="s">
        <v>11</v>
      </c>
      <c r="AL167" t="s">
        <v>2733</v>
      </c>
      <c r="AM167" t="s">
        <v>2734</v>
      </c>
      <c r="AN167" t="s">
        <v>2735</v>
      </c>
      <c r="AO167" s="1" t="str">
        <f>HYPERLINK("http://exon.niaid.nih.gov/transcriptome/T_rubida/S1/links/SWISSP/Triru-contig_333-SWISSP.txt","Ubiquitin-protein ligase E3B")</f>
        <v>Ubiquitin-protein ligase E3B</v>
      </c>
      <c r="AP167" t="str">
        <f>HYPERLINK("http://www.uniprot.org/uniprot/Q9ES34","4E-046")</f>
        <v>4E-046</v>
      </c>
      <c r="AQ167" t="s">
        <v>2736</v>
      </c>
      <c r="AR167">
        <v>183</v>
      </c>
      <c r="AS167">
        <v>105</v>
      </c>
      <c r="AT167">
        <v>81</v>
      </c>
      <c r="AU167">
        <v>10</v>
      </c>
      <c r="AV167">
        <v>20</v>
      </c>
      <c r="AW167">
        <v>0</v>
      </c>
      <c r="AX167">
        <v>965</v>
      </c>
      <c r="AY167">
        <v>8</v>
      </c>
      <c r="AZ167">
        <v>1</v>
      </c>
      <c r="BA167">
        <v>2</v>
      </c>
      <c r="BB167" t="s">
        <v>11</v>
      </c>
      <c r="BD167" t="s">
        <v>704</v>
      </c>
      <c r="BE167" t="s">
        <v>807</v>
      </c>
      <c r="BF167" t="s">
        <v>2737</v>
      </c>
      <c r="BG167" t="s">
        <v>2738</v>
      </c>
      <c r="BH167" s="1" t="s">
        <v>2739</v>
      </c>
      <c r="BI167">
        <f>HYPERLINK("http://exon.niaid.nih.gov/transcriptome/T_rubida/S1/links/GO/Triru-contig_333-GO.txt",9E-52)</f>
        <v>9.0000000000000001E-52</v>
      </c>
      <c r="BJ167" s="1" t="str">
        <f>HYPERLINK("http://exon.niaid.nih.gov/transcriptome/T_rubida/S1/links/CDD/Triru-contig_333-CDD.txt","HECTc")</f>
        <v>HECTc</v>
      </c>
      <c r="BK167" t="str">
        <f>HYPERLINK("http://www.ncbi.nlm.nih.gov/Structure/cdd/cddsrv.cgi?uid=cd00078&amp;version=v4.0","8E-027")</f>
        <v>8E-027</v>
      </c>
      <c r="BL167" t="s">
        <v>2740</v>
      </c>
      <c r="BM167" s="1" t="str">
        <f>HYPERLINK("http://exon.niaid.nih.gov/transcriptome/T_rubida/S1/links/KOG/Triru-contig_333-KOG.txt","E3 ubiquitin protein ligase")</f>
        <v>E3 ubiquitin protein ligase</v>
      </c>
      <c r="BN167" t="str">
        <f>HYPERLINK("http://www.ncbi.nlm.nih.gov/COG/grace/shokog.cgi?KOG4427","2E-057")</f>
        <v>2E-057</v>
      </c>
      <c r="BO167" t="s">
        <v>954</v>
      </c>
      <c r="BP167" s="1" t="str">
        <f>HYPERLINK("http://exon.niaid.nih.gov/transcriptome/T_rubida/S1/links/PFAM/Triru-contig_333-PFAM.txt","HECT")</f>
        <v>HECT</v>
      </c>
      <c r="BQ167" t="str">
        <f>HYPERLINK("http://pfam.sanger.ac.uk/family?acc=PF00632","4E-024")</f>
        <v>4E-024</v>
      </c>
      <c r="BR167" s="1" t="str">
        <f>HYPERLINK("http://exon.niaid.nih.gov/transcriptome/T_rubida/S1/links/SMART/Triru-contig_333-SMART.txt","HECTc")</f>
        <v>HECTc</v>
      </c>
      <c r="BS167" t="str">
        <f>HYPERLINK("http://smart.embl-heidelberg.de/smart/do_annotation.pl?DOMAIN=HECTc&amp;BLAST=DUMMY","1E-025")</f>
        <v>1E-025</v>
      </c>
      <c r="BT167" s="1" t="str">
        <f>HYPERLINK("http://exon.niaid.nih.gov/transcriptome/T_rubida/S1/links/PRK/Triru-contig_333-PRK.txt","NAD-dependent DNA ligase LigB")</f>
        <v>NAD-dependent DNA ligase LigB</v>
      </c>
      <c r="BU167">
        <v>1.7</v>
      </c>
      <c r="BV167" s="1" t="s">
        <v>57</v>
      </c>
      <c r="BW167" t="s">
        <v>57</v>
      </c>
      <c r="BX167" s="1" t="s">
        <v>57</v>
      </c>
      <c r="BY167" t="s">
        <v>57</v>
      </c>
    </row>
    <row r="168" spans="1:77">
      <c r="A168" t="str">
        <f>HYPERLINK("http://exon.niaid.nih.gov/transcriptome/T_rubida/S1/links/Triru/Triru-contig_568.txt","Triru-contig_568")</f>
        <v>Triru-contig_568</v>
      </c>
      <c r="B168">
        <v>1</v>
      </c>
      <c r="C168" t="str">
        <f>HYPERLINK("http://exon.niaid.nih.gov/transcriptome/T_rubida/S1/links/Triru/Triru-5-48-asb-568.txt","Contig-568")</f>
        <v>Contig-568</v>
      </c>
      <c r="D168" t="str">
        <f>HYPERLINK("http://exon.niaid.nih.gov/transcriptome/T_rubida/S1/links/Triru/Triru-5-48-568-CLU.txt","Contig568")</f>
        <v>Contig568</v>
      </c>
      <c r="E168" t="str">
        <f>HYPERLINK("http://exon.niaid.nih.gov/transcriptome/T_rubida/S1/links/Triru/Triru-5-48-568-qual.txt","62.3")</f>
        <v>62.3</v>
      </c>
      <c r="F168" t="s">
        <v>10</v>
      </c>
      <c r="G168">
        <v>67.900000000000006</v>
      </c>
      <c r="H168">
        <v>143</v>
      </c>
      <c r="I168" t="s">
        <v>580</v>
      </c>
      <c r="J168">
        <v>143</v>
      </c>
      <c r="K168">
        <v>162</v>
      </c>
      <c r="L168">
        <v>93</v>
      </c>
      <c r="M168" t="s">
        <v>5195</v>
      </c>
      <c r="N168" s="15">
        <v>1</v>
      </c>
      <c r="Q168" s="5" t="s">
        <v>5012</v>
      </c>
      <c r="R168" t="s">
        <v>4850</v>
      </c>
      <c r="S168" t="str">
        <f>HYPERLINK("http://exon.niaid.nih.gov/transcriptome/T_rubida/S1/links/KOG/Triru-contig_568-KOG.txt","KOG")</f>
        <v>KOG</v>
      </c>
      <c r="T168" s="23">
        <v>2.9999999999999999E-7</v>
      </c>
      <c r="U168">
        <v>14.3</v>
      </c>
      <c r="V168" s="1" t="str">
        <f>HYPERLINK("http://exon.niaid.nih.gov/transcriptome/T_rubida/S1/links/NR/Triru-contig_568-NR.txt","FK506-binding protein")</f>
        <v>FK506-binding protein</v>
      </c>
      <c r="W168" t="str">
        <f>HYPERLINK("http://www.ncbi.nlm.nih.gov/sutils/blink.cgi?pid=435471","1E-004")</f>
        <v>1E-004</v>
      </c>
      <c r="X168" t="str">
        <f>HYPERLINK("http://www.ncbi.nlm.nih.gov/protein/435471","gi|435471")</f>
        <v>gi|435471</v>
      </c>
      <c r="Y168">
        <v>50.1</v>
      </c>
      <c r="Z168">
        <v>29</v>
      </c>
      <c r="AA168">
        <v>134</v>
      </c>
      <c r="AB168">
        <v>76</v>
      </c>
      <c r="AC168">
        <v>22</v>
      </c>
      <c r="AD168">
        <v>7</v>
      </c>
      <c r="AE168">
        <v>0</v>
      </c>
      <c r="AF168">
        <v>105</v>
      </c>
      <c r="AG168">
        <v>4</v>
      </c>
      <c r="AH168">
        <v>1</v>
      </c>
      <c r="AI168">
        <v>1</v>
      </c>
      <c r="AJ168" t="s">
        <v>11</v>
      </c>
      <c r="AL168" t="s">
        <v>4305</v>
      </c>
      <c r="AM168" t="s">
        <v>4306</v>
      </c>
      <c r="AN168" t="s">
        <v>4307</v>
      </c>
      <c r="AO168" s="1" t="str">
        <f>HYPERLINK("http://exon.niaid.nih.gov/transcriptome/T_rubida/S1/links/SWISSP/Triru-contig_568-SWISSP.txt","Peptidyl-prolyl cis-trans isomerase FKBP2")</f>
        <v>Peptidyl-prolyl cis-trans isomerase FKBP2</v>
      </c>
      <c r="AP168" t="str">
        <f>HYPERLINK("http://www.uniprot.org/uniprot/P45878","1E-005")</f>
        <v>1E-005</v>
      </c>
      <c r="AQ168" t="s">
        <v>4308</v>
      </c>
      <c r="AR168">
        <v>48.9</v>
      </c>
      <c r="AS168">
        <v>29</v>
      </c>
      <c r="AT168">
        <v>70</v>
      </c>
      <c r="AU168">
        <v>21</v>
      </c>
      <c r="AV168">
        <v>9</v>
      </c>
      <c r="AW168">
        <v>0</v>
      </c>
      <c r="AX168">
        <v>111</v>
      </c>
      <c r="AY168">
        <v>4</v>
      </c>
      <c r="AZ168">
        <v>1</v>
      </c>
      <c r="BA168">
        <v>1</v>
      </c>
      <c r="BB168" t="s">
        <v>11</v>
      </c>
      <c r="BD168" t="s">
        <v>704</v>
      </c>
      <c r="BE168" t="s">
        <v>807</v>
      </c>
      <c r="BF168" t="s">
        <v>4309</v>
      </c>
      <c r="BG168" t="s">
        <v>4310</v>
      </c>
      <c r="BH168" s="1" t="s">
        <v>4311</v>
      </c>
      <c r="BI168">
        <f>HYPERLINK("http://exon.niaid.nih.gov/transcriptome/T_rubida/S1/links/GO/Triru-contig_568-GO.txt",0.000007)</f>
        <v>6.9999999999999999E-6</v>
      </c>
      <c r="BJ168" s="1" t="str">
        <f>HYPERLINK("http://exon.niaid.nih.gov/transcriptome/T_rubida/S1/links/CDD/Triru-contig_568-CDD.txt","FKBP_C")</f>
        <v>FKBP_C</v>
      </c>
      <c r="BK168" t="str">
        <f>HYPERLINK("http://www.ncbi.nlm.nih.gov/Structure/cdd/cddsrv.cgi?uid=pfam00254&amp;version=v4.0","1E-004")</f>
        <v>1E-004</v>
      </c>
      <c r="BL168" t="s">
        <v>4312</v>
      </c>
      <c r="BM168" s="1" t="str">
        <f>HYPERLINK("http://exon.niaid.nih.gov/transcriptome/T_rubida/S1/links/KOG/Triru-contig_568-KOG.txt","FKBP-type peptidyl-prolyl cis-trans isomerase")</f>
        <v>FKBP-type peptidyl-prolyl cis-trans isomerase</v>
      </c>
      <c r="BN168" t="str">
        <f>HYPERLINK("http://www.ncbi.nlm.nih.gov/COG/grace/shokog.cgi?KOG0549","3E-007")</f>
        <v>3E-007</v>
      </c>
      <c r="BO168" t="s">
        <v>954</v>
      </c>
      <c r="BP168" s="1" t="str">
        <f>HYPERLINK("http://exon.niaid.nih.gov/transcriptome/T_rubida/S1/links/PFAM/Triru-contig_568-PFAM.txt","FKBP_C")</f>
        <v>FKBP_C</v>
      </c>
      <c r="BQ168" t="str">
        <f>HYPERLINK("http://pfam.sanger.ac.uk/family?acc=PF00254","2E-005")</f>
        <v>2E-005</v>
      </c>
      <c r="BR168" s="1" t="str">
        <f>HYPERLINK("http://exon.niaid.nih.gov/transcriptome/T_rubida/S1/links/SMART/Triru-contig_568-SMART.txt","TLC")</f>
        <v>TLC</v>
      </c>
      <c r="BS168" t="str">
        <f>HYPERLINK("http://smart.embl-heidelberg.de/smart/do_annotation.pl?DOMAIN=TLC&amp;BLAST=DUMMY","0.14")</f>
        <v>0.14</v>
      </c>
      <c r="BT168" s="1" t="str">
        <f>HYPERLINK("http://exon.niaid.nih.gov/transcriptome/T_rubida/S1/links/PRK/Triru-contig_568-PRK.txt","FKBP-type peptidyl-prolyl cis-trans isomerase")</f>
        <v>FKBP-type peptidyl-prolyl cis-trans isomerase</v>
      </c>
      <c r="BU168">
        <v>7.0000000000000001E-3</v>
      </c>
      <c r="BV168" s="1" t="s">
        <v>57</v>
      </c>
      <c r="BW168" t="s">
        <v>57</v>
      </c>
      <c r="BX168" s="1" t="s">
        <v>57</v>
      </c>
      <c r="BY168" t="s">
        <v>57</v>
      </c>
    </row>
    <row r="169" spans="1:77">
      <c r="A169" t="str">
        <f>HYPERLINK("http://exon.niaid.nih.gov/transcriptome/T_rubida/S1/links/Triru/Triru-contig_501.txt","Triru-contig_501")</f>
        <v>Triru-contig_501</v>
      </c>
      <c r="B169">
        <v>1</v>
      </c>
      <c r="C169" t="str">
        <f>HYPERLINK("http://exon.niaid.nih.gov/transcriptome/T_rubida/S1/links/Triru/Triru-5-48-asb-501.txt","Contig-501")</f>
        <v>Contig-501</v>
      </c>
      <c r="D169" t="str">
        <f>HYPERLINK("http://exon.niaid.nih.gov/transcriptome/T_rubida/S1/links/Triru/Triru-5-48-501-CLU.txt","Contig501")</f>
        <v>Contig501</v>
      </c>
      <c r="E169" t="str">
        <f>HYPERLINK("http://exon.niaid.nih.gov/transcriptome/T_rubida/S1/links/Triru/Triru-5-48-501-qual.txt","64.6")</f>
        <v>64.6</v>
      </c>
      <c r="F169" t="s">
        <v>10</v>
      </c>
      <c r="G169">
        <v>65.5</v>
      </c>
      <c r="H169">
        <v>448</v>
      </c>
      <c r="I169" t="s">
        <v>513</v>
      </c>
      <c r="J169">
        <v>448</v>
      </c>
      <c r="K169">
        <v>467</v>
      </c>
      <c r="L169">
        <v>240</v>
      </c>
      <c r="M169" t="s">
        <v>5196</v>
      </c>
      <c r="N169" s="15">
        <v>1</v>
      </c>
      <c r="O169" s="14" t="str">
        <f>HYPERLINK("http://exon.niaid.nih.gov/transcriptome/T_rubida/S1/links/Sigp/TRIRU-CONTIG_501-SigP.txt","Cyt")</f>
        <v>Cyt</v>
      </c>
      <c r="Q169" s="5" t="s">
        <v>4990</v>
      </c>
      <c r="R169" t="s">
        <v>4850</v>
      </c>
      <c r="S169" t="str">
        <f>HYPERLINK("http://exon.niaid.nih.gov/transcriptome/T_rubida/S1/links/KOG/Triru-contig_501-KOG.txt","KOG")</f>
        <v>KOG</v>
      </c>
      <c r="T169" s="23">
        <v>1E-14</v>
      </c>
      <c r="U169">
        <v>30.5</v>
      </c>
      <c r="V169" s="1" t="str">
        <f>HYPERLINK("http://exon.niaid.nih.gov/transcriptome/T_rubida/S1/links/NR/Triru-contig_501-NR.txt","glutathione S-transferase sigma 5")</f>
        <v>glutathione S-transferase sigma 5</v>
      </c>
      <c r="W169" t="str">
        <f>HYPERLINK("http://www.ncbi.nlm.nih.gov/sutils/blink.cgi?pid=329564877","5E-011")</f>
        <v>5E-011</v>
      </c>
      <c r="X169" t="str">
        <f>HYPERLINK("http://www.ncbi.nlm.nih.gov/protein/329564877","gi|329564877")</f>
        <v>gi|329564877</v>
      </c>
      <c r="Y169">
        <v>71.2</v>
      </c>
      <c r="Z169">
        <v>69</v>
      </c>
      <c r="AA169">
        <v>202</v>
      </c>
      <c r="AB169">
        <v>45</v>
      </c>
      <c r="AC169">
        <v>35</v>
      </c>
      <c r="AD169">
        <v>38</v>
      </c>
      <c r="AE169">
        <v>0</v>
      </c>
      <c r="AF169">
        <v>40</v>
      </c>
      <c r="AG169">
        <v>7</v>
      </c>
      <c r="AH169">
        <v>1</v>
      </c>
      <c r="AI169">
        <v>1</v>
      </c>
      <c r="AJ169" t="s">
        <v>11</v>
      </c>
      <c r="AL169" t="s">
        <v>1270</v>
      </c>
      <c r="AM169" t="s">
        <v>3867</v>
      </c>
      <c r="AN169" t="s">
        <v>3868</v>
      </c>
      <c r="AO169" s="1" t="str">
        <f>HYPERLINK("http://exon.niaid.nih.gov/transcriptome/T_rubida/S1/links/SWISSP/Triru-contig_501-SWISSP.txt","Glutathione S-transferase")</f>
        <v>Glutathione S-transferase</v>
      </c>
      <c r="AP169" t="str">
        <f>HYPERLINK("http://www.uniprot.org/uniprot/O18598","3E-011")</f>
        <v>3E-011</v>
      </c>
      <c r="AQ169" t="s">
        <v>3869</v>
      </c>
      <c r="AR169">
        <v>67.8</v>
      </c>
      <c r="AS169">
        <v>61</v>
      </c>
      <c r="AT169">
        <v>46</v>
      </c>
      <c r="AU169">
        <v>30</v>
      </c>
      <c r="AV169">
        <v>33</v>
      </c>
      <c r="AW169">
        <v>0</v>
      </c>
      <c r="AX169">
        <v>40</v>
      </c>
      <c r="AY169">
        <v>7</v>
      </c>
      <c r="AZ169">
        <v>1</v>
      </c>
      <c r="BA169">
        <v>1</v>
      </c>
      <c r="BB169" t="s">
        <v>11</v>
      </c>
      <c r="BD169" t="s">
        <v>704</v>
      </c>
      <c r="BE169" t="s">
        <v>1189</v>
      </c>
      <c r="BF169" t="s">
        <v>3870</v>
      </c>
      <c r="BG169" t="s">
        <v>3871</v>
      </c>
      <c r="BH169" s="1" t="s">
        <v>3872</v>
      </c>
      <c r="BI169">
        <f>HYPERLINK("http://exon.niaid.nih.gov/transcriptome/T_rubida/S1/links/GO/Triru-contig_501-GO.txt",0.00000000008)</f>
        <v>7.9999999999999995E-11</v>
      </c>
      <c r="BJ169" s="1" t="str">
        <f>HYPERLINK("http://exon.niaid.nih.gov/transcriptome/T_rubida/S1/links/CDD/Triru-contig_501-CDD.txt","GST_N")</f>
        <v>GST_N</v>
      </c>
      <c r="BK169" t="str">
        <f>HYPERLINK("http://www.ncbi.nlm.nih.gov/Structure/cdd/cddsrv.cgi?uid=pfam02798&amp;version=v4.0","3E-007")</f>
        <v>3E-007</v>
      </c>
      <c r="BL169" t="s">
        <v>3873</v>
      </c>
      <c r="BM169" s="1" t="str">
        <f>HYPERLINK("http://exon.niaid.nih.gov/transcriptome/T_rubida/S1/links/KOG/Triru-contig_501-KOG.txt","Glutathione S-transferase")</f>
        <v>Glutathione S-transferase</v>
      </c>
      <c r="BN169" t="str">
        <f>HYPERLINK("http://www.ncbi.nlm.nih.gov/COG/grace/shokog.cgi?KOG1695","1E-014")</f>
        <v>1E-014</v>
      </c>
      <c r="BO169" t="s">
        <v>954</v>
      </c>
      <c r="BP169" s="1" t="str">
        <f>HYPERLINK("http://exon.niaid.nih.gov/transcriptome/T_rubida/S1/links/PFAM/Triru-contig_501-PFAM.txt","GST_N")</f>
        <v>GST_N</v>
      </c>
      <c r="BQ169" t="str">
        <f>HYPERLINK("http://pfam.sanger.ac.uk/family?acc=PF02798","7E-008")</f>
        <v>7E-008</v>
      </c>
      <c r="BR169" s="1" t="str">
        <f>HYPERLINK("http://exon.niaid.nih.gov/transcriptome/T_rubida/S1/links/SMART/Triru-contig_501-SMART.txt","POL3Bc")</f>
        <v>POL3Bc</v>
      </c>
      <c r="BS169" t="str">
        <f>HYPERLINK("http://smart.embl-heidelberg.de/smart/do_annotation.pl?DOMAIN=POL3Bc&amp;BLAST=DUMMY","0.44")</f>
        <v>0.44</v>
      </c>
      <c r="BT169" s="1" t="str">
        <f>HYPERLINK("http://exon.niaid.nih.gov/transcriptome/T_rubida/S1/links/PRK/Triru-contig_501-PRK.txt","glutathione s-transferase")</f>
        <v>glutathione s-transferase</v>
      </c>
      <c r="BU169">
        <v>2E-3</v>
      </c>
      <c r="BV169" s="1" t="s">
        <v>57</v>
      </c>
      <c r="BW169" t="s">
        <v>57</v>
      </c>
      <c r="BX169" s="1" t="s">
        <v>57</v>
      </c>
      <c r="BY169" t="s">
        <v>57</v>
      </c>
    </row>
    <row r="170" spans="1:77">
      <c r="A170" t="str">
        <f>HYPERLINK("http://exon.niaid.nih.gov/transcriptome/T_rubida/S1/links/Triru/Triru-contig_103.txt","Triru-contig_103")</f>
        <v>Triru-contig_103</v>
      </c>
      <c r="B170">
        <v>5</v>
      </c>
      <c r="C170" t="str">
        <f>HYPERLINK("http://exon.niaid.nih.gov/transcriptome/T_rubida/S1/links/Triru/Triru-5-48-asb-103.txt","Contig-103")</f>
        <v>Contig-103</v>
      </c>
      <c r="D170" t="str">
        <f>HYPERLINK("http://exon.niaid.nih.gov/transcriptome/T_rubida/S1/links/Triru/Triru-5-48-103-CLU.txt","Contig103")</f>
        <v>Contig103</v>
      </c>
      <c r="E170" t="str">
        <f>HYPERLINK("http://exon.niaid.nih.gov/transcriptome/T_rubida/S1/links/Triru/Triru-5-48-103-qual.txt","89.8")</f>
        <v>89.8</v>
      </c>
      <c r="F170" t="s">
        <v>10</v>
      </c>
      <c r="G170">
        <v>66.099999999999994</v>
      </c>
      <c r="H170">
        <v>423</v>
      </c>
      <c r="I170" t="s">
        <v>115</v>
      </c>
      <c r="J170">
        <v>423</v>
      </c>
      <c r="K170">
        <v>442</v>
      </c>
      <c r="L170">
        <v>153</v>
      </c>
      <c r="M170" t="s">
        <v>5197</v>
      </c>
      <c r="N170" s="15">
        <v>1</v>
      </c>
      <c r="Q170" s="5" t="s">
        <v>4849</v>
      </c>
      <c r="R170" t="s">
        <v>4850</v>
      </c>
      <c r="S170" t="str">
        <f>HYPERLINK("http://exon.niaid.nih.gov/transcriptome/T_rubida/S1/links/NR/Triru-contig_103-NR.txt","NR")</f>
        <v>NR</v>
      </c>
      <c r="T170" s="23">
        <v>2E-8</v>
      </c>
      <c r="U170">
        <v>4.7</v>
      </c>
      <c r="V170" s="1" t="str">
        <f>HYPERLINK("http://exon.niaid.nih.gov/transcriptome/T_rubida/S1/links/NR/Triru-contig_103-NR.txt","hsp70 family member")</f>
        <v>hsp70 family member</v>
      </c>
      <c r="W170" t="str">
        <f>HYPERLINK("http://www.ncbi.nlm.nih.gov/sutils/blink.cgi?pid=27802643","2E-008")</f>
        <v>2E-008</v>
      </c>
      <c r="X170" t="str">
        <f>HYPERLINK("http://www.ncbi.nlm.nih.gov/protein/27802643","gi|27802643")</f>
        <v>gi|27802643</v>
      </c>
      <c r="Y170">
        <v>59.7</v>
      </c>
      <c r="Z170">
        <v>36</v>
      </c>
      <c r="AA170">
        <v>654</v>
      </c>
      <c r="AB170">
        <v>83</v>
      </c>
      <c r="AC170">
        <v>6</v>
      </c>
      <c r="AD170">
        <v>5</v>
      </c>
      <c r="AE170">
        <v>0</v>
      </c>
      <c r="AF170">
        <v>618</v>
      </c>
      <c r="AG170">
        <v>2</v>
      </c>
      <c r="AH170">
        <v>2</v>
      </c>
      <c r="AI170">
        <v>3</v>
      </c>
      <c r="AJ170" t="s">
        <v>888</v>
      </c>
      <c r="AL170" t="s">
        <v>1270</v>
      </c>
      <c r="AM170" t="s">
        <v>1271</v>
      </c>
      <c r="AN170" t="s">
        <v>1272</v>
      </c>
      <c r="AO170" s="1" t="str">
        <f>HYPERLINK("http://exon.niaid.nih.gov/transcriptome/T_rubida/S1/links/SWISSP/Triru-contig_103-SWISSP.txt","Heat shock 70 kDa protein cognate 4")</f>
        <v>Heat shock 70 kDa protein cognate 4</v>
      </c>
      <c r="AP170" t="str">
        <f>HYPERLINK("http://www.uniprot.org/uniprot/Q9U639","2E-006")</f>
        <v>2E-006</v>
      </c>
      <c r="AQ170" t="s">
        <v>1273</v>
      </c>
      <c r="AR170">
        <v>51.6</v>
      </c>
      <c r="AS170">
        <v>25</v>
      </c>
      <c r="AT170">
        <v>83</v>
      </c>
      <c r="AU170">
        <v>4</v>
      </c>
      <c r="AV170">
        <v>5</v>
      </c>
      <c r="AW170">
        <v>0</v>
      </c>
      <c r="AX170">
        <v>627</v>
      </c>
      <c r="AY170">
        <v>24</v>
      </c>
      <c r="AZ170">
        <v>1</v>
      </c>
      <c r="BA170">
        <v>3</v>
      </c>
      <c r="BB170" t="s">
        <v>11</v>
      </c>
      <c r="BD170" t="s">
        <v>704</v>
      </c>
      <c r="BE170" t="s">
        <v>1274</v>
      </c>
      <c r="BF170" t="s">
        <v>1275</v>
      </c>
      <c r="BG170" t="s">
        <v>1276</v>
      </c>
      <c r="BH170" s="1" t="s">
        <v>1277</v>
      </c>
      <c r="BI170">
        <f>HYPERLINK("http://exon.niaid.nih.gov/transcriptome/T_rubida/S1/links/GO/Triru-contig_103-GO.txt",0.00002)</f>
        <v>2.0000000000000002E-5</v>
      </c>
      <c r="BJ170" s="1" t="str">
        <f>HYPERLINK("http://exon.niaid.nih.gov/transcriptome/T_rubida/S1/links/CDD/Triru-contig_103-CDD.txt","PTZ00009")</f>
        <v>PTZ00009</v>
      </c>
      <c r="BK170" t="str">
        <f>HYPERLINK("http://www.ncbi.nlm.nih.gov/Structure/cdd/cddsrv.cgi?uid=PTZ00009&amp;version=v4.0","1E-005")</f>
        <v>1E-005</v>
      </c>
      <c r="BL170" t="s">
        <v>1278</v>
      </c>
      <c r="BM170" s="1" t="str">
        <f>HYPERLINK("http://exon.niaid.nih.gov/transcriptome/T_rubida/S1/links/KOG/Triru-contig_103-KOG.txt","RhoA GTPase effector DIA/Diaphanous")</f>
        <v>RhoA GTPase effector DIA/Diaphanous</v>
      </c>
      <c r="BN170" t="str">
        <f>HYPERLINK("http://www.ncbi.nlm.nih.gov/COG/grace/shokog.cgi?KOG1924","0.002")</f>
        <v>0.002</v>
      </c>
      <c r="BO170" t="s">
        <v>923</v>
      </c>
      <c r="BP170" s="1" t="str">
        <f>HYPERLINK("http://exon.niaid.nih.gov/transcriptome/T_rubida/S1/links/PFAM/Triru-contig_103-PFAM.txt","FAP")</f>
        <v>FAP</v>
      </c>
      <c r="BQ170" t="str">
        <f>HYPERLINK("http://pfam.sanger.ac.uk/family?acc=PF07174","2E-004")</f>
        <v>2E-004</v>
      </c>
      <c r="BR170" s="1" t="str">
        <f>HYPERLINK("http://exon.niaid.nih.gov/transcriptome/T_rubida/S1/links/SMART/Triru-contig_103-SMART.txt","DM6")</f>
        <v>DM6</v>
      </c>
      <c r="BS170" t="str">
        <f>HYPERLINK("http://smart.embl-heidelberg.de/smart/do_annotation.pl?DOMAIN=DM6&amp;BLAST=DUMMY","0.022")</f>
        <v>0.022</v>
      </c>
      <c r="BT170" s="1" t="str">
        <f>HYPERLINK("http://exon.niaid.nih.gov/transcriptome/T_rubida/S1/links/PRK/Triru-contig_103-PRK.txt","heat shock 70 kDa protein")</f>
        <v>heat shock 70 kDa protein</v>
      </c>
      <c r="BU170" s="2">
        <v>6.0000000000000002E-6</v>
      </c>
      <c r="BV170" s="1" t="s">
        <v>57</v>
      </c>
      <c r="BW170" t="s">
        <v>57</v>
      </c>
      <c r="BX170" s="1" t="s">
        <v>57</v>
      </c>
      <c r="BY170" t="s">
        <v>57</v>
      </c>
    </row>
    <row r="171" spans="1:77">
      <c r="A171" t="str">
        <f>HYPERLINK("http://exon.niaid.nih.gov/transcriptome/T_rubida/S1/links/Triru/Triru-contig_120.txt","Triru-contig_120")</f>
        <v>Triru-contig_120</v>
      </c>
      <c r="B171">
        <v>3</v>
      </c>
      <c r="C171" t="str">
        <f>HYPERLINK("http://exon.niaid.nih.gov/transcriptome/T_rubida/S1/links/Triru/Triru-5-48-asb-120.txt","Contig-120")</f>
        <v>Contig-120</v>
      </c>
      <c r="D171" t="str">
        <f>HYPERLINK("http://exon.niaid.nih.gov/transcriptome/T_rubida/S1/links/Triru/Triru-5-48-120-CLU.txt","Contig120")</f>
        <v>Contig120</v>
      </c>
      <c r="E171" t="str">
        <f>HYPERLINK("http://exon.niaid.nih.gov/transcriptome/T_rubida/S1/links/Triru/Triru-5-48-120-qual.txt","67.6")</f>
        <v>67.6</v>
      </c>
      <c r="F171" t="s">
        <v>10</v>
      </c>
      <c r="G171">
        <v>53.8</v>
      </c>
      <c r="H171">
        <v>695</v>
      </c>
      <c r="I171" t="s">
        <v>132</v>
      </c>
      <c r="J171">
        <v>692</v>
      </c>
      <c r="K171">
        <v>715</v>
      </c>
      <c r="L171">
        <v>660</v>
      </c>
      <c r="M171" t="s">
        <v>5198</v>
      </c>
      <c r="N171" s="15">
        <v>2</v>
      </c>
      <c r="O171" s="14" t="str">
        <f>HYPERLINK("http://exon.niaid.nih.gov/transcriptome/T_rubida/S1/links/Sigp/TRIRU-CONTIG_120-SigP.txt","Cyt")</f>
        <v>Cyt</v>
      </c>
      <c r="Q171" s="5" t="s">
        <v>4865</v>
      </c>
      <c r="R171" t="s">
        <v>4850</v>
      </c>
      <c r="S171" t="str">
        <f>HYPERLINK("http://exon.niaid.nih.gov/transcriptome/T_rubida/S1/links/NR/Triru-contig_120-NR.txt","NR")</f>
        <v>NR</v>
      </c>
      <c r="T171" s="23">
        <v>0</v>
      </c>
      <c r="U171">
        <v>89</v>
      </c>
      <c r="V171" s="1" t="str">
        <f>HYPERLINK("http://exon.niaid.nih.gov/transcriptome/T_rubida/S1/links/NR/Triru-contig_120-NR.txt","multifunctional chaperone")</f>
        <v>multifunctional chaperone</v>
      </c>
      <c r="W171" t="str">
        <f>HYPERLINK("http://www.ncbi.nlm.nih.gov/sutils/blink.cgi?pid=263173438","1E-120")</f>
        <v>1E-120</v>
      </c>
      <c r="X171" t="str">
        <f>HYPERLINK("http://www.ncbi.nlm.nih.gov/protein/263173438","gi|263173438")</f>
        <v>gi|263173438</v>
      </c>
      <c r="Y171">
        <v>434</v>
      </c>
      <c r="Z171">
        <v>219</v>
      </c>
      <c r="AA171">
        <v>247</v>
      </c>
      <c r="AB171">
        <v>99</v>
      </c>
      <c r="AC171">
        <v>89</v>
      </c>
      <c r="AD171">
        <v>2</v>
      </c>
      <c r="AE171">
        <v>0</v>
      </c>
      <c r="AF171">
        <v>28</v>
      </c>
      <c r="AG171">
        <v>23</v>
      </c>
      <c r="AH171">
        <v>1</v>
      </c>
      <c r="AI171">
        <v>2</v>
      </c>
      <c r="AJ171" t="s">
        <v>11</v>
      </c>
      <c r="AL171" t="s">
        <v>1294</v>
      </c>
      <c r="AM171" t="s">
        <v>1397</v>
      </c>
      <c r="AN171" t="s">
        <v>1398</v>
      </c>
      <c r="AO171" s="1" t="str">
        <f>HYPERLINK("http://exon.niaid.nih.gov/transcriptome/T_rubida/S1/links/SWISSP/Triru-contig_120-SWISSP.txt","14-3-3 protein zeta")</f>
        <v>14-3-3 protein zeta</v>
      </c>
      <c r="AP171" t="str">
        <f>HYPERLINK("http://www.uniprot.org/uniprot/Q1HR36","1E-114")</f>
        <v>1E-114</v>
      </c>
      <c r="AQ171" t="s">
        <v>1399</v>
      </c>
      <c r="AR171">
        <v>411</v>
      </c>
      <c r="AS171">
        <v>219</v>
      </c>
      <c r="AT171">
        <v>93</v>
      </c>
      <c r="AU171">
        <v>89</v>
      </c>
      <c r="AV171">
        <v>15</v>
      </c>
      <c r="AW171">
        <v>0</v>
      </c>
      <c r="AX171">
        <v>29</v>
      </c>
      <c r="AY171">
        <v>23</v>
      </c>
      <c r="AZ171">
        <v>1</v>
      </c>
      <c r="BA171">
        <v>2</v>
      </c>
      <c r="BB171" t="s">
        <v>11</v>
      </c>
      <c r="BD171" t="s">
        <v>704</v>
      </c>
      <c r="BE171" t="s">
        <v>1400</v>
      </c>
      <c r="BF171" t="s">
        <v>1401</v>
      </c>
      <c r="BG171" t="s">
        <v>1402</v>
      </c>
      <c r="BH171" s="1" t="s">
        <v>1403</v>
      </c>
      <c r="BI171">
        <f>HYPERLINK("http://exon.niaid.nih.gov/transcriptome/T_rubida/S1/links/GO/Triru-contig_120-GO.txt",0)</f>
        <v>0</v>
      </c>
      <c r="BJ171" s="1" t="str">
        <f>HYPERLINK("http://exon.niaid.nih.gov/transcriptome/T_rubida/S1/links/CDD/Triru-contig_120-CDD.txt","14-3-3")</f>
        <v>14-3-3</v>
      </c>
      <c r="BK171" t="str">
        <f>HYPERLINK("http://www.ncbi.nlm.nih.gov/Structure/cdd/cddsrv.cgi?uid=pfam00244&amp;version=v4.0","1E-119")</f>
        <v>1E-119</v>
      </c>
      <c r="BL171" t="s">
        <v>1404</v>
      </c>
      <c r="BM171" s="1" t="str">
        <f>HYPERLINK("http://exon.niaid.nih.gov/transcriptome/T_rubida/S1/links/KOG/Triru-contig_120-KOG.txt","Multifunctional chaperone (14-3-3 family)")</f>
        <v>Multifunctional chaperone (14-3-3 family)</v>
      </c>
      <c r="BN171" t="str">
        <f>HYPERLINK("http://www.ncbi.nlm.nih.gov/COG/grace/shokog.cgi?KOG0841","2E-097")</f>
        <v>2E-097</v>
      </c>
      <c r="BO171" t="s">
        <v>954</v>
      </c>
      <c r="BP171" s="1" t="str">
        <f>HYPERLINK("http://exon.niaid.nih.gov/transcriptome/T_rubida/S1/links/PFAM/Triru-contig_120-PFAM.txt","14-3-3")</f>
        <v>14-3-3</v>
      </c>
      <c r="BQ171" t="str">
        <f>HYPERLINK("http://pfam.sanger.ac.uk/family?acc=PF00244","1E-120")</f>
        <v>1E-120</v>
      </c>
      <c r="BR171" s="1" t="str">
        <f>HYPERLINK("http://exon.niaid.nih.gov/transcriptome/T_rubida/S1/links/SMART/Triru-contig_120-SMART.txt","14_3_3")</f>
        <v>14_3_3</v>
      </c>
      <c r="BS171" t="str">
        <f>HYPERLINK("http://smart.embl-heidelberg.de/smart/do_annotation.pl?DOMAIN=14_3_3&amp;BLAST=DUMMY","6E-095")</f>
        <v>6E-095</v>
      </c>
      <c r="BT171" s="1" t="str">
        <f>HYPERLINK("http://exon.niaid.nih.gov/transcriptome/T_rubida/S1/links/PRK/Triru-contig_120-PRK.txt","ornithine cyclodeaminase")</f>
        <v>ornithine cyclodeaminase</v>
      </c>
      <c r="BU171">
        <v>0.18</v>
      </c>
      <c r="BV171" s="1" t="s">
        <v>57</v>
      </c>
      <c r="BW171" t="s">
        <v>57</v>
      </c>
      <c r="BX171" s="1" t="s">
        <v>57</v>
      </c>
      <c r="BY171" t="s">
        <v>57</v>
      </c>
    </row>
    <row r="172" spans="1:77">
      <c r="A172" t="str">
        <f>HYPERLINK("http://exon.niaid.nih.gov/transcriptome/T_rubida/S1/links/Triru/Triru-contig_409.txt","Triru-contig_409")</f>
        <v>Triru-contig_409</v>
      </c>
      <c r="B172">
        <v>1</v>
      </c>
      <c r="C172" t="str">
        <f>HYPERLINK("http://exon.niaid.nih.gov/transcriptome/T_rubida/S1/links/Triru/Triru-5-48-asb-409.txt","Contig-409")</f>
        <v>Contig-409</v>
      </c>
      <c r="D172" t="str">
        <f>HYPERLINK("http://exon.niaid.nih.gov/transcriptome/T_rubida/S1/links/Triru/Triru-5-48-409-CLU.txt","Contig409")</f>
        <v>Contig409</v>
      </c>
      <c r="E172" t="str">
        <f>HYPERLINK("http://exon.niaid.nih.gov/transcriptome/T_rubida/S1/links/Triru/Triru-5-48-409-qual.txt","45.8")</f>
        <v>45.8</v>
      </c>
      <c r="F172" t="s">
        <v>10</v>
      </c>
      <c r="G172">
        <v>68.5</v>
      </c>
      <c r="H172">
        <v>447</v>
      </c>
      <c r="I172" t="s">
        <v>421</v>
      </c>
      <c r="J172">
        <v>447</v>
      </c>
      <c r="K172">
        <v>466</v>
      </c>
      <c r="L172">
        <v>207</v>
      </c>
      <c r="M172" t="s">
        <v>5199</v>
      </c>
      <c r="N172" s="15">
        <v>3</v>
      </c>
      <c r="O172" s="14" t="str">
        <f>HYPERLINK("http://exon.niaid.nih.gov/transcriptome/T_rubida/S1/links/Sigp/TRIRU-CONTIG_409-SigP.txt","Cyt")</f>
        <v>Cyt</v>
      </c>
      <c r="Q172" s="5" t="s">
        <v>4957</v>
      </c>
      <c r="R172" t="s">
        <v>4850</v>
      </c>
      <c r="S172" t="str">
        <f>HYPERLINK("http://exon.niaid.nih.gov/transcriptome/T_rubida/S1/links/KOG/Triru-contig_409-KOG.txt","KOG")</f>
        <v>KOG</v>
      </c>
      <c r="T172" s="23">
        <v>2.9999999999999999E-16</v>
      </c>
      <c r="U172">
        <v>7.9</v>
      </c>
      <c r="V172" s="1" t="str">
        <f>HYPERLINK("http://exon.niaid.nih.gov/transcriptome/T_rubida/S1/links/NR/Triru-contig_409-NR.txt","AGAP000434-PA")</f>
        <v>AGAP000434-PA</v>
      </c>
      <c r="W172" t="str">
        <f>HYPERLINK("http://www.ncbi.nlm.nih.gov/sutils/blink.cgi?pid=333467021","2E-013")</f>
        <v>2E-013</v>
      </c>
      <c r="X172" t="str">
        <f>HYPERLINK("http://www.ncbi.nlm.nih.gov/protein/333467021","gi|333467021")</f>
        <v>gi|333467021</v>
      </c>
      <c r="Y172">
        <v>79</v>
      </c>
      <c r="Z172">
        <v>38</v>
      </c>
      <c r="AA172">
        <v>712</v>
      </c>
      <c r="AB172">
        <v>94</v>
      </c>
      <c r="AC172">
        <v>5</v>
      </c>
      <c r="AD172">
        <v>2</v>
      </c>
      <c r="AE172">
        <v>0</v>
      </c>
      <c r="AF172">
        <v>673</v>
      </c>
      <c r="AG172">
        <v>10</v>
      </c>
      <c r="AH172">
        <v>1</v>
      </c>
      <c r="AI172">
        <v>1</v>
      </c>
      <c r="AJ172" t="s">
        <v>11</v>
      </c>
      <c r="AL172" t="s">
        <v>2549</v>
      </c>
      <c r="AM172" t="s">
        <v>3256</v>
      </c>
      <c r="AN172" t="s">
        <v>3257</v>
      </c>
      <c r="AO172" s="1" t="str">
        <f>HYPERLINK("http://exon.niaid.nih.gov/transcriptome/T_rubida/S1/links/SWISSP/Triru-contig_409-SWISSP.txt","Dolichyl-diphosphooligosaccharide--protein glycosyltransferase subunit STT3A")</f>
        <v>Dolichyl-diphosphooligosaccharide--protein glycosyltransferase subunit STT3A</v>
      </c>
      <c r="AP172" t="str">
        <f>HYPERLINK("http://www.uniprot.org/uniprot/Q5RCE2","8E-014")</f>
        <v>8E-014</v>
      </c>
      <c r="AQ172" t="s">
        <v>3258</v>
      </c>
      <c r="AR172">
        <v>76.3</v>
      </c>
      <c r="AS172">
        <v>38</v>
      </c>
      <c r="AT172">
        <v>92</v>
      </c>
      <c r="AU172">
        <v>6</v>
      </c>
      <c r="AV172">
        <v>3</v>
      </c>
      <c r="AW172">
        <v>0</v>
      </c>
      <c r="AX172">
        <v>663</v>
      </c>
      <c r="AY172">
        <v>10</v>
      </c>
      <c r="AZ172">
        <v>1</v>
      </c>
      <c r="BA172">
        <v>1</v>
      </c>
      <c r="BB172" t="s">
        <v>11</v>
      </c>
      <c r="BD172" t="s">
        <v>704</v>
      </c>
      <c r="BE172" t="s">
        <v>1508</v>
      </c>
      <c r="BF172" t="s">
        <v>3259</v>
      </c>
      <c r="BG172" t="s">
        <v>3260</v>
      </c>
      <c r="BH172" s="1" t="s">
        <v>3261</v>
      </c>
      <c r="BI172">
        <f>HYPERLINK("http://exon.niaid.nih.gov/transcriptome/T_rubida/S1/links/GO/Triru-contig_409-GO.txt",0.00000000000006)</f>
        <v>5.9999999999999997E-14</v>
      </c>
      <c r="BJ172" s="1" t="str">
        <f>HYPERLINK("http://exon.niaid.nih.gov/transcriptome/T_rubida/S1/links/CDD/Triru-contig_409-CDD.txt","ND5")</f>
        <v>ND5</v>
      </c>
      <c r="BK172" t="str">
        <f>HYPERLINK("http://www.ncbi.nlm.nih.gov/Structure/cdd/cddsrv.cgi?uid=MTH00095&amp;version=v4.0","0.002")</f>
        <v>0.002</v>
      </c>
      <c r="BL172" t="s">
        <v>3262</v>
      </c>
      <c r="BM172" s="1" t="str">
        <f>HYPERLINK("http://exon.niaid.nih.gov/transcriptome/T_rubida/S1/links/KOG/Triru-contig_409-KOG.txt","Oligosaccharyltransferase, STT3 subunit")</f>
        <v>Oligosaccharyltransferase, STT3 subunit</v>
      </c>
      <c r="BN172" t="str">
        <f>HYPERLINK("http://www.ncbi.nlm.nih.gov/COG/grace/shokog.cgi?KOG2292","3E-016")</f>
        <v>3E-016</v>
      </c>
      <c r="BO172" t="s">
        <v>954</v>
      </c>
      <c r="BP172" s="1" t="str">
        <f>HYPERLINK("http://exon.niaid.nih.gov/transcriptome/T_rubida/S1/links/PFAM/Triru-contig_409-PFAM.txt","Baculo_ODV-E27")</f>
        <v>Baculo_ODV-E27</v>
      </c>
      <c r="BQ172" t="str">
        <f>HYPERLINK("http://pfam.sanger.ac.uk/family?acc=PF05314","0.005")</f>
        <v>0.005</v>
      </c>
      <c r="BR172" s="1" t="str">
        <f>HYPERLINK("http://exon.niaid.nih.gov/transcriptome/T_rubida/S1/links/SMART/Triru-contig_409-SMART.txt","DENN")</f>
        <v>DENN</v>
      </c>
      <c r="BS172" t="str">
        <f>HYPERLINK("http://smart.embl-heidelberg.de/smart/do_annotation.pl?DOMAIN=DENN&amp;BLAST=DUMMY","0.070")</f>
        <v>0.070</v>
      </c>
      <c r="BT172" s="1" t="str">
        <f>HYPERLINK("http://exon.niaid.nih.gov/transcriptome/T_rubida/S1/links/PRK/Triru-contig_409-PRK.txt","NADH dehydrogenase subunit 5")</f>
        <v>NADH dehydrogenase subunit 5</v>
      </c>
      <c r="BU172">
        <v>1E-3</v>
      </c>
      <c r="BV172" s="1" t="s">
        <v>57</v>
      </c>
      <c r="BW172" t="s">
        <v>57</v>
      </c>
      <c r="BX172" s="1" t="s">
        <v>57</v>
      </c>
      <c r="BY172" t="s">
        <v>57</v>
      </c>
    </row>
    <row r="173" spans="1:77">
      <c r="A173" t="str">
        <f>HYPERLINK("http://exon.niaid.nih.gov/transcriptome/T_rubida/S1/links/Triru/Triru-contig_346.txt","Triru-contig_346")</f>
        <v>Triru-contig_346</v>
      </c>
      <c r="B173">
        <v>1</v>
      </c>
      <c r="C173" t="str">
        <f>HYPERLINK("http://exon.niaid.nih.gov/transcriptome/T_rubida/S1/links/Triru/Triru-5-48-asb-346.txt","Contig-346")</f>
        <v>Contig-346</v>
      </c>
      <c r="D173" t="str">
        <f>HYPERLINK("http://exon.niaid.nih.gov/transcriptome/T_rubida/S1/links/Triru/Triru-5-48-346-CLU.txt","Contig346")</f>
        <v>Contig346</v>
      </c>
      <c r="E173" t="str">
        <f>HYPERLINK("http://exon.niaid.nih.gov/transcriptome/T_rubida/S1/links/Triru/Triru-5-48-346-qual.txt","62.")</f>
        <v>62.</v>
      </c>
      <c r="F173" t="s">
        <v>10</v>
      </c>
      <c r="G173">
        <v>62.4</v>
      </c>
      <c r="H173">
        <v>542</v>
      </c>
      <c r="I173" t="s">
        <v>358</v>
      </c>
      <c r="J173">
        <v>542</v>
      </c>
      <c r="K173">
        <v>561</v>
      </c>
      <c r="L173">
        <v>525</v>
      </c>
      <c r="M173" t="s">
        <v>5200</v>
      </c>
      <c r="N173" s="15">
        <v>3</v>
      </c>
      <c r="Q173" s="5" t="s">
        <v>4939</v>
      </c>
      <c r="R173" t="s">
        <v>4850</v>
      </c>
      <c r="S173" t="str">
        <f>HYPERLINK("http://exon.niaid.nih.gov/transcriptome/T_rubida/S1/links/KOG/Triru-contig_346-KOG.txt","KOG")</f>
        <v>KOG</v>
      </c>
      <c r="T173" s="23">
        <v>2.0000000000000001E-53</v>
      </c>
      <c r="U173">
        <v>33.6</v>
      </c>
      <c r="V173" s="1" t="str">
        <f>HYPERLINK("http://exon.niaid.nih.gov/transcriptome/T_rubida/S1/links/NR/Triru-contig_346-NR.txt","similar to AGAP012407-PA")</f>
        <v>similar to AGAP012407-PA</v>
      </c>
      <c r="W173" t="str">
        <f>HYPERLINK("http://www.ncbi.nlm.nih.gov/sutils/blink.cgi?pid=189235323","3E-057")</f>
        <v>3E-057</v>
      </c>
      <c r="X173" t="str">
        <f>HYPERLINK("http://www.ncbi.nlm.nih.gov/protein/189235323","gi|189235323")</f>
        <v>gi|189235323</v>
      </c>
      <c r="Y173">
        <v>225</v>
      </c>
      <c r="Z173">
        <v>469</v>
      </c>
      <c r="AA173">
        <v>814</v>
      </c>
      <c r="AB173">
        <v>65</v>
      </c>
      <c r="AC173">
        <v>58</v>
      </c>
      <c r="AD173">
        <v>56</v>
      </c>
      <c r="AE173">
        <v>0</v>
      </c>
      <c r="AF173">
        <v>29</v>
      </c>
      <c r="AG173">
        <v>39</v>
      </c>
      <c r="AH173">
        <v>2</v>
      </c>
      <c r="AI173">
        <v>3</v>
      </c>
      <c r="AJ173" t="s">
        <v>11</v>
      </c>
      <c r="AL173" t="s">
        <v>1483</v>
      </c>
      <c r="AM173" t="s">
        <v>2823</v>
      </c>
      <c r="AN173" t="s">
        <v>2824</v>
      </c>
      <c r="AO173" s="1" t="str">
        <f>HYPERLINK("http://exon.niaid.nih.gov/transcriptome/T_rubida/S1/links/SWISSP/Triru-contig_346-SWISSP.txt","Protein disulfide-isomerase")</f>
        <v>Protein disulfide-isomerase</v>
      </c>
      <c r="AP173" t="str">
        <f>HYPERLINK("http://www.uniprot.org/uniprot/P54399","5E-054")</f>
        <v>5E-054</v>
      </c>
      <c r="AQ173" t="s">
        <v>2825</v>
      </c>
      <c r="AR173">
        <v>210</v>
      </c>
      <c r="AS173">
        <v>467</v>
      </c>
      <c r="AT173">
        <v>60</v>
      </c>
      <c r="AU173">
        <v>94</v>
      </c>
      <c r="AV173">
        <v>64</v>
      </c>
      <c r="AW173">
        <v>0</v>
      </c>
      <c r="AX173">
        <v>29</v>
      </c>
      <c r="AY173">
        <v>42</v>
      </c>
      <c r="AZ173">
        <v>2</v>
      </c>
      <c r="BA173">
        <v>3</v>
      </c>
      <c r="BB173" t="s">
        <v>11</v>
      </c>
      <c r="BD173" t="s">
        <v>704</v>
      </c>
      <c r="BE173" t="s">
        <v>1125</v>
      </c>
      <c r="BF173" t="s">
        <v>2826</v>
      </c>
      <c r="BG173" t="s">
        <v>2827</v>
      </c>
      <c r="BH173" s="1" t="s">
        <v>2828</v>
      </c>
      <c r="BI173">
        <f>HYPERLINK("http://exon.niaid.nih.gov/transcriptome/T_rubida/S1/links/GO/Triru-contig_346-GO.txt",4E-54)</f>
        <v>4.0000000000000001E-54</v>
      </c>
      <c r="BJ173" s="1" t="str">
        <f>HYPERLINK("http://exon.niaid.nih.gov/transcriptome/T_rubida/S1/links/CDD/Triru-contig_346-CDD.txt","ER_PDI_fam")</f>
        <v>ER_PDI_fam</v>
      </c>
      <c r="BK173" t="str">
        <f>HYPERLINK("http://www.ncbi.nlm.nih.gov/Structure/cdd/cddsrv.cgi?uid=TIGR01130&amp;version=v4.0","5E-055")</f>
        <v>5E-055</v>
      </c>
      <c r="BL173" t="s">
        <v>2829</v>
      </c>
      <c r="BM173" s="1" t="str">
        <f>HYPERLINK("http://exon.niaid.nih.gov/transcriptome/T_rubida/S1/links/KOG/Triru-contig_346-KOG.txt","Protein disulfide isomerase (prolyl 4-hydroxylase beta subunit)")</f>
        <v>Protein disulfide isomerase (prolyl 4-hydroxylase beta subunit)</v>
      </c>
      <c r="BN173" t="str">
        <f>HYPERLINK("http://www.ncbi.nlm.nih.gov/COG/grace/shokog.cgi?KOG0190","2E-053")</f>
        <v>2E-053</v>
      </c>
      <c r="BO173" t="s">
        <v>954</v>
      </c>
      <c r="BP173" s="1" t="str">
        <f>HYPERLINK("http://exon.niaid.nih.gov/transcriptome/T_rubida/S1/links/PFAM/Triru-contig_346-PFAM.txt","Thioredoxin")</f>
        <v>Thioredoxin</v>
      </c>
      <c r="BQ173" t="str">
        <f>HYPERLINK("http://pfam.sanger.ac.uk/family?acc=PF00085","8E-033")</f>
        <v>8E-033</v>
      </c>
      <c r="BR173" s="1" t="str">
        <f>HYPERLINK("http://exon.niaid.nih.gov/transcriptome/T_rubida/S1/links/SMART/Triru-contig_346-SMART.txt","BAR")</f>
        <v>BAR</v>
      </c>
      <c r="BS173" t="str">
        <f>HYPERLINK("http://smart.embl-heidelberg.de/smart/do_annotation.pl?DOMAIN=BAR&amp;BLAST=DUMMY","3E-004")</f>
        <v>3E-004</v>
      </c>
      <c r="BT173" s="1" t="str">
        <f>HYPERLINK("http://exon.niaid.nih.gov/transcriptome/T_rubida/S1/links/PRK/Triru-contig_346-PRK.txt","disulphide isomerase")</f>
        <v>disulphide isomerase</v>
      </c>
      <c r="BU173" s="2">
        <v>5.0000000000000003E-34</v>
      </c>
      <c r="BV173" s="1" t="s">
        <v>57</v>
      </c>
      <c r="BW173" t="s">
        <v>57</v>
      </c>
      <c r="BX173" s="1" t="s">
        <v>57</v>
      </c>
      <c r="BY173" t="s">
        <v>57</v>
      </c>
    </row>
    <row r="174" spans="1:77">
      <c r="A174" t="str">
        <f>HYPERLINK("http://exon.niaid.nih.gov/transcriptome/T_rubida/S1/links/Triru/Triru-contig_487.txt","Triru-contig_487")</f>
        <v>Triru-contig_487</v>
      </c>
      <c r="B174">
        <v>1</v>
      </c>
      <c r="C174" t="str">
        <f>HYPERLINK("http://exon.niaid.nih.gov/transcriptome/T_rubida/S1/links/Triru/Triru-5-48-asb-487.txt","Contig-487")</f>
        <v>Contig-487</v>
      </c>
      <c r="D174" t="str">
        <f>HYPERLINK("http://exon.niaid.nih.gov/transcriptome/T_rubida/S1/links/Triru/Triru-5-48-487-CLU.txt","Contig487")</f>
        <v>Contig487</v>
      </c>
      <c r="E174" t="str">
        <f>HYPERLINK("http://exon.niaid.nih.gov/transcriptome/T_rubida/S1/links/Triru/Triru-5-48-487-qual.txt","53.4")</f>
        <v>53.4</v>
      </c>
      <c r="F174">
        <v>0.2</v>
      </c>
      <c r="G174">
        <v>60.2</v>
      </c>
      <c r="H174">
        <v>616</v>
      </c>
      <c r="I174" t="s">
        <v>499</v>
      </c>
      <c r="J174">
        <v>616</v>
      </c>
      <c r="K174">
        <v>635</v>
      </c>
      <c r="L174">
        <v>336</v>
      </c>
      <c r="M174" t="s">
        <v>5201</v>
      </c>
      <c r="N174" s="15">
        <v>1</v>
      </c>
      <c r="O174" s="14" t="str">
        <f>HYPERLINK("http://exon.niaid.nih.gov/transcriptome/T_rubida/S1/links/Sigp/TRIRU-CONTIG_487-SigP.txt","Cyt")</f>
        <v>Cyt</v>
      </c>
      <c r="Q174" s="5" t="s">
        <v>4986</v>
      </c>
      <c r="R174" t="s">
        <v>4850</v>
      </c>
      <c r="S174" t="str">
        <f>HYPERLINK("http://exon.niaid.nih.gov/transcriptome/T_rubida/S1/links/KOG/Triru-contig_487-KOG.txt","KOG")</f>
        <v>KOG</v>
      </c>
      <c r="T174" s="23">
        <v>2.0000000000000001E-18</v>
      </c>
      <c r="U174">
        <v>18.2</v>
      </c>
      <c r="V174" s="1" t="str">
        <f>HYPERLINK("http://exon.niaid.nih.gov/transcriptome/T_rubida/S1/links/NR/Triru-contig_487-NR.txt","ubiquilin-1, putative")</f>
        <v>ubiquilin-1, putative</v>
      </c>
      <c r="W174" t="str">
        <f>HYPERLINK("http://www.ncbi.nlm.nih.gov/sutils/blink.cgi?pid=242013092","9E-022")</f>
        <v>9E-022</v>
      </c>
      <c r="X174" t="str">
        <f>HYPERLINK("http://www.ncbi.nlm.nih.gov/protein/242013092","gi|242013092")</f>
        <v>gi|242013092</v>
      </c>
      <c r="Y174">
        <v>107</v>
      </c>
      <c r="Z174">
        <v>106</v>
      </c>
      <c r="AA174">
        <v>524</v>
      </c>
      <c r="AB174">
        <v>54</v>
      </c>
      <c r="AC174">
        <v>20</v>
      </c>
      <c r="AD174">
        <v>51</v>
      </c>
      <c r="AE174">
        <v>0</v>
      </c>
      <c r="AF174">
        <v>415</v>
      </c>
      <c r="AG174">
        <v>4</v>
      </c>
      <c r="AH174">
        <v>1</v>
      </c>
      <c r="AI174">
        <v>1</v>
      </c>
      <c r="AJ174" t="s">
        <v>11</v>
      </c>
      <c r="AL174" t="s">
        <v>1177</v>
      </c>
      <c r="AM174" t="s">
        <v>3777</v>
      </c>
      <c r="AN174" t="s">
        <v>3778</v>
      </c>
      <c r="AO174" s="1" t="str">
        <f>HYPERLINK("http://exon.niaid.nih.gov/transcriptome/T_rubida/S1/links/SWISSP/Triru-contig_487-SWISSP.txt","Ubiquilin-2")</f>
        <v>Ubiquilin-2</v>
      </c>
      <c r="AP174" t="str">
        <f>HYPERLINK("http://www.uniprot.org/uniprot/Q9UHD9","2E-015")</f>
        <v>2E-015</v>
      </c>
      <c r="AQ174" t="s">
        <v>3779</v>
      </c>
      <c r="AR174">
        <v>82.4</v>
      </c>
      <c r="AS174">
        <v>92</v>
      </c>
      <c r="AT174">
        <v>48</v>
      </c>
      <c r="AU174">
        <v>15</v>
      </c>
      <c r="AV174">
        <v>54</v>
      </c>
      <c r="AW174">
        <v>1</v>
      </c>
      <c r="AX174">
        <v>529</v>
      </c>
      <c r="AY174">
        <v>7</v>
      </c>
      <c r="AZ174">
        <v>1</v>
      </c>
      <c r="BA174">
        <v>1</v>
      </c>
      <c r="BB174" t="s">
        <v>11</v>
      </c>
      <c r="BD174" t="s">
        <v>704</v>
      </c>
      <c r="BE174" t="s">
        <v>1233</v>
      </c>
      <c r="BF174" t="s">
        <v>3780</v>
      </c>
      <c r="BG174" t="s">
        <v>3781</v>
      </c>
      <c r="BH174" s="1" t="s">
        <v>3782</v>
      </c>
      <c r="BI174">
        <f>HYPERLINK("http://exon.niaid.nih.gov/transcriptome/T_rubida/S1/links/GO/Triru-contig_487-GO.txt",0.0000000000000002)</f>
        <v>2E-16</v>
      </c>
      <c r="BJ174" s="1" t="str">
        <f>HYPERLINK("http://exon.niaid.nih.gov/transcriptome/T_rubida/S1/links/CDD/Triru-contig_487-CDD.txt","UBA")</f>
        <v>UBA</v>
      </c>
      <c r="BK174" t="str">
        <f>HYPERLINK("http://www.ncbi.nlm.nih.gov/Structure/cdd/cddsrv.cgi?uid=cd00194&amp;version=v4.0","4E-006")</f>
        <v>4E-006</v>
      </c>
      <c r="BL174" t="s">
        <v>3783</v>
      </c>
      <c r="BM174" s="1" t="str">
        <f>HYPERLINK("http://exon.niaid.nih.gov/transcriptome/T_rubida/S1/links/KOG/Triru-contig_487-KOG.txt","Ubiquitin-like protein")</f>
        <v>Ubiquitin-like protein</v>
      </c>
      <c r="BN174" t="str">
        <f>HYPERLINK("http://www.ncbi.nlm.nih.gov/COG/grace/shokog.cgi?KOG0010","2E-018")</f>
        <v>2E-018</v>
      </c>
      <c r="BO174" t="s">
        <v>3784</v>
      </c>
      <c r="BP174" s="1" t="str">
        <f>HYPERLINK("http://exon.niaid.nih.gov/transcriptome/T_rubida/S1/links/PFAM/Triru-contig_487-PFAM.txt","UBA")</f>
        <v>UBA</v>
      </c>
      <c r="BQ174" t="str">
        <f>HYPERLINK("http://pfam.sanger.ac.uk/family?acc=PF00627","1E-005")</f>
        <v>1E-005</v>
      </c>
      <c r="BR174" s="1" t="str">
        <f>HYPERLINK("http://exon.niaid.nih.gov/transcriptome/T_rubida/S1/links/SMART/Triru-contig_487-SMART.txt","UBA")</f>
        <v>UBA</v>
      </c>
      <c r="BS174" t="str">
        <f>HYPERLINK("http://smart.embl-heidelberg.de/smart/do_annotation.pl?DOMAIN=UBA&amp;BLAST=DUMMY","4E-008")</f>
        <v>4E-008</v>
      </c>
      <c r="BT174" s="1" t="str">
        <f>HYPERLINK("http://exon.niaid.nih.gov/transcriptome/T_rubida/S1/links/PRK/Triru-contig_487-PRK.txt","NADH dehydrogenase subunit 2")</f>
        <v>NADH dehydrogenase subunit 2</v>
      </c>
      <c r="BU174">
        <v>0.21</v>
      </c>
      <c r="BV174" s="1" t="s">
        <v>57</v>
      </c>
      <c r="BW174" t="s">
        <v>57</v>
      </c>
      <c r="BX174" s="1" t="s">
        <v>57</v>
      </c>
      <c r="BY174" t="s">
        <v>57</v>
      </c>
    </row>
    <row r="175" spans="1:77">
      <c r="A175" t="str">
        <f>HYPERLINK("http://exon.niaid.nih.gov/transcriptome/T_rubida/S1/links/Triru/Triru-contig_461.txt","Triru-contig_461")</f>
        <v>Triru-contig_461</v>
      </c>
      <c r="B175">
        <v>1</v>
      </c>
      <c r="C175" t="str">
        <f>HYPERLINK("http://exon.niaid.nih.gov/transcriptome/T_rubida/S1/links/Triru/Triru-5-48-asb-461.txt","Contig-461")</f>
        <v>Contig-461</v>
      </c>
      <c r="D175" t="str">
        <f>HYPERLINK("http://exon.niaid.nih.gov/transcriptome/T_rubida/S1/links/Triru/Triru-5-48-461-CLU.txt","Contig461")</f>
        <v>Contig461</v>
      </c>
      <c r="E175" t="str">
        <f>HYPERLINK("http://exon.niaid.nih.gov/transcriptome/T_rubida/S1/links/Triru/Triru-5-48-461-qual.txt","60.3")</f>
        <v>60.3</v>
      </c>
      <c r="F175" t="s">
        <v>10</v>
      </c>
      <c r="G175">
        <v>59.8</v>
      </c>
      <c r="H175">
        <v>605</v>
      </c>
      <c r="I175" t="s">
        <v>473</v>
      </c>
      <c r="J175">
        <v>605</v>
      </c>
      <c r="K175">
        <v>624</v>
      </c>
      <c r="L175">
        <v>531</v>
      </c>
      <c r="M175" t="s">
        <v>5202</v>
      </c>
      <c r="N175" s="15">
        <v>1</v>
      </c>
      <c r="O175" s="14" t="str">
        <f>HYPERLINK("http://exon.niaid.nih.gov/transcriptome/T_rubida/S1/links/Sigp/TRIRU-CONTIG_461-SigP.txt","Cyt")</f>
        <v>Cyt</v>
      </c>
      <c r="Q175" s="5" t="s">
        <v>4976</v>
      </c>
      <c r="R175" t="s">
        <v>4965</v>
      </c>
      <c r="S175" t="str">
        <f>HYPERLINK("http://exon.niaid.nih.gov/transcriptome/T_rubida/S1/links/NR/Triru-contig_461-NR.txt","NR")</f>
        <v>NR</v>
      </c>
      <c r="T175" s="23">
        <v>3.0000000000000001E-59</v>
      </c>
      <c r="U175">
        <v>34.1</v>
      </c>
      <c r="V175" s="1" t="str">
        <f>HYPERLINK("http://exon.niaid.nih.gov/transcriptome/T_rubida/S1/links/NR/Triru-contig_461-NR.txt","hypothetical protein")</f>
        <v>hypothetical protein</v>
      </c>
      <c r="W175" t="str">
        <f>HYPERLINK("http://www.ncbi.nlm.nih.gov/sutils/blink.cgi?pid=156545944","6E-060")</f>
        <v>6E-060</v>
      </c>
      <c r="X175" t="str">
        <f>HYPERLINK("http://www.ncbi.nlm.nih.gov/protein/156545944","gi|156545944")</f>
        <v>gi|156545944</v>
      </c>
      <c r="Y175">
        <v>234</v>
      </c>
      <c r="Z175">
        <v>174</v>
      </c>
      <c r="AA175">
        <v>526</v>
      </c>
      <c r="AB175">
        <v>63</v>
      </c>
      <c r="AC175">
        <v>33</v>
      </c>
      <c r="AD175">
        <v>64</v>
      </c>
      <c r="AE175">
        <v>0</v>
      </c>
      <c r="AF175">
        <v>340</v>
      </c>
      <c r="AG175">
        <v>4</v>
      </c>
      <c r="AH175">
        <v>1</v>
      </c>
      <c r="AI175">
        <v>1</v>
      </c>
      <c r="AJ175" t="s">
        <v>11</v>
      </c>
      <c r="AL175" t="s">
        <v>1330</v>
      </c>
      <c r="AM175" t="s">
        <v>3604</v>
      </c>
      <c r="AN175" t="s">
        <v>3605</v>
      </c>
      <c r="AO175" s="1" t="str">
        <f>HYPERLINK("http://exon.niaid.nih.gov/transcriptome/T_rubida/S1/links/SWISSP/Triru-contig_461-SWISSP.txt","Putative aminopeptidase W07G4.4")</f>
        <v>Putative aminopeptidase W07G4.4</v>
      </c>
      <c r="AP175" t="str">
        <f>HYPERLINK("http://www.uniprot.org/uniprot/Q27245","2E-035")</f>
        <v>2E-035</v>
      </c>
      <c r="AQ175" t="s">
        <v>3417</v>
      </c>
      <c r="AR175">
        <v>148</v>
      </c>
      <c r="AS175">
        <v>174</v>
      </c>
      <c r="AT175">
        <v>43</v>
      </c>
      <c r="AU175">
        <v>34</v>
      </c>
      <c r="AV175">
        <v>99</v>
      </c>
      <c r="AW175">
        <v>0</v>
      </c>
      <c r="AX175">
        <v>345</v>
      </c>
      <c r="AY175">
        <v>4</v>
      </c>
      <c r="AZ175">
        <v>1</v>
      </c>
      <c r="BA175">
        <v>1</v>
      </c>
      <c r="BB175" t="s">
        <v>11</v>
      </c>
      <c r="BD175" t="s">
        <v>704</v>
      </c>
      <c r="BE175" t="s">
        <v>1385</v>
      </c>
      <c r="BF175" t="s">
        <v>3606</v>
      </c>
      <c r="BG175" t="s">
        <v>3607</v>
      </c>
      <c r="BH175" s="1" t="s">
        <v>3420</v>
      </c>
      <c r="BI175">
        <f>HYPERLINK("http://exon.niaid.nih.gov/transcriptome/T_rubida/S1/links/GO/Triru-contig_461-GO.txt",2E-57)</f>
        <v>1.9999999999999999E-57</v>
      </c>
      <c r="BJ175" s="1" t="str">
        <f>HYPERLINK("http://exon.niaid.nih.gov/transcriptome/T_rubida/S1/links/CDD/Triru-contig_461-CDD.txt","Peptidase_M17")</f>
        <v>Peptidase_M17</v>
      </c>
      <c r="BK175" t="str">
        <f>HYPERLINK("http://www.ncbi.nlm.nih.gov/Structure/cdd/cddsrv.cgi?uid=cd00433&amp;version=v4.0","4E-028")</f>
        <v>4E-028</v>
      </c>
      <c r="BL175" t="s">
        <v>3608</v>
      </c>
      <c r="BM175" s="1" t="str">
        <f>HYPERLINK("http://exon.niaid.nih.gov/transcriptome/T_rubida/S1/links/KOG/Triru-contig_461-KOG.txt","Predicted aminopeptidase of the M17 family")</f>
        <v>Predicted aminopeptidase of the M17 family</v>
      </c>
      <c r="BN175" t="str">
        <f>HYPERLINK("http://www.ncbi.nlm.nih.gov/COG/grace/shokog.cgi?KOG2597","6E-026")</f>
        <v>6E-026</v>
      </c>
      <c r="BO175" t="s">
        <v>750</v>
      </c>
      <c r="BP175" s="1" t="str">
        <f>HYPERLINK("http://exon.niaid.nih.gov/transcriptome/T_rubida/S1/links/PFAM/Triru-contig_461-PFAM.txt","Peptidase_M17")</f>
        <v>Peptidase_M17</v>
      </c>
      <c r="BQ175" t="str">
        <f>HYPERLINK("http://pfam.sanger.ac.uk/family?acc=PF00883","1E-013")</f>
        <v>1E-013</v>
      </c>
      <c r="BR175" s="1" t="str">
        <f>HYPERLINK("http://exon.niaid.nih.gov/transcriptome/T_rubida/S1/links/SMART/Triru-contig_461-SMART.txt","PSA")</f>
        <v>PSA</v>
      </c>
      <c r="BS175" t="str">
        <f>HYPERLINK("http://smart.embl-heidelberg.de/smart/do_annotation.pl?DOMAIN=PSA&amp;BLAST=DUMMY","0.32")</f>
        <v>0.32</v>
      </c>
      <c r="BT175" s="1" t="str">
        <f>HYPERLINK("http://exon.niaid.nih.gov/transcriptome/T_rubida/S1/links/PRK/Triru-contig_461-PRK.txt","multifunctional aminopeptidase A")</f>
        <v>multifunctional aminopeptidase A</v>
      </c>
      <c r="BU175" s="2">
        <v>8.0000000000000005E-9</v>
      </c>
      <c r="BV175" s="1" t="s">
        <v>57</v>
      </c>
      <c r="BW175" t="s">
        <v>57</v>
      </c>
      <c r="BX175" s="1" t="s">
        <v>57</v>
      </c>
      <c r="BY175" t="s">
        <v>57</v>
      </c>
    </row>
    <row r="176" spans="1:77">
      <c r="A176" t="str">
        <f>HYPERLINK("http://exon.niaid.nih.gov/transcriptome/T_rubida/S1/links/Triru/Triru-contig_434.txt","Triru-contig_434")</f>
        <v>Triru-contig_434</v>
      </c>
      <c r="B176">
        <v>1</v>
      </c>
      <c r="C176" t="str">
        <f>HYPERLINK("http://exon.niaid.nih.gov/transcriptome/T_rubida/S1/links/Triru/Triru-5-48-asb-434.txt","Contig-434")</f>
        <v>Contig-434</v>
      </c>
      <c r="D176" t="str">
        <f>HYPERLINK("http://exon.niaid.nih.gov/transcriptome/T_rubida/S1/links/Triru/Triru-5-48-434-CLU.txt","Contig434")</f>
        <v>Contig434</v>
      </c>
      <c r="E176" t="str">
        <f>HYPERLINK("http://exon.niaid.nih.gov/transcriptome/T_rubida/S1/links/Triru/Triru-5-48-434-qual.txt","49.1")</f>
        <v>49.1</v>
      </c>
      <c r="F176" t="s">
        <v>10</v>
      </c>
      <c r="G176">
        <v>59.9</v>
      </c>
      <c r="H176">
        <v>380</v>
      </c>
      <c r="I176" t="s">
        <v>446</v>
      </c>
      <c r="J176">
        <v>380</v>
      </c>
      <c r="K176">
        <v>399</v>
      </c>
      <c r="L176">
        <v>303</v>
      </c>
      <c r="M176" t="s">
        <v>5203</v>
      </c>
      <c r="N176" s="15">
        <v>3</v>
      </c>
      <c r="O176" s="14" t="str">
        <f>HYPERLINK("http://exon.niaid.nih.gov/transcriptome/T_rubida/S1/links/Sigp/TRIRU-CONTIG_434-SigP.txt","Cyt")</f>
        <v>Cyt</v>
      </c>
      <c r="Q176" s="5" t="s">
        <v>4964</v>
      </c>
      <c r="R176" t="s">
        <v>4965</v>
      </c>
      <c r="S176" t="str">
        <f>HYPERLINK("http://exon.niaid.nih.gov/transcriptome/T_rubida/S1/links/GO/Triru-contig_434-GO.txt","GO")</f>
        <v>GO</v>
      </c>
      <c r="T176" s="23">
        <v>9.9999999999999997E-29</v>
      </c>
      <c r="U176">
        <v>19</v>
      </c>
      <c r="V176" s="1" t="str">
        <f>HYPERLINK("http://exon.niaid.nih.gov/transcriptome/T_rubida/S1/links/NR/Triru-contig_434-NR.txt","hypothetical protein")</f>
        <v>hypothetical protein</v>
      </c>
      <c r="W176" t="str">
        <f>HYPERLINK("http://www.ncbi.nlm.nih.gov/sutils/blink.cgi?pid=156545944","8E-030")</f>
        <v>8E-030</v>
      </c>
      <c r="X176" t="str">
        <f>HYPERLINK("http://www.ncbi.nlm.nih.gov/protein/156545944","gi|156545944")</f>
        <v>gi|156545944</v>
      </c>
      <c r="Y176">
        <v>133</v>
      </c>
      <c r="Z176">
        <v>99</v>
      </c>
      <c r="AA176">
        <v>526</v>
      </c>
      <c r="AB176">
        <v>62</v>
      </c>
      <c r="AC176">
        <v>19</v>
      </c>
      <c r="AD176">
        <v>38</v>
      </c>
      <c r="AE176">
        <v>0</v>
      </c>
      <c r="AF176">
        <v>415</v>
      </c>
      <c r="AG176">
        <v>3</v>
      </c>
      <c r="AH176">
        <v>1</v>
      </c>
      <c r="AI176">
        <v>3</v>
      </c>
      <c r="AJ176" t="s">
        <v>11</v>
      </c>
      <c r="AL176" t="s">
        <v>1330</v>
      </c>
      <c r="AM176" t="s">
        <v>3415</v>
      </c>
      <c r="AN176" t="s">
        <v>3416</v>
      </c>
      <c r="AO176" s="1" t="str">
        <f>HYPERLINK("http://exon.niaid.nih.gov/transcriptome/T_rubida/S1/links/SWISSP/Triru-contig_434-SWISSP.txt","Putative aminopeptidase W07G4.4")</f>
        <v>Putative aminopeptidase W07G4.4</v>
      </c>
      <c r="AP176" t="str">
        <f>HYPERLINK("http://www.uniprot.org/uniprot/Q27245","5E-015")</f>
        <v>5E-015</v>
      </c>
      <c r="AQ176" t="s">
        <v>3417</v>
      </c>
      <c r="AR176">
        <v>79.7</v>
      </c>
      <c r="AS176">
        <v>100</v>
      </c>
      <c r="AT176">
        <v>38</v>
      </c>
      <c r="AU176">
        <v>19</v>
      </c>
      <c r="AV176">
        <v>62</v>
      </c>
      <c r="AW176">
        <v>0</v>
      </c>
      <c r="AX176">
        <v>419</v>
      </c>
      <c r="AY176">
        <v>3</v>
      </c>
      <c r="AZ176">
        <v>1</v>
      </c>
      <c r="BA176">
        <v>3</v>
      </c>
      <c r="BB176" t="s">
        <v>11</v>
      </c>
      <c r="BD176" t="s">
        <v>704</v>
      </c>
      <c r="BE176" t="s">
        <v>1385</v>
      </c>
      <c r="BF176" t="s">
        <v>3418</v>
      </c>
      <c r="BG176" t="s">
        <v>3419</v>
      </c>
      <c r="BH176" s="1" t="s">
        <v>3420</v>
      </c>
      <c r="BI176">
        <f>HYPERLINK("http://exon.niaid.nih.gov/transcriptome/T_rubida/S1/links/GO/Triru-contig_434-GO.txt",1E-28)</f>
        <v>9.9999999999999997E-29</v>
      </c>
      <c r="BJ176" s="1" t="str">
        <f>HYPERLINK("http://exon.niaid.nih.gov/transcriptome/T_rubida/S1/links/CDD/Triru-contig_434-CDD.txt","Peptidase_M17")</f>
        <v>Peptidase_M17</v>
      </c>
      <c r="BK176" t="str">
        <f>HYPERLINK("http://www.ncbi.nlm.nih.gov/Structure/cdd/cddsrv.cgi?uid=cd00433&amp;version=v4.0","5E-007")</f>
        <v>5E-007</v>
      </c>
      <c r="BL176" t="s">
        <v>3421</v>
      </c>
      <c r="BM176" s="1" t="str">
        <f>HYPERLINK("http://exon.niaid.nih.gov/transcriptome/T_rubida/S1/links/KOG/Triru-contig_434-KOG.txt","Predicted aminopeptidase of the M17 family")</f>
        <v>Predicted aminopeptidase of the M17 family</v>
      </c>
      <c r="BN176" t="str">
        <f>HYPERLINK("http://www.ncbi.nlm.nih.gov/COG/grace/shokog.cgi?KOG2597","1E-006")</f>
        <v>1E-006</v>
      </c>
      <c r="BO176" t="s">
        <v>750</v>
      </c>
      <c r="BP176" s="1" t="str">
        <f>HYPERLINK("http://exon.niaid.nih.gov/transcriptome/T_rubida/S1/links/PFAM/Triru-contig_434-PFAM.txt","DUF2359")</f>
        <v>DUF2359</v>
      </c>
      <c r="BQ176" t="str">
        <f>HYPERLINK("http://pfam.sanger.ac.uk/family?acc=PF10151","0.005")</f>
        <v>0.005</v>
      </c>
      <c r="BR176" s="1" t="str">
        <f>HYPERLINK("http://exon.niaid.nih.gov/transcriptome/T_rubida/S1/links/SMART/Triru-contig_434-SMART.txt","PSA")</f>
        <v>PSA</v>
      </c>
      <c r="BS176" t="str">
        <f>HYPERLINK("http://smart.embl-heidelberg.de/smart/do_annotation.pl?DOMAIN=PSA&amp;BLAST=DUMMY","0.18")</f>
        <v>0.18</v>
      </c>
      <c r="BT176" s="1" t="str">
        <f>HYPERLINK("http://exon.niaid.nih.gov/transcriptome/T_rubida/S1/links/PRK/Triru-contig_434-PRK.txt","putative monovalent cation/H+ antiporter subunit E")</f>
        <v>putative monovalent cation/H+ antiporter subunit E</v>
      </c>
      <c r="BU176">
        <v>0.17</v>
      </c>
      <c r="BV176" s="1" t="s">
        <v>57</v>
      </c>
      <c r="BW176" t="s">
        <v>57</v>
      </c>
      <c r="BX176" s="1" t="s">
        <v>57</v>
      </c>
      <c r="BY176" t="s">
        <v>57</v>
      </c>
    </row>
    <row r="177" spans="1:77" s="3" customFormat="1">
      <c r="A177" s="13" t="s">
        <v>5044</v>
      </c>
      <c r="T177" s="22"/>
    </row>
    <row r="178" spans="1:77">
      <c r="A178" t="str">
        <f>HYPERLINK("http://exon.niaid.nih.gov/transcriptome/T_rubida/S1/links/Triru/Triru-contig_318.txt","Triru-contig_318")</f>
        <v>Triru-contig_318</v>
      </c>
      <c r="B178">
        <v>1</v>
      </c>
      <c r="C178" t="str">
        <f>HYPERLINK("http://exon.niaid.nih.gov/transcriptome/T_rubida/S1/links/Triru/Triru-5-48-asb-318.txt","Contig-318")</f>
        <v>Contig-318</v>
      </c>
      <c r="D178" t="str">
        <f>HYPERLINK("http://exon.niaid.nih.gov/transcriptome/T_rubida/S1/links/Triru/Triru-5-48-318-CLU.txt","Contig318")</f>
        <v>Contig318</v>
      </c>
      <c r="E178" t="str">
        <f>HYPERLINK("http://exon.niaid.nih.gov/transcriptome/T_rubida/S1/links/Triru/Triru-5-48-318-qual.txt","61.6")</f>
        <v>61.6</v>
      </c>
      <c r="F178">
        <v>0.2</v>
      </c>
      <c r="G178">
        <v>65.5</v>
      </c>
      <c r="H178">
        <v>584</v>
      </c>
      <c r="I178" t="s">
        <v>330</v>
      </c>
      <c r="J178">
        <v>584</v>
      </c>
      <c r="K178">
        <v>603</v>
      </c>
      <c r="L178">
        <v>315</v>
      </c>
      <c r="M178" t="s">
        <v>5193</v>
      </c>
      <c r="N178" s="15">
        <v>3</v>
      </c>
      <c r="O178" s="14" t="str">
        <f>HYPERLINK("http://exon.niaid.nih.gov/transcriptome/T_rubida/S1/links/Sigp/TRIRU-CONTIG_318-SigP.txt","Cyt")</f>
        <v>Cyt</v>
      </c>
      <c r="Q178" s="5" t="s">
        <v>4927</v>
      </c>
      <c r="R178" t="s">
        <v>4952</v>
      </c>
      <c r="S178" t="str">
        <f>HYPERLINK("http://exon.niaid.nih.gov/transcriptome/T_rubida/S1/links/KOG/Triru-contig_318-KOG.txt","KOG")</f>
        <v>KOG</v>
      </c>
      <c r="T178" s="23">
        <v>1.9999999999999998E-24</v>
      </c>
      <c r="U178">
        <v>40.200000000000003</v>
      </c>
      <c r="V178" s="1" t="str">
        <f>HYPERLINK("http://exon.niaid.nih.gov/transcriptome/T_rubida/S1/links/NR/Triru-contig_318-NR.txt","proteasome subunit beta type-4-like")</f>
        <v>proteasome subunit beta type-4-like</v>
      </c>
      <c r="W178" t="str">
        <f>HYPERLINK("http://www.ncbi.nlm.nih.gov/sutils/blink.cgi?pid=327286564","9E-018")</f>
        <v>9E-018</v>
      </c>
      <c r="X178" t="str">
        <f>HYPERLINK("http://www.ncbi.nlm.nih.gov/protein/327286564","gi|327286564")</f>
        <v>gi|327286564</v>
      </c>
      <c r="Y178">
        <v>94.4</v>
      </c>
      <c r="Z178">
        <v>102</v>
      </c>
      <c r="AA178">
        <v>271</v>
      </c>
      <c r="AB178">
        <v>42</v>
      </c>
      <c r="AC178">
        <v>38</v>
      </c>
      <c r="AD178">
        <v>60</v>
      </c>
      <c r="AE178">
        <v>0</v>
      </c>
      <c r="AF178">
        <v>169</v>
      </c>
      <c r="AG178">
        <v>6</v>
      </c>
      <c r="AH178">
        <v>1</v>
      </c>
      <c r="AI178">
        <v>3</v>
      </c>
      <c r="AJ178" t="s">
        <v>11</v>
      </c>
      <c r="AL178" t="s">
        <v>2463</v>
      </c>
      <c r="AM178" t="s">
        <v>2635</v>
      </c>
      <c r="AN178" t="s">
        <v>2636</v>
      </c>
      <c r="AO178" s="1" t="str">
        <f>HYPERLINK("http://exon.niaid.nih.gov/transcriptome/T_rubida/S1/links/SWISSP/Triru-contig_318-SWISSP.txt","Proteasome subunit beta type-4")</f>
        <v>Proteasome subunit beta type-4</v>
      </c>
      <c r="AP178" t="str">
        <f>HYPERLINK("http://www.uniprot.org/uniprot/P34067","5E-018")</f>
        <v>5E-018</v>
      </c>
      <c r="AQ178" t="s">
        <v>2637</v>
      </c>
      <c r="AR178">
        <v>90.9</v>
      </c>
      <c r="AS178">
        <v>102</v>
      </c>
      <c r="AT178">
        <v>43</v>
      </c>
      <c r="AU178">
        <v>39</v>
      </c>
      <c r="AV178">
        <v>59</v>
      </c>
      <c r="AW178">
        <v>0</v>
      </c>
      <c r="AX178">
        <v>161</v>
      </c>
      <c r="AY178">
        <v>6</v>
      </c>
      <c r="AZ178">
        <v>1</v>
      </c>
      <c r="BA178">
        <v>3</v>
      </c>
      <c r="BB178" t="s">
        <v>11</v>
      </c>
      <c r="BD178" t="s">
        <v>704</v>
      </c>
      <c r="BE178" t="s">
        <v>1164</v>
      </c>
      <c r="BF178" t="s">
        <v>2638</v>
      </c>
      <c r="BG178" t="s">
        <v>2639</v>
      </c>
      <c r="BH178" s="1" t="s">
        <v>2640</v>
      </c>
      <c r="BI178">
        <f>HYPERLINK("http://exon.niaid.nih.gov/transcriptome/T_rubida/S1/links/GO/Triru-contig_318-GO.txt",0.000000000000000004)</f>
        <v>4.0000000000000003E-18</v>
      </c>
      <c r="BJ178" s="1" t="str">
        <f>HYPERLINK("http://exon.niaid.nih.gov/transcriptome/T_rubida/S1/links/CDD/Triru-contig_318-CDD.txt","proteasome_beta")</f>
        <v>proteasome_beta</v>
      </c>
      <c r="BK178" t="str">
        <f>HYPERLINK("http://www.ncbi.nlm.nih.gov/Structure/cdd/cddsrv.cgi?uid=cd03760&amp;version=v4.0","5E-023")</f>
        <v>5E-023</v>
      </c>
      <c r="BL178" t="s">
        <v>2641</v>
      </c>
      <c r="BM178" s="1" t="str">
        <f>HYPERLINK("http://exon.niaid.nih.gov/transcriptome/T_rubida/S1/links/KOG/Triru-contig_318-KOG.txt","20S proteasome, regulatory subunit beta type PSMB4/PRE4")</f>
        <v>20S proteasome, regulatory subunit beta type PSMB4/PRE4</v>
      </c>
      <c r="BN178" t="str">
        <f>HYPERLINK("http://www.ncbi.nlm.nih.gov/COG/grace/shokog.cgi?KOG0185","2E-024")</f>
        <v>2E-024</v>
      </c>
      <c r="BO178" t="s">
        <v>954</v>
      </c>
      <c r="BP178" s="1" t="str">
        <f>HYPERLINK("http://exon.niaid.nih.gov/transcriptome/T_rubida/S1/links/PFAM/Triru-contig_318-PFAM.txt","Proteasome")</f>
        <v>Proteasome</v>
      </c>
      <c r="BQ178" t="str">
        <f>HYPERLINK("http://pfam.sanger.ac.uk/family?acc=PF00227","4E-004")</f>
        <v>4E-004</v>
      </c>
      <c r="BR178" s="1" t="str">
        <f>HYPERLINK("http://exon.niaid.nih.gov/transcriptome/T_rubida/S1/links/SMART/Triru-contig_318-SMART.txt","POLBc")</f>
        <v>POLBc</v>
      </c>
      <c r="BS178" t="str">
        <f>HYPERLINK("http://smart.embl-heidelberg.de/smart/do_annotation.pl?DOMAIN=POLBc&amp;BLAST=DUMMY","0.60")</f>
        <v>0.60</v>
      </c>
      <c r="BT178" s="1" t="str">
        <f>HYPERLINK("http://exon.niaid.nih.gov/transcriptome/T_rubida/S1/links/PRK/Triru-contig_318-PRK.txt","RNA polymerase beta'' subunit")</f>
        <v>RNA polymerase beta'' subunit</v>
      </c>
      <c r="BU178">
        <v>0.66</v>
      </c>
      <c r="BV178" s="1" t="s">
        <v>57</v>
      </c>
      <c r="BW178" t="s">
        <v>57</v>
      </c>
      <c r="BX178" s="1" t="s">
        <v>57</v>
      </c>
      <c r="BY178" t="s">
        <v>57</v>
      </c>
    </row>
    <row r="179" spans="1:77">
      <c r="A179" t="str">
        <f>HYPERLINK("http://exon.niaid.nih.gov/transcriptome/T_rubida/S1/links/Triru/Triru-contig_391.txt","Triru-contig_391")</f>
        <v>Triru-contig_391</v>
      </c>
      <c r="B179">
        <v>1</v>
      </c>
      <c r="C179" t="str">
        <f>HYPERLINK("http://exon.niaid.nih.gov/transcriptome/T_rubida/S1/links/Triru/Triru-5-48-asb-391.txt","Contig-391")</f>
        <v>Contig-391</v>
      </c>
      <c r="D179" t="str">
        <f>HYPERLINK("http://exon.niaid.nih.gov/transcriptome/T_rubida/S1/links/Triru/Triru-5-48-391-CLU.txt","Contig391")</f>
        <v>Contig391</v>
      </c>
      <c r="E179" t="str">
        <f>HYPERLINK("http://exon.niaid.nih.gov/transcriptome/T_rubida/S1/links/Triru/Triru-5-48-391-qual.txt","59.8")</f>
        <v>59.8</v>
      </c>
      <c r="F179" t="s">
        <v>10</v>
      </c>
      <c r="G179">
        <v>63</v>
      </c>
      <c r="H179">
        <v>748</v>
      </c>
      <c r="I179" t="s">
        <v>403</v>
      </c>
      <c r="J179">
        <v>748</v>
      </c>
      <c r="K179">
        <v>767</v>
      </c>
      <c r="L179">
        <v>666</v>
      </c>
      <c r="M179" t="s">
        <v>5204</v>
      </c>
      <c r="N179" s="15">
        <v>3</v>
      </c>
      <c r="O179" s="14" t="str">
        <f>HYPERLINK("http://exon.niaid.nih.gov/transcriptome/T_rubida/S1/links/Sigp/TRIRU-CONTIG_391-SigP.txt","Cyt")</f>
        <v>Cyt</v>
      </c>
      <c r="Q179" s="5" t="s">
        <v>4951</v>
      </c>
      <c r="R179" t="s">
        <v>4952</v>
      </c>
      <c r="S179" t="str">
        <f>HYPERLINK("http://exon.niaid.nih.gov/transcriptome/T_rubida/S1/links/KOG/Triru-contig_391-KOG.txt","KOG")</f>
        <v>KOG</v>
      </c>
      <c r="T179" s="23">
        <v>1E-89</v>
      </c>
      <c r="U179">
        <v>89.8</v>
      </c>
      <c r="V179" s="1" t="str">
        <f>HYPERLINK("http://exon.niaid.nih.gov/transcriptome/T_rubida/S1/links/NR/Triru-contig_391-NR.txt","proteasome subunit alpha type 6")</f>
        <v>proteasome subunit alpha type 6</v>
      </c>
      <c r="W179" t="str">
        <f>HYPERLINK("http://www.ncbi.nlm.nih.gov/sutils/blink.cgi?pid=307095114","1E-112")</f>
        <v>1E-112</v>
      </c>
      <c r="X179" t="str">
        <f>HYPERLINK("http://www.ncbi.nlm.nih.gov/protein/307095114","gi|307095114")</f>
        <v>gi|307095114</v>
      </c>
      <c r="Y179">
        <v>407</v>
      </c>
      <c r="Z179">
        <v>211</v>
      </c>
      <c r="AA179">
        <v>246</v>
      </c>
      <c r="AB179">
        <v>96</v>
      </c>
      <c r="AC179">
        <v>86</v>
      </c>
      <c r="AD179">
        <v>8</v>
      </c>
      <c r="AE179">
        <v>0</v>
      </c>
      <c r="AF179">
        <v>35</v>
      </c>
      <c r="AG179">
        <v>33</v>
      </c>
      <c r="AH179">
        <v>1</v>
      </c>
      <c r="AI179">
        <v>3</v>
      </c>
      <c r="AJ179" t="s">
        <v>11</v>
      </c>
      <c r="AL179" t="s">
        <v>1121</v>
      </c>
      <c r="AM179" t="s">
        <v>3130</v>
      </c>
      <c r="AN179" t="s">
        <v>3131</v>
      </c>
      <c r="AO179" s="1" t="str">
        <f>HYPERLINK("http://exon.niaid.nih.gov/transcriptome/T_rubida/S1/links/SWISSP/Triru-contig_391-SWISSP.txt","Proteasome subunit alpha type-6")</f>
        <v>Proteasome subunit alpha type-6</v>
      </c>
      <c r="AP179" t="str">
        <f>HYPERLINK("http://www.uniprot.org/uniprot/P60901","9E-084")</f>
        <v>9E-084</v>
      </c>
      <c r="AQ179" t="s">
        <v>3132</v>
      </c>
      <c r="AR179">
        <v>310</v>
      </c>
      <c r="AS179">
        <v>216</v>
      </c>
      <c r="AT179">
        <v>67</v>
      </c>
      <c r="AU179">
        <v>88</v>
      </c>
      <c r="AV179">
        <v>71</v>
      </c>
      <c r="AW179">
        <v>0</v>
      </c>
      <c r="AX179">
        <v>30</v>
      </c>
      <c r="AY179">
        <v>15</v>
      </c>
      <c r="AZ179">
        <v>1</v>
      </c>
      <c r="BA179">
        <v>3</v>
      </c>
      <c r="BB179" t="s">
        <v>11</v>
      </c>
      <c r="BD179" t="s">
        <v>704</v>
      </c>
      <c r="BE179" t="s">
        <v>1164</v>
      </c>
      <c r="BF179" t="s">
        <v>3133</v>
      </c>
      <c r="BG179" t="s">
        <v>3134</v>
      </c>
      <c r="BH179" s="1" t="s">
        <v>3135</v>
      </c>
      <c r="BI179">
        <f>HYPERLINK("http://exon.niaid.nih.gov/transcriptome/T_rubida/S1/links/GO/Triru-contig_391-GO.txt",2E-84)</f>
        <v>2.0000000000000001E-84</v>
      </c>
      <c r="BJ179" s="1" t="str">
        <f>HYPERLINK("http://exon.niaid.nih.gov/transcriptome/T_rubida/S1/links/CDD/Triru-contig_391-CDD.txt","proteasome_alph")</f>
        <v>proteasome_alph</v>
      </c>
      <c r="BK179" t="str">
        <f>HYPERLINK("http://www.ncbi.nlm.nih.gov/Structure/cdd/cddsrv.cgi?uid=cd03754&amp;version=v4.0","2E-089")</f>
        <v>2E-089</v>
      </c>
      <c r="BL179" t="s">
        <v>3136</v>
      </c>
      <c r="BM179" s="1" t="str">
        <f>HYPERLINK("http://exon.niaid.nih.gov/transcriptome/T_rubida/S1/links/KOG/Triru-contig_391-KOG.txt","20S proteasome, regulatory subunit alpha type PSMA6/SCL1")</f>
        <v>20S proteasome, regulatory subunit alpha type PSMA6/SCL1</v>
      </c>
      <c r="BN179" t="str">
        <f>HYPERLINK("http://www.ncbi.nlm.nih.gov/COG/grace/shokog.cgi?KOG0182","1E-089")</f>
        <v>1E-089</v>
      </c>
      <c r="BO179" t="s">
        <v>954</v>
      </c>
      <c r="BP179" s="1" t="str">
        <f>HYPERLINK("http://exon.niaid.nih.gov/transcriptome/T_rubida/S1/links/PFAM/Triru-contig_391-PFAM.txt","Proteasome")</f>
        <v>Proteasome</v>
      </c>
      <c r="BQ179" t="str">
        <f>HYPERLINK("http://pfam.sanger.ac.uk/family?acc=PF00227","7E-044")</f>
        <v>7E-044</v>
      </c>
      <c r="BR179" s="1" t="str">
        <f>HYPERLINK("http://exon.niaid.nih.gov/transcriptome/T_rubida/S1/links/SMART/Triru-contig_391-SMART.txt","HSA")</f>
        <v>HSA</v>
      </c>
      <c r="BS179" t="str">
        <f>HYPERLINK("http://smart.embl-heidelberg.de/smart/do_annotation.pl?DOMAIN=HSA&amp;BLAST=DUMMY","0.014")</f>
        <v>0.014</v>
      </c>
      <c r="BT179" s="1" t="str">
        <f>HYPERLINK("http://exon.niaid.nih.gov/transcriptome/T_rubida/S1/links/PRK/Triru-contig_391-PRK.txt","proteasome subunit alpha")</f>
        <v>proteasome subunit alpha</v>
      </c>
      <c r="BU179" s="2">
        <v>8.0000000000000005E-37</v>
      </c>
      <c r="BV179" s="1" t="s">
        <v>57</v>
      </c>
      <c r="BW179" t="s">
        <v>57</v>
      </c>
      <c r="BX179" s="1" t="s">
        <v>57</v>
      </c>
      <c r="BY179" t="s">
        <v>57</v>
      </c>
    </row>
    <row r="180" spans="1:77">
      <c r="A180" t="str">
        <f>HYPERLINK("http://exon.niaid.nih.gov/transcriptome/T_rubida/S1/links/Triru/Triru-contig_526.txt","Triru-contig_526")</f>
        <v>Triru-contig_526</v>
      </c>
      <c r="B180">
        <v>1</v>
      </c>
      <c r="C180" t="str">
        <f>HYPERLINK("http://exon.niaid.nih.gov/transcriptome/T_rubida/S1/links/Triru/Triru-5-48-asb-526.txt","Contig-526")</f>
        <v>Contig-526</v>
      </c>
      <c r="D180" t="str">
        <f>HYPERLINK("http://exon.niaid.nih.gov/transcriptome/T_rubida/S1/links/Triru/Triru-5-48-526-CLU.txt","Contig526")</f>
        <v>Contig526</v>
      </c>
      <c r="E180" t="str">
        <f>HYPERLINK("http://exon.niaid.nih.gov/transcriptome/T_rubida/S1/links/Triru/Triru-5-48-526-qual.txt","46.8")</f>
        <v>46.8</v>
      </c>
      <c r="F180" t="s">
        <v>10</v>
      </c>
      <c r="G180">
        <v>64.8</v>
      </c>
      <c r="H180">
        <v>1115</v>
      </c>
      <c r="I180" t="s">
        <v>538</v>
      </c>
      <c r="J180">
        <v>1115</v>
      </c>
      <c r="K180">
        <v>1134</v>
      </c>
      <c r="L180">
        <v>789</v>
      </c>
      <c r="M180" t="s">
        <v>5205</v>
      </c>
      <c r="N180" s="15">
        <v>3</v>
      </c>
      <c r="O180" s="14" t="str">
        <f>HYPERLINK("http://exon.niaid.nih.gov/transcriptome/T_rubida/S1/links/Sigp/TRIRU-CONTIG_526-SigP.txt","Cyt")</f>
        <v>Cyt</v>
      </c>
      <c r="Q180" s="5" t="s">
        <v>4927</v>
      </c>
      <c r="R180" t="s">
        <v>4952</v>
      </c>
      <c r="S180" t="str">
        <f>HYPERLINK("http://exon.niaid.nih.gov/transcriptome/T_rubida/S1/links/KOG/Triru-contig_526-KOG.txt","KOG")</f>
        <v>KOG</v>
      </c>
      <c r="T180" s="23">
        <v>2.0000000000000001E-68</v>
      </c>
      <c r="U180">
        <v>87.1</v>
      </c>
      <c r="V180" s="1" t="str">
        <f>HYPERLINK("http://exon.niaid.nih.gov/transcriptome/T_rubida/S1/links/NR/Triru-contig_526-NR.txt","proteasome subunit beta type-4-like")</f>
        <v>proteasome subunit beta type-4-like</v>
      </c>
      <c r="W180" t="str">
        <f>HYPERLINK("http://www.ncbi.nlm.nih.gov/sutils/blink.cgi?pid=327286564","1E-058")</f>
        <v>1E-058</v>
      </c>
      <c r="X180" t="str">
        <f>HYPERLINK("http://www.ncbi.nlm.nih.gov/protein/327286564","gi|327286564")</f>
        <v>gi|327286564</v>
      </c>
      <c r="Y180">
        <v>231</v>
      </c>
      <c r="Z180">
        <v>216</v>
      </c>
      <c r="AA180">
        <v>271</v>
      </c>
      <c r="AB180">
        <v>50</v>
      </c>
      <c r="AC180">
        <v>80</v>
      </c>
      <c r="AD180">
        <v>108</v>
      </c>
      <c r="AE180">
        <v>0</v>
      </c>
      <c r="AF180">
        <v>55</v>
      </c>
      <c r="AG180">
        <v>198</v>
      </c>
      <c r="AH180">
        <v>1</v>
      </c>
      <c r="AI180">
        <v>3</v>
      </c>
      <c r="AJ180" t="s">
        <v>11</v>
      </c>
      <c r="AL180" t="s">
        <v>2463</v>
      </c>
      <c r="AM180" t="s">
        <v>4039</v>
      </c>
      <c r="AN180" t="s">
        <v>4040</v>
      </c>
      <c r="AO180" s="1" t="str">
        <f>HYPERLINK("http://exon.niaid.nih.gov/transcriptome/T_rubida/S1/links/SWISSP/Triru-contig_526-SWISSP.txt","Proteasome subunit beta type-4")</f>
        <v>Proteasome subunit beta type-4</v>
      </c>
      <c r="AP180" t="str">
        <f>HYPERLINK("http://www.uniprot.org/uniprot/P99026","1E-058")</f>
        <v>1E-058</v>
      </c>
      <c r="AQ180" t="s">
        <v>4041</v>
      </c>
      <c r="AR180">
        <v>227</v>
      </c>
      <c r="AS180">
        <v>219</v>
      </c>
      <c r="AT180">
        <v>49</v>
      </c>
      <c r="AU180">
        <v>83</v>
      </c>
      <c r="AV180">
        <v>111</v>
      </c>
      <c r="AW180">
        <v>0</v>
      </c>
      <c r="AX180">
        <v>45</v>
      </c>
      <c r="AY180">
        <v>189</v>
      </c>
      <c r="AZ180">
        <v>1</v>
      </c>
      <c r="BA180">
        <v>3</v>
      </c>
      <c r="BB180" t="s">
        <v>11</v>
      </c>
      <c r="BD180" t="s">
        <v>704</v>
      </c>
      <c r="BE180" t="s">
        <v>807</v>
      </c>
      <c r="BF180" t="s">
        <v>4042</v>
      </c>
      <c r="BG180" t="s">
        <v>4043</v>
      </c>
      <c r="BH180" s="1" t="s">
        <v>4044</v>
      </c>
      <c r="BI180">
        <f>HYPERLINK("http://exon.niaid.nih.gov/transcriptome/T_rubida/S1/links/GO/Triru-contig_526-GO.txt",6E-59)</f>
        <v>6.0000000000000002E-59</v>
      </c>
      <c r="BJ180" s="1" t="str">
        <f>HYPERLINK("http://exon.niaid.nih.gov/transcriptome/T_rubida/S1/links/CDD/Triru-contig_526-CDD.txt","proteasome_beta")</f>
        <v>proteasome_beta</v>
      </c>
      <c r="BK180" t="str">
        <f>HYPERLINK("http://www.ncbi.nlm.nih.gov/Structure/cdd/cddsrv.cgi?uid=cd03760&amp;version=v4.0","2E-069")</f>
        <v>2E-069</v>
      </c>
      <c r="BL180" t="s">
        <v>4045</v>
      </c>
      <c r="BM180" s="1" t="str">
        <f>HYPERLINK("http://exon.niaid.nih.gov/transcriptome/T_rubida/S1/links/KOG/Triru-contig_526-KOG.txt","20S proteasome, regulatory subunit beta type PSMB4/PRE4")</f>
        <v>20S proteasome, regulatory subunit beta type PSMB4/PRE4</v>
      </c>
      <c r="BN180" t="str">
        <f>HYPERLINK("http://www.ncbi.nlm.nih.gov/COG/grace/shokog.cgi?KOG0185","2E-068")</f>
        <v>2E-068</v>
      </c>
      <c r="BO180" t="s">
        <v>954</v>
      </c>
      <c r="BP180" s="1" t="str">
        <f>HYPERLINK("http://exon.niaid.nih.gov/transcriptome/T_rubida/S1/links/PFAM/Triru-contig_526-PFAM.txt","Proteasome")</f>
        <v>Proteasome</v>
      </c>
      <c r="BQ180" t="str">
        <f>HYPERLINK("http://pfam.sanger.ac.uk/family?acc=PF00227","1E-021")</f>
        <v>1E-021</v>
      </c>
      <c r="BR180" s="1" t="str">
        <f>HYPERLINK("http://exon.niaid.nih.gov/transcriptome/T_rubida/S1/links/SMART/Triru-contig_526-SMART.txt","RWD")</f>
        <v>RWD</v>
      </c>
      <c r="BS180" t="str">
        <f>HYPERLINK("http://smart.embl-heidelberg.de/smart/do_annotation.pl?DOMAIN=RWD&amp;BLAST=DUMMY","0.21")</f>
        <v>0.21</v>
      </c>
      <c r="BT180" s="1" t="str">
        <f>HYPERLINK("http://exon.niaid.nih.gov/transcriptome/T_rubida/S1/links/PRK/Triru-contig_526-PRK.txt","proteasome subunit alpha")</f>
        <v>proteasome subunit alpha</v>
      </c>
      <c r="BU180">
        <v>0.06</v>
      </c>
      <c r="BV180" s="1" t="s">
        <v>57</v>
      </c>
      <c r="BW180" t="s">
        <v>57</v>
      </c>
      <c r="BX180" s="1" t="s">
        <v>57</v>
      </c>
      <c r="BY180" t="s">
        <v>57</v>
      </c>
    </row>
    <row r="181" spans="1:77">
      <c r="A181" t="str">
        <f>HYPERLINK("http://exon.niaid.nih.gov/transcriptome/T_rubida/S1/links/Triru/Triru-contig_573.txt","Triru-contig_573")</f>
        <v>Triru-contig_573</v>
      </c>
      <c r="B181">
        <v>1</v>
      </c>
      <c r="C181" t="str">
        <f>HYPERLINK("http://exon.niaid.nih.gov/transcriptome/T_rubida/S1/links/Triru/Triru-5-48-asb-573.txt","Contig-573")</f>
        <v>Contig-573</v>
      </c>
      <c r="D181" t="str">
        <f>HYPERLINK("http://exon.niaid.nih.gov/transcriptome/T_rubida/S1/links/Triru/Triru-5-48-573-CLU.txt","Contig573")</f>
        <v>Contig573</v>
      </c>
      <c r="E181" t="str">
        <f>HYPERLINK("http://exon.niaid.nih.gov/transcriptome/T_rubida/S1/links/Triru/Triru-5-48-573-qual.txt","61.6")</f>
        <v>61.6</v>
      </c>
      <c r="F181" t="s">
        <v>10</v>
      </c>
      <c r="G181">
        <v>64.2</v>
      </c>
      <c r="H181">
        <v>509</v>
      </c>
      <c r="I181" t="s">
        <v>585</v>
      </c>
      <c r="J181">
        <v>509</v>
      </c>
      <c r="K181">
        <v>528</v>
      </c>
      <c r="L181">
        <v>318</v>
      </c>
      <c r="M181" t="s">
        <v>5206</v>
      </c>
      <c r="N181" s="15">
        <v>1</v>
      </c>
      <c r="O181" s="14" t="str">
        <f>HYPERLINK("http://exon.niaid.nih.gov/transcriptome/T_rubida/S1/links/Sigp/TRIRU-CONTIG_573-SigP.txt","Cyt")</f>
        <v>Cyt</v>
      </c>
      <c r="Q181" s="5" t="s">
        <v>5016</v>
      </c>
      <c r="R181" t="s">
        <v>4952</v>
      </c>
      <c r="S181" t="str">
        <f>HYPERLINK("http://exon.niaid.nih.gov/transcriptome/T_rubida/S1/links/NR/Triru-contig_573-NR.txt","NR")</f>
        <v>NR</v>
      </c>
      <c r="T181" s="23">
        <v>1.0000000000000001E-31</v>
      </c>
      <c r="U181">
        <v>9</v>
      </c>
      <c r="V181" s="1" t="str">
        <f>HYPERLINK("http://exon.niaid.nih.gov/transcriptome/T_rubida/S1/links/NR/Triru-contig_573-NR.txt","26S proteasome non-ATPase regulatory subunit 1-like isoform 1")</f>
        <v>26S proteasome non-ATPase regulatory subunit 1-like isoform 1</v>
      </c>
      <c r="W181" t="str">
        <f>HYPERLINK("http://www.ncbi.nlm.nih.gov/sutils/blink.cgi?pid=328714367","1E-031")</f>
        <v>1E-031</v>
      </c>
      <c r="X181" t="str">
        <f>HYPERLINK("http://www.ncbi.nlm.nih.gov/protein/328714367","gi|328714367")</f>
        <v>gi|328714367</v>
      </c>
      <c r="Y181">
        <v>140</v>
      </c>
      <c r="Z181">
        <v>94</v>
      </c>
      <c r="AA181">
        <v>979</v>
      </c>
      <c r="AB181">
        <v>69</v>
      </c>
      <c r="AC181">
        <v>10</v>
      </c>
      <c r="AD181">
        <v>29</v>
      </c>
      <c r="AE181">
        <v>0</v>
      </c>
      <c r="AF181">
        <v>885</v>
      </c>
      <c r="AG181">
        <v>34</v>
      </c>
      <c r="AH181">
        <v>1</v>
      </c>
      <c r="AI181">
        <v>1</v>
      </c>
      <c r="AJ181" t="s">
        <v>11</v>
      </c>
      <c r="AL181" t="s">
        <v>1160</v>
      </c>
      <c r="AM181" t="s">
        <v>4341</v>
      </c>
      <c r="AN181" t="s">
        <v>4342</v>
      </c>
      <c r="AO181" s="1" t="str">
        <f>HYPERLINK("http://exon.niaid.nih.gov/transcriptome/T_rubida/S1/links/SWISSP/Triru-contig_573-SWISSP.txt","26S proteasome non-ATPase regulatory subunit 1")</f>
        <v>26S proteasome non-ATPase regulatory subunit 1</v>
      </c>
      <c r="AP181" t="str">
        <f>HYPERLINK("http://www.uniprot.org/uniprot/Q9V3P6","2E-027")</f>
        <v>2E-027</v>
      </c>
      <c r="AQ181" t="s">
        <v>4343</v>
      </c>
      <c r="AR181">
        <v>122</v>
      </c>
      <c r="AS181">
        <v>94</v>
      </c>
      <c r="AT181">
        <v>58</v>
      </c>
      <c r="AU181">
        <v>9</v>
      </c>
      <c r="AV181">
        <v>40</v>
      </c>
      <c r="AW181">
        <v>0</v>
      </c>
      <c r="AX181">
        <v>926</v>
      </c>
      <c r="AY181">
        <v>31</v>
      </c>
      <c r="AZ181">
        <v>1</v>
      </c>
      <c r="BA181">
        <v>1</v>
      </c>
      <c r="BB181" t="s">
        <v>11</v>
      </c>
      <c r="BD181" t="s">
        <v>704</v>
      </c>
      <c r="BE181" t="s">
        <v>1125</v>
      </c>
      <c r="BF181" t="s">
        <v>4344</v>
      </c>
      <c r="BG181" t="s">
        <v>4345</v>
      </c>
      <c r="BH181" s="1" t="s">
        <v>4346</v>
      </c>
      <c r="BI181">
        <f>HYPERLINK("http://exon.niaid.nih.gov/transcriptome/T_rubida/S1/links/GO/Triru-contig_573-GO.txt",1E-27)</f>
        <v>1E-27</v>
      </c>
      <c r="BJ181" s="1" t="str">
        <f>HYPERLINK("http://exon.niaid.nih.gov/transcriptome/T_rubida/S1/links/CDD/Triru-contig_573-CDD.txt","RPN2")</f>
        <v>RPN2</v>
      </c>
      <c r="BK181" t="str">
        <f>HYPERLINK("http://www.ncbi.nlm.nih.gov/Structure/cdd/cddsrv.cgi?uid=COG5116&amp;version=v4.0","7E-005")</f>
        <v>7E-005</v>
      </c>
      <c r="BL181" t="s">
        <v>4347</v>
      </c>
      <c r="BM181" s="1" t="str">
        <f>HYPERLINK("http://exon.niaid.nih.gov/transcriptome/T_rubida/S1/links/KOG/Triru-contig_573-KOG.txt","26S proteasome regulatory complex, subunit RPN2/PSMD1")</f>
        <v>26S proteasome regulatory complex, subunit RPN2/PSMD1</v>
      </c>
      <c r="BN181" t="str">
        <f>HYPERLINK("http://www.ncbi.nlm.nih.gov/COG/grace/shokog.cgi?KOG2062","5E-022")</f>
        <v>5E-022</v>
      </c>
      <c r="BO181" t="s">
        <v>954</v>
      </c>
      <c r="BP181" s="1" t="str">
        <f>HYPERLINK("http://exon.niaid.nih.gov/transcriptome/T_rubida/S1/links/PFAM/Triru-contig_573-PFAM.txt","DUF1980")</f>
        <v>DUF1980</v>
      </c>
      <c r="BQ181" t="str">
        <f>HYPERLINK("http://pfam.sanger.ac.uk/family?acc=PF09323","0.002")</f>
        <v>0.002</v>
      </c>
      <c r="BR181" s="1" t="str">
        <f>HYPERLINK("http://exon.niaid.nih.gov/transcriptome/T_rubida/S1/links/SMART/Triru-contig_573-SMART.txt","TLC")</f>
        <v>TLC</v>
      </c>
      <c r="BS181" t="str">
        <f>HYPERLINK("http://smart.embl-heidelberg.de/smart/do_annotation.pl?DOMAIN=TLC&amp;BLAST=DUMMY","0.002")</f>
        <v>0.002</v>
      </c>
      <c r="BT181" s="1" t="str">
        <f>HYPERLINK("http://exon.niaid.nih.gov/transcriptome/T_rubida/S1/links/PRK/Triru-contig_573-PRK.txt","thymidine kinase")</f>
        <v>thymidine kinase</v>
      </c>
      <c r="BU181">
        <v>4.2000000000000003E-2</v>
      </c>
      <c r="BV181" s="1" t="s">
        <v>57</v>
      </c>
      <c r="BW181" t="s">
        <v>57</v>
      </c>
      <c r="BX181" s="1" t="s">
        <v>57</v>
      </c>
      <c r="BY181" t="s">
        <v>57</v>
      </c>
    </row>
    <row r="182" spans="1:77">
      <c r="A182" t="str">
        <f>HYPERLINK("http://exon.niaid.nih.gov/transcriptome/T_rubida/S1/links/Triru/Triru-contig_584.txt","Triru-contig_584")</f>
        <v>Triru-contig_584</v>
      </c>
      <c r="B182">
        <v>1</v>
      </c>
      <c r="C182" t="str">
        <f>HYPERLINK("http://exon.niaid.nih.gov/transcriptome/T_rubida/S1/links/Triru/Triru-5-48-asb-584.txt","Contig-584")</f>
        <v>Contig-584</v>
      </c>
      <c r="D182" t="str">
        <f>HYPERLINK("http://exon.niaid.nih.gov/transcriptome/T_rubida/S1/links/Triru/Triru-5-48-584-CLU.txt","Contig584")</f>
        <v>Contig584</v>
      </c>
      <c r="E182" t="str">
        <f>HYPERLINK("http://exon.niaid.nih.gov/transcriptome/T_rubida/S1/links/Triru/Triru-5-48-584-qual.txt","63.8")</f>
        <v>63.8</v>
      </c>
      <c r="F182" t="s">
        <v>10</v>
      </c>
      <c r="G182">
        <v>71.099999999999994</v>
      </c>
      <c r="H182">
        <v>424</v>
      </c>
      <c r="I182" t="s">
        <v>596</v>
      </c>
      <c r="J182">
        <v>424</v>
      </c>
      <c r="K182">
        <v>443</v>
      </c>
      <c r="L182">
        <v>312</v>
      </c>
      <c r="M182" t="s">
        <v>5207</v>
      </c>
      <c r="N182" s="15">
        <v>2</v>
      </c>
      <c r="O182" s="14" t="str">
        <f>HYPERLINK("http://exon.niaid.nih.gov/transcriptome/T_rubida/S1/links/Sigp/TRIRU-CONTIG_584-SigP.txt","SIG")</f>
        <v>SIG</v>
      </c>
      <c r="P182" t="s">
        <v>5058</v>
      </c>
      <c r="Q182" s="5" t="s">
        <v>5018</v>
      </c>
      <c r="R182" t="s">
        <v>4952</v>
      </c>
      <c r="S182" t="str">
        <f>HYPERLINK("http://exon.niaid.nih.gov/transcriptome/T_rubida/S1/links/NR/Triru-contig_584-NR.txt","NR")</f>
        <v>NR</v>
      </c>
      <c r="T182" s="23">
        <v>2E-35</v>
      </c>
      <c r="U182">
        <v>33.299999999999997</v>
      </c>
      <c r="V182" s="1" t="str">
        <f>HYPERLINK("http://exon.niaid.nih.gov/transcriptome/T_rubida/S1/links/NR/Triru-contig_584-NR.txt","26S proteasome non-ATPase regulatory subunit 7")</f>
        <v>26S proteasome non-ATPase regulatory subunit 7</v>
      </c>
      <c r="W182" t="str">
        <f>HYPERLINK("http://www.ncbi.nlm.nih.gov/sutils/blink.cgi?pid=307192237","2E-035")</f>
        <v>2E-035</v>
      </c>
      <c r="X182" t="str">
        <f>HYPERLINK("http://www.ncbi.nlm.nih.gov/protein/307192237","gi|307192237")</f>
        <v>gi|307192237</v>
      </c>
      <c r="Y182">
        <v>152</v>
      </c>
      <c r="Z182">
        <v>105</v>
      </c>
      <c r="AA182">
        <v>318</v>
      </c>
      <c r="AB182">
        <v>74</v>
      </c>
      <c r="AC182">
        <v>33</v>
      </c>
      <c r="AD182">
        <v>27</v>
      </c>
      <c r="AE182">
        <v>2</v>
      </c>
      <c r="AF182">
        <v>209</v>
      </c>
      <c r="AG182">
        <v>2</v>
      </c>
      <c r="AH182">
        <v>1</v>
      </c>
      <c r="AI182">
        <v>2</v>
      </c>
      <c r="AJ182" t="s">
        <v>11</v>
      </c>
      <c r="AL182" t="s">
        <v>1475</v>
      </c>
      <c r="AM182" t="s">
        <v>4416</v>
      </c>
      <c r="AN182" t="s">
        <v>4417</v>
      </c>
      <c r="AO182" s="1" t="str">
        <f>HYPERLINK("http://exon.niaid.nih.gov/transcriptome/T_rubida/S1/links/SWISSP/Triru-contig_584-SWISSP.txt","26S proteasome non-ATPase regulatory subunit 7")</f>
        <v>26S proteasome non-ATPase regulatory subunit 7</v>
      </c>
      <c r="AP182" t="str">
        <f>HYPERLINK("http://www.uniprot.org/uniprot/P51665","3E-032")</f>
        <v>3E-032</v>
      </c>
      <c r="AQ182" t="s">
        <v>4418</v>
      </c>
      <c r="AR182">
        <v>137</v>
      </c>
      <c r="AS182">
        <v>111</v>
      </c>
      <c r="AT182">
        <v>59</v>
      </c>
      <c r="AU182">
        <v>35</v>
      </c>
      <c r="AV182">
        <v>45</v>
      </c>
      <c r="AW182">
        <v>9</v>
      </c>
      <c r="AX182">
        <v>207</v>
      </c>
      <c r="AY182">
        <v>5</v>
      </c>
      <c r="AZ182">
        <v>1</v>
      </c>
      <c r="BA182">
        <v>2</v>
      </c>
      <c r="BB182" t="s">
        <v>11</v>
      </c>
      <c r="BD182" t="s">
        <v>704</v>
      </c>
      <c r="BE182" t="s">
        <v>1233</v>
      </c>
      <c r="BF182" t="s">
        <v>4419</v>
      </c>
      <c r="BG182" t="s">
        <v>4420</v>
      </c>
      <c r="BH182" s="1" t="s">
        <v>4421</v>
      </c>
      <c r="BI182">
        <f>HYPERLINK("http://exon.niaid.nih.gov/transcriptome/T_rubida/S1/links/GO/Triru-contig_584-GO.txt",2E-32)</f>
        <v>2.0000000000000001E-32</v>
      </c>
      <c r="BJ182" s="1" t="str">
        <f>HYPERLINK("http://exon.niaid.nih.gov/transcriptome/T_rubida/S1/links/CDD/Triru-contig_584-CDD.txt","MPN_RPN7_8")</f>
        <v>MPN_RPN7_8</v>
      </c>
      <c r="BK182" t="str">
        <f>HYPERLINK("http://www.ncbi.nlm.nih.gov/Structure/cdd/cddsrv.cgi?uid=cd08062&amp;version=v4.0","1E-037")</f>
        <v>1E-037</v>
      </c>
      <c r="BL182" t="s">
        <v>4422</v>
      </c>
      <c r="BM182" s="1" t="str">
        <f>HYPERLINK("http://exon.niaid.nih.gov/transcriptome/T_rubida/S1/links/KOG/Triru-contig_584-KOG.txt","26S proteasome regulatory complex, subunit RPN8/PSMD7")</f>
        <v>26S proteasome regulatory complex, subunit RPN8/PSMD7</v>
      </c>
      <c r="BN182" t="str">
        <f>HYPERLINK("http://www.ncbi.nlm.nih.gov/COG/grace/shokog.cgi?KOG1556","1E-034")</f>
        <v>1E-034</v>
      </c>
      <c r="BO182" t="s">
        <v>954</v>
      </c>
      <c r="BP182" s="1" t="str">
        <f>HYPERLINK("http://exon.niaid.nih.gov/transcriptome/T_rubida/S1/links/PFAM/Triru-contig_584-PFAM.txt","CTP_transf_1")</f>
        <v>CTP_transf_1</v>
      </c>
      <c r="BQ182" t="str">
        <f>HYPERLINK("http://pfam.sanger.ac.uk/family?acc=PF01148","7E-004")</f>
        <v>7E-004</v>
      </c>
      <c r="BR182" s="1" t="str">
        <f>HYPERLINK("http://exon.niaid.nih.gov/transcriptome/T_rubida/S1/links/SMART/Triru-contig_584-SMART.txt","LITAF")</f>
        <v>LITAF</v>
      </c>
      <c r="BS182" t="str">
        <f>HYPERLINK("http://smart.embl-heidelberg.de/smart/do_annotation.pl?DOMAIN=LITAF&amp;BLAST=DUMMY","0.001")</f>
        <v>0.001</v>
      </c>
      <c r="BT182" s="1" t="str">
        <f>HYPERLINK("http://exon.niaid.nih.gov/transcriptome/T_rubida/S1/links/PRK/Triru-contig_584-PRK.txt","26S proteasome regulatory subunit")</f>
        <v>26S proteasome regulatory subunit</v>
      </c>
      <c r="BU182" s="2">
        <v>2.0000000000000002E-31</v>
      </c>
      <c r="BV182" s="1" t="s">
        <v>57</v>
      </c>
      <c r="BW182" t="s">
        <v>57</v>
      </c>
      <c r="BX182" s="1" t="s">
        <v>57</v>
      </c>
      <c r="BY182" t="s">
        <v>57</v>
      </c>
    </row>
    <row r="183" spans="1:77">
      <c r="A183" t="str">
        <f>HYPERLINK("http://exon.niaid.nih.gov/transcriptome/T_rubida/S1/links/Triru/Triru-contig_572.txt","Triru-contig_572")</f>
        <v>Triru-contig_572</v>
      </c>
      <c r="B183">
        <v>1</v>
      </c>
      <c r="C183" t="str">
        <f>HYPERLINK("http://exon.niaid.nih.gov/transcriptome/T_rubida/S1/links/Triru/Triru-5-48-asb-572.txt","Contig-572")</f>
        <v>Contig-572</v>
      </c>
      <c r="D183" t="str">
        <f>HYPERLINK("http://exon.niaid.nih.gov/transcriptome/T_rubida/S1/links/Triru/Triru-5-48-572-CLU.txt","Contig572")</f>
        <v>Contig572</v>
      </c>
      <c r="E183" t="str">
        <f>HYPERLINK("http://exon.niaid.nih.gov/transcriptome/T_rubida/S1/links/Triru/Triru-5-48-572-qual.txt","64.3")</f>
        <v>64.3</v>
      </c>
      <c r="F183" t="s">
        <v>10</v>
      </c>
      <c r="G183">
        <v>64.7</v>
      </c>
      <c r="H183">
        <v>567</v>
      </c>
      <c r="I183" t="s">
        <v>584</v>
      </c>
      <c r="J183">
        <v>567</v>
      </c>
      <c r="K183">
        <v>586</v>
      </c>
      <c r="L183">
        <v>417</v>
      </c>
      <c r="M183" t="s">
        <v>5208</v>
      </c>
      <c r="N183" s="15">
        <v>1</v>
      </c>
      <c r="O183" s="14" t="str">
        <f>HYPERLINK("http://exon.niaid.nih.gov/transcriptome/T_rubida/S1/links/Sigp/TRIRU-CONTIG_572-SigP.txt","Cyt")</f>
        <v>Cyt</v>
      </c>
      <c r="Q183" s="5" t="s">
        <v>5015</v>
      </c>
      <c r="R183" t="s">
        <v>4952</v>
      </c>
      <c r="S183" t="str">
        <f>HYPERLINK("http://exon.niaid.nih.gov/transcriptome/T_rubida/S1/links/GO/Triru-contig_572-GO.txt","GO")</f>
        <v>GO</v>
      </c>
      <c r="T183" s="23">
        <v>9.9999999999999994E-68</v>
      </c>
      <c r="U183">
        <v>73.2</v>
      </c>
      <c r="V183" s="1" t="str">
        <f>HYPERLINK("http://exon.niaid.nih.gov/transcriptome/T_rubida/S1/links/NR/Triru-contig_572-NR.txt","NEDD8-conjugating enzyme Ubc12")</f>
        <v>NEDD8-conjugating enzyme Ubc12</v>
      </c>
      <c r="W183" t="str">
        <f>HYPERLINK("http://www.ncbi.nlm.nih.gov/sutils/blink.cgi?pid=307214126","3E-071")</f>
        <v>3E-071</v>
      </c>
      <c r="X183" t="str">
        <f>HYPERLINK("http://www.ncbi.nlm.nih.gov/protein/307214126","gi|307214126")</f>
        <v>gi|307214126</v>
      </c>
      <c r="Y183">
        <v>271</v>
      </c>
      <c r="Z183">
        <v>135</v>
      </c>
      <c r="AA183">
        <v>181</v>
      </c>
      <c r="AB183">
        <v>90</v>
      </c>
      <c r="AC183">
        <v>75</v>
      </c>
      <c r="AD183">
        <v>13</v>
      </c>
      <c r="AE183">
        <v>0</v>
      </c>
      <c r="AF183">
        <v>46</v>
      </c>
      <c r="AG183">
        <v>10</v>
      </c>
      <c r="AH183">
        <v>1</v>
      </c>
      <c r="AI183">
        <v>1</v>
      </c>
      <c r="AJ183" t="s">
        <v>11</v>
      </c>
      <c r="AL183" t="s">
        <v>1475</v>
      </c>
      <c r="AM183" t="s">
        <v>4334</v>
      </c>
      <c r="AN183" t="s">
        <v>4335</v>
      </c>
      <c r="AO183" s="1" t="str">
        <f>HYPERLINK("http://exon.niaid.nih.gov/transcriptome/T_rubida/S1/links/SWISSP/Triru-contig_572-SWISSP.txt","NEDD8-conjugating enzyme Ubc12")</f>
        <v>NEDD8-conjugating enzyme Ubc12</v>
      </c>
      <c r="AP183" t="str">
        <f>HYPERLINK("http://www.uniprot.org/uniprot/Q6P8D9","2E-067")</f>
        <v>2E-067</v>
      </c>
      <c r="AQ183" t="s">
        <v>4336</v>
      </c>
      <c r="AR183">
        <v>255</v>
      </c>
      <c r="AS183">
        <v>133</v>
      </c>
      <c r="AT183">
        <v>85</v>
      </c>
      <c r="AU183">
        <v>73</v>
      </c>
      <c r="AV183">
        <v>19</v>
      </c>
      <c r="AW183">
        <v>0</v>
      </c>
      <c r="AX183">
        <v>50</v>
      </c>
      <c r="AY183">
        <v>16</v>
      </c>
      <c r="AZ183">
        <v>1</v>
      </c>
      <c r="BA183">
        <v>1</v>
      </c>
      <c r="BB183" t="s">
        <v>11</v>
      </c>
      <c r="BD183" t="s">
        <v>704</v>
      </c>
      <c r="BE183" t="s">
        <v>1948</v>
      </c>
      <c r="BF183" t="s">
        <v>4337</v>
      </c>
      <c r="BG183" t="s">
        <v>4338</v>
      </c>
      <c r="BH183" s="1" t="s">
        <v>4339</v>
      </c>
      <c r="BI183">
        <f>HYPERLINK("http://exon.niaid.nih.gov/transcriptome/T_rubida/S1/links/GO/Triru-contig_572-GO.txt",1E-67)</f>
        <v>9.9999999999999994E-68</v>
      </c>
      <c r="BJ183" s="1" t="str">
        <f>HYPERLINK("http://exon.niaid.nih.gov/transcriptome/T_rubida/S1/links/CDD/Triru-contig_572-CDD.txt","UQ_con")</f>
        <v>UQ_con</v>
      </c>
      <c r="BK183" t="str">
        <f>HYPERLINK("http://www.ncbi.nlm.nih.gov/Structure/cdd/cddsrv.cgi?uid=pfam00179&amp;version=v4.0","4E-043")</f>
        <v>4E-043</v>
      </c>
      <c r="BL183" t="s">
        <v>4340</v>
      </c>
      <c r="BM183" s="1" t="str">
        <f>HYPERLINK("http://exon.niaid.nih.gov/transcriptome/T_rubida/S1/links/KOG/Triru-contig_572-KOG.txt","Ubiquitin-protein ligase")</f>
        <v>Ubiquitin-protein ligase</v>
      </c>
      <c r="BN183" t="str">
        <f>HYPERLINK("http://www.ncbi.nlm.nih.gov/COG/grace/shokog.cgi?KOG0420","5E-062")</f>
        <v>5E-062</v>
      </c>
      <c r="BO183" t="s">
        <v>954</v>
      </c>
      <c r="BP183" s="1" t="str">
        <f>HYPERLINK("http://exon.niaid.nih.gov/transcriptome/T_rubida/S1/links/PFAM/Triru-contig_572-PFAM.txt","UQ_con")</f>
        <v>UQ_con</v>
      </c>
      <c r="BQ183" t="str">
        <f>HYPERLINK("http://pfam.sanger.ac.uk/family?acc=PF00179","7E-044")</f>
        <v>7E-044</v>
      </c>
      <c r="BR183" s="1" t="str">
        <f>HYPERLINK("http://exon.niaid.nih.gov/transcriptome/T_rubida/S1/links/SMART/Triru-contig_572-SMART.txt","UBCc")</f>
        <v>UBCc</v>
      </c>
      <c r="BS183" t="str">
        <f>HYPERLINK("http://smart.embl-heidelberg.de/smart/do_annotation.pl?DOMAIN=UBCc&amp;BLAST=DUMMY","2E-033")</f>
        <v>2E-033</v>
      </c>
      <c r="BT183" s="1" t="str">
        <f>HYPERLINK("http://exon.niaid.nih.gov/transcriptome/T_rubida/S1/links/PRK/Triru-contig_572-PRK.txt","ubiquitin conjugating enzyme")</f>
        <v>ubiquitin conjugating enzyme</v>
      </c>
      <c r="BU183" s="2">
        <v>5.0000000000000002E-23</v>
      </c>
      <c r="BV183" s="1" t="s">
        <v>57</v>
      </c>
      <c r="BW183" t="s">
        <v>57</v>
      </c>
      <c r="BX183" s="1" t="s">
        <v>57</v>
      </c>
      <c r="BY183" t="s">
        <v>57</v>
      </c>
    </row>
    <row r="184" spans="1:77">
      <c r="A184" t="str">
        <f>HYPERLINK("http://exon.niaid.nih.gov/transcriptome/T_rubida/S1/links/Triru/Triru-contig_463.txt","Triru-contig_463")</f>
        <v>Triru-contig_463</v>
      </c>
      <c r="B184">
        <v>1</v>
      </c>
      <c r="C184" t="str">
        <f>HYPERLINK("http://exon.niaid.nih.gov/transcriptome/T_rubida/S1/links/Triru/Triru-5-48-asb-463.txt","Contig-463")</f>
        <v>Contig-463</v>
      </c>
      <c r="D184" t="str">
        <f>HYPERLINK("http://exon.niaid.nih.gov/transcriptome/T_rubida/S1/links/Triru/Triru-5-48-463-CLU.txt","Contig463")</f>
        <v>Contig463</v>
      </c>
      <c r="E184" t="str">
        <f>HYPERLINK("http://exon.niaid.nih.gov/transcriptome/T_rubida/S1/links/Triru/Triru-5-48-463-qual.txt","27.7")</f>
        <v>27.7</v>
      </c>
      <c r="F184" t="s">
        <v>10</v>
      </c>
      <c r="G184">
        <v>73.099999999999994</v>
      </c>
      <c r="H184">
        <v>873</v>
      </c>
      <c r="I184" t="s">
        <v>475</v>
      </c>
      <c r="J184">
        <v>873</v>
      </c>
      <c r="K184">
        <v>892</v>
      </c>
      <c r="L184">
        <v>249</v>
      </c>
      <c r="M184" t="s">
        <v>5209</v>
      </c>
      <c r="N184" s="15">
        <v>1</v>
      </c>
      <c r="O184" s="14" t="str">
        <f>HYPERLINK("http://exon.niaid.nih.gov/transcriptome/T_rubida/S1/links/Sigp/TRIRU-CONTIG_463-SigP.txt","Cyt")</f>
        <v>Cyt</v>
      </c>
      <c r="Q184" s="5" t="s">
        <v>4977</v>
      </c>
      <c r="R184" t="s">
        <v>4952</v>
      </c>
      <c r="S184" t="str">
        <f>HYPERLINK("http://exon.niaid.nih.gov/transcriptome/T_rubida/S1/links/GO/Triru-contig_463-GO.txt","GO")</f>
        <v>GO</v>
      </c>
      <c r="T184" s="23">
        <v>5.9999999999999997E-13</v>
      </c>
      <c r="U184">
        <v>14.8</v>
      </c>
      <c r="V184" s="1" t="str">
        <f>HYPERLINK("http://exon.niaid.nih.gov/transcriptome/T_rubida/S1/links/NR/Triru-contig_463-NR.txt","26S proteasome regulatory complex ATPase RPT2")</f>
        <v>26S proteasome regulatory complex ATPase RPT2</v>
      </c>
      <c r="W184" t="str">
        <f>HYPERLINK("http://www.ncbi.nlm.nih.gov/sutils/blink.cgi?pid=289740351","3E-012")</f>
        <v>3E-012</v>
      </c>
      <c r="X184" t="str">
        <f>HYPERLINK("http://www.ncbi.nlm.nih.gov/protein/289740351","gi|289740351")</f>
        <v>gi|289740351</v>
      </c>
      <c r="Y184">
        <v>64.7</v>
      </c>
      <c r="Z184">
        <v>80</v>
      </c>
      <c r="AA184">
        <v>439</v>
      </c>
      <c r="AB184">
        <v>60</v>
      </c>
      <c r="AC184">
        <v>18</v>
      </c>
      <c r="AD184">
        <v>26</v>
      </c>
      <c r="AE184">
        <v>0</v>
      </c>
      <c r="AF184">
        <v>359</v>
      </c>
      <c r="AG184">
        <v>11</v>
      </c>
      <c r="AH184">
        <v>2</v>
      </c>
      <c r="AI184">
        <v>2</v>
      </c>
      <c r="AJ184" t="s">
        <v>888</v>
      </c>
      <c r="AK184">
        <v>2.5</v>
      </c>
      <c r="AL184" t="s">
        <v>3616</v>
      </c>
      <c r="AM184" t="s">
        <v>3617</v>
      </c>
      <c r="AN184" t="s">
        <v>3618</v>
      </c>
      <c r="AO184" s="1" t="str">
        <f>HYPERLINK("http://exon.niaid.nih.gov/transcriptome/T_rubida/S1/links/SWISSP/Triru-contig_463-SWISSP.txt","26S protease regulatory subunit 4")</f>
        <v>26S protease regulatory subunit 4</v>
      </c>
      <c r="AP184" t="str">
        <f>HYPERLINK("http://www.uniprot.org/uniprot/P48601","7E-013")</f>
        <v>7E-013</v>
      </c>
      <c r="AQ184" t="s">
        <v>3619</v>
      </c>
      <c r="AR184">
        <v>62.4</v>
      </c>
      <c r="AS184">
        <v>80</v>
      </c>
      <c r="AT184">
        <v>58</v>
      </c>
      <c r="AU184">
        <v>18</v>
      </c>
      <c r="AV184">
        <v>27</v>
      </c>
      <c r="AW184">
        <v>0</v>
      </c>
      <c r="AX184">
        <v>359</v>
      </c>
      <c r="AY184">
        <v>11</v>
      </c>
      <c r="AZ184">
        <v>2</v>
      </c>
      <c r="BA184">
        <v>2</v>
      </c>
      <c r="BB184" t="s">
        <v>888</v>
      </c>
      <c r="BC184">
        <v>2.5</v>
      </c>
      <c r="BD184" t="s">
        <v>704</v>
      </c>
      <c r="BE184" t="s">
        <v>1125</v>
      </c>
      <c r="BF184" t="s">
        <v>3620</v>
      </c>
      <c r="BG184" t="s">
        <v>3621</v>
      </c>
      <c r="BH184" s="1" t="s">
        <v>3622</v>
      </c>
      <c r="BI184">
        <f>HYPERLINK("http://exon.niaid.nih.gov/transcriptome/T_rubida/S1/links/GO/Triru-contig_463-GO.txt",0.0000000000006)</f>
        <v>5.9999999999999997E-13</v>
      </c>
      <c r="BJ184" s="1" t="str">
        <f>HYPERLINK("http://exon.niaid.nih.gov/transcriptome/T_rubida/S1/links/CDD/Triru-contig_463-CDD.txt","PTZ00361")</f>
        <v>PTZ00361</v>
      </c>
      <c r="BK184" t="str">
        <f>HYPERLINK("http://www.ncbi.nlm.nih.gov/Structure/cdd/cddsrv.cgi?uid=PTZ00361&amp;version=v4.0","1E-011")</f>
        <v>1E-011</v>
      </c>
      <c r="BL184" t="s">
        <v>3623</v>
      </c>
      <c r="BM184" s="1" t="str">
        <f>HYPERLINK("http://exon.niaid.nih.gov/transcriptome/T_rubida/S1/links/KOG/Triru-contig_463-KOG.txt","26S proteasome regulatory complex, ATPase RPT2")</f>
        <v>26S proteasome regulatory complex, ATPase RPT2</v>
      </c>
      <c r="BN184" t="str">
        <f>HYPERLINK("http://www.ncbi.nlm.nih.gov/COG/grace/shokog.cgi?KOG0726","7E-013")</f>
        <v>7E-013</v>
      </c>
      <c r="BO184" t="s">
        <v>954</v>
      </c>
      <c r="BP184" s="1" t="str">
        <f>HYPERLINK("http://exon.niaid.nih.gov/transcriptome/T_rubida/S1/links/PFAM/Triru-contig_463-PFAM.txt","GpcrRhopsn4")</f>
        <v>GpcrRhopsn4</v>
      </c>
      <c r="BQ184" t="str">
        <f>HYPERLINK("http://pfam.sanger.ac.uk/family?acc=PF10192","0.002")</f>
        <v>0.002</v>
      </c>
      <c r="BR184" s="1" t="str">
        <f>HYPERLINK("http://exon.niaid.nih.gov/transcriptome/T_rubida/S1/links/SMART/Triru-contig_463-SMART.txt","DCX")</f>
        <v>DCX</v>
      </c>
      <c r="BS184" t="str">
        <f>HYPERLINK("http://smart.embl-heidelberg.de/smart/do_annotation.pl?DOMAIN=DCX&amp;BLAST=DUMMY","0.28")</f>
        <v>0.28</v>
      </c>
      <c r="BT184" s="1" t="str">
        <f>HYPERLINK("http://exon.niaid.nih.gov/transcriptome/T_rubida/S1/links/PRK/Triru-contig_463-PRK.txt","26 proteosome regulatory subunit 4-like protein")</f>
        <v>26 proteosome regulatory subunit 4-like protein</v>
      </c>
      <c r="BU184" s="2">
        <v>6.0000000000000003E-12</v>
      </c>
      <c r="BV184" s="1" t="s">
        <v>57</v>
      </c>
      <c r="BW184" t="s">
        <v>57</v>
      </c>
      <c r="BX184" s="1" t="s">
        <v>57</v>
      </c>
      <c r="BY184" t="s">
        <v>57</v>
      </c>
    </row>
    <row r="185" spans="1:77" s="3" customFormat="1">
      <c r="A185" s="13" t="s">
        <v>5045</v>
      </c>
      <c r="T185" s="22"/>
    </row>
    <row r="186" spans="1:77">
      <c r="A186" t="str">
        <f>HYPERLINK("http://exon.niaid.nih.gov/transcriptome/T_rubida/S1/links/Triru/Triru-contig_330.txt","Triru-contig_330")</f>
        <v>Triru-contig_330</v>
      </c>
      <c r="B186">
        <v>1</v>
      </c>
      <c r="C186" t="str">
        <f>HYPERLINK("http://exon.niaid.nih.gov/transcriptome/T_rubida/S1/links/Triru/Triru-5-48-asb-330.txt","Contig-330")</f>
        <v>Contig-330</v>
      </c>
      <c r="D186" t="str">
        <f>HYPERLINK("http://exon.niaid.nih.gov/transcriptome/T_rubida/S1/links/Triru/Triru-5-48-330-CLU.txt","Contig330")</f>
        <v>Contig330</v>
      </c>
      <c r="E186" t="str">
        <f>HYPERLINK("http://exon.niaid.nih.gov/transcriptome/T_rubida/S1/links/Triru/Triru-5-48-330-qual.txt","61.6")</f>
        <v>61.6</v>
      </c>
      <c r="F186" t="s">
        <v>10</v>
      </c>
      <c r="G186">
        <v>69.400000000000006</v>
      </c>
      <c r="H186">
        <v>177</v>
      </c>
      <c r="I186" t="s">
        <v>342</v>
      </c>
      <c r="J186">
        <v>177</v>
      </c>
      <c r="K186">
        <v>196</v>
      </c>
      <c r="L186">
        <v>174</v>
      </c>
      <c r="M186" t="s">
        <v>5683</v>
      </c>
      <c r="N186" s="15">
        <v>1</v>
      </c>
      <c r="Q186" s="5" t="s">
        <v>4896</v>
      </c>
      <c r="R186" t="s">
        <v>4820</v>
      </c>
      <c r="V186" s="1" t="str">
        <f>HYPERLINK("http://exon.niaid.nih.gov/transcriptome/T_rubida/S1/links/NR/Triru-contig_330-NR.txt","ribosomal protein P2")</f>
        <v>ribosomal protein P2</v>
      </c>
      <c r="W186" t="str">
        <f>HYPERLINK("http://www.ncbi.nlm.nih.gov/sutils/blink.cgi?pid=307095098","2E-005")</f>
        <v>2E-005</v>
      </c>
      <c r="X186" t="str">
        <f>HYPERLINK("http://www.ncbi.nlm.nih.gov/protein/307095098","gi|307095098")</f>
        <v>gi|307095098</v>
      </c>
      <c r="Y186">
        <v>39.700000000000003</v>
      </c>
      <c r="Z186">
        <v>30</v>
      </c>
      <c r="AA186">
        <v>114</v>
      </c>
      <c r="AB186">
        <v>100</v>
      </c>
      <c r="AC186">
        <v>27</v>
      </c>
      <c r="AD186">
        <v>0</v>
      </c>
      <c r="AE186">
        <v>0</v>
      </c>
      <c r="AF186">
        <v>84</v>
      </c>
      <c r="AG186">
        <v>1</v>
      </c>
      <c r="AH186">
        <v>2</v>
      </c>
      <c r="AI186">
        <v>3</v>
      </c>
      <c r="AJ186" t="s">
        <v>888</v>
      </c>
      <c r="AL186" t="s">
        <v>1121</v>
      </c>
      <c r="AM186" t="s">
        <v>2713</v>
      </c>
      <c r="AN186" t="s">
        <v>2714</v>
      </c>
      <c r="AO186" s="1" t="str">
        <f>HYPERLINK("http://exon.niaid.nih.gov/transcriptome/T_rubida/S1/links/SWISSP/Triru-contig_330-SWISSP.txt","60S acidic ribosomal protein P1")</f>
        <v>60S acidic ribosomal protein P1</v>
      </c>
      <c r="AP186" t="str">
        <f>HYPERLINK("http://www.uniprot.org/uniprot/P08570","7E-004")</f>
        <v>7E-004</v>
      </c>
      <c r="AQ186" t="s">
        <v>1797</v>
      </c>
      <c r="AR186">
        <v>42.7</v>
      </c>
      <c r="AS186">
        <v>23</v>
      </c>
      <c r="AT186">
        <v>75</v>
      </c>
      <c r="AU186">
        <v>21</v>
      </c>
      <c r="AV186">
        <v>6</v>
      </c>
      <c r="AW186">
        <v>0</v>
      </c>
      <c r="AX186">
        <v>89</v>
      </c>
      <c r="AY186">
        <v>21</v>
      </c>
      <c r="AZ186">
        <v>1</v>
      </c>
      <c r="BA186">
        <v>3</v>
      </c>
      <c r="BB186" t="s">
        <v>11</v>
      </c>
      <c r="BC186">
        <v>4.3479999999999999</v>
      </c>
      <c r="BD186" t="s">
        <v>704</v>
      </c>
      <c r="BE186" t="s">
        <v>1125</v>
      </c>
      <c r="BF186" t="s">
        <v>2715</v>
      </c>
      <c r="BG186" t="s">
        <v>2716</v>
      </c>
      <c r="BH186" s="1" t="s">
        <v>57</v>
      </c>
      <c r="BI186" t="s">
        <v>57</v>
      </c>
      <c r="BJ186" s="1" t="str">
        <f>HYPERLINK("http://exon.niaid.nih.gov/transcriptome/T_rubida/S1/links/CDD/Triru-contig_330-CDD.txt","Ribosomal_P2")</f>
        <v>Ribosomal_P2</v>
      </c>
      <c r="BK186" t="str">
        <f>HYPERLINK("http://www.ncbi.nlm.nih.gov/Structure/cdd/cddsrv.cgi?uid=cd05833&amp;version=v4.0","0.002")</f>
        <v>0.002</v>
      </c>
      <c r="BL186" t="s">
        <v>2717</v>
      </c>
      <c r="BM186" s="1" t="str">
        <f>HYPERLINK("http://exon.niaid.nih.gov/transcriptome/T_rubida/S1/links/KOG/Triru-contig_330-KOG.txt","60s acidic ribosomal protein P1")</f>
        <v>60s acidic ribosomal protein P1</v>
      </c>
      <c r="BN186" t="str">
        <f>HYPERLINK("http://www.ncbi.nlm.nih.gov/COG/grace/shokog.cgi?KOG1762","2E-005")</f>
        <v>2E-005</v>
      </c>
      <c r="BO186" t="s">
        <v>1185</v>
      </c>
      <c r="BP186" s="1" t="str">
        <f>HYPERLINK("http://exon.niaid.nih.gov/transcriptome/T_rubida/S1/links/PFAM/Triru-contig_330-PFAM.txt","Ribosomal_60s")</f>
        <v>Ribosomal_60s</v>
      </c>
      <c r="BQ186" t="str">
        <f>HYPERLINK("http://pfam.sanger.ac.uk/family?acc=PF00428","5E-004")</f>
        <v>5E-004</v>
      </c>
      <c r="BR186" s="1" t="str">
        <f>HYPERLINK("http://exon.niaid.nih.gov/transcriptome/T_rubida/S1/links/SMART/Triru-contig_330-SMART.txt","CLECT")</f>
        <v>CLECT</v>
      </c>
      <c r="BS186" t="str">
        <f>HYPERLINK("http://smart.embl-heidelberg.de/smart/do_annotation.pl?DOMAIN=CLECT&amp;BLAST=DUMMY","0.14")</f>
        <v>0.14</v>
      </c>
      <c r="BT186" s="1" t="str">
        <f>HYPERLINK("http://exon.niaid.nih.gov/transcriptome/T_rubida/S1/links/PRK/Triru-contig_330-PRK.txt","60S acidic ribosomal protein P0")</f>
        <v>60S acidic ribosomal protein P0</v>
      </c>
      <c r="BU186">
        <v>5.0000000000000001E-3</v>
      </c>
      <c r="BV186" s="1" t="s">
        <v>57</v>
      </c>
      <c r="BW186" t="s">
        <v>57</v>
      </c>
      <c r="BX186" s="1" t="s">
        <v>57</v>
      </c>
      <c r="BY186" t="s">
        <v>57</v>
      </c>
    </row>
    <row r="187" spans="1:77">
      <c r="A187" t="str">
        <f>HYPERLINK("http://exon.niaid.nih.gov/transcriptome/T_rubida/S1/links/Triru/Triru-contig_119.txt","Triru-contig_119")</f>
        <v>Triru-contig_119</v>
      </c>
      <c r="B187">
        <v>3</v>
      </c>
      <c r="C187" t="str">
        <f>HYPERLINK("http://exon.niaid.nih.gov/transcriptome/T_rubida/S1/links/Triru/Triru-5-48-asb-119.txt","Contig-119")</f>
        <v>Contig-119</v>
      </c>
      <c r="D187" t="str">
        <f>HYPERLINK("http://exon.niaid.nih.gov/transcriptome/T_rubida/S1/links/Triru/Triru-5-48-119-CLU.txt","Contig119")</f>
        <v>Contig119</v>
      </c>
      <c r="E187" t="str">
        <f>HYPERLINK("http://exon.niaid.nih.gov/transcriptome/T_rubida/S1/links/Triru/Triru-5-48-119-qual.txt","89.9")</f>
        <v>89.9</v>
      </c>
      <c r="F187" t="s">
        <v>10</v>
      </c>
      <c r="G187">
        <v>61.1</v>
      </c>
      <c r="H187">
        <v>418</v>
      </c>
      <c r="I187" t="s">
        <v>131</v>
      </c>
      <c r="J187">
        <v>427</v>
      </c>
      <c r="K187">
        <v>437</v>
      </c>
      <c r="L187">
        <v>315</v>
      </c>
      <c r="M187" t="s">
        <v>5210</v>
      </c>
      <c r="N187" s="15">
        <v>1</v>
      </c>
      <c r="O187" s="14" t="str">
        <f>HYPERLINK("http://exon.niaid.nih.gov/transcriptome/T_rubida/S1/links/Sigp/TRIRU-CONTIG_119-SigP.txt","Cyt")</f>
        <v>Cyt</v>
      </c>
      <c r="Q187" s="5" t="s">
        <v>4864</v>
      </c>
      <c r="R187" t="s">
        <v>4820</v>
      </c>
      <c r="S187" t="str">
        <f>HYPERLINK("http://exon.niaid.nih.gov/transcriptome/T_rubida/S1/links/KOG/Triru-contig_119-KOG.txt","KOG")</f>
        <v>KOG</v>
      </c>
      <c r="T187" s="23">
        <v>5.9999999999999998E-56</v>
      </c>
      <c r="U187">
        <v>75.5</v>
      </c>
      <c r="V187" s="1" t="str">
        <f>HYPERLINK("http://exon.niaid.nih.gov/transcriptome/T_rubida/S1/links/NR/Triru-contig_119-NR.txt","40S ribosomal protein S14, putative")</f>
        <v>40S ribosomal protein S14, putative</v>
      </c>
      <c r="W187" t="str">
        <f>HYPERLINK("http://www.ncbi.nlm.nih.gov/sutils/blink.cgi?pid=242012371","6E-052")</f>
        <v>6E-052</v>
      </c>
      <c r="X187" t="str">
        <f>HYPERLINK("http://www.ncbi.nlm.nih.gov/protein/242012371","gi|242012371")</f>
        <v>gi|242012371</v>
      </c>
      <c r="Y187">
        <v>207</v>
      </c>
      <c r="Z187">
        <v>123</v>
      </c>
      <c r="AA187">
        <v>179</v>
      </c>
      <c r="AB187">
        <v>87</v>
      </c>
      <c r="AC187">
        <v>69</v>
      </c>
      <c r="AD187">
        <v>16</v>
      </c>
      <c r="AE187">
        <v>0</v>
      </c>
      <c r="AF187">
        <v>47</v>
      </c>
      <c r="AG187">
        <v>1</v>
      </c>
      <c r="AH187">
        <v>1</v>
      </c>
      <c r="AI187">
        <v>1</v>
      </c>
      <c r="AJ187" t="s">
        <v>11</v>
      </c>
      <c r="AK187">
        <v>0.81299999999999994</v>
      </c>
      <c r="AL187" t="s">
        <v>1177</v>
      </c>
      <c r="AM187" t="s">
        <v>1390</v>
      </c>
      <c r="AN187" t="s">
        <v>1391</v>
      </c>
      <c r="AO187" s="1" t="str">
        <f>HYPERLINK("http://exon.niaid.nih.gov/transcriptome/T_rubida/S1/links/SWISSP/Triru-contig_119-SWISSP.txt","40S ribosomal protein S14")</f>
        <v>40S ribosomal protein S14</v>
      </c>
      <c r="AP187" t="str">
        <f>HYPERLINK("http://www.uniprot.org/uniprot/P14130","4E-052")</f>
        <v>4E-052</v>
      </c>
      <c r="AQ187" t="s">
        <v>1392</v>
      </c>
      <c r="AR187">
        <v>202</v>
      </c>
      <c r="AS187">
        <v>104</v>
      </c>
      <c r="AT187">
        <v>98</v>
      </c>
      <c r="AU187">
        <v>70</v>
      </c>
      <c r="AV187">
        <v>2</v>
      </c>
      <c r="AW187">
        <v>0</v>
      </c>
      <c r="AX187">
        <v>47</v>
      </c>
      <c r="AY187">
        <v>1</v>
      </c>
      <c r="AZ187">
        <v>1</v>
      </c>
      <c r="BA187">
        <v>1</v>
      </c>
      <c r="BB187" t="s">
        <v>11</v>
      </c>
      <c r="BD187" t="s">
        <v>704</v>
      </c>
      <c r="BE187" t="s">
        <v>1125</v>
      </c>
      <c r="BF187" t="s">
        <v>1393</v>
      </c>
      <c r="BG187" t="s">
        <v>1394</v>
      </c>
      <c r="BH187" s="1" t="s">
        <v>1395</v>
      </c>
      <c r="BI187">
        <f>HYPERLINK("http://exon.niaid.nih.gov/transcriptome/T_rubida/S1/links/GO/Triru-contig_119-GO.txt",4E-52)</f>
        <v>4E-52</v>
      </c>
      <c r="BJ187" s="1" t="str">
        <f>HYPERLINK("http://exon.niaid.nih.gov/transcriptome/T_rubida/S1/links/CDD/Triru-contig_119-CDD.txt","PTZ00129")</f>
        <v>PTZ00129</v>
      </c>
      <c r="BK187" t="str">
        <f>HYPERLINK("http://www.ncbi.nlm.nih.gov/Structure/cdd/cddsrv.cgi?uid=PTZ00129&amp;version=v4.0","1E-057")</f>
        <v>1E-057</v>
      </c>
      <c r="BL187" t="s">
        <v>1396</v>
      </c>
      <c r="BM187" s="1" t="str">
        <f>HYPERLINK("http://exon.niaid.nih.gov/transcriptome/T_rubida/S1/links/KOG/Triru-contig_119-KOG.txt","40S ribosomal protein S14")</f>
        <v>40S ribosomal protein S14</v>
      </c>
      <c r="BN187" t="str">
        <f>HYPERLINK("http://www.ncbi.nlm.nih.gov/COG/grace/shokog.cgi?KOG0407","6E-056")</f>
        <v>6E-056</v>
      </c>
      <c r="BO187" t="s">
        <v>1185</v>
      </c>
      <c r="BP187" s="1" t="str">
        <f>HYPERLINK("http://exon.niaid.nih.gov/transcriptome/T_rubida/S1/links/PFAM/Triru-contig_119-PFAM.txt","Ribosomal_S11")</f>
        <v>Ribosomal_S11</v>
      </c>
      <c r="BQ187" t="str">
        <f>HYPERLINK("http://pfam.sanger.ac.uk/family?acc=PF00411","1E-029")</f>
        <v>1E-029</v>
      </c>
      <c r="BR187" s="1" t="str">
        <f>HYPERLINK("http://exon.niaid.nih.gov/transcriptome/T_rubida/S1/links/SMART/Triru-contig_119-SMART.txt","PGRP")</f>
        <v>PGRP</v>
      </c>
      <c r="BS187" t="str">
        <f>HYPERLINK("http://smart.embl-heidelberg.de/smart/do_annotation.pl?DOMAIN=PGRP&amp;BLAST=DUMMY","0.27")</f>
        <v>0.27</v>
      </c>
      <c r="BT187" s="1" t="str">
        <f>HYPERLINK("http://exon.niaid.nih.gov/transcriptome/T_rubida/S1/links/PRK/Triru-contig_119-PRK.txt","40S ribosomal protein S14")</f>
        <v>40S ribosomal protein S14</v>
      </c>
      <c r="BU187" s="2">
        <v>6.9999999999999998E-58</v>
      </c>
      <c r="BV187" s="1" t="s">
        <v>57</v>
      </c>
      <c r="BW187" t="s">
        <v>57</v>
      </c>
      <c r="BX187" s="1" t="s">
        <v>57</v>
      </c>
      <c r="BY187" t="s">
        <v>57</v>
      </c>
    </row>
    <row r="188" spans="1:77">
      <c r="A188" t="str">
        <f>HYPERLINK("http://exon.niaid.nih.gov/transcriptome/T_rubida/S1/links/Triru/Triru-contig_110.txt","Triru-contig_110")</f>
        <v>Triru-contig_110</v>
      </c>
      <c r="B188">
        <v>4</v>
      </c>
      <c r="C188" t="str">
        <f>HYPERLINK("http://exon.niaid.nih.gov/transcriptome/T_rubida/S1/links/Triru/Triru-5-48-asb-110.txt","Contig-110")</f>
        <v>Contig-110</v>
      </c>
      <c r="D188" t="str">
        <f>HYPERLINK("http://exon.niaid.nih.gov/transcriptome/T_rubida/S1/links/Triru/Triru-5-48-110-CLU.txt","Contig110")</f>
        <v>Contig110</v>
      </c>
      <c r="E188" t="str">
        <f>HYPERLINK("http://exon.niaid.nih.gov/transcriptome/T_rubida/S1/links/Triru/Triru-5-48-110-qual.txt","66.5")</f>
        <v>66.5</v>
      </c>
      <c r="F188" t="s">
        <v>10</v>
      </c>
      <c r="G188">
        <v>58</v>
      </c>
      <c r="H188">
        <v>418</v>
      </c>
      <c r="I188" t="s">
        <v>122</v>
      </c>
      <c r="J188">
        <v>369</v>
      </c>
      <c r="K188">
        <v>640</v>
      </c>
      <c r="L188">
        <v>372</v>
      </c>
      <c r="M188" t="s">
        <v>5211</v>
      </c>
      <c r="N188" s="15">
        <v>1</v>
      </c>
      <c r="O188" s="14" t="str">
        <f>HYPERLINK("http://exon.niaid.nih.gov/transcriptome/T_rubida/S1/links/Sigp/TRIRU-CONTIG_110-SigP.txt","Cyt")</f>
        <v>Cyt</v>
      </c>
      <c r="Q188" s="5" t="s">
        <v>4857</v>
      </c>
      <c r="R188" t="s">
        <v>4820</v>
      </c>
      <c r="S188" t="str">
        <f>HYPERLINK("http://exon.niaid.nih.gov/transcriptome/T_rubida/S1/links/KOG/Triru-contig_110-KOG.txt","KOG")</f>
        <v>KOG</v>
      </c>
      <c r="T188" s="23">
        <v>3.9999999999999999E-66</v>
      </c>
      <c r="U188">
        <v>93.8</v>
      </c>
      <c r="V188" s="1" t="str">
        <f>HYPERLINK("http://exon.niaid.nih.gov/transcriptome/T_rubida/S1/links/NR/Triru-contig_110-NR.txt","40S ribosomal protein S15/S22")</f>
        <v>40S ribosomal protein S15/S22</v>
      </c>
      <c r="W188" t="str">
        <f>HYPERLINK("http://www.ncbi.nlm.nih.gov/sutils/blink.cgi?pid=149689024","3E-064")</f>
        <v>3E-064</v>
      </c>
      <c r="X188" t="str">
        <f>HYPERLINK("http://www.ncbi.nlm.nih.gov/protein/149689024","gi|149689024")</f>
        <v>gi|149689024</v>
      </c>
      <c r="Y188">
        <v>249</v>
      </c>
      <c r="Z188">
        <v>121</v>
      </c>
      <c r="AA188">
        <v>130</v>
      </c>
      <c r="AB188">
        <v>100</v>
      </c>
      <c r="AC188">
        <v>94</v>
      </c>
      <c r="AD188">
        <v>0</v>
      </c>
      <c r="AE188">
        <v>0</v>
      </c>
      <c r="AF188">
        <v>9</v>
      </c>
      <c r="AG188">
        <v>7</v>
      </c>
      <c r="AH188">
        <v>1</v>
      </c>
      <c r="AI188">
        <v>1</v>
      </c>
      <c r="AJ188" t="s">
        <v>11</v>
      </c>
      <c r="AL188" t="s">
        <v>1067</v>
      </c>
      <c r="AM188" t="s">
        <v>1323</v>
      </c>
      <c r="AN188" t="s">
        <v>1324</v>
      </c>
      <c r="AO188" s="1" t="str">
        <f>HYPERLINK("http://exon.niaid.nih.gov/transcriptome/T_rubida/S1/links/SWISSP/Triru-contig_110-SWISSP.txt","40S ribosomal protein S15a")</f>
        <v>40S ribosomal protein S15a</v>
      </c>
      <c r="AP188" t="str">
        <f>HYPERLINK("http://www.uniprot.org/uniprot/Q6XIM8","3E-062")</f>
        <v>3E-062</v>
      </c>
      <c r="AQ188" t="s">
        <v>1325</v>
      </c>
      <c r="AR188">
        <v>238</v>
      </c>
      <c r="AS188">
        <v>121</v>
      </c>
      <c r="AT188">
        <v>95</v>
      </c>
      <c r="AU188">
        <v>94</v>
      </c>
      <c r="AV188">
        <v>6</v>
      </c>
      <c r="AW188">
        <v>0</v>
      </c>
      <c r="AX188">
        <v>9</v>
      </c>
      <c r="AY188">
        <v>7</v>
      </c>
      <c r="AZ188">
        <v>1</v>
      </c>
      <c r="BA188">
        <v>1</v>
      </c>
      <c r="BB188" t="s">
        <v>11</v>
      </c>
      <c r="BD188" t="s">
        <v>704</v>
      </c>
      <c r="BE188" t="s">
        <v>1172</v>
      </c>
      <c r="BF188" t="s">
        <v>1326</v>
      </c>
      <c r="BG188" t="s">
        <v>1327</v>
      </c>
      <c r="BH188" s="1" t="s">
        <v>1328</v>
      </c>
      <c r="BI188">
        <f>HYPERLINK("http://exon.niaid.nih.gov/transcriptome/T_rubida/S1/links/GO/Triru-contig_110-GO.txt",2E-62)</f>
        <v>2.0000000000000001E-62</v>
      </c>
      <c r="BJ188" s="1" t="str">
        <f>HYPERLINK("http://exon.niaid.nih.gov/transcriptome/T_rubida/S1/links/CDD/Triru-contig_110-CDD.txt","PTZ00158")</f>
        <v>PTZ00158</v>
      </c>
      <c r="BK188" t="str">
        <f>HYPERLINK("http://www.ncbi.nlm.nih.gov/Structure/cdd/cddsrv.cgi?uid=PTZ00158&amp;version=v4.0","4E-072")</f>
        <v>4E-072</v>
      </c>
      <c r="BL188" t="s">
        <v>1329</v>
      </c>
      <c r="BM188" s="1" t="str">
        <f>HYPERLINK("http://exon.niaid.nih.gov/transcriptome/T_rubida/S1/links/KOG/Triru-contig_110-KOG.txt","40S ribosomal protein S15/S22")</f>
        <v>40S ribosomal protein S15/S22</v>
      </c>
      <c r="BN188" t="str">
        <f>HYPERLINK("http://www.ncbi.nlm.nih.gov/COG/grace/shokog.cgi?KOG1754","4E-066")</f>
        <v>4E-066</v>
      </c>
      <c r="BO188" t="s">
        <v>1185</v>
      </c>
      <c r="BP188" s="1" t="str">
        <f>HYPERLINK("http://exon.niaid.nih.gov/transcriptome/T_rubida/S1/links/PFAM/Triru-contig_110-PFAM.txt","Ribosomal_S8")</f>
        <v>Ribosomal_S8</v>
      </c>
      <c r="BQ188" t="str">
        <f>HYPERLINK("http://pfam.sanger.ac.uk/family?acc=PF00410","2E-032")</f>
        <v>2E-032</v>
      </c>
      <c r="BR188" s="1" t="str">
        <f>HYPERLINK("http://exon.niaid.nih.gov/transcriptome/T_rubida/S1/links/SMART/Triru-contig_110-SMART.txt","Amelogenin")</f>
        <v>Amelogenin</v>
      </c>
      <c r="BS188" t="str">
        <f>HYPERLINK("http://smart.embl-heidelberg.de/smart/do_annotation.pl?DOMAIN=Amelogenin&amp;BLAST=DUMMY","1.0")</f>
        <v>1.0</v>
      </c>
      <c r="BT188" s="1" t="str">
        <f>HYPERLINK("http://exon.niaid.nih.gov/transcriptome/T_rubida/S1/links/PRK/Triru-contig_110-PRK.txt","40S ribosomal protein S15A")</f>
        <v>40S ribosomal protein S15A</v>
      </c>
      <c r="BU188" s="2">
        <v>1.9999999999999999E-72</v>
      </c>
      <c r="BV188" s="1" t="s">
        <v>57</v>
      </c>
      <c r="BW188" t="s">
        <v>57</v>
      </c>
      <c r="BX188" s="1" t="s">
        <v>57</v>
      </c>
      <c r="BY188" t="s">
        <v>57</v>
      </c>
    </row>
    <row r="189" spans="1:77">
      <c r="A189" t="str">
        <f>HYPERLINK("http://exon.niaid.nih.gov/transcriptome/T_rubida/S1/links/Triru/Triru-contig_246.txt","Triru-contig_246")</f>
        <v>Triru-contig_246</v>
      </c>
      <c r="B189">
        <v>1</v>
      </c>
      <c r="C189" t="str">
        <f>HYPERLINK("http://exon.niaid.nih.gov/transcriptome/T_rubida/S1/links/Triru/Triru-5-48-asb-246.txt","Contig-246")</f>
        <v>Contig-246</v>
      </c>
      <c r="D189" t="str">
        <f>HYPERLINK("http://exon.niaid.nih.gov/transcriptome/T_rubida/S1/links/Triru/Triru-5-48-246-CLU.txt","Contig246")</f>
        <v>Contig246</v>
      </c>
      <c r="E189" t="str">
        <f>HYPERLINK("http://exon.niaid.nih.gov/transcriptome/T_rubida/S1/links/Triru/Triru-5-48-246-qual.txt","57.3")</f>
        <v>57.3</v>
      </c>
      <c r="F189" t="s">
        <v>10</v>
      </c>
      <c r="G189">
        <v>67.3</v>
      </c>
      <c r="H189">
        <v>238</v>
      </c>
      <c r="I189" t="s">
        <v>258</v>
      </c>
      <c r="J189">
        <v>238</v>
      </c>
      <c r="K189">
        <v>257</v>
      </c>
      <c r="L189">
        <v>177</v>
      </c>
      <c r="M189" t="s">
        <v>5212</v>
      </c>
      <c r="N189" s="15">
        <v>2</v>
      </c>
      <c r="Q189" s="5" t="s">
        <v>4904</v>
      </c>
      <c r="R189" t="s">
        <v>4820</v>
      </c>
      <c r="S189" t="str">
        <f>HYPERLINK("http://exon.niaid.nih.gov/transcriptome/T_rubida/S1/links/NR/Triru-contig_246-NR.txt","NR")</f>
        <v>NR</v>
      </c>
      <c r="T189" s="23">
        <v>3E-23</v>
      </c>
      <c r="U189">
        <v>41.2</v>
      </c>
      <c r="V189" s="1" t="str">
        <f>HYPERLINK("http://exon.niaid.nih.gov/transcriptome/T_rubida/S1/links/NR/Triru-contig_246-NR.txt","40S ribosomal protein S17")</f>
        <v>40S ribosomal protein S17</v>
      </c>
      <c r="W189" t="str">
        <f>HYPERLINK("http://www.ncbi.nlm.nih.gov/sutils/blink.cgi?pid=149898779","3E-023")</f>
        <v>3E-023</v>
      </c>
      <c r="X189" t="str">
        <f>HYPERLINK("http://www.ncbi.nlm.nih.gov/protein/149898779","gi|149898779")</f>
        <v>gi|149898779</v>
      </c>
      <c r="Y189">
        <v>111</v>
      </c>
      <c r="Z189">
        <v>53</v>
      </c>
      <c r="AA189">
        <v>131</v>
      </c>
      <c r="AB189">
        <v>100</v>
      </c>
      <c r="AC189">
        <v>41</v>
      </c>
      <c r="AD189">
        <v>0</v>
      </c>
      <c r="AE189">
        <v>0</v>
      </c>
      <c r="AF189">
        <v>78</v>
      </c>
      <c r="AG189">
        <v>17</v>
      </c>
      <c r="AH189">
        <v>1</v>
      </c>
      <c r="AI189">
        <v>2</v>
      </c>
      <c r="AJ189" t="s">
        <v>11</v>
      </c>
      <c r="AL189" t="s">
        <v>1067</v>
      </c>
      <c r="AM189" t="s">
        <v>2151</v>
      </c>
      <c r="AN189" t="s">
        <v>2152</v>
      </c>
      <c r="AO189" s="1" t="str">
        <f>HYPERLINK("http://exon.niaid.nih.gov/transcriptome/T_rubida/S1/links/SWISSP/Triru-contig_246-SWISSP.txt","40S ribosomal protein S17")</f>
        <v>40S ribosomal protein S17</v>
      </c>
      <c r="AP189" t="str">
        <f>HYPERLINK("http://www.uniprot.org/uniprot/Q962R2","8E-016")</f>
        <v>8E-016</v>
      </c>
      <c r="AQ189" t="s">
        <v>2153</v>
      </c>
      <c r="AR189">
        <v>82.4</v>
      </c>
      <c r="AS189">
        <v>53</v>
      </c>
      <c r="AT189">
        <v>74</v>
      </c>
      <c r="AU189">
        <v>41</v>
      </c>
      <c r="AV189">
        <v>14</v>
      </c>
      <c r="AW189">
        <v>1</v>
      </c>
      <c r="AX189">
        <v>78</v>
      </c>
      <c r="AY189">
        <v>17</v>
      </c>
      <c r="AZ189">
        <v>1</v>
      </c>
      <c r="BA189">
        <v>2</v>
      </c>
      <c r="BB189" t="s">
        <v>11</v>
      </c>
      <c r="BD189" t="s">
        <v>704</v>
      </c>
      <c r="BE189" t="s">
        <v>1246</v>
      </c>
      <c r="BF189" t="s">
        <v>2154</v>
      </c>
      <c r="BG189" t="s">
        <v>2155</v>
      </c>
      <c r="BH189" s="1" t="s">
        <v>2156</v>
      </c>
      <c r="BI189">
        <f>HYPERLINK("http://exon.niaid.nih.gov/transcriptome/T_rubida/S1/links/GO/Triru-contig_246-GO.txt",0.0000000000000007)</f>
        <v>7.0000000000000003E-16</v>
      </c>
      <c r="BJ189" s="1" t="str">
        <f>HYPERLINK("http://exon.niaid.nih.gov/transcriptome/T_rubida/S1/links/CDD/Triru-contig_246-CDD.txt","Ribosomal_S17e")</f>
        <v>Ribosomal_S17e</v>
      </c>
      <c r="BK189" t="str">
        <f>HYPERLINK("http://www.ncbi.nlm.nih.gov/Structure/cdd/cddsrv.cgi?uid=pfam00833&amp;version=v4.0","1E-014")</f>
        <v>1E-014</v>
      </c>
      <c r="BL189" t="s">
        <v>2157</v>
      </c>
      <c r="BM189" s="1" t="str">
        <f>HYPERLINK("http://exon.niaid.nih.gov/transcriptome/T_rubida/S1/links/KOG/Triru-contig_246-KOG.txt","40S ribosomal protein S17")</f>
        <v>40S ribosomal protein S17</v>
      </c>
      <c r="BN189" t="str">
        <f>HYPERLINK("http://www.ncbi.nlm.nih.gov/COG/grace/shokog.cgi?KOG0187","1E-016")</f>
        <v>1E-016</v>
      </c>
      <c r="BO189" t="s">
        <v>1185</v>
      </c>
      <c r="BP189" s="1" t="str">
        <f>HYPERLINK("http://exon.niaid.nih.gov/transcriptome/T_rubida/S1/links/PFAM/Triru-contig_246-PFAM.txt","Ribosomal_S17e")</f>
        <v>Ribosomal_S17e</v>
      </c>
      <c r="BQ189" t="str">
        <f>HYPERLINK("http://pfam.sanger.ac.uk/family?acc=PF00833","3E-015")</f>
        <v>3E-015</v>
      </c>
      <c r="BR189" s="1" t="str">
        <f>HYPERLINK("http://exon.niaid.nih.gov/transcriptome/T_rubida/S1/links/SMART/Triru-contig_246-SMART.txt","B5")</f>
        <v>B5</v>
      </c>
      <c r="BS189" t="str">
        <f>HYPERLINK("http://smart.embl-heidelberg.de/smart/do_annotation.pl?DOMAIN=B5&amp;BLAST=DUMMY","0.47")</f>
        <v>0.47</v>
      </c>
      <c r="BT189" s="1" t="str">
        <f>HYPERLINK("http://exon.niaid.nih.gov/transcriptome/T_rubida/S1/links/PRK/Triru-contig_246-PRK.txt","40S ribosomal protein S17")</f>
        <v>40S ribosomal protein S17</v>
      </c>
      <c r="BU189" s="2">
        <v>3E-11</v>
      </c>
      <c r="BV189" s="1" t="s">
        <v>57</v>
      </c>
      <c r="BW189" t="s">
        <v>57</v>
      </c>
      <c r="BX189" s="1" t="s">
        <v>57</v>
      </c>
      <c r="BY189" t="s">
        <v>57</v>
      </c>
    </row>
    <row r="190" spans="1:77">
      <c r="A190" t="str">
        <f>HYPERLINK("http://exon.niaid.nih.gov/transcriptome/T_rubida/S1/links/Triru/Triru-contig_90.txt","Triru-contig_90")</f>
        <v>Triru-contig_90</v>
      </c>
      <c r="B190">
        <v>10</v>
      </c>
      <c r="C190" t="str">
        <f>HYPERLINK("http://exon.niaid.nih.gov/transcriptome/T_rubida/S1/links/Triru/Triru-5-48-asb-90.txt","Contig-90")</f>
        <v>Contig-90</v>
      </c>
      <c r="D190" t="str">
        <f>HYPERLINK("http://exon.niaid.nih.gov/transcriptome/T_rubida/S1/links/Triru/Triru-5-48-90-CLU.txt","Contig90")</f>
        <v>Contig90</v>
      </c>
      <c r="E190" t="str">
        <f>HYPERLINK("http://exon.niaid.nih.gov/transcriptome/T_rubida/S1/links/Triru/Triru-5-48-90-qual.txt","81.3")</f>
        <v>81.3</v>
      </c>
      <c r="F190" t="s">
        <v>10</v>
      </c>
      <c r="G190">
        <v>60.4</v>
      </c>
      <c r="H190">
        <v>686</v>
      </c>
      <c r="I190" t="s">
        <v>102</v>
      </c>
      <c r="J190">
        <v>764</v>
      </c>
      <c r="K190">
        <v>783</v>
      </c>
      <c r="L190">
        <v>627</v>
      </c>
      <c r="M190" t="s">
        <v>5213</v>
      </c>
      <c r="N190" s="15">
        <v>3</v>
      </c>
      <c r="O190" s="14" t="str">
        <f>HYPERLINK("http://exon.niaid.nih.gov/transcriptome/T_rubida/S1/links/Sigp/TRIRU-CONTIG_90-SigP.txt","Cyt")</f>
        <v>Cyt</v>
      </c>
      <c r="Q190" s="5" t="s">
        <v>4840</v>
      </c>
      <c r="R190" t="s">
        <v>4820</v>
      </c>
      <c r="S190" t="str">
        <f>HYPERLINK("http://exon.niaid.nih.gov/transcriptome/T_rubida/S1/links/KOG/Triru-contig_90-KOG.txt","KOG")</f>
        <v>KOG</v>
      </c>
      <c r="T190" s="23">
        <v>9.999999999999999E-94</v>
      </c>
      <c r="U190">
        <v>85.4</v>
      </c>
      <c r="V190" s="1" t="str">
        <f>HYPERLINK("http://exon.niaid.nih.gov/transcriptome/T_rubida/S1/links/NR/Triru-contig_90-NR.txt","40S ribosomal protein S2, putative")</f>
        <v>40S ribosomal protein S2, putative</v>
      </c>
      <c r="W190" t="str">
        <f>HYPERLINK("http://www.ncbi.nlm.nih.gov/sutils/blink.cgi?pid=242019605","1E-107")</f>
        <v>1E-107</v>
      </c>
      <c r="X190" t="str">
        <f>HYPERLINK("http://www.ncbi.nlm.nih.gov/protein/242019605","gi|242019605")</f>
        <v>gi|242019605</v>
      </c>
      <c r="Y190">
        <v>392</v>
      </c>
      <c r="Z190">
        <v>206</v>
      </c>
      <c r="AA190">
        <v>275</v>
      </c>
      <c r="AB190">
        <v>92</v>
      </c>
      <c r="AC190">
        <v>75</v>
      </c>
      <c r="AD190">
        <v>16</v>
      </c>
      <c r="AE190">
        <v>0</v>
      </c>
      <c r="AF190">
        <v>68</v>
      </c>
      <c r="AG190">
        <v>9</v>
      </c>
      <c r="AH190">
        <v>1</v>
      </c>
      <c r="AI190">
        <v>3</v>
      </c>
      <c r="AJ190" t="s">
        <v>11</v>
      </c>
      <c r="AL190" t="s">
        <v>1177</v>
      </c>
      <c r="AM190" t="s">
        <v>1178</v>
      </c>
      <c r="AN190" t="s">
        <v>1179</v>
      </c>
      <c r="AO190" s="1" t="str">
        <f>HYPERLINK("http://exon.niaid.nih.gov/transcriptome/T_rubida/S1/links/SWISSP/Triru-contig_90-SWISSP.txt","40S ribosomal protein S2")</f>
        <v>40S ribosomal protein S2</v>
      </c>
      <c r="AP190" t="str">
        <f>HYPERLINK("http://www.uniprot.org/uniprot/P31009","1E-098")</f>
        <v>1E-098</v>
      </c>
      <c r="AQ190" t="s">
        <v>1180</v>
      </c>
      <c r="AR190">
        <v>359</v>
      </c>
      <c r="AS190">
        <v>193</v>
      </c>
      <c r="AT190">
        <v>90</v>
      </c>
      <c r="AU190">
        <v>73</v>
      </c>
      <c r="AV190">
        <v>19</v>
      </c>
      <c r="AW190">
        <v>0</v>
      </c>
      <c r="AX190">
        <v>65</v>
      </c>
      <c r="AY190">
        <v>9</v>
      </c>
      <c r="AZ190">
        <v>1</v>
      </c>
      <c r="BA190">
        <v>3</v>
      </c>
      <c r="BB190" t="s">
        <v>11</v>
      </c>
      <c r="BD190" t="s">
        <v>704</v>
      </c>
      <c r="BE190" t="s">
        <v>1125</v>
      </c>
      <c r="BF190" t="s">
        <v>1181</v>
      </c>
      <c r="BG190" t="s">
        <v>1182</v>
      </c>
      <c r="BH190" s="1" t="s">
        <v>1183</v>
      </c>
      <c r="BI190">
        <f>HYPERLINK("http://exon.niaid.nih.gov/transcriptome/T_rubida/S1/links/GO/Triru-contig_90-GO.txt",8E-99)</f>
        <v>8.0000000000000002E-99</v>
      </c>
      <c r="BJ190" s="1" t="str">
        <f>HYPERLINK("http://exon.niaid.nih.gov/transcriptome/T_rubida/S1/links/CDD/Triru-contig_90-CDD.txt","PTZ00070")</f>
        <v>PTZ00070</v>
      </c>
      <c r="BK190" t="str">
        <f>HYPERLINK("http://www.ncbi.nlm.nih.gov/Structure/cdd/cddsrv.cgi?uid=PTZ00070&amp;version=v4.0","1E-110")</f>
        <v>1E-110</v>
      </c>
      <c r="BL190" t="s">
        <v>1184</v>
      </c>
      <c r="BM190" s="1" t="str">
        <f>HYPERLINK("http://exon.niaid.nih.gov/transcriptome/T_rubida/S1/links/KOG/Triru-contig_90-KOG.txt","40S ribosomal protein S2/30S ribosomal protein S5")</f>
        <v>40S ribosomal protein S2/30S ribosomal protein S5</v>
      </c>
      <c r="BN190" t="str">
        <f>HYPERLINK("http://www.ncbi.nlm.nih.gov/COG/grace/shokog.cgi?KOG0877","1E-093")</f>
        <v>1E-093</v>
      </c>
      <c r="BO190" t="s">
        <v>1185</v>
      </c>
      <c r="BP190" s="1" t="str">
        <f>HYPERLINK("http://exon.niaid.nih.gov/transcriptome/T_rubida/S1/links/PFAM/Triru-contig_90-PFAM.txt","Ribosomal_S5")</f>
        <v>Ribosomal_S5</v>
      </c>
      <c r="BQ190" t="str">
        <f>HYPERLINK("http://pfam.sanger.ac.uk/family?acc=PF00333","5E-027")</f>
        <v>5E-027</v>
      </c>
      <c r="BR190" s="1" t="str">
        <f>HYPERLINK("http://exon.niaid.nih.gov/transcriptome/T_rubida/S1/links/SMART/Triru-contig_90-SMART.txt","DWB")</f>
        <v>DWB</v>
      </c>
      <c r="BS190" t="str">
        <f>HYPERLINK("http://smart.embl-heidelberg.de/smart/do_annotation.pl?DOMAIN=DWB&amp;BLAST=DUMMY","0.022")</f>
        <v>0.022</v>
      </c>
      <c r="BT190" s="1" t="str">
        <f>HYPERLINK("http://exon.niaid.nih.gov/transcriptome/T_rubida/S1/links/PRK/Triru-contig_90-PRK.txt","40S ribosomal protein S2")</f>
        <v>40S ribosomal protein S2</v>
      </c>
      <c r="BU190" s="2">
        <v>1.0000000000000001E-110</v>
      </c>
      <c r="BV190" s="1" t="s">
        <v>57</v>
      </c>
      <c r="BW190" t="s">
        <v>57</v>
      </c>
      <c r="BX190" s="1" t="s">
        <v>57</v>
      </c>
      <c r="BY190" t="s">
        <v>57</v>
      </c>
    </row>
    <row r="191" spans="1:77">
      <c r="A191" t="str">
        <f>HYPERLINK("http://exon.niaid.nih.gov/transcriptome/T_rubida/S1/links/Triru/Triru-contig_245.txt","Triru-contig_245")</f>
        <v>Triru-contig_245</v>
      </c>
      <c r="B191">
        <v>1</v>
      </c>
      <c r="C191" t="str">
        <f>HYPERLINK("http://exon.niaid.nih.gov/transcriptome/T_rubida/S1/links/Triru/Triru-5-48-asb-245.txt","Contig-245")</f>
        <v>Contig-245</v>
      </c>
      <c r="D191" t="str">
        <f>HYPERLINK("http://exon.niaid.nih.gov/transcriptome/T_rubida/S1/links/Triru/Triru-5-48-245-CLU.txt","Contig245")</f>
        <v>Contig245</v>
      </c>
      <c r="E191" t="str">
        <f>HYPERLINK("http://exon.niaid.nih.gov/transcriptome/T_rubida/S1/links/Triru/Triru-5-48-245-qual.txt","65.9")</f>
        <v>65.9</v>
      </c>
      <c r="F191" t="s">
        <v>10</v>
      </c>
      <c r="G191">
        <v>57.9</v>
      </c>
      <c r="H191">
        <v>503</v>
      </c>
      <c r="I191" t="s">
        <v>257</v>
      </c>
      <c r="J191">
        <v>503</v>
      </c>
      <c r="K191">
        <v>522</v>
      </c>
      <c r="L191">
        <v>429</v>
      </c>
      <c r="M191" t="s">
        <v>5214</v>
      </c>
      <c r="N191" s="15">
        <v>3</v>
      </c>
      <c r="O191" s="14" t="str">
        <f>HYPERLINK("http://exon.niaid.nih.gov/transcriptome/T_rubida/S1/links/Sigp/TRIRU-CONTIG_245-SigP.txt","Cyt")</f>
        <v>Cyt</v>
      </c>
      <c r="Q191" s="5" t="s">
        <v>4903</v>
      </c>
      <c r="R191" t="s">
        <v>4820</v>
      </c>
      <c r="S191" t="str">
        <f>HYPERLINK("http://exon.niaid.nih.gov/transcriptome/T_rubida/S1/links/KOG/Triru-contig_245-KOG.txt","KOG")</f>
        <v>KOG</v>
      </c>
      <c r="T191" s="23">
        <v>3.9999999999999999E-66</v>
      </c>
      <c r="U191">
        <v>51.6</v>
      </c>
      <c r="V191" s="1" t="str">
        <f>HYPERLINK("http://exon.niaid.nih.gov/transcriptome/T_rubida/S1/links/NR/Triru-contig_245-NR.txt","40S ribosomal protein S3")</f>
        <v>40S ribosomal protein S3</v>
      </c>
      <c r="W191" t="str">
        <f>HYPERLINK("http://www.ncbi.nlm.nih.gov/sutils/blink.cgi?pid=121511934","2E-063")</f>
        <v>2E-063</v>
      </c>
      <c r="X191" t="str">
        <f>HYPERLINK("http://www.ncbi.nlm.nih.gov/protein/121511934","gi|121511934")</f>
        <v>gi|121511934</v>
      </c>
      <c r="Y191">
        <v>245</v>
      </c>
      <c r="Z191">
        <v>141</v>
      </c>
      <c r="AA191">
        <v>243</v>
      </c>
      <c r="AB191">
        <v>87</v>
      </c>
      <c r="AC191">
        <v>58</v>
      </c>
      <c r="AD191">
        <v>18</v>
      </c>
      <c r="AE191">
        <v>1</v>
      </c>
      <c r="AF191">
        <v>91</v>
      </c>
      <c r="AG191">
        <v>9</v>
      </c>
      <c r="AH191">
        <v>1</v>
      </c>
      <c r="AI191">
        <v>3</v>
      </c>
      <c r="AJ191" t="s">
        <v>11</v>
      </c>
      <c r="AL191" t="s">
        <v>2143</v>
      </c>
      <c r="AM191" t="s">
        <v>2144</v>
      </c>
      <c r="AN191" t="s">
        <v>2145</v>
      </c>
      <c r="AO191" s="1" t="str">
        <f>HYPERLINK("http://exon.niaid.nih.gov/transcriptome/T_rubida/S1/links/SWISSP/Triru-contig_245-SWISSP.txt","40S ribosomal protein S3")</f>
        <v>40S ribosomal protein S3</v>
      </c>
      <c r="AP191" t="str">
        <f>HYPERLINK("http://www.uniprot.org/uniprot/Q06559","2E-061")</f>
        <v>2E-061</v>
      </c>
      <c r="AQ191" t="s">
        <v>2146</v>
      </c>
      <c r="AR191">
        <v>234</v>
      </c>
      <c r="AS191">
        <v>125</v>
      </c>
      <c r="AT191">
        <v>90</v>
      </c>
      <c r="AU191">
        <v>51</v>
      </c>
      <c r="AV191">
        <v>12</v>
      </c>
      <c r="AW191">
        <v>0</v>
      </c>
      <c r="AX191">
        <v>93</v>
      </c>
      <c r="AY191">
        <v>9</v>
      </c>
      <c r="AZ191">
        <v>1</v>
      </c>
      <c r="BA191">
        <v>3</v>
      </c>
      <c r="BB191" t="s">
        <v>11</v>
      </c>
      <c r="BD191" t="s">
        <v>704</v>
      </c>
      <c r="BE191" t="s">
        <v>1125</v>
      </c>
      <c r="BF191" t="s">
        <v>2147</v>
      </c>
      <c r="BG191" t="s">
        <v>2148</v>
      </c>
      <c r="BH191" s="1" t="s">
        <v>2149</v>
      </c>
      <c r="BI191">
        <f>HYPERLINK("http://exon.niaid.nih.gov/transcriptome/T_rubida/S1/links/GO/Triru-contig_245-GO.txt",2E-61)</f>
        <v>2.0000000000000001E-61</v>
      </c>
      <c r="BJ191" s="1" t="str">
        <f>HYPERLINK("http://exon.niaid.nih.gov/transcriptome/T_rubida/S1/links/CDD/Triru-contig_245-CDD.txt","PTZ00084")</f>
        <v>PTZ00084</v>
      </c>
      <c r="BK191" t="str">
        <f>HYPERLINK("http://www.ncbi.nlm.nih.gov/Structure/cdd/cddsrv.cgi?uid=PTZ00084&amp;version=v4.0","1E-064")</f>
        <v>1E-064</v>
      </c>
      <c r="BL191" t="s">
        <v>2150</v>
      </c>
      <c r="BM191" s="1" t="str">
        <f>HYPERLINK("http://exon.niaid.nih.gov/transcriptome/T_rubida/S1/links/KOG/Triru-contig_245-KOG.txt","40S ribosomal protein S3")</f>
        <v>40S ribosomal protein S3</v>
      </c>
      <c r="BN191" t="str">
        <f>HYPERLINK("http://www.ncbi.nlm.nih.gov/COG/grace/shokog.cgi?KOG3181","4E-066")</f>
        <v>4E-066</v>
      </c>
      <c r="BO191" t="s">
        <v>1185</v>
      </c>
      <c r="BP191" s="1" t="str">
        <f>HYPERLINK("http://exon.niaid.nih.gov/transcriptome/T_rubida/S1/links/PFAM/Triru-contig_245-PFAM.txt","Ribosomal_S3_C")</f>
        <v>Ribosomal_S3_C</v>
      </c>
      <c r="BQ191" t="str">
        <f>HYPERLINK("http://pfam.sanger.ac.uk/family?acc=PF00189","5E-021")</f>
        <v>5E-021</v>
      </c>
      <c r="BR191" s="1" t="str">
        <f>HYPERLINK("http://exon.niaid.nih.gov/transcriptome/T_rubida/S1/links/SMART/Triru-contig_245-SMART.txt","AP2Ec")</f>
        <v>AP2Ec</v>
      </c>
      <c r="BS191" t="str">
        <f>HYPERLINK("http://smart.embl-heidelberg.de/smart/do_annotation.pl?DOMAIN=AP2Ec&amp;BLAST=DUMMY","0.084")</f>
        <v>0.084</v>
      </c>
      <c r="BT191" s="1" t="str">
        <f>HYPERLINK("http://exon.niaid.nih.gov/transcriptome/T_rubida/S1/links/PRK/Triru-contig_245-PRK.txt","40S ribosomal protein S3")</f>
        <v>40S ribosomal protein S3</v>
      </c>
      <c r="BU191" s="2">
        <v>6E-65</v>
      </c>
      <c r="BV191" s="1" t="s">
        <v>57</v>
      </c>
      <c r="BW191" t="s">
        <v>57</v>
      </c>
      <c r="BX191" s="1" t="s">
        <v>57</v>
      </c>
      <c r="BY191" t="s">
        <v>57</v>
      </c>
    </row>
    <row r="192" spans="1:77">
      <c r="A192" t="str">
        <f>HYPERLINK("http://exon.niaid.nih.gov/transcriptome/T_rubida/S1/links/Triru/Triru-contig_107.txt","Triru-contig_107")</f>
        <v>Triru-contig_107</v>
      </c>
      <c r="B192">
        <v>4</v>
      </c>
      <c r="C192" t="str">
        <f>HYPERLINK("http://exon.niaid.nih.gov/transcriptome/T_rubida/S1/links/Triru/Triru-5-48-asb-107.txt","Contig-107")</f>
        <v>Contig-107</v>
      </c>
      <c r="D192" t="str">
        <f>HYPERLINK("http://exon.niaid.nih.gov/transcriptome/T_rubida/S1/links/Triru/Triru-5-48-107-CLU.txt","Contig107")</f>
        <v>Contig107</v>
      </c>
      <c r="E192" t="str">
        <f>HYPERLINK("http://exon.niaid.nih.gov/transcriptome/T_rubida/S1/links/Triru/Triru-5-48-107-qual.txt","67.4")</f>
        <v>67.4</v>
      </c>
      <c r="F192" t="s">
        <v>10</v>
      </c>
      <c r="G192">
        <v>61.9</v>
      </c>
      <c r="H192">
        <v>722</v>
      </c>
      <c r="I192" t="s">
        <v>119</v>
      </c>
      <c r="J192">
        <v>723</v>
      </c>
      <c r="K192">
        <v>741</v>
      </c>
      <c r="L192">
        <v>669</v>
      </c>
      <c r="M192" t="s">
        <v>5215</v>
      </c>
      <c r="N192" s="15">
        <v>1</v>
      </c>
      <c r="O192" s="14" t="str">
        <f>HYPERLINK("http://exon.niaid.nih.gov/transcriptome/T_rubida/S1/links/Sigp/TRIRU-CONTIG_107-SigP.txt","Anch")</f>
        <v>Anch</v>
      </c>
      <c r="Q192" s="5" t="s">
        <v>4855</v>
      </c>
      <c r="R192" t="s">
        <v>4820</v>
      </c>
      <c r="S192" t="str">
        <f>HYPERLINK("http://exon.niaid.nih.gov/transcriptome/T_rubida/S1/links/KOG/Triru-contig_107-KOG.txt","KOG")</f>
        <v>KOG</v>
      </c>
      <c r="T192" s="23">
        <v>9.9999999999999996E-83</v>
      </c>
      <c r="U192">
        <v>84.3</v>
      </c>
      <c r="V192" s="1" t="str">
        <f>HYPERLINK("http://exon.niaid.nih.gov/transcriptome/T_rubida/S1/links/NR/Triru-contig_107-NR.txt","40S ribosomal protein S3a")</f>
        <v>40S ribosomal protein S3a</v>
      </c>
      <c r="W192" t="str">
        <f>HYPERLINK("http://www.ncbi.nlm.nih.gov/sutils/blink.cgi?pid=307095110","1E-122")</f>
        <v>1E-122</v>
      </c>
      <c r="X192" t="str">
        <f>HYPERLINK("http://www.ncbi.nlm.nih.gov/protein/307095110","gi|307095110")</f>
        <v>gi|307095110</v>
      </c>
      <c r="Y192">
        <v>442</v>
      </c>
      <c r="Z192">
        <v>223</v>
      </c>
      <c r="AA192">
        <v>269</v>
      </c>
      <c r="AB192">
        <v>99</v>
      </c>
      <c r="AC192">
        <v>83</v>
      </c>
      <c r="AD192">
        <v>1</v>
      </c>
      <c r="AE192">
        <v>0</v>
      </c>
      <c r="AF192">
        <v>46</v>
      </c>
      <c r="AG192">
        <v>19</v>
      </c>
      <c r="AH192">
        <v>1</v>
      </c>
      <c r="AI192">
        <v>1</v>
      </c>
      <c r="AJ192" t="s">
        <v>11</v>
      </c>
      <c r="AK192">
        <v>0.44800000000000001</v>
      </c>
      <c r="AL192" t="s">
        <v>1121</v>
      </c>
      <c r="AM192" t="s">
        <v>1302</v>
      </c>
      <c r="AN192" t="s">
        <v>1303</v>
      </c>
      <c r="AO192" s="1" t="str">
        <f>HYPERLINK("http://exon.niaid.nih.gov/transcriptome/T_rubida/S1/links/SWISSP/Triru-contig_107-SWISSP.txt","40S ribosomal protein S3a")</f>
        <v>40S ribosomal protein S3a</v>
      </c>
      <c r="AP192" t="str">
        <f>HYPERLINK("http://www.uniprot.org/uniprot/A6YPJ8","1E-120")</f>
        <v>1E-120</v>
      </c>
      <c r="AQ192" t="s">
        <v>1304</v>
      </c>
      <c r="AR192">
        <v>430</v>
      </c>
      <c r="AS192">
        <v>216</v>
      </c>
      <c r="AT192">
        <v>100</v>
      </c>
      <c r="AU192">
        <v>83</v>
      </c>
      <c r="AV192">
        <v>0</v>
      </c>
      <c r="AW192">
        <v>0</v>
      </c>
      <c r="AX192">
        <v>46</v>
      </c>
      <c r="AY192">
        <v>19</v>
      </c>
      <c r="AZ192">
        <v>1</v>
      </c>
      <c r="BA192">
        <v>1</v>
      </c>
      <c r="BB192" t="s">
        <v>11</v>
      </c>
      <c r="BD192" t="s">
        <v>704</v>
      </c>
      <c r="BE192" t="s">
        <v>1067</v>
      </c>
      <c r="BF192" t="s">
        <v>1305</v>
      </c>
      <c r="BG192" t="s">
        <v>1306</v>
      </c>
      <c r="BH192" s="1" t="s">
        <v>1307</v>
      </c>
      <c r="BI192">
        <f>HYPERLINK("http://exon.niaid.nih.gov/transcriptome/T_rubida/S1/links/GO/Triru-contig_107-GO.txt",1E-89)</f>
        <v>1E-89</v>
      </c>
      <c r="BJ192" s="1" t="str">
        <f>HYPERLINK("http://exon.niaid.nih.gov/transcriptome/T_rubida/S1/links/CDD/Triru-contig_107-CDD.txt","Ribosomal_S3Ae")</f>
        <v>Ribosomal_S3Ae</v>
      </c>
      <c r="BK192" t="str">
        <f>HYPERLINK("http://www.ncbi.nlm.nih.gov/Structure/cdd/cddsrv.cgi?uid=pfam01015&amp;version=v4.0","9E-072")</f>
        <v>9E-072</v>
      </c>
      <c r="BL192" t="s">
        <v>1308</v>
      </c>
      <c r="BM192" s="1" t="str">
        <f>HYPERLINK("http://exon.niaid.nih.gov/transcriptome/T_rubida/S1/links/KOG/Triru-contig_107-KOG.txt","40S ribosomal protein S3A")</f>
        <v>40S ribosomal protein S3A</v>
      </c>
      <c r="BN192" t="str">
        <f>HYPERLINK("http://www.ncbi.nlm.nih.gov/COG/grace/shokog.cgi?KOG1628","1E-082")</f>
        <v>1E-082</v>
      </c>
      <c r="BO192" t="s">
        <v>1185</v>
      </c>
      <c r="BP192" s="1" t="str">
        <f>HYPERLINK("http://exon.niaid.nih.gov/transcriptome/T_rubida/S1/links/PFAM/Triru-contig_107-PFAM.txt","Ribosomal_S3Ae")</f>
        <v>Ribosomal_S3Ae</v>
      </c>
      <c r="BQ192" t="str">
        <f>HYPERLINK("http://pfam.sanger.ac.uk/family?acc=PF01015","2E-072")</f>
        <v>2E-072</v>
      </c>
      <c r="BR192" s="1" t="str">
        <f>HYPERLINK("http://exon.niaid.nih.gov/transcriptome/T_rubida/S1/links/SMART/Triru-contig_107-SMART.txt","PP2Cc")</f>
        <v>PP2Cc</v>
      </c>
      <c r="BS192" t="str">
        <f>HYPERLINK("http://smart.embl-heidelberg.de/smart/do_annotation.pl?DOMAIN=PP2Cc&amp;BLAST=DUMMY","0.74")</f>
        <v>0.74</v>
      </c>
      <c r="BT192" s="1" t="str">
        <f>HYPERLINK("http://exon.niaid.nih.gov/transcriptome/T_rubida/S1/links/PRK/Triru-contig_107-PRK.txt","30S ribosomal protein S3Ae")</f>
        <v>30S ribosomal protein S3Ae</v>
      </c>
      <c r="BU192" s="2">
        <v>8.0000000000000007E-31</v>
      </c>
      <c r="BV192" s="1" t="s">
        <v>57</v>
      </c>
      <c r="BW192" t="s">
        <v>57</v>
      </c>
      <c r="BX192" s="1" t="s">
        <v>57</v>
      </c>
      <c r="BY192" t="s">
        <v>57</v>
      </c>
    </row>
    <row r="193" spans="1:77">
      <c r="A193" t="str">
        <f>HYPERLINK("http://exon.niaid.nih.gov/transcriptome/T_rubida/S1/links/Triru/Triru-contig_102.txt","Triru-contig_102")</f>
        <v>Triru-contig_102</v>
      </c>
      <c r="B193">
        <v>5</v>
      </c>
      <c r="C193" t="str">
        <f>HYPERLINK("http://exon.niaid.nih.gov/transcriptome/T_rubida/S1/links/Triru/Triru-5-48-asb-102.txt","Contig-102")</f>
        <v>Contig-102</v>
      </c>
      <c r="D193" t="str">
        <f>HYPERLINK("http://exon.niaid.nih.gov/transcriptome/T_rubida/S1/links/Triru/Triru-5-48-102-CLU.txt","Contig102")</f>
        <v>Contig102</v>
      </c>
      <c r="E193" t="str">
        <f>HYPERLINK("http://exon.niaid.nih.gov/transcriptome/T_rubida/S1/links/Triru/Triru-5-48-102-qual.txt","86.3")</f>
        <v>86.3</v>
      </c>
      <c r="F193" t="s">
        <v>10</v>
      </c>
      <c r="G193">
        <v>61.6</v>
      </c>
      <c r="H193">
        <v>461</v>
      </c>
      <c r="I193" t="s">
        <v>114</v>
      </c>
      <c r="J193">
        <v>462</v>
      </c>
      <c r="K193">
        <v>490</v>
      </c>
      <c r="L193">
        <v>399</v>
      </c>
      <c r="M193" t="s">
        <v>5216</v>
      </c>
      <c r="N193" s="15">
        <v>2</v>
      </c>
      <c r="O193" s="14" t="str">
        <f>HYPERLINK("http://exon.niaid.nih.gov/transcriptome/T_rubida/S1/links/Sigp/TRIRU-CONTIG_102-SigP.txt","Cyt")</f>
        <v>Cyt</v>
      </c>
      <c r="Q193" s="5" t="s">
        <v>4848</v>
      </c>
      <c r="R193" t="s">
        <v>4820</v>
      </c>
      <c r="S193" t="str">
        <f>HYPERLINK("http://exon.niaid.nih.gov/transcriptome/T_rubida/S1/links/KOG/Triru-contig_102-KOG.txt","KOG")</f>
        <v>KOG</v>
      </c>
      <c r="T193" s="23">
        <v>6.9999999999999996E-56</v>
      </c>
      <c r="U193">
        <v>50.1</v>
      </c>
      <c r="V193" s="1" t="str">
        <f>HYPERLINK("http://exon.niaid.nih.gov/transcriptome/T_rubida/S1/links/NR/Triru-contig_102-NR.txt","ribosomal protein S4e")</f>
        <v>ribosomal protein S4e</v>
      </c>
      <c r="W193" t="str">
        <f>HYPERLINK("http://www.ncbi.nlm.nih.gov/sutils/blink.cgi?pid=146285351","6E-065")</f>
        <v>6E-065</v>
      </c>
      <c r="X193" t="str">
        <f>HYPERLINK("http://www.ncbi.nlm.nih.gov/protein/146285351","gi|146285351")</f>
        <v>gi|146285351</v>
      </c>
      <c r="Y193">
        <v>250</v>
      </c>
      <c r="Z193">
        <v>131</v>
      </c>
      <c r="AA193">
        <v>263</v>
      </c>
      <c r="AB193">
        <v>93</v>
      </c>
      <c r="AC193">
        <v>50</v>
      </c>
      <c r="AD193">
        <v>9</v>
      </c>
      <c r="AE193">
        <v>0</v>
      </c>
      <c r="AF193">
        <v>132</v>
      </c>
      <c r="AG193">
        <v>5</v>
      </c>
      <c r="AH193">
        <v>1</v>
      </c>
      <c r="AI193">
        <v>2</v>
      </c>
      <c r="AJ193" t="s">
        <v>11</v>
      </c>
      <c r="AL193" t="s">
        <v>1216</v>
      </c>
      <c r="AM193" t="s">
        <v>1263</v>
      </c>
      <c r="AN193" t="s">
        <v>1264</v>
      </c>
      <c r="AO193" s="1" t="str">
        <f>HYPERLINK("http://exon.niaid.nih.gov/transcriptome/T_rubida/S1/links/SWISSP/Triru-contig_102-SWISSP.txt","40S ribosomal protein S4")</f>
        <v>40S ribosomal protein S4</v>
      </c>
      <c r="AP193" t="str">
        <f>HYPERLINK("http://www.uniprot.org/uniprot/Q4GXU6","8E-060")</f>
        <v>8E-060</v>
      </c>
      <c r="AQ193" t="s">
        <v>1265</v>
      </c>
      <c r="AR193">
        <v>229</v>
      </c>
      <c r="AS193">
        <v>127</v>
      </c>
      <c r="AT193">
        <v>86</v>
      </c>
      <c r="AU193">
        <v>49</v>
      </c>
      <c r="AV193">
        <v>17</v>
      </c>
      <c r="AW193">
        <v>0</v>
      </c>
      <c r="AX193">
        <v>132</v>
      </c>
      <c r="AY193">
        <v>5</v>
      </c>
      <c r="AZ193">
        <v>1</v>
      </c>
      <c r="BA193">
        <v>2</v>
      </c>
      <c r="BB193" t="s">
        <v>11</v>
      </c>
      <c r="BD193" t="s">
        <v>704</v>
      </c>
      <c r="BE193" t="s">
        <v>1255</v>
      </c>
      <c r="BF193" t="s">
        <v>1266</v>
      </c>
      <c r="BG193" t="s">
        <v>1267</v>
      </c>
      <c r="BH193" s="1" t="s">
        <v>1268</v>
      </c>
      <c r="BI193">
        <f>HYPERLINK("http://exon.niaid.nih.gov/transcriptome/T_rubida/S1/links/GO/Triru-contig_102-GO.txt",6E-58)</f>
        <v>6.0000000000000002E-58</v>
      </c>
      <c r="BJ193" s="1" t="str">
        <f>HYPERLINK("http://exon.niaid.nih.gov/transcriptome/T_rubida/S1/links/CDD/Triru-contig_102-CDD.txt","PLN00036")</f>
        <v>PLN00036</v>
      </c>
      <c r="BK193" t="str">
        <f>HYPERLINK("http://www.ncbi.nlm.nih.gov/Structure/cdd/cddsrv.cgi?uid=PLN00036&amp;version=v4.0","2E-058")</f>
        <v>2E-058</v>
      </c>
      <c r="BL193" t="s">
        <v>1269</v>
      </c>
      <c r="BM193" s="1" t="str">
        <f>HYPERLINK("http://exon.niaid.nih.gov/transcriptome/T_rubida/S1/links/KOG/Triru-contig_102-KOG.txt","40S ribosomal protein S4")</f>
        <v>40S ribosomal protein S4</v>
      </c>
      <c r="BN193" t="str">
        <f>HYPERLINK("http://www.ncbi.nlm.nih.gov/COG/grace/shokog.cgi?KOG0378","7E-056")</f>
        <v>7E-056</v>
      </c>
      <c r="BO193" t="s">
        <v>1185</v>
      </c>
      <c r="BP193" s="1" t="str">
        <f>HYPERLINK("http://exon.niaid.nih.gov/transcriptome/T_rubida/S1/links/PFAM/Triru-contig_102-PFAM.txt","Ribosomal_S4e")</f>
        <v>Ribosomal_S4e</v>
      </c>
      <c r="BQ193" t="str">
        <f>HYPERLINK("http://pfam.sanger.ac.uk/family?acc=PF00900","7E-012")</f>
        <v>7E-012</v>
      </c>
      <c r="BR193" s="1" t="str">
        <f>HYPERLINK("http://exon.niaid.nih.gov/transcriptome/T_rubida/S1/links/SMART/Triru-contig_102-SMART.txt","KOW")</f>
        <v>KOW</v>
      </c>
      <c r="BS193" t="str">
        <f>HYPERLINK("http://smart.embl-heidelberg.de/smart/do_annotation.pl?DOMAIN=KOW&amp;BLAST=DUMMY","0.006")</f>
        <v>0.006</v>
      </c>
      <c r="BT193" s="1" t="str">
        <f>HYPERLINK("http://exon.niaid.nih.gov/transcriptome/T_rubida/S1/links/PRK/Triru-contig_102-PRK.txt","40S ribosomal protein S4")</f>
        <v>40S ribosomal protein S4</v>
      </c>
      <c r="BU193" s="2">
        <v>1E-58</v>
      </c>
      <c r="BV193" s="1" t="s">
        <v>57</v>
      </c>
      <c r="BW193" t="s">
        <v>57</v>
      </c>
      <c r="BX193" s="1" t="s">
        <v>57</v>
      </c>
      <c r="BY193" t="s">
        <v>57</v>
      </c>
    </row>
    <row r="194" spans="1:77">
      <c r="A194" t="str">
        <f>HYPERLINK("http://exon.niaid.nih.gov/transcriptome/T_rubida/S1/links/Triru/Triru-contig_536.txt","Triru-contig_536")</f>
        <v>Triru-contig_536</v>
      </c>
      <c r="B194">
        <v>1</v>
      </c>
      <c r="C194" t="str">
        <f>HYPERLINK("http://exon.niaid.nih.gov/transcriptome/T_rubida/S1/links/Triru/Triru-5-48-asb-536.txt","Contig-536")</f>
        <v>Contig-536</v>
      </c>
      <c r="D194" t="str">
        <f>HYPERLINK("http://exon.niaid.nih.gov/transcriptome/T_rubida/S1/links/Triru/Triru-5-48-536-CLU.txt","Contig536")</f>
        <v>Contig536</v>
      </c>
      <c r="E194" t="str">
        <f>HYPERLINK("http://exon.niaid.nih.gov/transcriptome/T_rubida/S1/links/Triru/Triru-5-48-536-qual.txt","53.8")</f>
        <v>53.8</v>
      </c>
      <c r="F194" t="s">
        <v>10</v>
      </c>
      <c r="G194">
        <v>61.8</v>
      </c>
      <c r="H194">
        <v>172</v>
      </c>
      <c r="I194" t="s">
        <v>548</v>
      </c>
      <c r="J194">
        <v>172</v>
      </c>
      <c r="K194">
        <v>191</v>
      </c>
      <c r="L194">
        <v>168</v>
      </c>
      <c r="M194" t="s">
        <v>5217</v>
      </c>
      <c r="N194" s="15">
        <v>2</v>
      </c>
      <c r="Q194" s="5" t="s">
        <v>5003</v>
      </c>
      <c r="R194" t="s">
        <v>4820</v>
      </c>
      <c r="S194" t="str">
        <f>HYPERLINK("http://exon.niaid.nih.gov/transcriptome/T_rubida/S1/links/SWISSP/Triru-contig_536-SWISSP.txt","SWISSP")</f>
        <v>SWISSP</v>
      </c>
      <c r="T194" s="23">
        <v>7.9999999999999995E-11</v>
      </c>
      <c r="U194">
        <v>16</v>
      </c>
      <c r="V194" s="1" t="str">
        <f>HYPERLINK("http://exon.niaid.nih.gov/transcriptome/T_rubida/S1/links/NR/Triru-contig_536-NR.txt","putative 40S ribosomal protein S6")</f>
        <v>putative 40S ribosomal protein S6</v>
      </c>
      <c r="W194" t="str">
        <f>HYPERLINK("http://www.ncbi.nlm.nih.gov/sutils/blink.cgi?pid=307095100","2E-010")</f>
        <v>2E-010</v>
      </c>
      <c r="X194" t="str">
        <f>HYPERLINK("http://www.ncbi.nlm.nih.gov/protein/307095100","gi|307095100")</f>
        <v>gi|307095100</v>
      </c>
      <c r="Y194">
        <v>69.3</v>
      </c>
      <c r="Z194">
        <v>36</v>
      </c>
      <c r="AA194">
        <v>247</v>
      </c>
      <c r="AB194">
        <v>94</v>
      </c>
      <c r="AC194">
        <v>15</v>
      </c>
      <c r="AD194">
        <v>2</v>
      </c>
      <c r="AE194">
        <v>0</v>
      </c>
      <c r="AF194">
        <v>211</v>
      </c>
      <c r="AG194">
        <v>30</v>
      </c>
      <c r="AH194">
        <v>1</v>
      </c>
      <c r="AI194">
        <v>3</v>
      </c>
      <c r="AJ194" t="s">
        <v>11</v>
      </c>
      <c r="AL194" t="s">
        <v>1121</v>
      </c>
      <c r="AM194" t="s">
        <v>4101</v>
      </c>
      <c r="AN194" t="s">
        <v>4102</v>
      </c>
      <c r="AO194" s="1" t="str">
        <f>HYPERLINK("http://exon.niaid.nih.gov/transcriptome/T_rubida/S1/links/SWISSP/Triru-contig_536-SWISSP.txt","40S ribosomal protein S6")</f>
        <v>40S ribosomal protein S6</v>
      </c>
      <c r="AP194" t="str">
        <f>HYPERLINK("http://www.uniprot.org/uniprot/Q94624","8E-011")</f>
        <v>8E-011</v>
      </c>
      <c r="AQ194" t="s">
        <v>4103</v>
      </c>
      <c r="AR194">
        <v>65.900000000000006</v>
      </c>
      <c r="AS194">
        <v>41</v>
      </c>
      <c r="AT194">
        <v>78</v>
      </c>
      <c r="AU194">
        <v>17</v>
      </c>
      <c r="AV194">
        <v>9</v>
      </c>
      <c r="AW194">
        <v>0</v>
      </c>
      <c r="AX194">
        <v>207</v>
      </c>
      <c r="AY194">
        <v>12</v>
      </c>
      <c r="AZ194">
        <v>1</v>
      </c>
      <c r="BA194">
        <v>3</v>
      </c>
      <c r="BB194" t="s">
        <v>11</v>
      </c>
      <c r="BD194" t="s">
        <v>704</v>
      </c>
      <c r="BE194" t="s">
        <v>1274</v>
      </c>
      <c r="BF194" t="s">
        <v>4104</v>
      </c>
      <c r="BG194" t="s">
        <v>4105</v>
      </c>
      <c r="BH194" s="1" t="s">
        <v>4106</v>
      </c>
      <c r="BI194">
        <f>HYPERLINK("http://exon.niaid.nih.gov/transcriptome/T_rubida/S1/links/GO/Triru-contig_536-GO.txt",0.000001)</f>
        <v>9.9999999999999995E-7</v>
      </c>
      <c r="BJ194" s="1" t="str">
        <f>HYPERLINK("http://exon.niaid.nih.gov/transcriptome/T_rubida/S1/links/CDD/Triru-contig_536-CDD.txt","PHA02697")</f>
        <v>PHA02697</v>
      </c>
      <c r="BK194" t="str">
        <f>HYPERLINK("http://www.ncbi.nlm.nih.gov/Structure/cdd/cddsrv.cgi?uid=PHA02697&amp;version=v4.0","0.049")</f>
        <v>0.049</v>
      </c>
      <c r="BL194" t="s">
        <v>4107</v>
      </c>
      <c r="BM194" s="1" t="str">
        <f>HYPERLINK("http://exon.niaid.nih.gov/transcriptome/T_rubida/S1/links/KOG/Triru-contig_536-KOG.txt","40S ribosomal protein S6")</f>
        <v>40S ribosomal protein S6</v>
      </c>
      <c r="BN194" t="str">
        <f>HYPERLINK("http://www.ncbi.nlm.nih.gov/COG/grace/shokog.cgi?KOG1646","2E-006")</f>
        <v>2E-006</v>
      </c>
      <c r="BO194" t="s">
        <v>1185</v>
      </c>
      <c r="BP194" s="1" t="str">
        <f>HYPERLINK("http://exon.niaid.nih.gov/transcriptome/T_rubida/S1/links/PFAM/Triru-contig_536-PFAM.txt","DUF2489")</f>
        <v>DUF2489</v>
      </c>
      <c r="BQ194" t="str">
        <f>HYPERLINK("http://pfam.sanger.ac.uk/family?acc=PF10675","0.015")</f>
        <v>0.015</v>
      </c>
      <c r="BR194" s="1" t="str">
        <f>HYPERLINK("http://exon.niaid.nih.gov/transcriptome/T_rubida/S1/links/SMART/Triru-contig_536-SMART.txt","Resolvase")</f>
        <v>Resolvase</v>
      </c>
      <c r="BS194" t="str">
        <f>HYPERLINK("http://smart.embl-heidelberg.de/smart/do_annotation.pl?DOMAIN=Resolvase&amp;BLAST=DUMMY","0.18")</f>
        <v>0.18</v>
      </c>
      <c r="BT194" s="1" t="str">
        <f>HYPERLINK("http://exon.niaid.nih.gov/transcriptome/T_rubida/S1/links/PRK/Triru-contig_536-PRK.txt","hypothetical protein")</f>
        <v>hypothetical protein</v>
      </c>
      <c r="BU194">
        <v>1.7999999999999999E-2</v>
      </c>
      <c r="BV194" s="1" t="s">
        <v>57</v>
      </c>
      <c r="BW194" t="s">
        <v>57</v>
      </c>
      <c r="BX194" s="1" t="s">
        <v>57</v>
      </c>
      <c r="BY194" t="s">
        <v>57</v>
      </c>
    </row>
    <row r="195" spans="1:77">
      <c r="A195" t="str">
        <f>HYPERLINK("http://exon.niaid.nih.gov/transcriptome/T_rubida/S1/links/Triru/Triru-contig_100.txt","Triru-contig_100")</f>
        <v>Triru-contig_100</v>
      </c>
      <c r="B195">
        <v>3</v>
      </c>
      <c r="C195" t="str">
        <f>HYPERLINK("http://exon.niaid.nih.gov/transcriptome/T_rubida/S1/links/Triru/Triru-5-48-asb-100.txt","Contig-100")</f>
        <v>Contig-100</v>
      </c>
      <c r="D195" t="str">
        <f>HYPERLINK("http://exon.niaid.nih.gov/transcriptome/T_rubida/S1/links/Triru/Triru-5-48-100-CLU.txt","Contig100")</f>
        <v>Contig100</v>
      </c>
      <c r="E195" t="str">
        <f>HYPERLINK("http://exon.niaid.nih.gov/transcriptome/T_rubida/S1/links/Triru/Triru-5-48-100-qual.txt","82.4")</f>
        <v>82.4</v>
      </c>
      <c r="F195" t="s">
        <v>10</v>
      </c>
      <c r="G195">
        <v>64</v>
      </c>
      <c r="H195">
        <v>536</v>
      </c>
      <c r="I195" t="s">
        <v>112</v>
      </c>
      <c r="J195">
        <v>536</v>
      </c>
      <c r="K195">
        <v>555</v>
      </c>
      <c r="L195">
        <v>501</v>
      </c>
      <c r="M195" t="s">
        <v>5218</v>
      </c>
      <c r="N195" s="15">
        <v>1</v>
      </c>
      <c r="O195" s="14" t="str">
        <f>HYPERLINK("http://exon.niaid.nih.gov/transcriptome/T_rubida/S1/links/Sigp/TRIRU-CONTIG_100-SigP.txt","Cyt")</f>
        <v>Cyt</v>
      </c>
      <c r="Q195" s="5" t="s">
        <v>4846</v>
      </c>
      <c r="R195" t="s">
        <v>4820</v>
      </c>
      <c r="S195" t="str">
        <f>HYPERLINK("http://exon.niaid.nih.gov/transcriptome/T_rubida/S1/links/KOG/Triru-contig_100-KOG.txt","KOG")</f>
        <v>KOG</v>
      </c>
      <c r="T195" s="23">
        <v>1.0000000000000001E-68</v>
      </c>
      <c r="U195">
        <v>84.3</v>
      </c>
      <c r="V195" s="1" t="str">
        <f>HYPERLINK("http://exon.niaid.nih.gov/transcriptome/T_rubida/S1/links/NR/Triru-contig_100-NR.txt","40S ribosomal protein S7, putative")</f>
        <v>40S ribosomal protein S7, putative</v>
      </c>
      <c r="W195" t="str">
        <f>HYPERLINK("http://www.ncbi.nlm.nih.gov/sutils/blink.cgi?pid=242014985","3E-076")</f>
        <v>3E-076</v>
      </c>
      <c r="X195" t="str">
        <f>HYPERLINK("http://www.ncbi.nlm.nih.gov/protein/242014985","gi|242014985")</f>
        <v>gi|242014985</v>
      </c>
      <c r="Y195">
        <v>288</v>
      </c>
      <c r="Z195">
        <v>164</v>
      </c>
      <c r="AA195">
        <v>195</v>
      </c>
      <c r="AB195">
        <v>85</v>
      </c>
      <c r="AC195">
        <v>85</v>
      </c>
      <c r="AD195">
        <v>24</v>
      </c>
      <c r="AE195">
        <v>0</v>
      </c>
      <c r="AF195">
        <v>31</v>
      </c>
      <c r="AG195">
        <v>7</v>
      </c>
      <c r="AH195">
        <v>1</v>
      </c>
      <c r="AI195">
        <v>1</v>
      </c>
      <c r="AJ195" t="s">
        <v>11</v>
      </c>
      <c r="AL195" t="s">
        <v>1177</v>
      </c>
      <c r="AM195" t="s">
        <v>1250</v>
      </c>
      <c r="AN195" t="s">
        <v>1179</v>
      </c>
      <c r="AO195" s="1" t="str">
        <f>HYPERLINK("http://exon.niaid.nih.gov/transcriptome/T_rubida/S1/links/SWISSP/Triru-contig_100-SWISSP.txt","40S ribosomal protein S7")</f>
        <v>40S ribosomal protein S7</v>
      </c>
      <c r="AP195" t="str">
        <f>HYPERLINK("http://www.uniprot.org/uniprot/Q962S0","2E-074")</f>
        <v>2E-074</v>
      </c>
      <c r="AQ195" t="s">
        <v>1245</v>
      </c>
      <c r="AR195">
        <v>278</v>
      </c>
      <c r="AS195">
        <v>164</v>
      </c>
      <c r="AT195">
        <v>84</v>
      </c>
      <c r="AU195">
        <v>87</v>
      </c>
      <c r="AV195">
        <v>26</v>
      </c>
      <c r="AW195">
        <v>0</v>
      </c>
      <c r="AX195">
        <v>26</v>
      </c>
      <c r="AY195">
        <v>7</v>
      </c>
      <c r="AZ195">
        <v>1</v>
      </c>
      <c r="BA195">
        <v>1</v>
      </c>
      <c r="BB195" t="s">
        <v>11</v>
      </c>
      <c r="BD195" t="s">
        <v>704</v>
      </c>
      <c r="BE195" t="s">
        <v>1246</v>
      </c>
      <c r="BF195" t="s">
        <v>1251</v>
      </c>
      <c r="BG195" t="s">
        <v>1252</v>
      </c>
      <c r="BH195" s="1" t="s">
        <v>1253</v>
      </c>
      <c r="BI195">
        <f>HYPERLINK("http://exon.niaid.nih.gov/transcriptome/T_rubida/S1/links/GO/Triru-contig_100-GO.txt",2E-67)</f>
        <v>1.9999999999999999E-67</v>
      </c>
      <c r="BJ195" s="1" t="str">
        <f>HYPERLINK("http://exon.niaid.nih.gov/transcriptome/T_rubida/S1/links/CDD/Triru-contig_100-CDD.txt","Ribosomal_S7e")</f>
        <v>Ribosomal_S7e</v>
      </c>
      <c r="BK195" t="str">
        <f>HYPERLINK("http://www.ncbi.nlm.nih.gov/Structure/cdd/cddsrv.cgi?uid=pfam01251&amp;version=v4.0","1E-082")</f>
        <v>1E-082</v>
      </c>
      <c r="BL195" t="s">
        <v>1254</v>
      </c>
      <c r="BM195" s="1" t="str">
        <f>HYPERLINK("http://exon.niaid.nih.gov/transcriptome/T_rubida/S1/links/KOG/Triru-contig_100-KOG.txt","40S ribosomal protein S7")</f>
        <v>40S ribosomal protein S7</v>
      </c>
      <c r="BN195" t="str">
        <f>HYPERLINK("http://www.ncbi.nlm.nih.gov/COG/grace/shokog.cgi?KOG3320","1E-068")</f>
        <v>1E-068</v>
      </c>
      <c r="BO195" t="s">
        <v>1185</v>
      </c>
      <c r="BP195" s="1" t="str">
        <f>HYPERLINK("http://exon.niaid.nih.gov/transcriptome/T_rubida/S1/links/PFAM/Triru-contig_100-PFAM.txt","Ribosomal_S7e")</f>
        <v>Ribosomal_S7e</v>
      </c>
      <c r="BQ195" t="str">
        <f>HYPERLINK("http://pfam.sanger.ac.uk/family?acc=PF01251","3E-083")</f>
        <v>3E-083</v>
      </c>
      <c r="BR195" s="1" t="str">
        <f>HYPERLINK("http://exon.niaid.nih.gov/transcriptome/T_rubida/S1/links/SMART/Triru-contig_100-SMART.txt","RhoGAP")</f>
        <v>RhoGAP</v>
      </c>
      <c r="BS195" t="str">
        <f>HYPERLINK("http://smart.embl-heidelberg.de/smart/do_annotation.pl?DOMAIN=RhoGAP&amp;BLAST=DUMMY","0.028")</f>
        <v>0.028</v>
      </c>
      <c r="BT195" s="1" t="str">
        <f>HYPERLINK("http://exon.niaid.nih.gov/transcriptome/T_rubida/S1/links/PRK/Triru-contig_100-PRK.txt","40S ribosomal protein S7")</f>
        <v>40S ribosomal protein S7</v>
      </c>
      <c r="BU195" s="2">
        <v>2.0000000000000001E-59</v>
      </c>
      <c r="BV195" s="1" t="s">
        <v>57</v>
      </c>
      <c r="BW195" t="s">
        <v>57</v>
      </c>
      <c r="BX195" s="1" t="s">
        <v>57</v>
      </c>
      <c r="BY195" t="s">
        <v>57</v>
      </c>
    </row>
    <row r="196" spans="1:77">
      <c r="A196" t="str">
        <f>HYPERLINK("http://exon.niaid.nih.gov/transcriptome/T_rubida/S1/links/Triru/Triru-contig_485.txt","Triru-contig_485")</f>
        <v>Triru-contig_485</v>
      </c>
      <c r="B196">
        <v>1</v>
      </c>
      <c r="C196" t="str">
        <f>HYPERLINK("http://exon.niaid.nih.gov/transcriptome/T_rubida/S1/links/Triru/Triru-5-48-asb-485.txt","Contig-485")</f>
        <v>Contig-485</v>
      </c>
      <c r="D196" t="str">
        <f>HYPERLINK("http://exon.niaid.nih.gov/transcriptome/T_rubida/S1/links/Triru/Triru-5-48-485-CLU.txt","Contig485")</f>
        <v>Contig485</v>
      </c>
      <c r="E196" t="str">
        <f>HYPERLINK("http://exon.niaid.nih.gov/transcriptome/T_rubida/S1/links/Triru/Triru-5-48-485-qual.txt","58.5")</f>
        <v>58.5</v>
      </c>
      <c r="F196">
        <v>0.6</v>
      </c>
      <c r="G196">
        <v>62.9</v>
      </c>
      <c r="H196">
        <v>291</v>
      </c>
      <c r="I196" t="s">
        <v>497</v>
      </c>
      <c r="J196">
        <v>291</v>
      </c>
      <c r="K196">
        <v>310</v>
      </c>
      <c r="L196">
        <v>255</v>
      </c>
      <c r="M196" t="s">
        <v>5219</v>
      </c>
      <c r="N196" s="15">
        <v>3</v>
      </c>
      <c r="Q196" s="5" t="s">
        <v>4985</v>
      </c>
      <c r="R196" t="s">
        <v>4820</v>
      </c>
      <c r="S196" t="str">
        <f>HYPERLINK("http://exon.niaid.nih.gov/transcriptome/T_rubida/S1/links/NR/Triru-contig_485-NR.txt","NR")</f>
        <v>NR</v>
      </c>
      <c r="T196" s="23">
        <v>9.0000000000000008E-34</v>
      </c>
      <c r="U196">
        <v>35.5</v>
      </c>
      <c r="V196" s="1" t="str">
        <f>HYPERLINK("http://exon.niaid.nih.gov/transcriptome/T_rubida/S1/links/NR/Triru-contig_485-NR.txt","40S ribosomal protein S8")</f>
        <v>40S ribosomal protein S8</v>
      </c>
      <c r="W196" t="str">
        <f>HYPERLINK("http://www.ncbi.nlm.nih.gov/sutils/blink.cgi?pid=149689088","9E-034")</f>
        <v>9E-034</v>
      </c>
      <c r="X196" t="str">
        <f>HYPERLINK("http://www.ncbi.nlm.nih.gov/protein/149689088","gi|149689088")</f>
        <v>gi|149689088</v>
      </c>
      <c r="Y196">
        <v>146</v>
      </c>
      <c r="Z196">
        <v>73</v>
      </c>
      <c r="AA196">
        <v>208</v>
      </c>
      <c r="AB196">
        <v>97</v>
      </c>
      <c r="AC196">
        <v>36</v>
      </c>
      <c r="AD196">
        <v>2</v>
      </c>
      <c r="AE196">
        <v>0</v>
      </c>
      <c r="AF196">
        <v>135</v>
      </c>
      <c r="AG196">
        <v>36</v>
      </c>
      <c r="AH196">
        <v>1</v>
      </c>
      <c r="AI196">
        <v>3</v>
      </c>
      <c r="AJ196" t="s">
        <v>11</v>
      </c>
      <c r="AL196" t="s">
        <v>1067</v>
      </c>
      <c r="AM196" t="s">
        <v>3762</v>
      </c>
      <c r="AN196" t="s">
        <v>3763</v>
      </c>
      <c r="AO196" s="1" t="str">
        <f>HYPERLINK("http://exon.niaid.nih.gov/transcriptome/T_rubida/S1/links/SWISSP/Triru-contig_485-SWISSP.txt","40S ribosomal protein S8")</f>
        <v>40S ribosomal protein S8</v>
      </c>
      <c r="AP196" t="str">
        <f>HYPERLINK("http://www.uniprot.org/uniprot/O76756","7E-028")</f>
        <v>7E-028</v>
      </c>
      <c r="AQ196" t="s">
        <v>3764</v>
      </c>
      <c r="AR196">
        <v>122</v>
      </c>
      <c r="AS196">
        <v>72</v>
      </c>
      <c r="AT196">
        <v>82</v>
      </c>
      <c r="AU196">
        <v>35</v>
      </c>
      <c r="AV196">
        <v>13</v>
      </c>
      <c r="AW196">
        <v>0</v>
      </c>
      <c r="AX196">
        <v>136</v>
      </c>
      <c r="AY196">
        <v>39</v>
      </c>
      <c r="AZ196">
        <v>1</v>
      </c>
      <c r="BA196">
        <v>3</v>
      </c>
      <c r="BB196" t="s">
        <v>11</v>
      </c>
      <c r="BD196" t="s">
        <v>704</v>
      </c>
      <c r="BE196" t="s">
        <v>1153</v>
      </c>
      <c r="BF196" t="s">
        <v>3765</v>
      </c>
      <c r="BG196" t="s">
        <v>3766</v>
      </c>
      <c r="BH196" s="1" t="s">
        <v>3767</v>
      </c>
      <c r="BI196">
        <f>HYPERLINK("http://exon.niaid.nih.gov/transcriptome/T_rubida/S1/links/GO/Triru-contig_485-GO.txt",2E-26)</f>
        <v>2.0000000000000001E-26</v>
      </c>
      <c r="BJ196" s="1" t="str">
        <f>HYPERLINK("http://exon.niaid.nih.gov/transcriptome/T_rubida/S1/links/CDD/Triru-contig_485-CDD.txt","PTZ00148")</f>
        <v>PTZ00148</v>
      </c>
      <c r="BK196" t="str">
        <f>HYPERLINK("http://www.ncbi.nlm.nih.gov/Structure/cdd/cddsrv.cgi?uid=PTZ00148&amp;version=v4.0","4E-028")</f>
        <v>4E-028</v>
      </c>
      <c r="BL196" t="s">
        <v>3768</v>
      </c>
      <c r="BM196" s="1" t="str">
        <f>HYPERLINK("http://exon.niaid.nih.gov/transcriptome/T_rubida/S1/links/KOG/Triru-contig_485-KOG.txt","40S ribosomal protein S8")</f>
        <v>40S ribosomal protein S8</v>
      </c>
      <c r="BN196" t="str">
        <f>HYPERLINK("http://www.ncbi.nlm.nih.gov/COG/grace/shokog.cgi?KOG3283","2E-029")</f>
        <v>2E-029</v>
      </c>
      <c r="BO196" t="s">
        <v>1185</v>
      </c>
      <c r="BP196" s="1" t="str">
        <f>HYPERLINK("http://exon.niaid.nih.gov/transcriptome/T_rubida/S1/links/PFAM/Triru-contig_485-PFAM.txt","Ribosomal_S8e")</f>
        <v>Ribosomal_S8e</v>
      </c>
      <c r="BQ196" t="str">
        <f>HYPERLINK("http://pfam.sanger.ac.uk/family?acc=PF01201","2E-005")</f>
        <v>2E-005</v>
      </c>
      <c r="BR196" s="1" t="str">
        <f>HYPERLINK("http://exon.niaid.nih.gov/transcriptome/T_rubida/S1/links/SMART/Triru-contig_485-SMART.txt","S1")</f>
        <v>S1</v>
      </c>
      <c r="BS196" t="str">
        <f>HYPERLINK("http://smart.embl-heidelberg.de/smart/do_annotation.pl?DOMAIN=S1&amp;BLAST=DUMMY","0.092")</f>
        <v>0.092</v>
      </c>
      <c r="BT196" s="1" t="str">
        <f>HYPERLINK("http://exon.niaid.nih.gov/transcriptome/T_rubida/S1/links/PRK/Triru-contig_485-PRK.txt","40S ribosomal protein S8")</f>
        <v>40S ribosomal protein S8</v>
      </c>
      <c r="BU196" s="2">
        <v>9.9999999999999997E-29</v>
      </c>
      <c r="BV196" s="1" t="s">
        <v>57</v>
      </c>
      <c r="BW196" t="s">
        <v>57</v>
      </c>
      <c r="BX196" s="1" t="s">
        <v>57</v>
      </c>
      <c r="BY196" t="s">
        <v>57</v>
      </c>
    </row>
    <row r="197" spans="1:77">
      <c r="A197" t="str">
        <f>HYPERLINK("http://exon.niaid.nih.gov/transcriptome/T_rubida/S1/links/Triru/Triru-contig_115.txt","Triru-contig_115")</f>
        <v>Triru-contig_115</v>
      </c>
      <c r="B197">
        <v>3</v>
      </c>
      <c r="C197" t="str">
        <f>HYPERLINK("http://exon.niaid.nih.gov/transcriptome/T_rubida/S1/links/Triru/Triru-5-48-asb-115.txt","Contig-115")</f>
        <v>Contig-115</v>
      </c>
      <c r="D197" t="str">
        <f>HYPERLINK("http://exon.niaid.nih.gov/transcriptome/T_rubida/S1/links/Triru/Triru-5-48-115-CLU.txt","Contig115")</f>
        <v>Contig115</v>
      </c>
      <c r="E197" t="str">
        <f>HYPERLINK("http://exon.niaid.nih.gov/transcriptome/T_rubida/S1/links/Triru/Triru-5-48-115-qual.txt","70.4")</f>
        <v>70.4</v>
      </c>
      <c r="F197" t="s">
        <v>10</v>
      </c>
      <c r="G197">
        <v>63.2</v>
      </c>
      <c r="H197">
        <v>212</v>
      </c>
      <c r="I197" t="s">
        <v>127</v>
      </c>
      <c r="J197">
        <v>210</v>
      </c>
      <c r="K197">
        <v>231</v>
      </c>
      <c r="L197">
        <v>189</v>
      </c>
      <c r="M197" t="s">
        <v>5220</v>
      </c>
      <c r="N197" s="15">
        <v>2</v>
      </c>
      <c r="Q197" s="5" t="s">
        <v>4861</v>
      </c>
      <c r="R197" t="s">
        <v>4820</v>
      </c>
      <c r="S197" t="str">
        <f>HYPERLINK("http://exon.niaid.nih.gov/transcriptome/T_rubida/S1/links/NR/Triru-contig_115-NR.txt","NR")</f>
        <v>NR</v>
      </c>
      <c r="T197" s="23">
        <v>4.0000000000000002E-9</v>
      </c>
      <c r="U197">
        <v>11.3</v>
      </c>
      <c r="V197" s="1" t="str">
        <f>HYPERLINK("http://exon.niaid.nih.gov/transcriptome/T_rubida/S1/links/NR/Triru-contig_115-NR.txt","60S acidic ribosomal protein P0-like isoform 1")</f>
        <v>60S acidic ribosomal protein P0-like isoform 1</v>
      </c>
      <c r="W197" t="str">
        <f>HYPERLINK("http://www.ncbi.nlm.nih.gov/sutils/blink.cgi?pid=340719892","4E-009")</f>
        <v>4E-009</v>
      </c>
      <c r="X197" t="str">
        <f>HYPERLINK("http://www.ncbi.nlm.nih.gov/protein/340719892","gi|340719892")</f>
        <v>gi|340719892</v>
      </c>
      <c r="Y197">
        <v>46.2</v>
      </c>
      <c r="Z197">
        <v>53</v>
      </c>
      <c r="AA197">
        <v>317</v>
      </c>
      <c r="AB197">
        <v>61</v>
      </c>
      <c r="AC197">
        <v>17</v>
      </c>
      <c r="AD197">
        <v>14</v>
      </c>
      <c r="AE197">
        <v>0</v>
      </c>
      <c r="AF197">
        <v>264</v>
      </c>
      <c r="AG197">
        <v>11</v>
      </c>
      <c r="AH197">
        <v>2</v>
      </c>
      <c r="AI197">
        <v>2</v>
      </c>
      <c r="AJ197" t="s">
        <v>888</v>
      </c>
      <c r="AL197" t="s">
        <v>1360</v>
      </c>
      <c r="AM197" t="s">
        <v>1361</v>
      </c>
      <c r="AN197" t="s">
        <v>1362</v>
      </c>
      <c r="AO197" s="1" t="str">
        <f>HYPERLINK("http://exon.niaid.nih.gov/transcriptome/T_rubida/S1/links/SWISSP/Triru-contig_115-SWISSP.txt","60S acidic ribosomal protein P0")</f>
        <v>60S acidic ribosomal protein P0</v>
      </c>
      <c r="AP197" t="str">
        <f>HYPERLINK("http://www.uniprot.org/uniprot/P41095","1E-008")</f>
        <v>1E-008</v>
      </c>
      <c r="AQ197" t="s">
        <v>1363</v>
      </c>
      <c r="AR197">
        <v>48.9</v>
      </c>
      <c r="AS197">
        <v>51</v>
      </c>
      <c r="AT197">
        <v>68</v>
      </c>
      <c r="AU197">
        <v>16</v>
      </c>
      <c r="AV197">
        <v>11</v>
      </c>
      <c r="AW197">
        <v>0</v>
      </c>
      <c r="AX197">
        <v>268</v>
      </c>
      <c r="AY197">
        <v>14</v>
      </c>
      <c r="AZ197">
        <v>2</v>
      </c>
      <c r="BA197">
        <v>2</v>
      </c>
      <c r="BB197" t="s">
        <v>888</v>
      </c>
      <c r="BD197" t="s">
        <v>704</v>
      </c>
      <c r="BE197" t="s">
        <v>1364</v>
      </c>
      <c r="BF197" t="s">
        <v>1365</v>
      </c>
      <c r="BG197" t="s">
        <v>1366</v>
      </c>
      <c r="BH197" s="1" t="s">
        <v>1367</v>
      </c>
      <c r="BI197">
        <f>HYPERLINK("http://exon.niaid.nih.gov/transcriptome/T_rubida/S1/links/GO/Triru-contig_115-GO.txt",0.00000003)</f>
        <v>2.9999999999999997E-8</v>
      </c>
      <c r="BJ197" s="1" t="str">
        <f>HYPERLINK("http://exon.niaid.nih.gov/transcriptome/T_rubida/S1/links/CDD/Triru-contig_115-CDD.txt","Ribosomal_60s")</f>
        <v>Ribosomal_60s</v>
      </c>
      <c r="BK197" t="str">
        <f>HYPERLINK("http://www.ncbi.nlm.nih.gov/Structure/cdd/cddsrv.cgi?uid=pfam00428&amp;version=v4.0","6E-006")</f>
        <v>6E-006</v>
      </c>
      <c r="BL197" t="s">
        <v>1368</v>
      </c>
      <c r="BM197" s="1" t="str">
        <f>HYPERLINK("http://exon.niaid.nih.gov/transcriptome/T_rubida/S1/links/KOG/Triru-contig_115-KOG.txt","60S acidic ribosomal protein P2")</f>
        <v>60S acidic ribosomal protein P2</v>
      </c>
      <c r="BN197" t="str">
        <f>HYPERLINK("http://www.ncbi.nlm.nih.gov/COG/grace/shokog.cgi?KOG3449","7E-006")</f>
        <v>7E-006</v>
      </c>
      <c r="BO197" t="s">
        <v>1185</v>
      </c>
      <c r="BP197" s="1" t="str">
        <f>HYPERLINK("http://exon.niaid.nih.gov/transcriptome/T_rubida/S1/links/PFAM/Triru-contig_115-PFAM.txt","Ribosomal_60s")</f>
        <v>Ribosomal_60s</v>
      </c>
      <c r="BQ197" t="str">
        <f>HYPERLINK("http://pfam.sanger.ac.uk/family?acc=PF00428","1E-006")</f>
        <v>1E-006</v>
      </c>
      <c r="BR197" s="1" t="str">
        <f>HYPERLINK("http://exon.niaid.nih.gov/transcriptome/T_rubida/S1/links/SMART/Triru-contig_115-SMART.txt","IL6")</f>
        <v>IL6</v>
      </c>
      <c r="BS197" t="str">
        <f>HYPERLINK("http://smart.embl-heidelberg.de/smart/do_annotation.pl?DOMAIN=IL6&amp;BLAST=DUMMY","0.053")</f>
        <v>0.053</v>
      </c>
      <c r="BT197" s="1" t="str">
        <f>HYPERLINK("http://exon.niaid.nih.gov/transcriptome/T_rubida/S1/links/PRK/Triru-contig_115-PRK.txt","large subunit ribosomal protein LP2")</f>
        <v>large subunit ribosomal protein LP2</v>
      </c>
      <c r="BU197" s="2">
        <v>1E-4</v>
      </c>
      <c r="BV197" s="1" t="s">
        <v>57</v>
      </c>
      <c r="BW197" t="s">
        <v>57</v>
      </c>
      <c r="BX197" s="1" t="s">
        <v>57</v>
      </c>
      <c r="BY197" t="s">
        <v>57</v>
      </c>
    </row>
    <row r="198" spans="1:77">
      <c r="A198" t="str">
        <f>HYPERLINK("http://exon.niaid.nih.gov/transcriptome/T_rubida/S1/links/Triru/Triru-contig_122.txt","Triru-contig_122")</f>
        <v>Triru-contig_122</v>
      </c>
      <c r="B198">
        <v>3</v>
      </c>
      <c r="C198" t="str">
        <f>HYPERLINK("http://exon.niaid.nih.gov/transcriptome/T_rubida/S1/links/Triru/Triru-5-48-asb-122.txt","Contig-122")</f>
        <v>Contig-122</v>
      </c>
      <c r="D198" t="str">
        <f>HYPERLINK("http://exon.niaid.nih.gov/transcriptome/T_rubida/S1/links/Triru/Triru-5-48-122-CLU.txt","Contig122")</f>
        <v>Contig122</v>
      </c>
      <c r="E198" t="str">
        <f>HYPERLINK("http://exon.niaid.nih.gov/transcriptome/T_rubida/S1/links/Triru/Triru-5-48-122-qual.txt","84.6")</f>
        <v>84.6</v>
      </c>
      <c r="F198" t="s">
        <v>10</v>
      </c>
      <c r="G198">
        <v>64.5</v>
      </c>
      <c r="H198">
        <v>454</v>
      </c>
      <c r="I198" t="s">
        <v>134</v>
      </c>
      <c r="J198">
        <v>452</v>
      </c>
      <c r="K198">
        <v>473</v>
      </c>
      <c r="L198">
        <v>408</v>
      </c>
      <c r="M198" t="s">
        <v>5221</v>
      </c>
      <c r="N198" s="15">
        <v>1</v>
      </c>
      <c r="Q198" s="5" t="s">
        <v>4868</v>
      </c>
      <c r="R198" t="s">
        <v>4820</v>
      </c>
      <c r="S198" t="str">
        <f>HYPERLINK("http://exon.niaid.nih.gov/transcriptome/T_rubida/S1/links/KOG/Triru-contig_122-KOG.txt","KOG")</f>
        <v>KOG</v>
      </c>
      <c r="T198" s="23">
        <v>3.0000000000000001E-74</v>
      </c>
      <c r="U198">
        <v>76</v>
      </c>
      <c r="V198" s="1" t="str">
        <f>HYPERLINK("http://exon.niaid.nih.gov/transcriptome/T_rubida/S1/links/NR/Triru-contig_122-NR.txt","ribosomal protein L11")</f>
        <v>ribosomal protein L11</v>
      </c>
      <c r="W198" t="str">
        <f>HYPERLINK("http://www.ncbi.nlm.nih.gov/sutils/blink.cgi?pid=149898923","5E-073")</f>
        <v>5E-073</v>
      </c>
      <c r="X198" t="str">
        <f>HYPERLINK("http://www.ncbi.nlm.nih.gov/protein/149898923","gi|149898923")</f>
        <v>gi|149898923</v>
      </c>
      <c r="Y198">
        <v>277</v>
      </c>
      <c r="Z198">
        <v>134</v>
      </c>
      <c r="AA198">
        <v>195</v>
      </c>
      <c r="AB198">
        <v>99</v>
      </c>
      <c r="AC198">
        <v>69</v>
      </c>
      <c r="AD198">
        <v>1</v>
      </c>
      <c r="AE198">
        <v>0</v>
      </c>
      <c r="AF198">
        <v>61</v>
      </c>
      <c r="AG198">
        <v>4</v>
      </c>
      <c r="AH198">
        <v>1</v>
      </c>
      <c r="AI198">
        <v>1</v>
      </c>
      <c r="AJ198" t="s">
        <v>11</v>
      </c>
      <c r="AL198" t="s">
        <v>1067</v>
      </c>
      <c r="AM198" t="s">
        <v>1412</v>
      </c>
      <c r="AN198" t="s">
        <v>1413</v>
      </c>
      <c r="AO198" s="1" t="str">
        <f>HYPERLINK("http://exon.niaid.nih.gov/transcriptome/T_rubida/S1/links/SWISSP/Triru-contig_122-SWISSP.txt","60S ribosomal protein L11")</f>
        <v>60S ribosomal protein L11</v>
      </c>
      <c r="AP198" t="str">
        <f>HYPERLINK("http://www.uniprot.org/uniprot/P46222","2E-068")</f>
        <v>2E-068</v>
      </c>
      <c r="AQ198" t="s">
        <v>1414</v>
      </c>
      <c r="AR198">
        <v>258</v>
      </c>
      <c r="AS198">
        <v>134</v>
      </c>
      <c r="AT198">
        <v>91</v>
      </c>
      <c r="AU198">
        <v>73</v>
      </c>
      <c r="AV198">
        <v>11</v>
      </c>
      <c r="AW198">
        <v>0</v>
      </c>
      <c r="AX198">
        <v>50</v>
      </c>
      <c r="AY198">
        <v>4</v>
      </c>
      <c r="AZ198">
        <v>1</v>
      </c>
      <c r="BA198">
        <v>1</v>
      </c>
      <c r="BB198" t="s">
        <v>11</v>
      </c>
      <c r="BD198" t="s">
        <v>704</v>
      </c>
      <c r="BE198" t="s">
        <v>1125</v>
      </c>
      <c r="BF198" t="s">
        <v>1415</v>
      </c>
      <c r="BG198" t="s">
        <v>1416</v>
      </c>
      <c r="BH198" s="1" t="s">
        <v>1417</v>
      </c>
      <c r="BI198">
        <f>HYPERLINK("http://exon.niaid.nih.gov/transcriptome/T_rubida/S1/links/GO/Triru-contig_122-GO.txt",1E-68)</f>
        <v>1.0000000000000001E-68</v>
      </c>
      <c r="BJ198" s="1" t="str">
        <f>HYPERLINK("http://exon.niaid.nih.gov/transcriptome/T_rubida/S1/links/CDD/Triru-contig_122-CDD.txt","PTZ00156")</f>
        <v>PTZ00156</v>
      </c>
      <c r="BK198" t="str">
        <f>HYPERLINK("http://www.ncbi.nlm.nih.gov/Structure/cdd/cddsrv.cgi?uid=PTZ00156&amp;version=v4.0","1E-077")</f>
        <v>1E-077</v>
      </c>
      <c r="BL198" t="s">
        <v>1418</v>
      </c>
      <c r="BM198" s="1" t="str">
        <f>HYPERLINK("http://exon.niaid.nih.gov/transcriptome/T_rubida/S1/links/KOG/Triru-contig_122-KOG.txt","60S ribosomal protein L11")</f>
        <v>60S ribosomal protein L11</v>
      </c>
      <c r="BN198" t="str">
        <f>HYPERLINK("http://www.ncbi.nlm.nih.gov/COG/grace/shokog.cgi?KOG0397","3E-074")</f>
        <v>3E-074</v>
      </c>
      <c r="BO198" t="s">
        <v>1185</v>
      </c>
      <c r="BP198" s="1" t="str">
        <f>HYPERLINK("http://exon.niaid.nih.gov/transcriptome/T_rubida/S1/links/PFAM/Triru-contig_122-PFAM.txt","Ribosomal_L5_C")</f>
        <v>Ribosomal_L5_C</v>
      </c>
      <c r="BQ198" t="str">
        <f>HYPERLINK("http://pfam.sanger.ac.uk/family?acc=PF00673","9E-026")</f>
        <v>9E-026</v>
      </c>
      <c r="BR198" s="1" t="str">
        <f>HYPERLINK("http://exon.niaid.nih.gov/transcriptome/T_rubida/S1/links/SMART/Triru-contig_122-SMART.txt","WIF")</f>
        <v>WIF</v>
      </c>
      <c r="BS198" t="str">
        <f>HYPERLINK("http://smart.embl-heidelberg.de/smart/do_annotation.pl?DOMAIN=WIF&amp;BLAST=DUMMY","0.16")</f>
        <v>0.16</v>
      </c>
      <c r="BT198" s="1" t="str">
        <f>HYPERLINK("http://exon.niaid.nih.gov/transcriptome/T_rubida/S1/links/PRK/Triru-contig_122-PRK.txt","60S ribosomal protein L11")</f>
        <v>60S ribosomal protein L11</v>
      </c>
      <c r="BU198" s="2">
        <v>4.9999999999999996E-78</v>
      </c>
      <c r="BV198" s="1" t="s">
        <v>57</v>
      </c>
      <c r="BW198" t="s">
        <v>57</v>
      </c>
      <c r="BX198" s="1" t="s">
        <v>57</v>
      </c>
      <c r="BY198" t="s">
        <v>57</v>
      </c>
    </row>
    <row r="199" spans="1:77">
      <c r="A199" t="str">
        <f>HYPERLINK("http://exon.niaid.nih.gov/transcriptome/T_rubida/S1/links/Triru/Triru-contig_612.txt","Triru-contig_612")</f>
        <v>Triru-contig_612</v>
      </c>
      <c r="B199">
        <v>1</v>
      </c>
      <c r="C199" t="str">
        <f>HYPERLINK("http://exon.niaid.nih.gov/transcriptome/T_rubida/S1/links/Triru/Triru-5-48-asb-612.txt","Contig-612")</f>
        <v>Contig-612</v>
      </c>
      <c r="D199" t="str">
        <f>HYPERLINK("http://exon.niaid.nih.gov/transcriptome/T_rubida/S1/links/Triru/Triru-5-48-612-CLU.txt","Contig612")</f>
        <v>Contig612</v>
      </c>
      <c r="E199" t="str">
        <f>HYPERLINK("http://exon.niaid.nih.gov/transcriptome/T_rubida/S1/links/Triru/Triru-5-48-612-qual.txt","59.2")</f>
        <v>59.2</v>
      </c>
      <c r="F199" t="s">
        <v>10</v>
      </c>
      <c r="G199">
        <v>66.3</v>
      </c>
      <c r="H199">
        <v>263</v>
      </c>
      <c r="I199" t="s">
        <v>624</v>
      </c>
      <c r="J199">
        <v>263</v>
      </c>
      <c r="K199">
        <v>282</v>
      </c>
      <c r="L199">
        <v>210</v>
      </c>
      <c r="M199" t="s">
        <v>5222</v>
      </c>
      <c r="N199" s="15">
        <v>2</v>
      </c>
      <c r="Q199" s="5" t="s">
        <v>5024</v>
      </c>
      <c r="R199" t="s">
        <v>4820</v>
      </c>
      <c r="S199" t="str">
        <f>HYPERLINK("http://exon.niaid.nih.gov/transcriptome/T_rubida/S1/links/NR/Triru-contig_612-NR.txt","NR")</f>
        <v>NR</v>
      </c>
      <c r="T199" s="23">
        <v>8.9999999999999995E-24</v>
      </c>
      <c r="U199">
        <v>27.3</v>
      </c>
      <c r="V199" s="1" t="str">
        <f>HYPERLINK("http://exon.niaid.nih.gov/transcriptome/T_rubida/S1/links/NR/Triru-contig_612-NR.txt","60S ribosomal protein L13a")</f>
        <v>60S ribosomal protein L13a</v>
      </c>
      <c r="W199" t="str">
        <f>HYPERLINK("http://www.ncbi.nlm.nih.gov/sutils/blink.cgi?pid=332029842","9E-024")</f>
        <v>9E-024</v>
      </c>
      <c r="X199" t="str">
        <f>HYPERLINK("http://www.ncbi.nlm.nih.gov/protein/332029842","gi|332029842")</f>
        <v>gi|332029842</v>
      </c>
      <c r="Y199">
        <v>113</v>
      </c>
      <c r="Z199">
        <v>68</v>
      </c>
      <c r="AA199">
        <v>252</v>
      </c>
      <c r="AB199">
        <v>72</v>
      </c>
      <c r="AC199">
        <v>27</v>
      </c>
      <c r="AD199">
        <v>19</v>
      </c>
      <c r="AE199">
        <v>0</v>
      </c>
      <c r="AF199">
        <v>183</v>
      </c>
      <c r="AG199">
        <v>2</v>
      </c>
      <c r="AH199">
        <v>1</v>
      </c>
      <c r="AI199">
        <v>2</v>
      </c>
      <c r="AJ199" t="s">
        <v>11</v>
      </c>
      <c r="AL199" t="s">
        <v>2597</v>
      </c>
      <c r="AM199" t="s">
        <v>4571</v>
      </c>
      <c r="AN199" t="s">
        <v>4572</v>
      </c>
      <c r="AO199" s="1" t="str">
        <f>HYPERLINK("http://exon.niaid.nih.gov/transcriptome/T_rubida/S1/links/SWISSP/Triru-contig_612-SWISSP.txt","60S ribosomal protein L13a")</f>
        <v>60S ribosomal protein L13a</v>
      </c>
      <c r="AP199" t="str">
        <f>HYPERLINK("http://www.uniprot.org/uniprot/Q962U0","1E-020")</f>
        <v>1E-020</v>
      </c>
      <c r="AQ199" t="s">
        <v>4573</v>
      </c>
      <c r="AR199">
        <v>98.2</v>
      </c>
      <c r="AS199">
        <v>68</v>
      </c>
      <c r="AT199">
        <v>63</v>
      </c>
      <c r="AU199">
        <v>34</v>
      </c>
      <c r="AV199">
        <v>25</v>
      </c>
      <c r="AW199">
        <v>0</v>
      </c>
      <c r="AX199">
        <v>135</v>
      </c>
      <c r="AY199">
        <v>2</v>
      </c>
      <c r="AZ199">
        <v>1</v>
      </c>
      <c r="BA199">
        <v>2</v>
      </c>
      <c r="BB199" t="s">
        <v>11</v>
      </c>
      <c r="BD199" t="s">
        <v>704</v>
      </c>
      <c r="BE199" t="s">
        <v>1246</v>
      </c>
      <c r="BF199" t="s">
        <v>4574</v>
      </c>
      <c r="BG199" t="s">
        <v>4575</v>
      </c>
      <c r="BH199" s="1" t="s">
        <v>4576</v>
      </c>
      <c r="BI199">
        <f>HYPERLINK("http://exon.niaid.nih.gov/transcriptome/T_rubida/S1/links/GO/Triru-contig_612-GO.txt",0.0000000000000004)</f>
        <v>3.9999999999999999E-16</v>
      </c>
      <c r="BJ199" s="1" t="str">
        <f>HYPERLINK("http://exon.niaid.nih.gov/transcriptome/T_rubida/S1/links/CDD/Triru-contig_612-CDD.txt","PTZ00068")</f>
        <v>PTZ00068</v>
      </c>
      <c r="BK199" t="str">
        <f>HYPERLINK("http://www.ncbi.nlm.nih.gov/Structure/cdd/cddsrv.cgi?uid=PTZ00068&amp;version=v4.0","9E-012")</f>
        <v>9E-012</v>
      </c>
      <c r="BL199" t="s">
        <v>4577</v>
      </c>
      <c r="BM199" s="1" t="str">
        <f>HYPERLINK("http://exon.niaid.nih.gov/transcriptome/T_rubida/S1/links/KOG/Triru-contig_612-KOG.txt","60S ribosomal protein L13a")</f>
        <v>60S ribosomal protein L13a</v>
      </c>
      <c r="BN199" t="str">
        <f>HYPERLINK("http://www.ncbi.nlm.nih.gov/COG/grace/shokog.cgi?KOG3204","4E-016")</f>
        <v>4E-016</v>
      </c>
      <c r="BO199" t="s">
        <v>1185</v>
      </c>
      <c r="BP199" s="1" t="str">
        <f>HYPERLINK("http://exon.niaid.nih.gov/transcriptome/T_rubida/S1/links/PFAM/Triru-contig_612-PFAM.txt","G6PD_bact")</f>
        <v>G6PD_bact</v>
      </c>
      <c r="BQ199" t="str">
        <f>HYPERLINK("http://pfam.sanger.ac.uk/family?acc=PF10786","0.20")</f>
        <v>0.20</v>
      </c>
      <c r="BR199" s="1" t="str">
        <f>HYPERLINK("http://exon.niaid.nih.gov/transcriptome/T_rubida/S1/links/SMART/Triru-contig_612-SMART.txt","RHO")</f>
        <v>RHO</v>
      </c>
      <c r="BS199" t="str">
        <f>HYPERLINK("http://smart.embl-heidelberg.de/smart/do_annotation.pl?DOMAIN=RHO&amp;BLAST=DUMMY","0.33")</f>
        <v>0.33</v>
      </c>
      <c r="BT199" s="1" t="str">
        <f>HYPERLINK("http://exon.niaid.nih.gov/transcriptome/T_rubida/S1/links/PRK/Triru-contig_612-PRK.txt","60S ribosomal protein L13a")</f>
        <v>60S ribosomal protein L13a</v>
      </c>
      <c r="BU199" s="2">
        <v>3.0000000000000001E-12</v>
      </c>
      <c r="BV199" s="1" t="s">
        <v>57</v>
      </c>
      <c r="BW199" t="s">
        <v>57</v>
      </c>
      <c r="BX199" s="1" t="s">
        <v>57</v>
      </c>
      <c r="BY199" t="s">
        <v>57</v>
      </c>
    </row>
    <row r="200" spans="1:77">
      <c r="A200" t="str">
        <f>HYPERLINK("http://exon.niaid.nih.gov/transcriptome/T_rubida/S1/links/Triru/Triru-contig_166.txt","Triru-contig_166")</f>
        <v>Triru-contig_166</v>
      </c>
      <c r="B200">
        <v>1</v>
      </c>
      <c r="C200" t="str">
        <f>HYPERLINK("http://exon.niaid.nih.gov/transcriptome/T_rubida/S1/links/Triru/Triru-5-48-asb-166.txt","Contig-166")</f>
        <v>Contig-166</v>
      </c>
      <c r="D200" t="str">
        <f>HYPERLINK("http://exon.niaid.nih.gov/transcriptome/T_rubida/S1/links/Triru/Triru-5-48-166-CLU.txt","Contig166")</f>
        <v>Contig166</v>
      </c>
      <c r="E200" t="str">
        <f>HYPERLINK("http://exon.niaid.nih.gov/transcriptome/T_rubida/S1/links/Triru/Triru-5-48-166-qual.txt","58.7")</f>
        <v>58.7</v>
      </c>
      <c r="F200" t="s">
        <v>10</v>
      </c>
      <c r="G200">
        <v>68.400000000000006</v>
      </c>
      <c r="H200">
        <v>278</v>
      </c>
      <c r="I200" t="s">
        <v>178</v>
      </c>
      <c r="J200">
        <v>278</v>
      </c>
      <c r="K200">
        <v>297</v>
      </c>
      <c r="L200">
        <v>201</v>
      </c>
      <c r="M200" t="s">
        <v>5223</v>
      </c>
      <c r="N200" s="15">
        <v>2</v>
      </c>
      <c r="Q200" s="5" t="s">
        <v>4888</v>
      </c>
      <c r="R200" t="s">
        <v>4820</v>
      </c>
      <c r="S200" t="str">
        <f>HYPERLINK("http://exon.niaid.nih.gov/transcriptome/T_rubida/S1/links/NR/Triru-contig_166-NR.txt","NR")</f>
        <v>NR</v>
      </c>
      <c r="T200" s="23">
        <v>2.0000000000000001E-17</v>
      </c>
      <c r="U200">
        <v>43.6</v>
      </c>
      <c r="V200" s="1" t="str">
        <f>HYPERLINK("http://exon.niaid.nih.gov/transcriptome/T_rubida/S1/links/NR/Triru-contig_166-NR.txt","60S ribosomal protein L14")</f>
        <v>60S ribosomal protein L14</v>
      </c>
      <c r="W200" t="str">
        <f>HYPERLINK("http://www.ncbi.nlm.nih.gov/sutils/blink.cgi?pid=66565929","2E-017")</f>
        <v>2E-017</v>
      </c>
      <c r="X200" t="str">
        <f>HYPERLINK("http://www.ncbi.nlm.nih.gov/protein/66565929","gi|66565929")</f>
        <v>gi|66565929</v>
      </c>
      <c r="Y200">
        <v>92.8</v>
      </c>
      <c r="Z200">
        <v>63</v>
      </c>
      <c r="AA200">
        <v>149</v>
      </c>
      <c r="AB200">
        <v>73</v>
      </c>
      <c r="AC200">
        <v>43</v>
      </c>
      <c r="AD200">
        <v>17</v>
      </c>
      <c r="AE200">
        <v>0</v>
      </c>
      <c r="AF200">
        <v>86</v>
      </c>
      <c r="AG200">
        <v>8</v>
      </c>
      <c r="AH200">
        <v>1</v>
      </c>
      <c r="AI200">
        <v>2</v>
      </c>
      <c r="AJ200" t="s">
        <v>11</v>
      </c>
      <c r="AK200">
        <v>1.587</v>
      </c>
      <c r="AL200" t="s">
        <v>1153</v>
      </c>
      <c r="AM200" t="s">
        <v>1680</v>
      </c>
      <c r="AN200" t="s">
        <v>1681</v>
      </c>
      <c r="AO200" s="1" t="str">
        <f>HYPERLINK("http://exon.niaid.nih.gov/transcriptome/T_rubida/S1/links/SWISSP/Triru-contig_166-SWISSP.txt","60S ribosomal protein L14")</f>
        <v>60S ribosomal protein L14</v>
      </c>
      <c r="AP200" t="str">
        <f>HYPERLINK("http://www.uniprot.org/uniprot/Q95ZE8","1E-009")</f>
        <v>1E-009</v>
      </c>
      <c r="AQ200" t="s">
        <v>1682</v>
      </c>
      <c r="AR200">
        <v>62</v>
      </c>
      <c r="AS200">
        <v>75</v>
      </c>
      <c r="AT200">
        <v>42</v>
      </c>
      <c r="AU200">
        <v>48</v>
      </c>
      <c r="AV200">
        <v>44</v>
      </c>
      <c r="AW200">
        <v>0</v>
      </c>
      <c r="AX200">
        <v>85</v>
      </c>
      <c r="AY200">
        <v>5</v>
      </c>
      <c r="AZ200">
        <v>1</v>
      </c>
      <c r="BA200">
        <v>2</v>
      </c>
      <c r="BB200" t="s">
        <v>11</v>
      </c>
      <c r="BC200">
        <v>1.333</v>
      </c>
      <c r="BD200" t="s">
        <v>704</v>
      </c>
      <c r="BE200" t="s">
        <v>1683</v>
      </c>
      <c r="BF200" t="s">
        <v>1684</v>
      </c>
      <c r="BG200" t="s">
        <v>1685</v>
      </c>
      <c r="BH200" s="1" t="s">
        <v>1686</v>
      </c>
      <c r="BI200">
        <f>HYPERLINK("http://exon.niaid.nih.gov/transcriptome/T_rubida/S1/links/GO/Triru-contig_166-GO.txt",0.000000004)</f>
        <v>4.0000000000000002E-9</v>
      </c>
      <c r="BJ200" s="1" t="str">
        <f>HYPERLINK("http://exon.niaid.nih.gov/transcriptome/T_rubida/S1/links/CDD/Triru-contig_166-CDD.txt","Ribosomal_L14e")</f>
        <v>Ribosomal_L14e</v>
      </c>
      <c r="BK200" t="str">
        <f>HYPERLINK("http://www.ncbi.nlm.nih.gov/Structure/cdd/cddsrv.cgi?uid=pfam01929&amp;version=v4.0","1E-012")</f>
        <v>1E-012</v>
      </c>
      <c r="BL200" t="s">
        <v>1687</v>
      </c>
      <c r="BM200" s="1" t="str">
        <f>HYPERLINK("http://exon.niaid.nih.gov/transcriptome/T_rubida/S1/links/KOG/Triru-contig_166-KOG.txt","60S ribosomal protein L14")</f>
        <v>60S ribosomal protein L14</v>
      </c>
      <c r="BN200" t="str">
        <f>HYPERLINK("http://www.ncbi.nlm.nih.gov/COG/grace/shokog.cgi?KOG3421","7E-011")</f>
        <v>7E-011</v>
      </c>
      <c r="BO200" t="s">
        <v>1185</v>
      </c>
      <c r="BP200" s="1" t="str">
        <f>HYPERLINK("http://exon.niaid.nih.gov/transcriptome/T_rubida/S1/links/PFAM/Triru-contig_166-PFAM.txt","Ribosomal_L14e")</f>
        <v>Ribosomal_L14e</v>
      </c>
      <c r="BQ200" t="str">
        <f>HYPERLINK("http://pfam.sanger.ac.uk/family?acc=PF01929","3E-013")</f>
        <v>3E-013</v>
      </c>
      <c r="BR200" s="1" t="str">
        <f>HYPERLINK("http://exon.niaid.nih.gov/transcriptome/T_rubida/S1/links/SMART/Triru-contig_166-SMART.txt","PSN")</f>
        <v>PSN</v>
      </c>
      <c r="BS200" t="str">
        <f>HYPERLINK("http://smart.embl-heidelberg.de/smart/do_annotation.pl?DOMAIN=PSN&amp;BLAST=DUMMY","0.005")</f>
        <v>0.005</v>
      </c>
      <c r="BT200" s="1" t="str">
        <f>HYPERLINK("http://exon.niaid.nih.gov/transcriptome/T_rubida/S1/links/PRK/Triru-contig_166-PRK.txt","60S ribosomal protein L14")</f>
        <v>60S ribosomal protein L14</v>
      </c>
      <c r="BU200" s="2">
        <v>9.9999999999999995E-7</v>
      </c>
      <c r="BV200" s="1" t="s">
        <v>57</v>
      </c>
      <c r="BW200" t="s">
        <v>57</v>
      </c>
      <c r="BX200" s="1" t="s">
        <v>57</v>
      </c>
      <c r="BY200" t="s">
        <v>57</v>
      </c>
    </row>
    <row r="201" spans="1:77">
      <c r="A201" t="str">
        <f>HYPERLINK("http://exon.niaid.nih.gov/transcriptome/T_rubida/S1/links/Triru/Triru-contig_445.txt","Triru-contig_445")</f>
        <v>Triru-contig_445</v>
      </c>
      <c r="B201">
        <v>1</v>
      </c>
      <c r="C201" t="str">
        <f>HYPERLINK("http://exon.niaid.nih.gov/transcriptome/T_rubida/S1/links/Triru/Triru-5-48-asb-445.txt","Contig-445")</f>
        <v>Contig-445</v>
      </c>
      <c r="D201" t="str">
        <f>HYPERLINK("http://exon.niaid.nih.gov/transcriptome/T_rubida/S1/links/Triru/Triru-5-48-445-CLU.txt","Contig445")</f>
        <v>Contig445</v>
      </c>
      <c r="E201" t="str">
        <f>HYPERLINK("http://exon.niaid.nih.gov/transcriptome/T_rubida/S1/links/Triru/Triru-5-48-445-qual.txt","56.3")</f>
        <v>56.3</v>
      </c>
      <c r="F201" t="s">
        <v>10</v>
      </c>
      <c r="G201">
        <v>65.5</v>
      </c>
      <c r="H201">
        <v>210</v>
      </c>
      <c r="I201" t="s">
        <v>457</v>
      </c>
      <c r="J201">
        <v>210</v>
      </c>
      <c r="K201">
        <v>229</v>
      </c>
      <c r="L201">
        <v>186</v>
      </c>
      <c r="M201" t="s">
        <v>5224</v>
      </c>
      <c r="N201" s="15">
        <v>2</v>
      </c>
      <c r="Q201" s="5" t="s">
        <v>4972</v>
      </c>
      <c r="R201" t="s">
        <v>4820</v>
      </c>
      <c r="S201" t="str">
        <f>HYPERLINK("http://exon.niaid.nih.gov/transcriptome/T_rubida/S1/links/KOG/Triru-contig_445-KOG.txt","KOG")</f>
        <v>KOG</v>
      </c>
      <c r="T201" s="23">
        <v>2E-16</v>
      </c>
      <c r="U201">
        <v>22.3</v>
      </c>
      <c r="V201" s="1" t="str">
        <f>HYPERLINK("http://exon.niaid.nih.gov/transcriptome/T_rubida/S1/links/NR/Triru-contig_445-NR.txt","60S ribosomal protein L18")</f>
        <v>60S ribosomal protein L18</v>
      </c>
      <c r="W201" t="str">
        <f>HYPERLINK("http://www.ncbi.nlm.nih.gov/sutils/blink.cgi?pid=332019851","1E-014")</f>
        <v>1E-014</v>
      </c>
      <c r="X201" t="str">
        <f>HYPERLINK("http://www.ncbi.nlm.nih.gov/protein/332019851","gi|332019851")</f>
        <v>gi|332019851</v>
      </c>
      <c r="Y201">
        <v>83.6</v>
      </c>
      <c r="Z201">
        <v>40</v>
      </c>
      <c r="AA201">
        <v>232</v>
      </c>
      <c r="AB201">
        <v>90</v>
      </c>
      <c r="AC201">
        <v>18</v>
      </c>
      <c r="AD201">
        <v>4</v>
      </c>
      <c r="AE201">
        <v>0</v>
      </c>
      <c r="AF201">
        <v>192</v>
      </c>
      <c r="AG201">
        <v>7</v>
      </c>
      <c r="AH201">
        <v>1</v>
      </c>
      <c r="AI201">
        <v>1</v>
      </c>
      <c r="AJ201" t="s">
        <v>11</v>
      </c>
      <c r="AL201" t="s">
        <v>2597</v>
      </c>
      <c r="AM201" t="s">
        <v>3494</v>
      </c>
      <c r="AN201" t="s">
        <v>3495</v>
      </c>
      <c r="AO201" s="1" t="str">
        <f>HYPERLINK("http://exon.niaid.nih.gov/transcriptome/T_rubida/S1/links/SWISSP/Triru-contig_445-SWISSP.txt","60S ribosomal protein L18")</f>
        <v>60S ribosomal protein L18</v>
      </c>
      <c r="AP201" t="str">
        <f>HYPERLINK("http://www.uniprot.org/uniprot/Q56FG8","3E-015")</f>
        <v>3E-015</v>
      </c>
      <c r="AQ201" t="s">
        <v>3496</v>
      </c>
      <c r="AR201">
        <v>80.5</v>
      </c>
      <c r="AS201">
        <v>40</v>
      </c>
      <c r="AT201">
        <v>87</v>
      </c>
      <c r="AU201">
        <v>22</v>
      </c>
      <c r="AV201">
        <v>5</v>
      </c>
      <c r="AW201">
        <v>0</v>
      </c>
      <c r="AX201">
        <v>148</v>
      </c>
      <c r="AY201">
        <v>7</v>
      </c>
      <c r="AZ201">
        <v>1</v>
      </c>
      <c r="BA201">
        <v>1</v>
      </c>
      <c r="BB201" t="s">
        <v>11</v>
      </c>
      <c r="BD201" t="s">
        <v>704</v>
      </c>
      <c r="BE201" t="s">
        <v>3497</v>
      </c>
      <c r="BF201" t="s">
        <v>3498</v>
      </c>
      <c r="BG201" t="s">
        <v>3499</v>
      </c>
      <c r="BH201" s="1" t="s">
        <v>3500</v>
      </c>
      <c r="BI201">
        <f>HYPERLINK("http://exon.niaid.nih.gov/transcriptome/T_rubida/S1/links/GO/Triru-contig_445-GO.txt",0.000000000000005)</f>
        <v>5E-15</v>
      </c>
      <c r="BJ201" s="1" t="str">
        <f>HYPERLINK("http://exon.niaid.nih.gov/transcriptome/T_rubida/S1/links/CDD/Triru-contig_445-CDD.txt","PTZ00469")</f>
        <v>PTZ00469</v>
      </c>
      <c r="BK201" t="str">
        <f>HYPERLINK("http://www.ncbi.nlm.nih.gov/Structure/cdd/cddsrv.cgi?uid=PTZ00469&amp;version=v4.0","6E-014")</f>
        <v>6E-014</v>
      </c>
      <c r="BL201" t="s">
        <v>3501</v>
      </c>
      <c r="BM201" s="1" t="str">
        <f>HYPERLINK("http://exon.niaid.nih.gov/transcriptome/T_rubida/S1/links/KOG/Triru-contig_445-KOG.txt","60s ribosomal protein L18")</f>
        <v>60s ribosomal protein L18</v>
      </c>
      <c r="BN201" t="str">
        <f>HYPERLINK("http://www.ncbi.nlm.nih.gov/COG/grace/shokog.cgi?KOG1714","2E-016")</f>
        <v>2E-016</v>
      </c>
      <c r="BO201" t="s">
        <v>1185</v>
      </c>
      <c r="BP201" s="1" t="str">
        <f>HYPERLINK("http://exon.niaid.nih.gov/transcriptome/T_rubida/S1/links/PFAM/Triru-contig_445-PFAM.txt","Ribosomal_L15e")</f>
        <v>Ribosomal_L15e</v>
      </c>
      <c r="BQ201" t="str">
        <f>HYPERLINK("http://pfam.sanger.ac.uk/family?acc=PF00827","0.53")</f>
        <v>0.53</v>
      </c>
      <c r="BR201" s="1" t="str">
        <f>HYPERLINK("http://exon.niaid.nih.gov/transcriptome/T_rubida/S1/links/SMART/Triru-contig_445-SMART.txt","SEC63")</f>
        <v>SEC63</v>
      </c>
      <c r="BS201" t="str">
        <f>HYPERLINK("http://smart.embl-heidelberg.de/smart/do_annotation.pl?DOMAIN=SEC63&amp;BLAST=DUMMY","0.12")</f>
        <v>0.12</v>
      </c>
      <c r="BT201" s="1" t="str">
        <f>HYPERLINK("http://exon.niaid.nih.gov/transcriptome/T_rubida/S1/links/PRK/Triru-contig_445-PRK.txt","60S ribosomal subunit protein L18")</f>
        <v>60S ribosomal subunit protein L18</v>
      </c>
      <c r="BU201" s="2">
        <v>2E-14</v>
      </c>
      <c r="BV201" s="1" t="s">
        <v>57</v>
      </c>
      <c r="BW201" t="s">
        <v>57</v>
      </c>
      <c r="BX201" s="1" t="s">
        <v>57</v>
      </c>
      <c r="BY201" t="s">
        <v>57</v>
      </c>
    </row>
    <row r="202" spans="1:77">
      <c r="A202" t="str">
        <f>HYPERLINK("http://exon.niaid.nih.gov/transcriptome/T_rubida/S1/links/Triru/Triru-contig_528.txt","Triru-contig_528")</f>
        <v>Triru-contig_528</v>
      </c>
      <c r="B202">
        <v>1</v>
      </c>
      <c r="C202" t="str">
        <f>HYPERLINK("http://exon.niaid.nih.gov/transcriptome/T_rubida/S1/links/Triru/Triru-5-48-asb-528.txt","Contig-528")</f>
        <v>Contig-528</v>
      </c>
      <c r="D202" t="str">
        <f>HYPERLINK("http://exon.niaid.nih.gov/transcriptome/T_rubida/S1/links/Triru/Triru-5-48-528-CLU.txt","Contig528")</f>
        <v>Contig528</v>
      </c>
      <c r="E202" t="str">
        <f>HYPERLINK("http://exon.niaid.nih.gov/transcriptome/T_rubida/S1/links/Triru/Triru-5-48-528-qual.txt","63.4")</f>
        <v>63.4</v>
      </c>
      <c r="F202" t="s">
        <v>10</v>
      </c>
      <c r="G202">
        <v>72.900000000000006</v>
      </c>
      <c r="H202">
        <v>151</v>
      </c>
      <c r="I202" t="s">
        <v>540</v>
      </c>
      <c r="J202">
        <v>151</v>
      </c>
      <c r="K202">
        <v>170</v>
      </c>
      <c r="L202">
        <v>90</v>
      </c>
      <c r="M202" t="s">
        <v>5225</v>
      </c>
      <c r="N202" s="15">
        <v>3</v>
      </c>
      <c r="Q202" s="5" t="s">
        <v>4998</v>
      </c>
      <c r="R202" t="s">
        <v>4820</v>
      </c>
      <c r="S202" t="str">
        <f>HYPERLINK("http://exon.niaid.nih.gov/transcriptome/T_rubida/S1/links/NR/Triru-contig_528-NR.txt","NR")</f>
        <v>NR</v>
      </c>
      <c r="T202" s="23">
        <v>4.0000000000000002E-9</v>
      </c>
      <c r="U202">
        <v>16.899999999999999</v>
      </c>
      <c r="V202" s="1" t="str">
        <f>HYPERLINK("http://exon.niaid.nih.gov/transcriptome/T_rubida/S1/links/NR/Triru-contig_528-NR.txt","60S ribosomal protein L18a")</f>
        <v>60S ribosomal protein L18a</v>
      </c>
      <c r="W202" t="str">
        <f>HYPERLINK("http://www.ncbi.nlm.nih.gov/sutils/blink.cgi?pid=149898903","4E-009")</f>
        <v>4E-009</v>
      </c>
      <c r="X202" t="str">
        <f>HYPERLINK("http://www.ncbi.nlm.nih.gov/protein/149898903","gi|149898903")</f>
        <v>gi|149898903</v>
      </c>
      <c r="Y202">
        <v>65.099999999999994</v>
      </c>
      <c r="Z202">
        <v>29</v>
      </c>
      <c r="AA202">
        <v>177</v>
      </c>
      <c r="AB202">
        <v>100</v>
      </c>
      <c r="AC202">
        <v>17</v>
      </c>
      <c r="AD202">
        <v>0</v>
      </c>
      <c r="AE202">
        <v>0</v>
      </c>
      <c r="AF202">
        <v>148</v>
      </c>
      <c r="AG202">
        <v>3</v>
      </c>
      <c r="AH202">
        <v>1</v>
      </c>
      <c r="AI202">
        <v>3</v>
      </c>
      <c r="AJ202" t="s">
        <v>11</v>
      </c>
      <c r="AL202" t="s">
        <v>1067</v>
      </c>
      <c r="AM202" t="s">
        <v>4052</v>
      </c>
      <c r="AN202" t="s">
        <v>4053</v>
      </c>
      <c r="AO202" s="1" t="str">
        <f>HYPERLINK("http://exon.niaid.nih.gov/transcriptome/T_rubida/S1/links/SWISSP/Triru-contig_528-SWISSP.txt","60S ribosomal protein L18a")</f>
        <v>60S ribosomal protein L18a</v>
      </c>
      <c r="AP202" t="str">
        <f>HYPERLINK("http://www.uniprot.org/uniprot/Q90YU9","0.006")</f>
        <v>0.006</v>
      </c>
      <c r="AQ202" t="s">
        <v>4054</v>
      </c>
      <c r="AR202">
        <v>39.700000000000003</v>
      </c>
      <c r="AS202">
        <v>28</v>
      </c>
      <c r="AT202">
        <v>48</v>
      </c>
      <c r="AU202">
        <v>16</v>
      </c>
      <c r="AV202">
        <v>15</v>
      </c>
      <c r="AW202">
        <v>0</v>
      </c>
      <c r="AX202">
        <v>148</v>
      </c>
      <c r="AY202">
        <v>3</v>
      </c>
      <c r="AZ202">
        <v>1</v>
      </c>
      <c r="BA202">
        <v>3</v>
      </c>
      <c r="BB202" t="s">
        <v>11</v>
      </c>
      <c r="BD202" t="s">
        <v>704</v>
      </c>
      <c r="BE202" t="s">
        <v>2223</v>
      </c>
      <c r="BF202" t="s">
        <v>4055</v>
      </c>
      <c r="BG202" t="s">
        <v>4056</v>
      </c>
      <c r="BH202" s="1" t="s">
        <v>57</v>
      </c>
      <c r="BI202" t="s">
        <v>57</v>
      </c>
      <c r="BJ202" s="1" t="str">
        <f>HYPERLINK("http://exon.niaid.nih.gov/transcriptome/T_rubida/S1/links/CDD/Triru-contig_528-CDD.txt","PLN02191")</f>
        <v>PLN02191</v>
      </c>
      <c r="BK202" t="str">
        <f>HYPERLINK("http://www.ncbi.nlm.nih.gov/Structure/cdd/cddsrv.cgi?uid=PLN02191&amp;version=v4.0","2.2")</f>
        <v>2.2</v>
      </c>
      <c r="BL202" t="s">
        <v>4057</v>
      </c>
      <c r="BM202" s="1" t="str">
        <f>HYPERLINK("http://exon.niaid.nih.gov/transcriptome/T_rubida/S1/links/KOG/Triru-contig_528-KOG.txt","60S ribosomal protein L18A")</f>
        <v>60S ribosomal protein L18A</v>
      </c>
      <c r="BN202" t="str">
        <f>HYPERLINK("http://www.ncbi.nlm.nih.gov/COG/grace/shokog.cgi?KOG0829","6E-005")</f>
        <v>6E-005</v>
      </c>
      <c r="BO202" t="s">
        <v>1185</v>
      </c>
      <c r="BP202" s="1" t="str">
        <f>HYPERLINK("http://exon.niaid.nih.gov/transcriptome/T_rubida/S1/links/PFAM/Triru-contig_528-PFAM.txt","Med13_C")</f>
        <v>Med13_C</v>
      </c>
      <c r="BQ202" t="str">
        <f>HYPERLINK("http://pfam.sanger.ac.uk/family?acc=PF06333","1.1")</f>
        <v>1.1</v>
      </c>
      <c r="BR202" s="1" t="str">
        <f>HYPERLINK("http://exon.niaid.nih.gov/transcriptome/T_rubida/S1/links/SMART/Triru-contig_528-SMART.txt","CAP10")</f>
        <v>CAP10</v>
      </c>
      <c r="BS202" t="str">
        <f>HYPERLINK("http://smart.embl-heidelberg.de/smart/do_annotation.pl?DOMAIN=CAP10&amp;BLAST=DUMMY","0.20")</f>
        <v>0.20</v>
      </c>
      <c r="BT202" s="1" t="str">
        <f>HYPERLINK("http://exon.niaid.nih.gov/transcriptome/T_rubida/S1/links/PRK/Triru-contig_528-PRK.txt","L-ascorbate oxidase.")</f>
        <v>L-ascorbate oxidase.</v>
      </c>
      <c r="BU202">
        <v>0.8</v>
      </c>
      <c r="BV202" s="1" t="s">
        <v>57</v>
      </c>
      <c r="BW202" t="s">
        <v>57</v>
      </c>
      <c r="BX202" s="1" t="s">
        <v>57</v>
      </c>
      <c r="BY202" t="s">
        <v>57</v>
      </c>
    </row>
    <row r="203" spans="1:77">
      <c r="A203" t="str">
        <f>HYPERLINK("http://exon.niaid.nih.gov/transcriptome/T_rubida/S1/links/Triru/Triru-contig_112.txt","Triru-contig_112")</f>
        <v>Triru-contig_112</v>
      </c>
      <c r="B203">
        <v>3</v>
      </c>
      <c r="C203" t="str">
        <f>HYPERLINK("http://exon.niaid.nih.gov/transcriptome/T_rubida/S1/links/Triru/Triru-5-48-asb-112.txt","Contig-112")</f>
        <v>Contig-112</v>
      </c>
      <c r="D203" t="str">
        <f>HYPERLINK("http://exon.niaid.nih.gov/transcriptome/T_rubida/S1/links/Triru/Triru-5-48-112-CLU.txt","Contig112")</f>
        <v>Contig112</v>
      </c>
      <c r="E203" t="str">
        <f>HYPERLINK("http://exon.niaid.nih.gov/transcriptome/T_rubida/S1/links/Triru/Triru-5-48-112-qual.txt","77.7")</f>
        <v>77.7</v>
      </c>
      <c r="F203" t="s">
        <v>10</v>
      </c>
      <c r="G203">
        <v>61.2</v>
      </c>
      <c r="H203">
        <v>872</v>
      </c>
      <c r="I203" t="s">
        <v>124</v>
      </c>
      <c r="J203">
        <v>881</v>
      </c>
      <c r="K203">
        <v>891</v>
      </c>
      <c r="L203">
        <v>819</v>
      </c>
      <c r="M203" t="s">
        <v>5226</v>
      </c>
      <c r="N203" s="15">
        <v>1</v>
      </c>
      <c r="O203" s="14" t="str">
        <f>HYPERLINK("http://exon.niaid.nih.gov/transcriptome/T_rubida/S1/links/Sigp/TRIRU-CONTIG_112-SigP.txt","Cyt")</f>
        <v>Cyt</v>
      </c>
      <c r="Q203" s="5" t="s">
        <v>4859</v>
      </c>
      <c r="R203" t="s">
        <v>4820</v>
      </c>
      <c r="S203" t="str">
        <f>HYPERLINK("http://exon.niaid.nih.gov/transcriptome/T_rubida/S1/links/KOG/Triru-contig_112-KOG.txt","KOG")</f>
        <v>KOG</v>
      </c>
      <c r="T203" s="23">
        <v>7.0000000000000001E-52</v>
      </c>
      <c r="U203">
        <v>93</v>
      </c>
      <c r="V203" s="1" t="str">
        <f>HYPERLINK("http://exon.niaid.nih.gov/transcriptome/T_rubida/S1/links/NR/Triru-contig_112-NR.txt","GE16569")</f>
        <v>GE16569</v>
      </c>
      <c r="W203" t="str">
        <f>HYPERLINK("http://www.ncbi.nlm.nih.gov/sutils/blink.cgi?pid=195469567","3E-063")</f>
        <v>3E-063</v>
      </c>
      <c r="X203" t="str">
        <f>HYPERLINK("http://www.ncbi.nlm.nih.gov/protein/195469567","gi|195469567")</f>
        <v>gi|195469567</v>
      </c>
      <c r="Y203">
        <v>246</v>
      </c>
      <c r="Z203">
        <v>257</v>
      </c>
      <c r="AA203">
        <v>300</v>
      </c>
      <c r="AB203">
        <v>53</v>
      </c>
      <c r="AC203">
        <v>86</v>
      </c>
      <c r="AD203">
        <v>123</v>
      </c>
      <c r="AE203">
        <v>10</v>
      </c>
      <c r="AF203">
        <v>41</v>
      </c>
      <c r="AG203">
        <v>52</v>
      </c>
      <c r="AH203">
        <v>1</v>
      </c>
      <c r="AI203">
        <v>1</v>
      </c>
      <c r="AJ203" t="s">
        <v>11</v>
      </c>
      <c r="AL203" t="s">
        <v>1172</v>
      </c>
      <c r="AM203" t="s">
        <v>1339</v>
      </c>
      <c r="AN203" t="s">
        <v>1340</v>
      </c>
      <c r="AO203" s="1" t="str">
        <f>HYPERLINK("http://exon.niaid.nih.gov/transcriptome/T_rubida/S1/links/SWISSP/Triru-contig_112-SWISSP.txt","60S ribosomal protein L22")</f>
        <v>60S ribosomal protein L22</v>
      </c>
      <c r="AP203" t="str">
        <f>HYPERLINK("http://www.uniprot.org/uniprot/P50887","6E-064")</f>
        <v>6E-064</v>
      </c>
      <c r="AQ203" t="s">
        <v>1341</v>
      </c>
      <c r="AR203">
        <v>244</v>
      </c>
      <c r="AS203">
        <v>257</v>
      </c>
      <c r="AT203">
        <v>52</v>
      </c>
      <c r="AU203">
        <v>86</v>
      </c>
      <c r="AV203">
        <v>122</v>
      </c>
      <c r="AW203">
        <v>9</v>
      </c>
      <c r="AX203">
        <v>40</v>
      </c>
      <c r="AY203">
        <v>64</v>
      </c>
      <c r="AZ203">
        <v>1</v>
      </c>
      <c r="BA203">
        <v>1</v>
      </c>
      <c r="BB203" t="s">
        <v>11</v>
      </c>
      <c r="BD203" t="s">
        <v>704</v>
      </c>
      <c r="BE203" t="s">
        <v>1125</v>
      </c>
      <c r="BF203" t="s">
        <v>1342</v>
      </c>
      <c r="BG203" t="s">
        <v>1343</v>
      </c>
      <c r="BH203" s="1" t="s">
        <v>1344</v>
      </c>
      <c r="BI203">
        <f>HYPERLINK("http://exon.niaid.nih.gov/transcriptome/T_rubida/S1/links/GO/Triru-contig_112-GO.txt",5E-64)</f>
        <v>5.0000000000000003E-64</v>
      </c>
      <c r="BJ203" s="1" t="str">
        <f>HYPERLINK("http://exon.niaid.nih.gov/transcriptome/T_rubida/S1/links/CDD/Triru-contig_112-CDD.txt","Ribosomal_L22e")</f>
        <v>Ribosomal_L22e</v>
      </c>
      <c r="BK203" t="str">
        <f>HYPERLINK("http://www.ncbi.nlm.nih.gov/Structure/cdd/cddsrv.cgi?uid=pfam01776&amp;version=v4.0","4E-061")</f>
        <v>4E-061</v>
      </c>
      <c r="BL203" t="s">
        <v>1345</v>
      </c>
      <c r="BM203" s="1" t="str">
        <f>HYPERLINK("http://exon.niaid.nih.gov/transcriptome/T_rubida/S1/links/KOG/Triru-contig_112-KOG.txt","60S ribosomal protein L22")</f>
        <v>60S ribosomal protein L22</v>
      </c>
      <c r="BN203" t="str">
        <f>HYPERLINK("http://www.ncbi.nlm.nih.gov/COG/grace/shokog.cgi?KOG3434","7E-052")</f>
        <v>7E-052</v>
      </c>
      <c r="BO203" t="s">
        <v>1185</v>
      </c>
      <c r="BP203" s="1" t="str">
        <f>HYPERLINK("http://exon.niaid.nih.gov/transcriptome/T_rubida/S1/links/PFAM/Triru-contig_112-PFAM.txt","Ribosomal_L22e")</f>
        <v>Ribosomal_L22e</v>
      </c>
      <c r="BQ203" t="str">
        <f>HYPERLINK("http://pfam.sanger.ac.uk/family?acc=PF01776","8E-062")</f>
        <v>8E-062</v>
      </c>
      <c r="BR203" s="1" t="str">
        <f>HYPERLINK("http://exon.niaid.nih.gov/transcriptome/T_rubida/S1/links/SMART/Triru-contig_112-SMART.txt","HMG17")</f>
        <v>HMG17</v>
      </c>
      <c r="BS203" t="str">
        <f>HYPERLINK("http://smart.embl-heidelberg.de/smart/do_annotation.pl?DOMAIN=HMG17&amp;BLAST=DUMMY","0.004")</f>
        <v>0.004</v>
      </c>
      <c r="BT203" s="1" t="str">
        <f>HYPERLINK("http://exon.niaid.nih.gov/transcriptome/T_rubida/S1/links/PRK/Triru-contig_112-PRK.txt","60S ribosomal protein L22")</f>
        <v>60S ribosomal protein L22</v>
      </c>
      <c r="BU203" s="2">
        <v>3.0000000000000002E-47</v>
      </c>
      <c r="BV203" s="1" t="s">
        <v>57</v>
      </c>
      <c r="BW203" t="s">
        <v>57</v>
      </c>
      <c r="BX203" s="1" t="s">
        <v>57</v>
      </c>
      <c r="BY203" t="s">
        <v>57</v>
      </c>
    </row>
    <row r="204" spans="1:77">
      <c r="A204" t="str">
        <f>HYPERLINK("http://exon.niaid.nih.gov/transcriptome/T_rubida/S1/links/Triru/Triru-contig_125.txt","Triru-contig_125")</f>
        <v>Triru-contig_125</v>
      </c>
      <c r="B204">
        <v>3</v>
      </c>
      <c r="C204" t="str">
        <f>HYPERLINK("http://exon.niaid.nih.gov/transcriptome/T_rubida/S1/links/Triru/Triru-5-48-asb-125.txt","Contig-125")</f>
        <v>Contig-125</v>
      </c>
      <c r="D204" t="str">
        <f>HYPERLINK("http://exon.niaid.nih.gov/transcriptome/T_rubida/S1/links/Triru/Triru-5-48-125-CLU.txt","Contig125")</f>
        <v>Contig125</v>
      </c>
      <c r="E204" t="str">
        <f>HYPERLINK("http://exon.niaid.nih.gov/transcriptome/T_rubida/S1/links/Triru/Triru-5-48-125-qual.txt","75.7")</f>
        <v>75.7</v>
      </c>
      <c r="F204" t="s">
        <v>10</v>
      </c>
      <c r="G204">
        <v>63.8</v>
      </c>
      <c r="H204">
        <v>450</v>
      </c>
      <c r="I204" t="s">
        <v>137</v>
      </c>
      <c r="J204">
        <v>449</v>
      </c>
      <c r="K204">
        <v>469</v>
      </c>
      <c r="L204">
        <v>387</v>
      </c>
      <c r="M204" t="s">
        <v>5227</v>
      </c>
      <c r="N204" s="15">
        <v>2</v>
      </c>
      <c r="O204" s="14" t="str">
        <f>HYPERLINK("http://exon.niaid.nih.gov/transcriptome/T_rubida/S1/links/Sigp/TRIRU-CONTIG_125-SigP.txt","Cyt")</f>
        <v>Cyt</v>
      </c>
      <c r="Q204" s="5" t="s">
        <v>4871</v>
      </c>
      <c r="R204" t="s">
        <v>4820</v>
      </c>
      <c r="S204" t="str">
        <f>HYPERLINK("http://exon.niaid.nih.gov/transcriptome/T_rubida/S1/links/KOG/Triru-contig_125-KOG.txt","KOG")</f>
        <v>KOG</v>
      </c>
      <c r="T204" s="23">
        <v>8.0000000000000002E-54</v>
      </c>
      <c r="U204">
        <v>76.400000000000006</v>
      </c>
      <c r="V204" s="1" t="str">
        <f>HYPERLINK("http://exon.niaid.nih.gov/transcriptome/T_rubida/S1/links/NR/Triru-contig_125-NR.txt","ribosomal protein L23A")</f>
        <v>ribosomal protein L23A</v>
      </c>
      <c r="W204" t="str">
        <f>HYPERLINK("http://www.ncbi.nlm.nih.gov/sutils/blink.cgi?pid=307095104","2E-062")</f>
        <v>2E-062</v>
      </c>
      <c r="X204" t="str">
        <f>HYPERLINK("http://www.ncbi.nlm.nih.gov/protein/307095104","gi|307095104")</f>
        <v>gi|307095104</v>
      </c>
      <c r="Y204">
        <v>242</v>
      </c>
      <c r="Z204">
        <v>118</v>
      </c>
      <c r="AA204">
        <v>314</v>
      </c>
      <c r="AB204">
        <v>100</v>
      </c>
      <c r="AC204">
        <v>38</v>
      </c>
      <c r="AD204">
        <v>0</v>
      </c>
      <c r="AE204">
        <v>0</v>
      </c>
      <c r="AF204">
        <v>196</v>
      </c>
      <c r="AG204">
        <v>32</v>
      </c>
      <c r="AH204">
        <v>1</v>
      </c>
      <c r="AI204">
        <v>2</v>
      </c>
      <c r="AJ204" t="s">
        <v>11</v>
      </c>
      <c r="AL204" t="s">
        <v>1121</v>
      </c>
      <c r="AM204" t="s">
        <v>1434</v>
      </c>
      <c r="AN204" t="s">
        <v>1435</v>
      </c>
      <c r="AO204" s="1" t="str">
        <f>HYPERLINK("http://exon.niaid.nih.gov/transcriptome/T_rubida/S1/links/SWISSP/Triru-contig_125-SWISSP.txt","60S ribosomal protein L23a")</f>
        <v>60S ribosomal protein L23a</v>
      </c>
      <c r="AP204" t="str">
        <f>HYPERLINK("http://www.uniprot.org/uniprot/P62752","3E-049")</f>
        <v>3E-049</v>
      </c>
      <c r="AQ204" t="s">
        <v>1436</v>
      </c>
      <c r="AR204">
        <v>194</v>
      </c>
      <c r="AS204">
        <v>118</v>
      </c>
      <c r="AT204">
        <v>80</v>
      </c>
      <c r="AU204">
        <v>76</v>
      </c>
      <c r="AV204">
        <v>23</v>
      </c>
      <c r="AW204">
        <v>0</v>
      </c>
      <c r="AX204">
        <v>38</v>
      </c>
      <c r="AY204">
        <v>32</v>
      </c>
      <c r="AZ204">
        <v>1</v>
      </c>
      <c r="BA204">
        <v>2</v>
      </c>
      <c r="BB204" t="s">
        <v>11</v>
      </c>
      <c r="BD204" t="s">
        <v>704</v>
      </c>
      <c r="BE204" t="s">
        <v>1164</v>
      </c>
      <c r="BF204" t="s">
        <v>1437</v>
      </c>
      <c r="BG204" t="s">
        <v>1438</v>
      </c>
      <c r="BH204" s="1" t="s">
        <v>1439</v>
      </c>
      <c r="BI204">
        <f>HYPERLINK("http://exon.niaid.nih.gov/transcriptome/T_rubida/S1/links/GO/Triru-contig_125-GO.txt",2E-49)</f>
        <v>1.9999999999999999E-49</v>
      </c>
      <c r="BJ204" s="1" t="str">
        <f>HYPERLINK("http://exon.niaid.nih.gov/transcriptome/T_rubida/S1/links/CDD/Triru-contig_125-CDD.txt","PTZ00191")</f>
        <v>PTZ00191</v>
      </c>
      <c r="BK204" t="str">
        <f>HYPERLINK("http://www.ncbi.nlm.nih.gov/Structure/cdd/cddsrv.cgi?uid=PTZ00191&amp;version=v4.0","4E-057")</f>
        <v>4E-057</v>
      </c>
      <c r="BL204" t="s">
        <v>1440</v>
      </c>
      <c r="BM204" s="1" t="str">
        <f>HYPERLINK("http://exon.niaid.nih.gov/transcriptome/T_rubida/S1/links/KOG/Triru-contig_125-KOG.txt","60s ribosomal protein L23")</f>
        <v>60s ribosomal protein L23</v>
      </c>
      <c r="BN204" t="str">
        <f>HYPERLINK("http://www.ncbi.nlm.nih.gov/COG/grace/shokog.cgi?KOG1751","8E-054")</f>
        <v>8E-054</v>
      </c>
      <c r="BO204" t="s">
        <v>1185</v>
      </c>
      <c r="BP204" s="1" t="str">
        <f>HYPERLINK("http://exon.niaid.nih.gov/transcriptome/T_rubida/S1/links/PFAM/Triru-contig_125-PFAM.txt","Ribosomal_L23")</f>
        <v>Ribosomal_L23</v>
      </c>
      <c r="BQ204" t="str">
        <f>HYPERLINK("http://pfam.sanger.ac.uk/family?acc=PF00276","2E-017")</f>
        <v>2E-017</v>
      </c>
      <c r="BR204" s="1" t="str">
        <f>HYPERLINK("http://exon.niaid.nih.gov/transcriptome/T_rubida/S1/links/SMART/Triru-contig_125-SMART.txt","BROMO")</f>
        <v>BROMO</v>
      </c>
      <c r="BS204" t="str">
        <f>HYPERLINK("http://smart.embl-heidelberg.de/smart/do_annotation.pl?DOMAIN=BROMO&amp;BLAST=DUMMY","0.012")</f>
        <v>0.012</v>
      </c>
      <c r="BT204" s="1" t="str">
        <f>HYPERLINK("http://exon.niaid.nih.gov/transcriptome/T_rubida/S1/links/PRK/Triru-contig_125-PRK.txt","60S ribosomal protein L23a")</f>
        <v>60S ribosomal protein L23a</v>
      </c>
      <c r="BU204" s="2">
        <v>1.9999999999999999E-57</v>
      </c>
      <c r="BV204" s="1" t="s">
        <v>57</v>
      </c>
      <c r="BW204" t="s">
        <v>57</v>
      </c>
      <c r="BX204" s="1" t="s">
        <v>57</v>
      </c>
      <c r="BY204" t="s">
        <v>57</v>
      </c>
    </row>
    <row r="205" spans="1:77">
      <c r="A205" t="str">
        <f>HYPERLINK("http://exon.niaid.nih.gov/transcriptome/T_rubida/S1/links/Triru/Triru-contig_603.txt","Triru-contig_603")</f>
        <v>Triru-contig_603</v>
      </c>
      <c r="B205">
        <v>1</v>
      </c>
      <c r="C205" t="str">
        <f>HYPERLINK("http://exon.niaid.nih.gov/transcriptome/T_rubida/S1/links/Triru/Triru-5-48-asb-603.txt","Contig-603")</f>
        <v>Contig-603</v>
      </c>
      <c r="D205" t="str">
        <f>HYPERLINK("http://exon.niaid.nih.gov/transcriptome/T_rubida/S1/links/Triru/Triru-5-48-603-CLU.txt","Contig603")</f>
        <v>Contig603</v>
      </c>
      <c r="E205" t="str">
        <f>HYPERLINK("http://exon.niaid.nih.gov/transcriptome/T_rubida/S1/links/Triru/Triru-5-48-603-qual.txt","61.3")</f>
        <v>61.3</v>
      </c>
      <c r="F205">
        <v>0.4</v>
      </c>
      <c r="G205">
        <v>57.7</v>
      </c>
      <c r="H205">
        <v>430</v>
      </c>
      <c r="I205" t="s">
        <v>615</v>
      </c>
      <c r="J205">
        <v>430</v>
      </c>
      <c r="K205">
        <v>449</v>
      </c>
      <c r="L205">
        <v>378</v>
      </c>
      <c r="M205" t="s">
        <v>5228</v>
      </c>
      <c r="N205" s="15">
        <v>2</v>
      </c>
      <c r="O205" s="14" t="str">
        <f>HYPERLINK("http://exon.niaid.nih.gov/transcriptome/T_rubida/S1/links/Sigp/TRIRU-CONTIG_603-SigP.txt","Cyt")</f>
        <v>Cyt</v>
      </c>
      <c r="Q205" s="5" t="s">
        <v>5021</v>
      </c>
      <c r="R205" t="s">
        <v>4820</v>
      </c>
      <c r="S205" t="str">
        <f>HYPERLINK("http://exon.niaid.nih.gov/transcriptome/T_rubida/S1/links/SWISSP/Triru-contig_603-SWISSP.txt","SWISSP")</f>
        <v>SWISSP</v>
      </c>
      <c r="T205" s="23">
        <v>9.9999999999999997E-49</v>
      </c>
      <c r="U205">
        <v>74.8</v>
      </c>
      <c r="V205" s="1" t="str">
        <f>HYPERLINK("http://exon.niaid.nih.gov/transcriptome/T_rubida/S1/links/NR/Triru-contig_603-NR.txt","60S ribosomal protein L24")</f>
        <v>60S ribosomal protein L24</v>
      </c>
      <c r="W205" t="str">
        <f>HYPERLINK("http://www.ncbi.nlm.nih.gov/sutils/blink.cgi?pid=307206365","3E-048")</f>
        <v>3E-048</v>
      </c>
      <c r="X205" t="str">
        <f>HYPERLINK("http://www.ncbi.nlm.nih.gov/protein/307206365","gi|307206365")</f>
        <v>gi|307206365</v>
      </c>
      <c r="Y205">
        <v>194</v>
      </c>
      <c r="Z205">
        <v>114</v>
      </c>
      <c r="AA205">
        <v>154</v>
      </c>
      <c r="AB205">
        <v>85</v>
      </c>
      <c r="AC205">
        <v>75</v>
      </c>
      <c r="AD205">
        <v>17</v>
      </c>
      <c r="AE205">
        <v>0</v>
      </c>
      <c r="AF205">
        <v>40</v>
      </c>
      <c r="AG205">
        <v>32</v>
      </c>
      <c r="AH205">
        <v>1</v>
      </c>
      <c r="AI205">
        <v>2</v>
      </c>
      <c r="AJ205" t="s">
        <v>11</v>
      </c>
      <c r="AL205" t="s">
        <v>1475</v>
      </c>
      <c r="AM205" t="s">
        <v>4512</v>
      </c>
      <c r="AN205" t="s">
        <v>3495</v>
      </c>
      <c r="AO205" s="1" t="str">
        <f>HYPERLINK("http://exon.niaid.nih.gov/transcriptome/T_rubida/S1/links/SWISSP/Triru-contig_603-SWISSP.txt","60S ribosomal protein L24")</f>
        <v>60S ribosomal protein L24</v>
      </c>
      <c r="AP205" t="str">
        <f>HYPERLINK("http://www.uniprot.org/uniprot/Q962T5","1E-048")</f>
        <v>1E-048</v>
      </c>
      <c r="AQ205" t="s">
        <v>4513</v>
      </c>
      <c r="AR205">
        <v>191</v>
      </c>
      <c r="AS205">
        <v>115</v>
      </c>
      <c r="AT205">
        <v>82</v>
      </c>
      <c r="AU205">
        <v>75</v>
      </c>
      <c r="AV205">
        <v>20</v>
      </c>
      <c r="AW205">
        <v>0</v>
      </c>
      <c r="AX205">
        <v>40</v>
      </c>
      <c r="AY205">
        <v>32</v>
      </c>
      <c r="AZ205">
        <v>1</v>
      </c>
      <c r="BA205">
        <v>2</v>
      </c>
      <c r="BB205" t="s">
        <v>11</v>
      </c>
      <c r="BD205" t="s">
        <v>704</v>
      </c>
      <c r="BE205" t="s">
        <v>1246</v>
      </c>
      <c r="BF205" t="s">
        <v>4514</v>
      </c>
      <c r="BG205" t="s">
        <v>4515</v>
      </c>
      <c r="BH205" s="1" t="s">
        <v>4516</v>
      </c>
      <c r="BI205">
        <f>HYPERLINK("http://exon.niaid.nih.gov/transcriptome/T_rubida/S1/links/GO/Triru-contig_603-GO.txt",4E-45)</f>
        <v>3.9999999999999999E-45</v>
      </c>
      <c r="BJ205" s="1" t="str">
        <f>HYPERLINK("http://exon.niaid.nih.gov/transcriptome/T_rubida/S1/links/CDD/Triru-contig_603-CDD.txt","PTZ00033")</f>
        <v>PTZ00033</v>
      </c>
      <c r="BK205" t="str">
        <f>HYPERLINK("http://www.ncbi.nlm.nih.gov/Structure/cdd/cddsrv.cgi?uid=PTZ00033&amp;version=v4.0","3E-014")</f>
        <v>3E-014</v>
      </c>
      <c r="BL205" t="s">
        <v>4517</v>
      </c>
      <c r="BM205" s="1" t="str">
        <f>HYPERLINK("http://exon.niaid.nih.gov/transcriptome/T_rubida/S1/links/KOG/Triru-contig_603-KOG.txt","60s ribosomal protein L24")</f>
        <v>60s ribosomal protein L24</v>
      </c>
      <c r="BN205" t="str">
        <f>HYPERLINK("http://www.ncbi.nlm.nih.gov/COG/grace/shokog.cgi?KOG1722","4E-042")</f>
        <v>4E-042</v>
      </c>
      <c r="BO205" t="s">
        <v>1185</v>
      </c>
      <c r="BP205" s="1" t="str">
        <f>HYPERLINK("http://exon.niaid.nih.gov/transcriptome/T_rubida/S1/links/PFAM/Triru-contig_603-PFAM.txt","Ribosomal_L24e")</f>
        <v>Ribosomal_L24e</v>
      </c>
      <c r="BQ205" t="str">
        <f>HYPERLINK("http://pfam.sanger.ac.uk/family?acc=PF01246","6E-009")</f>
        <v>6E-009</v>
      </c>
      <c r="BR205" s="1" t="str">
        <f>HYPERLINK("http://exon.niaid.nih.gov/transcriptome/T_rubida/S1/links/SMART/Triru-contig_603-SMART.txt","TOP2c")</f>
        <v>TOP2c</v>
      </c>
      <c r="BS205" t="str">
        <f>HYPERLINK("http://smart.embl-heidelberg.de/smart/do_annotation.pl?DOMAIN=TOP2c&amp;BLAST=DUMMY","0.010")</f>
        <v>0.010</v>
      </c>
      <c r="BT205" s="1" t="str">
        <f>HYPERLINK("http://exon.niaid.nih.gov/transcriptome/T_rubida/S1/links/PRK/Triru-contig_603-PRK.txt","60S ribosomal protein L24")</f>
        <v>60S ribosomal protein L24</v>
      </c>
      <c r="BU205" s="2">
        <v>1E-14</v>
      </c>
      <c r="BV205" s="1" t="s">
        <v>57</v>
      </c>
      <c r="BW205" t="s">
        <v>57</v>
      </c>
      <c r="BX205" s="1" t="s">
        <v>57</v>
      </c>
      <c r="BY205" t="s">
        <v>57</v>
      </c>
    </row>
    <row r="206" spans="1:77">
      <c r="A206" t="str">
        <f>HYPERLINK("http://exon.niaid.nih.gov/transcriptome/T_rubida/S1/links/Triru/Triru-contig_124.txt","Triru-contig_124")</f>
        <v>Triru-contig_124</v>
      </c>
      <c r="B206">
        <v>3</v>
      </c>
      <c r="C206" t="str">
        <f>HYPERLINK("http://exon.niaid.nih.gov/transcriptome/T_rubida/S1/links/Triru/Triru-5-48-asb-124.txt","Contig-124")</f>
        <v>Contig-124</v>
      </c>
      <c r="D206" t="str">
        <f>HYPERLINK("http://exon.niaid.nih.gov/transcriptome/T_rubida/S1/links/Triru/Triru-5-48-124-CLU.txt","Contig124")</f>
        <v>Contig124</v>
      </c>
      <c r="E206" t="str">
        <f>HYPERLINK("http://exon.niaid.nih.gov/transcriptome/T_rubida/S1/links/Triru/Triru-5-48-124-qual.txt","62.")</f>
        <v>62.</v>
      </c>
      <c r="F206" t="s">
        <v>10</v>
      </c>
      <c r="G206">
        <v>62.5</v>
      </c>
      <c r="H206">
        <v>615</v>
      </c>
      <c r="I206" t="s">
        <v>136</v>
      </c>
      <c r="J206">
        <v>614</v>
      </c>
      <c r="K206">
        <v>634</v>
      </c>
      <c r="L206">
        <v>450</v>
      </c>
      <c r="M206" t="s">
        <v>5229</v>
      </c>
      <c r="N206" s="15">
        <v>3</v>
      </c>
      <c r="O206" s="14" t="str">
        <f>HYPERLINK("http://exon.niaid.nih.gov/transcriptome/T_rubida/S1/links/Sigp/TRIRU-CONTIG_124-SigP.txt","Cyt")</f>
        <v>Cyt</v>
      </c>
      <c r="Q206" s="5" t="s">
        <v>4870</v>
      </c>
      <c r="R206" t="s">
        <v>4820</v>
      </c>
      <c r="S206" t="str">
        <f>HYPERLINK("http://exon.niaid.nih.gov/transcriptome/T_rubida/S1/links/KOG/Triru-contig_124-KOG.txt","KOG")</f>
        <v>KOG</v>
      </c>
      <c r="T206" s="23">
        <v>2.0000000000000001E-61</v>
      </c>
      <c r="U206">
        <v>98.6</v>
      </c>
      <c r="V206" s="1" t="str">
        <f>HYPERLINK("http://exon.niaid.nih.gov/transcriptome/T_rubida/S1/links/NR/Triru-contig_124-NR.txt","60S ribosomal protein L26")</f>
        <v>60S ribosomal protein L26</v>
      </c>
      <c r="W206" t="str">
        <f>HYPERLINK("http://www.ncbi.nlm.nih.gov/sutils/blink.cgi?pid=149689146","4E-077")</f>
        <v>4E-077</v>
      </c>
      <c r="X206" t="str">
        <f>HYPERLINK("http://www.ncbi.nlm.nih.gov/protein/149689146","gi|149689146")</f>
        <v>gi|149689146</v>
      </c>
      <c r="Y206">
        <v>291</v>
      </c>
      <c r="Z206">
        <v>148</v>
      </c>
      <c r="AA206">
        <v>149</v>
      </c>
      <c r="AB206">
        <v>99</v>
      </c>
      <c r="AC206">
        <v>100</v>
      </c>
      <c r="AD206">
        <v>1</v>
      </c>
      <c r="AE206">
        <v>0</v>
      </c>
      <c r="AF206">
        <v>1</v>
      </c>
      <c r="AG206">
        <v>93</v>
      </c>
      <c r="AH206">
        <v>1</v>
      </c>
      <c r="AI206">
        <v>3</v>
      </c>
      <c r="AJ206" t="s">
        <v>11</v>
      </c>
      <c r="AL206" t="s">
        <v>1067</v>
      </c>
      <c r="AM206" t="s">
        <v>1427</v>
      </c>
      <c r="AN206" t="s">
        <v>1428</v>
      </c>
      <c r="AO206" s="1" t="str">
        <f>HYPERLINK("http://exon.niaid.nih.gov/transcriptome/T_rubida/S1/links/SWISSP/Triru-contig_124-SWISSP.txt","60S ribosomal protein L26")</f>
        <v>60S ribosomal protein L26</v>
      </c>
      <c r="AP206" t="str">
        <f>HYPERLINK("http://www.uniprot.org/uniprot/P61255","5E-059")</f>
        <v>5E-059</v>
      </c>
      <c r="AQ206" t="s">
        <v>1429</v>
      </c>
      <c r="AR206">
        <v>227</v>
      </c>
      <c r="AS206">
        <v>138</v>
      </c>
      <c r="AT206">
        <v>78</v>
      </c>
      <c r="AU206">
        <v>96</v>
      </c>
      <c r="AV206">
        <v>31</v>
      </c>
      <c r="AW206">
        <v>0</v>
      </c>
      <c r="AX206">
        <v>1</v>
      </c>
      <c r="AY206">
        <v>93</v>
      </c>
      <c r="AZ206">
        <v>1</v>
      </c>
      <c r="BA206">
        <v>3</v>
      </c>
      <c r="BB206" t="s">
        <v>11</v>
      </c>
      <c r="BD206" t="s">
        <v>704</v>
      </c>
      <c r="BE206" t="s">
        <v>807</v>
      </c>
      <c r="BF206" t="s">
        <v>1430</v>
      </c>
      <c r="BG206" t="s">
        <v>1431</v>
      </c>
      <c r="BH206" s="1" t="s">
        <v>1432</v>
      </c>
      <c r="BI206">
        <f>HYPERLINK("http://exon.niaid.nih.gov/transcriptome/T_rubida/S1/links/GO/Triru-contig_124-GO.txt",8E-63)</f>
        <v>8.0000000000000005E-63</v>
      </c>
      <c r="BJ206" s="1" t="str">
        <f>HYPERLINK("http://exon.niaid.nih.gov/transcriptome/T_rubida/S1/links/CDD/Triru-contig_124-CDD.txt","PTZ00194")</f>
        <v>PTZ00194</v>
      </c>
      <c r="BK206" t="str">
        <f>HYPERLINK("http://www.ncbi.nlm.nih.gov/Structure/cdd/cddsrv.cgi?uid=PTZ00194&amp;version=v4.0","3E-061")</f>
        <v>3E-061</v>
      </c>
      <c r="BL206" t="s">
        <v>1433</v>
      </c>
      <c r="BM206" s="1" t="str">
        <f>HYPERLINK("http://exon.niaid.nih.gov/transcriptome/T_rubida/S1/links/KOG/Triru-contig_124-KOG.txt","60S ribosomal protein L26")</f>
        <v>60S ribosomal protein L26</v>
      </c>
      <c r="BN206" t="str">
        <f>HYPERLINK("http://www.ncbi.nlm.nih.gov/COG/grace/shokog.cgi?KOG3401","2E-061")</f>
        <v>2E-061</v>
      </c>
      <c r="BO206" t="s">
        <v>1185</v>
      </c>
      <c r="BP206" s="1" t="str">
        <f>HYPERLINK("http://exon.niaid.nih.gov/transcriptome/T_rubida/S1/links/PFAM/Triru-contig_124-PFAM.txt","KOW")</f>
        <v>KOW</v>
      </c>
      <c r="BQ206" t="str">
        <f>HYPERLINK("http://pfam.sanger.ac.uk/family?acc=PF00467","6E-006")</f>
        <v>6E-006</v>
      </c>
      <c r="BR206" s="1" t="str">
        <f>HYPERLINK("http://exon.niaid.nih.gov/transcriptome/T_rubida/S1/links/SMART/Triru-contig_124-SMART.txt","KOW")</f>
        <v>KOW</v>
      </c>
      <c r="BS206" t="str">
        <f>HYPERLINK("http://smart.embl-heidelberg.de/smart/do_annotation.pl?DOMAIN=KOW&amp;BLAST=DUMMY","5E-005")</f>
        <v>5E-005</v>
      </c>
      <c r="BT206" s="1" t="str">
        <f>HYPERLINK("http://exon.niaid.nih.gov/transcriptome/T_rubida/S1/links/PRK/Triru-contig_124-PRK.txt","60S ribosomal protein L26")</f>
        <v>60S ribosomal protein L26</v>
      </c>
      <c r="BU206" s="2">
        <v>1E-61</v>
      </c>
      <c r="BV206" s="1" t="s">
        <v>57</v>
      </c>
      <c r="BW206" t="s">
        <v>57</v>
      </c>
      <c r="BX206" s="1" t="s">
        <v>57</v>
      </c>
      <c r="BY206" t="s">
        <v>57</v>
      </c>
    </row>
    <row r="207" spans="1:77">
      <c r="A207" t="str">
        <f>HYPERLINK("http://exon.niaid.nih.gov/transcriptome/T_rubida/S1/links/Triru/Triru-contig_418.txt","Triru-contig_418")</f>
        <v>Triru-contig_418</v>
      </c>
      <c r="B207">
        <v>1</v>
      </c>
      <c r="C207" t="str">
        <f>HYPERLINK("http://exon.niaid.nih.gov/transcriptome/T_rubida/S1/links/Triru/Triru-5-48-asb-418.txt","Contig-418")</f>
        <v>Contig-418</v>
      </c>
      <c r="D207" t="str">
        <f>HYPERLINK("http://exon.niaid.nih.gov/transcriptome/T_rubida/S1/links/Triru/Triru-5-48-418-CLU.txt","Contig418")</f>
        <v>Contig418</v>
      </c>
      <c r="E207" t="str">
        <f>HYPERLINK("http://exon.niaid.nih.gov/transcriptome/T_rubida/S1/links/Triru/Triru-5-48-418-qual.txt","58.2")</f>
        <v>58.2</v>
      </c>
      <c r="F207" t="s">
        <v>10</v>
      </c>
      <c r="G207">
        <v>61.6</v>
      </c>
      <c r="H207">
        <v>416</v>
      </c>
      <c r="I207" t="s">
        <v>430</v>
      </c>
      <c r="J207">
        <v>416</v>
      </c>
      <c r="K207">
        <v>435</v>
      </c>
      <c r="L207">
        <v>345</v>
      </c>
      <c r="M207" t="s">
        <v>5230</v>
      </c>
      <c r="N207" s="15">
        <v>1</v>
      </c>
      <c r="O207" s="14" t="str">
        <f>HYPERLINK("http://exon.niaid.nih.gov/transcriptome/T_rubida/S1/links/Sigp/TRIRU-CONTIG_418-SigP.txt","Cyt")</f>
        <v>Cyt</v>
      </c>
      <c r="Q207" s="5" t="s">
        <v>4960</v>
      </c>
      <c r="R207" t="s">
        <v>4820</v>
      </c>
      <c r="S207" t="str">
        <f>HYPERLINK("http://exon.niaid.nih.gov/transcriptome/T_rubida/S1/links/SWISSP/Triru-contig_418-SWISSP.txt","SWISSP")</f>
        <v>SWISSP</v>
      </c>
      <c r="T207" s="23">
        <v>2E-50</v>
      </c>
      <c r="U207">
        <v>90.3</v>
      </c>
      <c r="V207" s="1" t="str">
        <f>HYPERLINK("http://exon.niaid.nih.gov/transcriptome/T_rubida/S1/links/NR/Triru-contig_418-NR.txt","60S ribosomal protein L31")</f>
        <v>60S ribosomal protein L31</v>
      </c>
      <c r="W207" t="str">
        <f>HYPERLINK("http://www.ncbi.nlm.nih.gov/sutils/blink.cgi?pid=307200206","4E-050")</f>
        <v>4E-050</v>
      </c>
      <c r="X207" t="str">
        <f>HYPERLINK("http://www.ncbi.nlm.nih.gov/protein/307200206","gi|307200206")</f>
        <v>gi|307200206</v>
      </c>
      <c r="Y207">
        <v>201</v>
      </c>
      <c r="Z207">
        <v>111</v>
      </c>
      <c r="AA207">
        <v>123</v>
      </c>
      <c r="AB207">
        <v>84</v>
      </c>
      <c r="AC207">
        <v>91</v>
      </c>
      <c r="AD207">
        <v>17</v>
      </c>
      <c r="AE207">
        <v>0</v>
      </c>
      <c r="AF207">
        <v>12</v>
      </c>
      <c r="AG207">
        <v>10</v>
      </c>
      <c r="AH207">
        <v>1</v>
      </c>
      <c r="AI207">
        <v>1</v>
      </c>
      <c r="AJ207" t="s">
        <v>11</v>
      </c>
      <c r="AL207" t="s">
        <v>1475</v>
      </c>
      <c r="AM207" t="s">
        <v>3309</v>
      </c>
      <c r="AN207" t="s">
        <v>3310</v>
      </c>
      <c r="AO207" s="1" t="str">
        <f>HYPERLINK("http://exon.niaid.nih.gov/transcriptome/T_rubida/S1/links/SWISSP/Triru-contig_418-SWISSP.txt","60S ribosomal protein L31")</f>
        <v>60S ribosomal protein L31</v>
      </c>
      <c r="AP207" t="str">
        <f>HYPERLINK("http://www.uniprot.org/uniprot/Q7KF90","2E-050")</f>
        <v>2E-050</v>
      </c>
      <c r="AQ207" t="s">
        <v>3311</v>
      </c>
      <c r="AR207">
        <v>197</v>
      </c>
      <c r="AS207">
        <v>111</v>
      </c>
      <c r="AT207">
        <v>83</v>
      </c>
      <c r="AU207">
        <v>90</v>
      </c>
      <c r="AV207">
        <v>19</v>
      </c>
      <c r="AW207">
        <v>0</v>
      </c>
      <c r="AX207">
        <v>13</v>
      </c>
      <c r="AY207">
        <v>10</v>
      </c>
      <c r="AZ207">
        <v>1</v>
      </c>
      <c r="BA207">
        <v>1</v>
      </c>
      <c r="BB207" t="s">
        <v>11</v>
      </c>
      <c r="BD207" t="s">
        <v>704</v>
      </c>
      <c r="BE207" t="s">
        <v>1246</v>
      </c>
      <c r="BF207" t="s">
        <v>3312</v>
      </c>
      <c r="BG207" t="s">
        <v>3313</v>
      </c>
      <c r="BH207" s="1" t="s">
        <v>3314</v>
      </c>
      <c r="BI207">
        <f>HYPERLINK("http://exon.niaid.nih.gov/transcriptome/T_rubida/S1/links/GO/Triru-contig_418-GO.txt",2E-49)</f>
        <v>1.9999999999999999E-49</v>
      </c>
      <c r="BJ207" s="1" t="str">
        <f>HYPERLINK("http://exon.niaid.nih.gov/transcriptome/T_rubida/S1/links/CDD/Triru-contig_418-CDD.txt","Ribosomal_L31e")</f>
        <v>Ribosomal_L31e</v>
      </c>
      <c r="BK207" t="str">
        <f>HYPERLINK("http://www.ncbi.nlm.nih.gov/Structure/cdd/cddsrv.cgi?uid=pfam01198&amp;version=v4.0","2E-042")</f>
        <v>2E-042</v>
      </c>
      <c r="BL207" t="s">
        <v>3315</v>
      </c>
      <c r="BM207" s="1" t="str">
        <f>HYPERLINK("http://exon.niaid.nih.gov/transcriptome/T_rubida/S1/links/KOG/Triru-contig_418-KOG.txt","60S ribosomal protein L31")</f>
        <v>60S ribosomal protein L31</v>
      </c>
      <c r="BN207" t="str">
        <f>HYPERLINK("http://www.ncbi.nlm.nih.gov/COG/grace/shokog.cgi?KOG0893","4E-044")</f>
        <v>4E-044</v>
      </c>
      <c r="BO207" t="s">
        <v>1185</v>
      </c>
      <c r="BP207" s="1" t="str">
        <f>HYPERLINK("http://exon.niaid.nih.gov/transcriptome/T_rubida/S1/links/PFAM/Triru-contig_418-PFAM.txt","Ribosomal_L31e")</f>
        <v>Ribosomal_L31e</v>
      </c>
      <c r="BQ207" t="str">
        <f>HYPERLINK("http://pfam.sanger.ac.uk/family?acc=PF01198","5E-043")</f>
        <v>5E-043</v>
      </c>
      <c r="BR207" s="1" t="str">
        <f>HYPERLINK("http://exon.niaid.nih.gov/transcriptome/T_rubida/S1/links/SMART/Triru-contig_418-SMART.txt","H15")</f>
        <v>H15</v>
      </c>
      <c r="BS207" t="str">
        <f>HYPERLINK("http://smart.embl-heidelberg.de/smart/do_annotation.pl?DOMAIN=H15&amp;BLAST=DUMMY","0.29")</f>
        <v>0.29</v>
      </c>
      <c r="BT207" s="1" t="str">
        <f>HYPERLINK("http://exon.niaid.nih.gov/transcriptome/T_rubida/S1/links/PRK/Triru-contig_418-PRK.txt","60S ribosomal protein L31")</f>
        <v>60S ribosomal protein L31</v>
      </c>
      <c r="BU207" s="2">
        <v>1.9999999999999998E-24</v>
      </c>
      <c r="BV207" s="1" t="s">
        <v>57</v>
      </c>
      <c r="BW207" t="s">
        <v>57</v>
      </c>
      <c r="BX207" s="1" t="s">
        <v>57</v>
      </c>
      <c r="BY207" t="s">
        <v>57</v>
      </c>
    </row>
    <row r="208" spans="1:77">
      <c r="A208" t="str">
        <f>HYPERLINK("http://exon.niaid.nih.gov/transcriptome/T_rubida/S1/links/Triru/Triru-contig_460.txt","Triru-contig_460")</f>
        <v>Triru-contig_460</v>
      </c>
      <c r="B208">
        <v>1</v>
      </c>
      <c r="C208" t="str">
        <f>HYPERLINK("http://exon.niaid.nih.gov/transcriptome/T_rubida/S1/links/Triru/Triru-5-48-asb-460.txt","Contig-460")</f>
        <v>Contig-460</v>
      </c>
      <c r="D208" t="str">
        <f>HYPERLINK("http://exon.niaid.nih.gov/transcriptome/T_rubida/S1/links/Triru/Triru-5-48-460-CLU.txt","Contig460")</f>
        <v>Contig460</v>
      </c>
      <c r="E208" t="str">
        <f>HYPERLINK("http://exon.niaid.nih.gov/transcriptome/T_rubida/S1/links/Triru/Triru-5-48-460-qual.txt","60.2")</f>
        <v>60.2</v>
      </c>
      <c r="F208" t="s">
        <v>10</v>
      </c>
      <c r="G208">
        <v>63.7</v>
      </c>
      <c r="H208">
        <v>259</v>
      </c>
      <c r="I208" t="s">
        <v>472</v>
      </c>
      <c r="J208">
        <v>259</v>
      </c>
      <c r="K208">
        <v>278</v>
      </c>
      <c r="L208">
        <v>177</v>
      </c>
      <c r="M208" t="s">
        <v>5231</v>
      </c>
      <c r="N208" s="15">
        <v>3</v>
      </c>
      <c r="Q208" s="5" t="s">
        <v>4960</v>
      </c>
      <c r="R208" t="s">
        <v>4820</v>
      </c>
      <c r="S208" t="str">
        <f>HYPERLINK("http://exon.niaid.nih.gov/transcriptome/T_rubida/S1/links/SWISSP/Triru-contig_460-SWISSP.txt","SWISSP")</f>
        <v>SWISSP</v>
      </c>
      <c r="T208" s="23">
        <v>3.0000000000000003E-20</v>
      </c>
      <c r="U208">
        <v>47.5</v>
      </c>
      <c r="V208" s="1" t="str">
        <f>HYPERLINK("http://exon.niaid.nih.gov/transcriptome/T_rubida/S1/links/NR/Triru-contig_460-NR.txt","similar to ribosomal protein L31e")</f>
        <v>similar to ribosomal protein L31e</v>
      </c>
      <c r="W208" t="str">
        <f>HYPERLINK("http://www.ncbi.nlm.nih.gov/sutils/blink.cgi?pid=156551942","7E-020")</f>
        <v>7E-020</v>
      </c>
      <c r="X208" t="str">
        <f>HYPERLINK("http://www.ncbi.nlm.nih.gov/protein/156551942","gi|156551942")</f>
        <v>gi|156551942</v>
      </c>
      <c r="Y208">
        <v>96.7</v>
      </c>
      <c r="Z208">
        <v>64</v>
      </c>
      <c r="AA208">
        <v>124</v>
      </c>
      <c r="AB208">
        <v>81</v>
      </c>
      <c r="AC208">
        <v>52</v>
      </c>
      <c r="AD208">
        <v>10</v>
      </c>
      <c r="AE208">
        <v>0</v>
      </c>
      <c r="AF208">
        <v>60</v>
      </c>
      <c r="AG208">
        <v>5</v>
      </c>
      <c r="AH208">
        <v>2</v>
      </c>
      <c r="AI208">
        <v>3</v>
      </c>
      <c r="AJ208" t="s">
        <v>888</v>
      </c>
      <c r="AL208" t="s">
        <v>1330</v>
      </c>
      <c r="AM208" t="s">
        <v>3598</v>
      </c>
      <c r="AN208" t="s">
        <v>3599</v>
      </c>
      <c r="AO208" s="1" t="str">
        <f>HYPERLINK("http://exon.niaid.nih.gov/transcriptome/T_rubida/S1/links/SWISSP/Triru-contig_460-SWISSP.txt","60S ribosomal protein L31")</f>
        <v>60S ribosomal protein L31</v>
      </c>
      <c r="AP208" t="str">
        <f>HYPERLINK("http://www.uniprot.org/uniprot/Q7KF90","3E-020")</f>
        <v>3E-020</v>
      </c>
      <c r="AQ208" t="s">
        <v>3311</v>
      </c>
      <c r="AR208">
        <v>96.7</v>
      </c>
      <c r="AS208">
        <v>64</v>
      </c>
      <c r="AT208">
        <v>79</v>
      </c>
      <c r="AU208">
        <v>52</v>
      </c>
      <c r="AV208">
        <v>12</v>
      </c>
      <c r="AW208">
        <v>1</v>
      </c>
      <c r="AX208">
        <v>60</v>
      </c>
      <c r="AY208">
        <v>5</v>
      </c>
      <c r="AZ208">
        <v>2</v>
      </c>
      <c r="BA208">
        <v>3</v>
      </c>
      <c r="BB208" t="s">
        <v>888</v>
      </c>
      <c r="BD208" t="s">
        <v>704</v>
      </c>
      <c r="BE208" t="s">
        <v>1246</v>
      </c>
      <c r="BF208" t="s">
        <v>3600</v>
      </c>
      <c r="BG208" t="s">
        <v>3601</v>
      </c>
      <c r="BH208" s="1" t="s">
        <v>3602</v>
      </c>
      <c r="BI208">
        <f>HYPERLINK("http://exon.niaid.nih.gov/transcriptome/T_rubida/S1/links/GO/Triru-contig_460-GO.txt",6E-20)</f>
        <v>6.0000000000000006E-20</v>
      </c>
      <c r="BJ208" s="1" t="str">
        <f>HYPERLINK("http://exon.niaid.nih.gov/transcriptome/T_rubida/S1/links/CDD/Triru-contig_460-CDD.txt","Ribosomal_L31e")</f>
        <v>Ribosomal_L31e</v>
      </c>
      <c r="BK208" t="str">
        <f>HYPERLINK("http://www.ncbi.nlm.nih.gov/Structure/cdd/cddsrv.cgi?uid=pfam01198&amp;version=v4.0","2E-010")</f>
        <v>2E-010</v>
      </c>
      <c r="BL208" t="s">
        <v>3603</v>
      </c>
      <c r="BM208" s="1" t="str">
        <f>HYPERLINK("http://exon.niaid.nih.gov/transcriptome/T_rubida/S1/links/KOG/Triru-contig_460-KOG.txt","60S ribosomal protein L31")</f>
        <v>60S ribosomal protein L31</v>
      </c>
      <c r="BN208" t="str">
        <f>HYPERLINK("http://www.ncbi.nlm.nih.gov/COG/grace/shokog.cgi?KOG0893","2E-014")</f>
        <v>2E-014</v>
      </c>
      <c r="BO208" t="s">
        <v>1185</v>
      </c>
      <c r="BP208" s="1" t="str">
        <f>HYPERLINK("http://exon.niaid.nih.gov/transcriptome/T_rubida/S1/links/PFAM/Triru-contig_460-PFAM.txt","Ribosomal_L31e")</f>
        <v>Ribosomal_L31e</v>
      </c>
      <c r="BQ208" t="str">
        <f>HYPERLINK("http://pfam.sanger.ac.uk/family?acc=PF01198","5E-011")</f>
        <v>5E-011</v>
      </c>
      <c r="BR208" s="1" t="str">
        <f>HYPERLINK("http://exon.niaid.nih.gov/transcriptome/T_rubida/S1/links/SMART/Triru-contig_460-SMART.txt","H15")</f>
        <v>H15</v>
      </c>
      <c r="BS208" t="str">
        <f>HYPERLINK("http://smart.embl-heidelberg.de/smart/do_annotation.pl?DOMAIN=H15&amp;BLAST=DUMMY","0.15")</f>
        <v>0.15</v>
      </c>
      <c r="BT208" s="1" t="str">
        <f>HYPERLINK("http://exon.niaid.nih.gov/transcriptome/T_rubida/S1/links/PRK/Triru-contig_460-PRK.txt","60S ribosomal protein L31")</f>
        <v>60S ribosomal protein L31</v>
      </c>
      <c r="BU208" s="2">
        <v>4.0000000000000002E-9</v>
      </c>
      <c r="BV208" s="1" t="s">
        <v>57</v>
      </c>
      <c r="BW208" t="s">
        <v>57</v>
      </c>
      <c r="BX208" s="1" t="s">
        <v>57</v>
      </c>
      <c r="BY208" t="s">
        <v>57</v>
      </c>
    </row>
    <row r="209" spans="1:77">
      <c r="A209" t="str">
        <f>HYPERLINK("http://exon.niaid.nih.gov/transcriptome/T_rubida/S1/links/Triru/Triru-contig_226.txt","Triru-contig_226")</f>
        <v>Triru-contig_226</v>
      </c>
      <c r="B209">
        <v>1</v>
      </c>
      <c r="C209" t="str">
        <f>HYPERLINK("http://exon.niaid.nih.gov/transcriptome/T_rubida/S1/links/Triru/Triru-5-48-asb-226.txt","Contig-226")</f>
        <v>Contig-226</v>
      </c>
      <c r="D209" t="str">
        <f>HYPERLINK("http://exon.niaid.nih.gov/transcriptome/T_rubida/S1/links/Triru/Triru-5-48-226-CLU.txt","Contig226")</f>
        <v>Contig226</v>
      </c>
      <c r="E209" t="str">
        <f>HYPERLINK("http://exon.niaid.nih.gov/transcriptome/T_rubida/S1/links/Triru/Triru-5-48-226-qual.txt","47.6")</f>
        <v>47.6</v>
      </c>
      <c r="F209" t="s">
        <v>10</v>
      </c>
      <c r="G209">
        <v>70.900000000000006</v>
      </c>
      <c r="H209">
        <v>160</v>
      </c>
      <c r="I209" t="s">
        <v>238</v>
      </c>
      <c r="J209">
        <v>160</v>
      </c>
      <c r="K209">
        <v>179</v>
      </c>
      <c r="L209">
        <v>120</v>
      </c>
      <c r="M209" t="s">
        <v>5232</v>
      </c>
      <c r="N209" s="15">
        <v>3</v>
      </c>
      <c r="Q209" s="5" t="s">
        <v>4898</v>
      </c>
      <c r="R209" t="s">
        <v>4820</v>
      </c>
      <c r="S209" t="str">
        <f>HYPERLINK("http://exon.niaid.nih.gov/transcriptome/T_rubida/S1/links/KOG/Triru-contig_226-KOG.txt","KOG")</f>
        <v>KOG</v>
      </c>
      <c r="T209" s="23">
        <v>6E-11</v>
      </c>
      <c r="U209">
        <v>31.7</v>
      </c>
      <c r="V209" s="1" t="str">
        <f>HYPERLINK("http://exon.niaid.nih.gov/transcriptome/T_rubida/S1/links/NR/Triru-contig_226-NR.txt","ribosomal protein L35e")</f>
        <v>ribosomal protein L35e</v>
      </c>
      <c r="W209" t="str">
        <f>HYPERLINK("http://www.ncbi.nlm.nih.gov/sutils/blink.cgi?pid=70909863","2E-010")</f>
        <v>2E-010</v>
      </c>
      <c r="X209" t="str">
        <f>HYPERLINK("http://www.ncbi.nlm.nih.gov/protein/70909863","gi|70909863")</f>
        <v>gi|70909863</v>
      </c>
      <c r="Y209">
        <v>68.900000000000006</v>
      </c>
      <c r="Z209">
        <v>37</v>
      </c>
      <c r="AA209">
        <v>123</v>
      </c>
      <c r="AB209">
        <v>84</v>
      </c>
      <c r="AC209">
        <v>31</v>
      </c>
      <c r="AD209">
        <v>6</v>
      </c>
      <c r="AE209">
        <v>0</v>
      </c>
      <c r="AF209">
        <v>86</v>
      </c>
      <c r="AG209">
        <v>9</v>
      </c>
      <c r="AH209">
        <v>1</v>
      </c>
      <c r="AI209">
        <v>3</v>
      </c>
      <c r="AJ209" t="s">
        <v>11</v>
      </c>
      <c r="AL209" t="s">
        <v>2029</v>
      </c>
      <c r="AM209" t="s">
        <v>2030</v>
      </c>
      <c r="AN209" t="s">
        <v>2031</v>
      </c>
      <c r="AO209" s="1" t="str">
        <f>HYPERLINK("http://exon.niaid.nih.gov/transcriptome/T_rubida/S1/links/SWISSP/Triru-contig_226-SWISSP.txt","60S ribosomal protein L35")</f>
        <v>60S ribosomal protein L35</v>
      </c>
      <c r="AP209" t="str">
        <f>HYPERLINK("http://www.uniprot.org/uniprot/P17078","6E-008")</f>
        <v>6E-008</v>
      </c>
      <c r="AQ209" t="s">
        <v>2032</v>
      </c>
      <c r="AR209">
        <v>56.2</v>
      </c>
      <c r="AS209">
        <v>37</v>
      </c>
      <c r="AT209">
        <v>68</v>
      </c>
      <c r="AU209">
        <v>31</v>
      </c>
      <c r="AV209">
        <v>12</v>
      </c>
      <c r="AW209">
        <v>0</v>
      </c>
      <c r="AX209">
        <v>86</v>
      </c>
      <c r="AY209">
        <v>9</v>
      </c>
      <c r="AZ209">
        <v>1</v>
      </c>
      <c r="BA209">
        <v>3</v>
      </c>
      <c r="BB209" t="s">
        <v>11</v>
      </c>
      <c r="BD209" t="s">
        <v>704</v>
      </c>
      <c r="BE209" t="s">
        <v>1164</v>
      </c>
      <c r="BF209" t="s">
        <v>2033</v>
      </c>
      <c r="BG209" t="s">
        <v>2034</v>
      </c>
      <c r="BH209" s="1" t="s">
        <v>2035</v>
      </c>
      <c r="BI209">
        <f>HYPERLINK("http://exon.niaid.nih.gov/transcriptome/T_rubida/S1/links/GO/Triru-contig_226-GO.txt",0.00000004)</f>
        <v>4.0000000000000001E-8</v>
      </c>
      <c r="BJ209" s="1" t="str">
        <f>HYPERLINK("http://exon.niaid.nih.gov/transcriptome/T_rubida/S1/links/CDD/Triru-contig_226-CDD.txt","CENP-M")</f>
        <v>CENP-M</v>
      </c>
      <c r="BK209" t="str">
        <f>HYPERLINK("http://www.ncbi.nlm.nih.gov/Structure/cdd/cddsrv.cgi?uid=pfam11111&amp;version=v4.0","0.63")</f>
        <v>0.63</v>
      </c>
      <c r="BL209" t="s">
        <v>2036</v>
      </c>
      <c r="BM209" s="1" t="str">
        <f>HYPERLINK("http://exon.niaid.nih.gov/transcriptome/T_rubida/S1/links/KOG/Triru-contig_226-KOG.txt","60S ribosomal protein L35")</f>
        <v>60S ribosomal protein L35</v>
      </c>
      <c r="BN209" t="str">
        <f>HYPERLINK("http://www.ncbi.nlm.nih.gov/COG/grace/shokog.cgi?KOG3436","6E-011")</f>
        <v>6E-011</v>
      </c>
      <c r="BO209" t="s">
        <v>1185</v>
      </c>
      <c r="BP209" s="1" t="str">
        <f>HYPERLINK("http://exon.niaid.nih.gov/transcriptome/T_rubida/S1/links/PFAM/Triru-contig_226-PFAM.txt","CENP-M")</f>
        <v>CENP-M</v>
      </c>
      <c r="BQ209" t="str">
        <f>HYPERLINK("http://pfam.sanger.ac.uk/family?acc=PF11111","0.14")</f>
        <v>0.14</v>
      </c>
      <c r="BR209" s="1" t="str">
        <f>HYPERLINK("http://exon.niaid.nih.gov/transcriptome/T_rubida/S1/links/SMART/Triru-contig_226-SMART.txt","FRI")</f>
        <v>FRI</v>
      </c>
      <c r="BS209" t="str">
        <f>HYPERLINK("http://smart.embl-heidelberg.de/smart/do_annotation.pl?DOMAIN=FRI&amp;BLAST=DUMMY","0.18")</f>
        <v>0.18</v>
      </c>
      <c r="BT209" s="1" t="str">
        <f>HYPERLINK("http://exon.niaid.nih.gov/transcriptome/T_rubida/S1/links/PRK/Triru-contig_226-PRK.txt","NADH dehydrogenase subunit 4")</f>
        <v>NADH dehydrogenase subunit 4</v>
      </c>
      <c r="BU209">
        <v>0.35</v>
      </c>
      <c r="BV209" s="1" t="s">
        <v>57</v>
      </c>
      <c r="BW209" t="s">
        <v>57</v>
      </c>
      <c r="BX209" s="1" t="s">
        <v>57</v>
      </c>
      <c r="BY209" t="s">
        <v>57</v>
      </c>
    </row>
    <row r="210" spans="1:77">
      <c r="A210" t="str">
        <f>HYPERLINK("http://exon.niaid.nih.gov/transcriptome/T_rubida/S1/links/Triru/Triru-contig_259.txt","Triru-contig_259")</f>
        <v>Triru-contig_259</v>
      </c>
      <c r="B210">
        <v>1</v>
      </c>
      <c r="C210" t="str">
        <f>HYPERLINK("http://exon.niaid.nih.gov/transcriptome/T_rubida/S1/links/Triru/Triru-5-48-asb-259.txt","Contig-259")</f>
        <v>Contig-259</v>
      </c>
      <c r="D210" t="str">
        <f>HYPERLINK("http://exon.niaid.nih.gov/transcriptome/T_rubida/S1/links/Triru/Triru-5-48-259-CLU.txt","Contig259")</f>
        <v>Contig259</v>
      </c>
      <c r="E210" t="str">
        <f>HYPERLINK("http://exon.niaid.nih.gov/transcriptome/T_rubida/S1/links/Triru/Triru-5-48-259-qual.txt","63.9")</f>
        <v>63.9</v>
      </c>
      <c r="F210" t="s">
        <v>10</v>
      </c>
      <c r="G210">
        <v>58.6</v>
      </c>
      <c r="H210">
        <v>438</v>
      </c>
      <c r="I210" t="s">
        <v>271</v>
      </c>
      <c r="J210">
        <v>438</v>
      </c>
      <c r="K210">
        <v>457</v>
      </c>
      <c r="L210">
        <v>402</v>
      </c>
      <c r="M210" t="s">
        <v>5233</v>
      </c>
      <c r="N210" s="15">
        <v>2</v>
      </c>
      <c r="O210" s="14" t="str">
        <f>HYPERLINK("http://exon.niaid.nih.gov/transcriptome/T_rubida/S1/links/Sigp/TRIRU-CONTIG_259-SigP.txt","Cyt")</f>
        <v>Cyt</v>
      </c>
      <c r="Q210" s="5" t="s">
        <v>4906</v>
      </c>
      <c r="R210" t="s">
        <v>4820</v>
      </c>
      <c r="S210" t="str">
        <f>HYPERLINK("http://exon.niaid.nih.gov/transcriptome/T_rubida/S1/links/NR/Triru-contig_259-NR.txt","NR")</f>
        <v>NR</v>
      </c>
      <c r="T210" s="23">
        <v>1E-56</v>
      </c>
      <c r="U210">
        <v>49.6</v>
      </c>
      <c r="V210" s="1" t="str">
        <f>HYPERLINK("http://exon.niaid.nih.gov/transcriptome/T_rubida/S1/links/NR/Triru-contig_259-NR.txt","60S ribosomal protein L7A")</f>
        <v>60S ribosomal protein L7A</v>
      </c>
      <c r="W210" t="str">
        <f>HYPERLINK("http://www.ncbi.nlm.nih.gov/sutils/blink.cgi?pid=263173277","1E-056")</f>
        <v>1E-056</v>
      </c>
      <c r="X210" t="str">
        <f>HYPERLINK("http://www.ncbi.nlm.nih.gov/protein/263173277","gi|263173277")</f>
        <v>gi|263173277</v>
      </c>
      <c r="Y210">
        <v>222</v>
      </c>
      <c r="Z210">
        <v>131</v>
      </c>
      <c r="AA210">
        <v>266</v>
      </c>
      <c r="AB210">
        <v>82</v>
      </c>
      <c r="AC210">
        <v>50</v>
      </c>
      <c r="AD210">
        <v>23</v>
      </c>
      <c r="AE210">
        <v>0</v>
      </c>
      <c r="AF210">
        <v>135</v>
      </c>
      <c r="AG210">
        <v>8</v>
      </c>
      <c r="AH210">
        <v>1</v>
      </c>
      <c r="AI210">
        <v>2</v>
      </c>
      <c r="AJ210" t="s">
        <v>11</v>
      </c>
      <c r="AL210" t="s">
        <v>1294</v>
      </c>
      <c r="AM210" t="s">
        <v>2221</v>
      </c>
      <c r="AN210" t="s">
        <v>2145</v>
      </c>
      <c r="AO210" s="1" t="str">
        <f>HYPERLINK("http://exon.niaid.nih.gov/transcriptome/T_rubida/S1/links/SWISSP/Triru-contig_259-SWISSP.txt","60S ribosomal protein L7a")</f>
        <v>60S ribosomal protein L7a</v>
      </c>
      <c r="AP210" t="str">
        <f>HYPERLINK("http://www.uniprot.org/uniprot/Q90YW2","1E-055")</f>
        <v>1E-055</v>
      </c>
      <c r="AQ210" t="s">
        <v>2222</v>
      </c>
      <c r="AR210">
        <v>215</v>
      </c>
      <c r="AS210">
        <v>131</v>
      </c>
      <c r="AT210">
        <v>79</v>
      </c>
      <c r="AU210">
        <v>50</v>
      </c>
      <c r="AV210">
        <v>27</v>
      </c>
      <c r="AW210">
        <v>0</v>
      </c>
      <c r="AX210">
        <v>135</v>
      </c>
      <c r="AY210">
        <v>8</v>
      </c>
      <c r="AZ210">
        <v>1</v>
      </c>
      <c r="BA210">
        <v>2</v>
      </c>
      <c r="BB210" t="s">
        <v>11</v>
      </c>
      <c r="BD210" t="s">
        <v>704</v>
      </c>
      <c r="BE210" t="s">
        <v>2223</v>
      </c>
      <c r="BF210" t="s">
        <v>2224</v>
      </c>
      <c r="BG210" t="s">
        <v>2225</v>
      </c>
      <c r="BH210" s="1" t="s">
        <v>2226</v>
      </c>
      <c r="BI210">
        <f>HYPERLINK("http://exon.niaid.nih.gov/transcriptome/T_rubida/S1/links/GO/Triru-contig_259-GO.txt",7E-55)</f>
        <v>7.0000000000000005E-55</v>
      </c>
      <c r="BJ210" s="1" t="str">
        <f>HYPERLINK("http://exon.niaid.nih.gov/transcriptome/T_rubida/S1/links/CDD/Triru-contig_259-CDD.txt","PTZ00365")</f>
        <v>PTZ00365</v>
      </c>
      <c r="BK210" t="str">
        <f>HYPERLINK("http://www.ncbi.nlm.nih.gov/Structure/cdd/cddsrv.cgi?uid=PTZ00365&amp;version=v4.0","1E-041")</f>
        <v>1E-041</v>
      </c>
      <c r="BL210" t="s">
        <v>2227</v>
      </c>
      <c r="BM210" s="1" t="str">
        <f>HYPERLINK("http://exon.niaid.nih.gov/transcriptome/T_rubida/S1/links/KOG/Triru-contig_259-KOG.txt","60S ribosomal protein L7A")</f>
        <v>60S ribosomal protein L7A</v>
      </c>
      <c r="BN210" t="str">
        <f>HYPERLINK("http://www.ncbi.nlm.nih.gov/COG/grace/shokog.cgi?KOG3166","2E-034")</f>
        <v>2E-034</v>
      </c>
      <c r="BO210" t="s">
        <v>1185</v>
      </c>
      <c r="BP210" s="1" t="str">
        <f>HYPERLINK("http://exon.niaid.nih.gov/transcriptome/T_rubida/S1/links/PFAM/Triru-contig_259-PFAM.txt","Ribosomal_L7Ae")</f>
        <v>Ribosomal_L7Ae</v>
      </c>
      <c r="BQ210" t="str">
        <f>HYPERLINK("http://pfam.sanger.ac.uk/family?acc=PF01248","5E-023")</f>
        <v>5E-023</v>
      </c>
      <c r="BR210" s="1" t="str">
        <f>HYPERLINK("http://exon.niaid.nih.gov/transcriptome/T_rubida/S1/links/SMART/Triru-contig_259-SMART.txt","Elp3")</f>
        <v>Elp3</v>
      </c>
      <c r="BS210" t="str">
        <f>HYPERLINK("http://smart.embl-heidelberg.de/smart/do_annotation.pl?DOMAIN=Elp3&amp;BLAST=DUMMY","0.092")</f>
        <v>0.092</v>
      </c>
      <c r="BT210" s="1" t="str">
        <f>HYPERLINK("http://exon.niaid.nih.gov/transcriptome/T_rubida/S1/links/PRK/Triru-contig_259-PRK.txt","60S ribosomal protein L7Ae-like")</f>
        <v>60S ribosomal protein L7Ae-like</v>
      </c>
      <c r="BU210" s="2">
        <v>5E-42</v>
      </c>
      <c r="BV210" s="1" t="s">
        <v>57</v>
      </c>
      <c r="BW210" t="s">
        <v>57</v>
      </c>
      <c r="BX210" s="1" t="s">
        <v>57</v>
      </c>
      <c r="BY210" t="s">
        <v>57</v>
      </c>
    </row>
    <row r="211" spans="1:77">
      <c r="A211" t="str">
        <f>HYPERLINK("http://exon.niaid.nih.gov/transcriptome/T_rubida/S1/links/Triru/Triru-contig_274.txt","Triru-contig_274")</f>
        <v>Triru-contig_274</v>
      </c>
      <c r="B211">
        <v>1</v>
      </c>
      <c r="C211" t="str">
        <f>HYPERLINK("http://exon.niaid.nih.gov/transcriptome/T_rubida/S1/links/Triru/Triru-5-48-asb-274.txt","Contig-274")</f>
        <v>Contig-274</v>
      </c>
      <c r="D211" t="str">
        <f>HYPERLINK("http://exon.niaid.nih.gov/transcriptome/T_rubida/S1/links/Triru/Triru-5-48-274-CLU.txt","Contig274")</f>
        <v>Contig274</v>
      </c>
      <c r="E211" t="str">
        <f>HYPERLINK("http://exon.niaid.nih.gov/transcriptome/T_rubida/S1/links/Triru/Triru-5-48-274-qual.txt","62.8")</f>
        <v>62.8</v>
      </c>
      <c r="F211" t="s">
        <v>10</v>
      </c>
      <c r="G211">
        <v>58.1</v>
      </c>
      <c r="H211">
        <v>692</v>
      </c>
      <c r="I211" t="s">
        <v>286</v>
      </c>
      <c r="J211">
        <v>692</v>
      </c>
      <c r="K211">
        <v>711</v>
      </c>
      <c r="L211">
        <v>306</v>
      </c>
      <c r="M211" t="s">
        <v>5234</v>
      </c>
      <c r="N211" s="15">
        <v>3</v>
      </c>
      <c r="O211" s="14" t="str">
        <f>HYPERLINK("http://exon.niaid.nih.gov/transcriptome/T_rubida/S1/links/Sigp/TRIRU-CONTIG_274-SigP.txt","Cyt")</f>
        <v>Cyt</v>
      </c>
      <c r="Q211" s="5" t="s">
        <v>4909</v>
      </c>
      <c r="R211" t="s">
        <v>4820</v>
      </c>
      <c r="S211" t="str">
        <f>HYPERLINK("http://exon.niaid.nih.gov/transcriptome/T_rubida/S1/links/RRNA/Triru-contig_274-RRNA.txt","RRNA")</f>
        <v>RRNA</v>
      </c>
      <c r="T211" s="23">
        <v>3E-98</v>
      </c>
      <c r="U211">
        <v>14.4</v>
      </c>
      <c r="V211" s="1" t="str">
        <f>HYPERLINK("http://exon.niaid.nih.gov/transcriptome/T_rubida/S1/links/NR/Triru-contig_274-NR.txt","Ac1147-like protein")</f>
        <v>Ac1147-like protein</v>
      </c>
      <c r="W211" t="str">
        <f>HYPERLINK("http://www.ncbi.nlm.nih.gov/sutils/blink.cgi?pid=110456474","3E-030")</f>
        <v>3E-030</v>
      </c>
      <c r="X211" t="str">
        <f>HYPERLINK("http://www.ncbi.nlm.nih.gov/protein/110456474","gi|110456474")</f>
        <v>gi|110456474</v>
      </c>
      <c r="Y211">
        <v>115</v>
      </c>
      <c r="Z211">
        <v>87</v>
      </c>
      <c r="AA211">
        <v>118</v>
      </c>
      <c r="AB211">
        <v>78</v>
      </c>
      <c r="AC211">
        <v>75</v>
      </c>
      <c r="AD211">
        <v>16</v>
      </c>
      <c r="AE211">
        <v>0</v>
      </c>
      <c r="AF211">
        <v>11</v>
      </c>
      <c r="AG211">
        <v>23</v>
      </c>
      <c r="AH211">
        <v>2</v>
      </c>
      <c r="AI211">
        <v>3</v>
      </c>
      <c r="AJ211" t="s">
        <v>888</v>
      </c>
      <c r="AK211">
        <v>1.149</v>
      </c>
      <c r="AL211" t="s">
        <v>1334</v>
      </c>
      <c r="AM211" t="s">
        <v>2326</v>
      </c>
      <c r="AN211" t="s">
        <v>2327</v>
      </c>
      <c r="AO211" s="1" t="str">
        <f>HYPERLINK("http://exon.niaid.nih.gov/transcriptome/T_rubida/S1/links/SWISSP/Triru-contig_274-SWISSP.txt","Rho guanine nucleotide exchange factor gef3")</f>
        <v>Rho guanine nucleotide exchange factor gef3</v>
      </c>
      <c r="AP211" t="str">
        <f>HYPERLINK("http://www.uniprot.org/uniprot/O59679","4.2")</f>
        <v>4.2</v>
      </c>
      <c r="AQ211" t="s">
        <v>2328</v>
      </c>
      <c r="AR211">
        <v>32</v>
      </c>
      <c r="AS211">
        <v>40</v>
      </c>
      <c r="AT211">
        <v>36</v>
      </c>
      <c r="AU211">
        <v>8</v>
      </c>
      <c r="AV211">
        <v>26</v>
      </c>
      <c r="AW211">
        <v>2</v>
      </c>
      <c r="AX211">
        <v>91</v>
      </c>
      <c r="AY211">
        <v>231</v>
      </c>
      <c r="AZ211">
        <v>1</v>
      </c>
      <c r="BA211">
        <v>3</v>
      </c>
      <c r="BB211" t="s">
        <v>11</v>
      </c>
      <c r="BD211" t="s">
        <v>704</v>
      </c>
      <c r="BE211" t="s">
        <v>950</v>
      </c>
      <c r="BF211" t="s">
        <v>2329</v>
      </c>
      <c r="BG211" t="s">
        <v>2330</v>
      </c>
      <c r="BH211" s="1" t="s">
        <v>2331</v>
      </c>
      <c r="BI211">
        <f>HYPERLINK("http://exon.niaid.nih.gov/transcriptome/T_rubida/S1/links/GO/Triru-contig_274-GO.txt",2E-21)</f>
        <v>1.9999999999999998E-21</v>
      </c>
      <c r="BJ211" s="1" t="str">
        <f>HYPERLINK("http://exon.niaid.nih.gov/transcriptome/T_rubida/S1/links/CDD/Triru-contig_274-CDD.txt","PRK08517")</f>
        <v>PRK08517</v>
      </c>
      <c r="BK211" t="str">
        <f>HYPERLINK("http://www.ncbi.nlm.nih.gov/Structure/cdd/cddsrv.cgi?uid=PRK08517&amp;version=v4.0","2.9")</f>
        <v>2.9</v>
      </c>
      <c r="BL211" t="s">
        <v>2332</v>
      </c>
      <c r="BM211" s="1" t="str">
        <f>HYPERLINK("http://exon.niaid.nih.gov/transcriptome/T_rubida/S1/links/KOG/Triru-contig_274-KOG.txt","Metalloprotease")</f>
        <v>Metalloprotease</v>
      </c>
      <c r="BN211" t="str">
        <f>HYPERLINK("http://www.ncbi.nlm.nih.gov/COG/grace/shokog.cgi?KOG2719","0.28")</f>
        <v>0.28</v>
      </c>
      <c r="BO211" t="s">
        <v>750</v>
      </c>
      <c r="BP211" s="1" t="str">
        <f>HYPERLINK("http://exon.niaid.nih.gov/transcriptome/T_rubida/S1/links/PFAM/Triru-contig_274-PFAM.txt","Rep_1")</f>
        <v>Rep_1</v>
      </c>
      <c r="BQ211" t="str">
        <f>HYPERLINK("http://pfam.sanger.ac.uk/family?acc=PF01446","0.76")</f>
        <v>0.76</v>
      </c>
      <c r="BR211" s="1" t="str">
        <f>HYPERLINK("http://exon.niaid.nih.gov/transcriptome/T_rubida/S1/links/SMART/Triru-contig_274-SMART.txt","DSPc")</f>
        <v>DSPc</v>
      </c>
      <c r="BS211" t="str">
        <f>HYPERLINK("http://smart.embl-heidelberg.de/smart/do_annotation.pl?DOMAIN=DSPc&amp;BLAST=DUMMY","0.050")</f>
        <v>0.050</v>
      </c>
      <c r="BT211" s="1" t="str">
        <f>HYPERLINK("http://exon.niaid.nih.gov/transcriptome/T_rubida/S1/links/PRK/Triru-contig_274-PRK.txt","DNA polymerase III subunit epsilon")</f>
        <v>DNA polymerase III subunit epsilon</v>
      </c>
      <c r="BU211">
        <v>1.3</v>
      </c>
      <c r="BV211" s="1" t="s">
        <v>57</v>
      </c>
      <c r="BW211" t="s">
        <v>57</v>
      </c>
      <c r="BX211" s="1" t="str">
        <f>HYPERLINK("http://exon.niaid.nih.gov/transcriptome/T_rubida/S1/links/RRNA/Triru-contig_274-RRNA.txt","Berndtia purpurea 18S ribosomal RNA (18S rRNA)")</f>
        <v>Berndtia purpurea 18S ribosomal RNA (18S rRNA)</v>
      </c>
      <c r="BY211" t="str">
        <f>HYPERLINK("http://www.ncbi.nlm.nih.gov/entrez/viewer.fcgi?db=nucleotide&amp;val=603438","3E-098")</f>
        <v>3E-098</v>
      </c>
    </row>
    <row r="212" spans="1:77">
      <c r="A212" t="str">
        <f>HYPERLINK("http://exon.niaid.nih.gov/transcriptome/T_rubida/S1/links/Triru/Triru-contig_400.txt","Triru-contig_400")</f>
        <v>Triru-contig_400</v>
      </c>
      <c r="B212">
        <v>1</v>
      </c>
      <c r="C212" t="str">
        <f>HYPERLINK("http://exon.niaid.nih.gov/transcriptome/T_rubida/S1/links/Triru/Triru-5-48-asb-400.txt","Contig-400")</f>
        <v>Contig-400</v>
      </c>
      <c r="D212" t="str">
        <f>HYPERLINK("http://exon.niaid.nih.gov/transcriptome/T_rubida/S1/links/Triru/Triru-5-48-400-CLU.txt","Contig400")</f>
        <v>Contig400</v>
      </c>
      <c r="E212" t="str">
        <f>HYPERLINK("http://exon.niaid.nih.gov/transcriptome/T_rubida/S1/links/Triru/Triru-5-48-400-qual.txt","62.6")</f>
        <v>62.6</v>
      </c>
      <c r="F212">
        <v>0.2</v>
      </c>
      <c r="G212">
        <v>64.3</v>
      </c>
      <c r="H212">
        <v>616</v>
      </c>
      <c r="I212" t="s">
        <v>412</v>
      </c>
      <c r="J212">
        <v>616</v>
      </c>
      <c r="K212">
        <v>635</v>
      </c>
      <c r="L212">
        <v>216</v>
      </c>
      <c r="M212" t="s">
        <v>5235</v>
      </c>
      <c r="N212" s="15">
        <v>2</v>
      </c>
      <c r="O212" s="14" t="str">
        <f>HYPERLINK("http://exon.niaid.nih.gov/transcriptome/T_rubida/S1/links/Sigp/TRIRU-CONTIG_400-SigP.txt","Cyt")</f>
        <v>Cyt</v>
      </c>
      <c r="Q212" s="5" t="s">
        <v>4945</v>
      </c>
      <c r="R212" t="s">
        <v>4820</v>
      </c>
      <c r="S212" t="str">
        <f>HYPERLINK("http://exon.niaid.nih.gov/transcriptome/T_rubida/S1/links/NR/Triru-contig_400-NR.txt","NR")</f>
        <v>NR</v>
      </c>
      <c r="T212" s="23">
        <v>4.9999999999999999E-29</v>
      </c>
      <c r="U212">
        <v>14.2</v>
      </c>
      <c r="V212" s="1" t="str">
        <f>HYPERLINK("http://exon.niaid.nih.gov/transcriptome/T_rubida/S1/links/NR/Triru-contig_400-NR.txt","putative elongation factor 1-alpha")</f>
        <v>putative elongation factor 1-alpha</v>
      </c>
      <c r="W212" t="str">
        <f>HYPERLINK("http://www.ncbi.nlm.nih.gov/sutils/blink.cgi?pid=307095102","5E-029")</f>
        <v>5E-029</v>
      </c>
      <c r="X212" t="str">
        <f>HYPERLINK("http://www.ncbi.nlm.nih.gov/protein/307095102","gi|307095102")</f>
        <v>gi|307095102</v>
      </c>
      <c r="Y212">
        <v>132</v>
      </c>
      <c r="Z212">
        <v>65</v>
      </c>
      <c r="AA212">
        <v>462</v>
      </c>
      <c r="AB212">
        <v>100</v>
      </c>
      <c r="AC212">
        <v>14</v>
      </c>
      <c r="AD212">
        <v>0</v>
      </c>
      <c r="AE212">
        <v>0</v>
      </c>
      <c r="AF212">
        <v>397</v>
      </c>
      <c r="AG212">
        <v>20</v>
      </c>
      <c r="AH212">
        <v>1</v>
      </c>
      <c r="AI212">
        <v>2</v>
      </c>
      <c r="AJ212" t="s">
        <v>11</v>
      </c>
      <c r="AL212" t="s">
        <v>1121</v>
      </c>
      <c r="AM212" t="s">
        <v>3193</v>
      </c>
      <c r="AN212" t="s">
        <v>3194</v>
      </c>
      <c r="AO212" s="1" t="str">
        <f>HYPERLINK("http://exon.niaid.nih.gov/transcriptome/T_rubida/S1/links/SWISSP/Triru-contig_400-SWISSP.txt","Elongation factor 1-alpha 2")</f>
        <v>Elongation factor 1-alpha 2</v>
      </c>
      <c r="AP212" t="str">
        <f>HYPERLINK("http://www.uniprot.org/uniprot/P05303","2E-025")</f>
        <v>2E-025</v>
      </c>
      <c r="AQ212" t="s">
        <v>2941</v>
      </c>
      <c r="AR212">
        <v>115</v>
      </c>
      <c r="AS212">
        <v>65</v>
      </c>
      <c r="AT212">
        <v>87</v>
      </c>
      <c r="AU212">
        <v>14</v>
      </c>
      <c r="AV212">
        <v>8</v>
      </c>
      <c r="AW212">
        <v>0</v>
      </c>
      <c r="AX212">
        <v>397</v>
      </c>
      <c r="AY212">
        <v>20</v>
      </c>
      <c r="AZ212">
        <v>1</v>
      </c>
      <c r="BA212">
        <v>2</v>
      </c>
      <c r="BB212" t="s">
        <v>11</v>
      </c>
      <c r="BD212" t="s">
        <v>704</v>
      </c>
      <c r="BE212" t="s">
        <v>1125</v>
      </c>
      <c r="BF212" t="s">
        <v>3195</v>
      </c>
      <c r="BG212" t="s">
        <v>3196</v>
      </c>
      <c r="BH212" s="1" t="s">
        <v>2944</v>
      </c>
      <c r="BI212">
        <f>HYPERLINK("http://exon.niaid.nih.gov/transcriptome/T_rubida/S1/links/GO/Triru-contig_400-GO.txt",1E-25)</f>
        <v>1E-25</v>
      </c>
      <c r="BJ212" s="1" t="str">
        <f>HYPERLINK("http://exon.niaid.nih.gov/transcriptome/T_rubida/S1/links/CDD/Triru-contig_400-CDD.txt","PTZ00141")</f>
        <v>PTZ00141</v>
      </c>
      <c r="BK212" t="str">
        <f>HYPERLINK("http://www.ncbi.nlm.nih.gov/Structure/cdd/cddsrv.cgi?uid=PTZ00141&amp;version=v4.0","2E-026")</f>
        <v>2E-026</v>
      </c>
      <c r="BL212" t="s">
        <v>3197</v>
      </c>
      <c r="BM212" s="1" t="str">
        <f>HYPERLINK("http://exon.niaid.nih.gov/transcriptome/T_rubida/S1/links/KOG/Triru-contig_400-KOG.txt","Translation elongation factor EF-1 alpha/Tu")</f>
        <v>Translation elongation factor EF-1 alpha/Tu</v>
      </c>
      <c r="BN212" t="str">
        <f>HYPERLINK("http://www.ncbi.nlm.nih.gov/COG/grace/shokog.cgi?KOG0052","2E-021")</f>
        <v>2E-021</v>
      </c>
      <c r="BO212" t="s">
        <v>1185</v>
      </c>
      <c r="BP212" s="1" t="str">
        <f>HYPERLINK("http://exon.niaid.nih.gov/transcriptome/T_rubida/S1/links/PFAM/Triru-contig_400-PFAM.txt","GTP_EFTU_D3")</f>
        <v>GTP_EFTU_D3</v>
      </c>
      <c r="BQ212" t="str">
        <f>HYPERLINK("http://pfam.sanger.ac.uk/family?acc=PF03143","4E-014")</f>
        <v>4E-014</v>
      </c>
      <c r="BR212" s="1" t="str">
        <f>HYPERLINK("http://exon.niaid.nih.gov/transcriptome/T_rubida/S1/links/SMART/Triru-contig_400-SMART.txt","Tubulin_C")</f>
        <v>Tubulin_C</v>
      </c>
      <c r="BS212" t="str">
        <f>HYPERLINK("http://smart.embl-heidelberg.de/smart/do_annotation.pl?DOMAIN=Tubulin_C&amp;BLAST=DUMMY","0.21")</f>
        <v>0.21</v>
      </c>
      <c r="BT212" s="1" t="str">
        <f>HYPERLINK("http://exon.niaid.nih.gov/transcriptome/T_rubida/S1/links/PRK/Triru-contig_400-PRK.txt","elongation factor 1- alpha")</f>
        <v>elongation factor 1- alpha</v>
      </c>
      <c r="BU212" s="2">
        <v>8.0000000000000003E-27</v>
      </c>
      <c r="BV212" s="1" t="s">
        <v>57</v>
      </c>
      <c r="BW212" t="s">
        <v>57</v>
      </c>
      <c r="BX212" s="1" t="s">
        <v>57</v>
      </c>
      <c r="BY212" t="s">
        <v>57</v>
      </c>
    </row>
    <row r="213" spans="1:77">
      <c r="A213" t="str">
        <f>HYPERLINK("http://exon.niaid.nih.gov/transcriptome/T_rubida/S1/links/Triru/Triru-contig_364.txt","Triru-contig_364")</f>
        <v>Triru-contig_364</v>
      </c>
      <c r="B213">
        <v>1</v>
      </c>
      <c r="C213" t="str">
        <f>HYPERLINK("http://exon.niaid.nih.gov/transcriptome/T_rubida/S1/links/Triru/Triru-5-48-asb-364.txt","Contig-364")</f>
        <v>Contig-364</v>
      </c>
      <c r="D213" t="str">
        <f>HYPERLINK("http://exon.niaid.nih.gov/transcriptome/T_rubida/S1/links/Triru/Triru-5-48-364-CLU.txt","Contig364")</f>
        <v>Contig364</v>
      </c>
      <c r="E213" t="str">
        <f>HYPERLINK("http://exon.niaid.nih.gov/transcriptome/T_rubida/S1/links/Triru/Triru-5-48-364-qual.txt","57.7")</f>
        <v>57.7</v>
      </c>
      <c r="F213" t="s">
        <v>10</v>
      </c>
      <c r="G213">
        <v>67.2</v>
      </c>
      <c r="H213">
        <v>502</v>
      </c>
      <c r="I213" t="s">
        <v>376</v>
      </c>
      <c r="J213">
        <v>502</v>
      </c>
      <c r="K213">
        <v>521</v>
      </c>
      <c r="L213">
        <v>228</v>
      </c>
      <c r="M213" t="s">
        <v>5236</v>
      </c>
      <c r="N213" s="15">
        <v>2</v>
      </c>
      <c r="O213" s="14" t="str">
        <f>HYPERLINK("http://exon.niaid.nih.gov/transcriptome/T_rubida/S1/links/Sigp/TRIRU-CONTIG_364-SigP.txt","Cyt")</f>
        <v>Cyt</v>
      </c>
      <c r="Q213" s="5" t="s">
        <v>4945</v>
      </c>
      <c r="R213" t="s">
        <v>4820</v>
      </c>
      <c r="S213" t="str">
        <f>HYPERLINK("http://exon.niaid.nih.gov/transcriptome/T_rubida/S1/links/NR/Triru-contig_364-NR.txt","NR")</f>
        <v>NR</v>
      </c>
      <c r="T213" s="23">
        <v>7.0000000000000005E-8</v>
      </c>
      <c r="U213">
        <v>6.9</v>
      </c>
      <c r="V213" s="1" t="str">
        <f>HYPERLINK("http://exon.niaid.nih.gov/transcriptome/T_rubida/S1/links/NR/Triru-contig_364-NR.txt","putative elongation factor 1-alpha")</f>
        <v>putative elongation factor 1-alpha</v>
      </c>
      <c r="W213" t="str">
        <f>HYPERLINK("http://www.ncbi.nlm.nih.gov/sutils/blink.cgi?pid=307095102","7E-008")</f>
        <v>7E-008</v>
      </c>
      <c r="X213" t="str">
        <f>HYPERLINK("http://www.ncbi.nlm.nih.gov/protein/307095102","gi|307095102")</f>
        <v>gi|307095102</v>
      </c>
      <c r="Y213">
        <v>60.8</v>
      </c>
      <c r="Z213">
        <v>31</v>
      </c>
      <c r="AA213">
        <v>462</v>
      </c>
      <c r="AB213">
        <v>96</v>
      </c>
      <c r="AC213">
        <v>7</v>
      </c>
      <c r="AD213">
        <v>1</v>
      </c>
      <c r="AE213">
        <v>0</v>
      </c>
      <c r="AF213">
        <v>431</v>
      </c>
      <c r="AG213">
        <v>6</v>
      </c>
      <c r="AH213">
        <v>1</v>
      </c>
      <c r="AI213">
        <v>3</v>
      </c>
      <c r="AJ213" t="s">
        <v>11</v>
      </c>
      <c r="AL213" t="s">
        <v>1121</v>
      </c>
      <c r="AM213" t="s">
        <v>2939</v>
      </c>
      <c r="AN213" t="s">
        <v>2940</v>
      </c>
      <c r="AO213" s="1" t="str">
        <f>HYPERLINK("http://exon.niaid.nih.gov/transcriptome/T_rubida/S1/links/SWISSP/Triru-contig_364-SWISSP.txt","Elongation factor 1-alpha 2")</f>
        <v>Elongation factor 1-alpha 2</v>
      </c>
      <c r="AP213" t="str">
        <f>HYPERLINK("http://www.uniprot.org/uniprot/P05303","5E-006")</f>
        <v>5E-006</v>
      </c>
      <c r="AQ213" t="s">
        <v>2941</v>
      </c>
      <c r="AR213">
        <v>50.8</v>
      </c>
      <c r="AS213">
        <v>31</v>
      </c>
      <c r="AT213">
        <v>81</v>
      </c>
      <c r="AU213">
        <v>7</v>
      </c>
      <c r="AV213">
        <v>6</v>
      </c>
      <c r="AW213">
        <v>0</v>
      </c>
      <c r="AX213">
        <v>431</v>
      </c>
      <c r="AY213">
        <v>6</v>
      </c>
      <c r="AZ213">
        <v>1</v>
      </c>
      <c r="BA213">
        <v>3</v>
      </c>
      <c r="BB213" t="s">
        <v>11</v>
      </c>
      <c r="BD213" t="s">
        <v>704</v>
      </c>
      <c r="BE213" t="s">
        <v>1125</v>
      </c>
      <c r="BF213" t="s">
        <v>2942</v>
      </c>
      <c r="BG213" t="s">
        <v>2943</v>
      </c>
      <c r="BH213" s="1" t="s">
        <v>2944</v>
      </c>
      <c r="BI213">
        <f>HYPERLINK("http://exon.niaid.nih.gov/transcriptome/T_rubida/S1/links/GO/Triru-contig_364-GO.txt",0.000004)</f>
        <v>3.9999999999999998E-6</v>
      </c>
      <c r="BJ213" s="1" t="str">
        <f>HYPERLINK("http://exon.niaid.nih.gov/transcriptome/T_rubida/S1/links/CDD/Triru-contig_364-CDD.txt","PTZ00141")</f>
        <v>PTZ00141</v>
      </c>
      <c r="BK213" t="str">
        <f>HYPERLINK("http://www.ncbi.nlm.nih.gov/Structure/cdd/cddsrv.cgi?uid=PTZ00141&amp;version=v4.0","5E-004")</f>
        <v>5E-004</v>
      </c>
      <c r="BL213" t="s">
        <v>2945</v>
      </c>
      <c r="BM213" s="1" t="str">
        <f>HYPERLINK("http://exon.niaid.nih.gov/transcriptome/T_rubida/S1/links/KOG/Triru-contig_364-KOG.txt","Translation elongation factor EF-1 alpha/Tu")</f>
        <v>Translation elongation factor EF-1 alpha/Tu</v>
      </c>
      <c r="BN213" t="str">
        <f>HYPERLINK("http://www.ncbi.nlm.nih.gov/COG/grace/shokog.cgi?KOG0052","2E-004")</f>
        <v>2E-004</v>
      </c>
      <c r="BO213" t="s">
        <v>1185</v>
      </c>
      <c r="BP213" s="1" t="str">
        <f>HYPERLINK("http://exon.niaid.nih.gov/transcriptome/T_rubida/S1/links/PFAM/Triru-contig_364-PFAM.txt","7TM_GPCR_Srz")</f>
        <v>7TM_GPCR_Srz</v>
      </c>
      <c r="BQ213" t="str">
        <f>HYPERLINK("http://pfam.sanger.ac.uk/family?acc=PF10325","0.005")</f>
        <v>0.005</v>
      </c>
      <c r="BR213" s="1" t="str">
        <f>HYPERLINK("http://exon.niaid.nih.gov/transcriptome/T_rubida/S1/links/SMART/Triru-contig_364-SMART.txt","SprT")</f>
        <v>SprT</v>
      </c>
      <c r="BS213" t="str">
        <f>HYPERLINK("http://smart.embl-heidelberg.de/smart/do_annotation.pl?DOMAIN=SprT&amp;BLAST=DUMMY","0.13")</f>
        <v>0.13</v>
      </c>
      <c r="BT213" s="1" t="str">
        <f>HYPERLINK("http://exon.niaid.nih.gov/transcriptome/T_rubida/S1/links/PRK/Triru-contig_364-PRK.txt","elongation factor 1- alpha")</f>
        <v>elongation factor 1- alpha</v>
      </c>
      <c r="BU213" s="2">
        <v>2.0000000000000001E-4</v>
      </c>
      <c r="BV213" s="1" t="s">
        <v>57</v>
      </c>
      <c r="BW213" t="s">
        <v>57</v>
      </c>
      <c r="BX213" s="1" t="s">
        <v>57</v>
      </c>
      <c r="BY213" t="s">
        <v>57</v>
      </c>
    </row>
    <row r="214" spans="1:77">
      <c r="A214" t="str">
        <f>HYPERLINK("http://exon.niaid.nih.gov/transcriptome/T_rubida/S1/links/Triru/Triru-contig_137.txt","Triru-contig_137")</f>
        <v>Triru-contig_137</v>
      </c>
      <c r="B214">
        <v>2</v>
      </c>
      <c r="C214" t="str">
        <f>HYPERLINK("http://exon.niaid.nih.gov/transcriptome/T_rubida/S1/links/Triru/Triru-5-48-asb-137.txt","Contig-137")</f>
        <v>Contig-137</v>
      </c>
      <c r="D214" t="str">
        <f>HYPERLINK("http://exon.niaid.nih.gov/transcriptome/T_rubida/S1/links/Triru/Triru-5-48-137-CLU.txt","Contig137")</f>
        <v>Contig137</v>
      </c>
      <c r="E214" t="str">
        <f>HYPERLINK("http://exon.niaid.nih.gov/transcriptome/T_rubida/S1/links/Triru/Triru-5-48-137-qual.txt","84.4")</f>
        <v>84.4</v>
      </c>
      <c r="F214" t="s">
        <v>10</v>
      </c>
      <c r="G214">
        <v>63.7</v>
      </c>
      <c r="H214">
        <v>402</v>
      </c>
      <c r="I214" t="s">
        <v>149</v>
      </c>
      <c r="J214">
        <v>402</v>
      </c>
      <c r="K214">
        <v>421</v>
      </c>
      <c r="L214">
        <v>240</v>
      </c>
      <c r="M214" t="s">
        <v>5237</v>
      </c>
      <c r="N214" s="15">
        <v>2</v>
      </c>
      <c r="O214" s="14" t="str">
        <f>HYPERLINK("http://exon.niaid.nih.gov/transcriptome/T_rubida/S1/links/Sigp/TRIRU-CONTIG_137-SigP.txt","Cyt")</f>
        <v>Cyt</v>
      </c>
      <c r="Q214" s="5" t="s">
        <v>4879</v>
      </c>
      <c r="R214" t="s">
        <v>4820</v>
      </c>
      <c r="S214" t="str">
        <f>HYPERLINK("http://exon.niaid.nih.gov/transcriptome/T_rubida/S1/links/KOG/Triru-contig_137-KOG.txt","KOG")</f>
        <v>KOG</v>
      </c>
      <c r="T214" s="23">
        <v>6.9999999999999995E-51</v>
      </c>
      <c r="U214">
        <v>13</v>
      </c>
      <c r="V214" s="1" t="str">
        <f>HYPERLINK("http://exon.niaid.nih.gov/transcriptome/T_rubida/S1/links/NR/Triru-contig_137-NR.txt","hypothetical protein CaO19.11932")</f>
        <v>hypothetical protein CaO19.11932</v>
      </c>
      <c r="W214" t="str">
        <f>HYPERLINK("http://www.ncbi.nlm.nih.gov/sutils/blink.cgi?pid=68484016","0.001")</f>
        <v>0.001</v>
      </c>
      <c r="X214" t="str">
        <f>HYPERLINK("http://www.ncbi.nlm.nih.gov/protein/68484016","gi|68484016")</f>
        <v>gi|68484016</v>
      </c>
      <c r="Y214">
        <v>47</v>
      </c>
      <c r="Z214">
        <v>78</v>
      </c>
      <c r="AA214">
        <v>107</v>
      </c>
      <c r="AB214">
        <v>39</v>
      </c>
      <c r="AC214">
        <v>74</v>
      </c>
      <c r="AD214">
        <v>52</v>
      </c>
      <c r="AE214">
        <v>0</v>
      </c>
      <c r="AF214">
        <v>4</v>
      </c>
      <c r="AG214">
        <v>95</v>
      </c>
      <c r="AH214">
        <v>1</v>
      </c>
      <c r="AI214">
        <v>2</v>
      </c>
      <c r="AJ214" t="s">
        <v>11</v>
      </c>
      <c r="AK214">
        <v>2.5640000000000001</v>
      </c>
      <c r="AL214" t="s">
        <v>1514</v>
      </c>
      <c r="AM214" t="s">
        <v>1515</v>
      </c>
      <c r="AN214" t="s">
        <v>1516</v>
      </c>
      <c r="AO214" s="1" t="str">
        <f>HYPERLINK("http://exon.niaid.nih.gov/transcriptome/T_rubida/S1/links/SWISSP/Triru-contig_137-SWISSP.txt","Tonsoku-like protein")</f>
        <v>Tonsoku-like protein</v>
      </c>
      <c r="AP214" t="str">
        <f>HYPERLINK("http://www.uniprot.org/uniprot/D4A615","1.2")</f>
        <v>1.2</v>
      </c>
      <c r="AQ214" t="s">
        <v>1517</v>
      </c>
      <c r="AR214">
        <v>32</v>
      </c>
      <c r="AS214">
        <v>24</v>
      </c>
      <c r="AT214">
        <v>52</v>
      </c>
      <c r="AU214">
        <v>2</v>
      </c>
      <c r="AV214">
        <v>12</v>
      </c>
      <c r="AW214">
        <v>1</v>
      </c>
      <c r="AX214">
        <v>561</v>
      </c>
      <c r="AY214">
        <v>229</v>
      </c>
      <c r="AZ214">
        <v>1</v>
      </c>
      <c r="BA214">
        <v>1</v>
      </c>
      <c r="BB214" t="s">
        <v>11</v>
      </c>
      <c r="BD214" t="s">
        <v>704</v>
      </c>
      <c r="BE214" t="s">
        <v>1164</v>
      </c>
      <c r="BF214" t="s">
        <v>1518</v>
      </c>
      <c r="BG214" t="s">
        <v>1519</v>
      </c>
      <c r="BH214" s="1" t="s">
        <v>57</v>
      </c>
      <c r="BI214" t="s">
        <v>57</v>
      </c>
      <c r="BJ214" s="1" t="str">
        <f>HYPERLINK("http://exon.niaid.nih.gov/transcriptome/T_rubida/S1/links/CDD/Triru-contig_137-CDD.txt","PTZ00416")</f>
        <v>PTZ00416</v>
      </c>
      <c r="BK214" t="str">
        <f>HYPERLINK("http://www.ncbi.nlm.nih.gov/Structure/cdd/cddsrv.cgi?uid=PTZ00416&amp;version=v4.0","9E-049")</f>
        <v>9E-049</v>
      </c>
      <c r="BL214" t="s">
        <v>1520</v>
      </c>
      <c r="BM214" s="1" t="str">
        <f>HYPERLINK("http://exon.niaid.nih.gov/transcriptome/T_rubida/S1/links/KOG/Triru-contig_137-KOG.txt","Elongation factor 2")</f>
        <v>Elongation factor 2</v>
      </c>
      <c r="BN214" t="str">
        <f>HYPERLINK("http://www.ncbi.nlm.nih.gov/COG/grace/shokog.cgi?KOG0469","7E-051")</f>
        <v>7E-051</v>
      </c>
      <c r="BO214" t="s">
        <v>1185</v>
      </c>
      <c r="BP214" s="1" t="str">
        <f>HYPERLINK("http://exon.niaid.nih.gov/transcriptome/T_rubida/S1/links/PFAM/Triru-contig_137-PFAM.txt","GTP_EFTU")</f>
        <v>GTP_EFTU</v>
      </c>
      <c r="BQ214" t="str">
        <f>HYPERLINK("http://pfam.sanger.ac.uk/family?acc=PF00009","2E-019")</f>
        <v>2E-019</v>
      </c>
      <c r="BR214" s="1" t="str">
        <f>HYPERLINK("http://exon.niaid.nih.gov/transcriptome/T_rubida/S1/links/SMART/Triru-contig_137-SMART.txt","SO")</f>
        <v>SO</v>
      </c>
      <c r="BS214" t="str">
        <f>HYPERLINK("http://smart.embl-heidelberg.de/smart/do_annotation.pl?DOMAIN=SO&amp;BLAST=DUMMY","0.13")</f>
        <v>0.13</v>
      </c>
      <c r="BT214" s="1" t="str">
        <f>HYPERLINK("http://exon.niaid.nih.gov/transcriptome/T_rubida/S1/links/PRK/Triru-contig_137-PRK.txt","elongation factor 2")</f>
        <v>elongation factor 2</v>
      </c>
      <c r="BU214" s="2">
        <v>3.9999999999999997E-49</v>
      </c>
      <c r="BV214" s="1" t="s">
        <v>57</v>
      </c>
      <c r="BW214" t="s">
        <v>57</v>
      </c>
      <c r="BX214" s="1" t="s">
        <v>57</v>
      </c>
      <c r="BY214" t="s">
        <v>57</v>
      </c>
    </row>
    <row r="215" spans="1:77">
      <c r="A215" t="str">
        <f>HYPERLINK("http://exon.niaid.nih.gov/transcriptome/T_rubida/S1/links/Triru/Triru-contig_495.txt","Triru-contig_495")</f>
        <v>Triru-contig_495</v>
      </c>
      <c r="B215">
        <v>1</v>
      </c>
      <c r="C215" t="str">
        <f>HYPERLINK("http://exon.niaid.nih.gov/transcriptome/T_rubida/S1/links/Triru/Triru-5-48-asb-495.txt","Contig-495")</f>
        <v>Contig-495</v>
      </c>
      <c r="D215" t="str">
        <f>HYPERLINK("http://exon.niaid.nih.gov/transcriptome/T_rubida/S1/links/Triru/Triru-5-48-495-CLU.txt","Contig495")</f>
        <v>Contig495</v>
      </c>
      <c r="E215" t="str">
        <f>HYPERLINK("http://exon.niaid.nih.gov/transcriptome/T_rubida/S1/links/Triru/Triru-5-48-495-qual.txt","39.6")</f>
        <v>39.6</v>
      </c>
      <c r="F215" t="s">
        <v>10</v>
      </c>
      <c r="G215">
        <v>64.2</v>
      </c>
      <c r="H215">
        <v>741</v>
      </c>
      <c r="I215" t="s">
        <v>507</v>
      </c>
      <c r="J215">
        <v>741</v>
      </c>
      <c r="K215">
        <v>760</v>
      </c>
      <c r="L215">
        <v>462</v>
      </c>
      <c r="M215" t="s">
        <v>5238</v>
      </c>
      <c r="N215" s="15">
        <v>2</v>
      </c>
      <c r="O215" s="14" t="str">
        <f>HYPERLINK("http://exon.niaid.nih.gov/transcriptome/T_rubida/S1/links/Sigp/TRIRU-CONTIG_495-SigP.txt","Cyt")</f>
        <v>Cyt</v>
      </c>
      <c r="Q215" s="5" t="s">
        <v>4879</v>
      </c>
      <c r="R215" t="s">
        <v>4820</v>
      </c>
      <c r="S215" t="str">
        <f>HYPERLINK("http://exon.niaid.nih.gov/transcriptome/T_rubida/S1/links/KOG/Triru-contig_495-KOG.txt","KOG")</f>
        <v>KOG</v>
      </c>
      <c r="T215" s="23">
        <v>6E-79</v>
      </c>
      <c r="U215">
        <v>17.899999999999999</v>
      </c>
      <c r="V215" s="1" t="str">
        <f>HYPERLINK("http://exon.niaid.nih.gov/transcriptome/T_rubida/S1/links/NR/Triru-contig_495-NR.txt","putative translation elongation factor 2")</f>
        <v>putative translation elongation factor 2</v>
      </c>
      <c r="W215" t="str">
        <f>HYPERLINK("http://www.ncbi.nlm.nih.gov/sutils/blink.cgi?pid=124487958","3E-080")</f>
        <v>3E-080</v>
      </c>
      <c r="X215" t="str">
        <f>HYPERLINK("http://www.ncbi.nlm.nih.gov/protein/124487958","gi|124487958")</f>
        <v>gi|124487958</v>
      </c>
      <c r="Y215">
        <v>302</v>
      </c>
      <c r="Z215">
        <v>150</v>
      </c>
      <c r="AA215">
        <v>464</v>
      </c>
      <c r="AB215">
        <v>93</v>
      </c>
      <c r="AC215">
        <v>33</v>
      </c>
      <c r="AD215">
        <v>10</v>
      </c>
      <c r="AE215">
        <v>0</v>
      </c>
      <c r="AF215">
        <v>314</v>
      </c>
      <c r="AG215">
        <v>11</v>
      </c>
      <c r="AH215">
        <v>1</v>
      </c>
      <c r="AI215">
        <v>2</v>
      </c>
      <c r="AJ215" t="s">
        <v>11</v>
      </c>
      <c r="AL215" t="s">
        <v>1811</v>
      </c>
      <c r="AM215" t="s">
        <v>3833</v>
      </c>
      <c r="AN215" t="s">
        <v>3834</v>
      </c>
      <c r="AO215" s="1" t="str">
        <f>HYPERLINK("http://exon.niaid.nih.gov/transcriptome/T_rubida/S1/links/SWISSP/Triru-contig_495-SWISSP.txt","Translation elongation factor 2")</f>
        <v>Translation elongation factor 2</v>
      </c>
      <c r="AP215" t="str">
        <f>HYPERLINK("http://www.uniprot.org/uniprot/Q1HPK6","8E-080")</f>
        <v>8E-080</v>
      </c>
      <c r="AQ215" t="s">
        <v>3835</v>
      </c>
      <c r="AR215">
        <v>296</v>
      </c>
      <c r="AS215">
        <v>150</v>
      </c>
      <c r="AT215">
        <v>90</v>
      </c>
      <c r="AU215">
        <v>18</v>
      </c>
      <c r="AV215">
        <v>14</v>
      </c>
      <c r="AW215">
        <v>0</v>
      </c>
      <c r="AX215">
        <v>694</v>
      </c>
      <c r="AY215">
        <v>11</v>
      </c>
      <c r="AZ215">
        <v>1</v>
      </c>
      <c r="BA215">
        <v>2</v>
      </c>
      <c r="BB215" t="s">
        <v>11</v>
      </c>
      <c r="BD215" t="s">
        <v>704</v>
      </c>
      <c r="BE215" t="s">
        <v>1289</v>
      </c>
      <c r="BF215" t="s">
        <v>3836</v>
      </c>
      <c r="BG215" t="s">
        <v>3837</v>
      </c>
      <c r="BH215" s="1" t="s">
        <v>3838</v>
      </c>
      <c r="BI215">
        <f>HYPERLINK("http://exon.niaid.nih.gov/transcriptome/T_rubida/S1/links/GO/Triru-contig_495-GO.txt",6E-80)</f>
        <v>6.0000000000000001E-80</v>
      </c>
      <c r="BJ215" s="1" t="str">
        <f>HYPERLINK("http://exon.niaid.nih.gov/transcriptome/T_rubida/S1/links/CDD/Triru-contig_495-CDD.txt","PTZ00416")</f>
        <v>PTZ00416</v>
      </c>
      <c r="BK215" t="str">
        <f>HYPERLINK("http://www.ncbi.nlm.nih.gov/Structure/cdd/cddsrv.cgi?uid=PTZ00416&amp;version=v4.0","7E-080")</f>
        <v>7E-080</v>
      </c>
      <c r="BL215" t="s">
        <v>3839</v>
      </c>
      <c r="BM215" s="1" t="str">
        <f>HYPERLINK("http://exon.niaid.nih.gov/transcriptome/T_rubida/S1/links/KOG/Triru-contig_495-KOG.txt","Elongation factor 2")</f>
        <v>Elongation factor 2</v>
      </c>
      <c r="BN215" t="str">
        <f>HYPERLINK("http://www.ncbi.nlm.nih.gov/COG/grace/shokog.cgi?KOG0469","6E-079")</f>
        <v>6E-079</v>
      </c>
      <c r="BO215" t="s">
        <v>1185</v>
      </c>
      <c r="BP215" s="1" t="str">
        <f>HYPERLINK("http://exon.niaid.nih.gov/transcriptome/T_rubida/S1/links/PFAM/Triru-contig_495-PFAM.txt","EFG_C")</f>
        <v>EFG_C</v>
      </c>
      <c r="BQ215" t="str">
        <f>HYPERLINK("http://pfam.sanger.ac.uk/family?acc=PF00679","8E-025")</f>
        <v>8E-025</v>
      </c>
      <c r="BR215" s="1" t="str">
        <f>HYPERLINK("http://exon.niaid.nih.gov/transcriptome/T_rubida/S1/links/SMART/Triru-contig_495-SMART.txt","EFG_C")</f>
        <v>EFG_C</v>
      </c>
      <c r="BS215" t="str">
        <f>HYPERLINK("http://smart.embl-heidelberg.de/smart/do_annotation.pl?DOMAIN=EFG_C&amp;BLAST=DUMMY","2E-022")</f>
        <v>2E-022</v>
      </c>
      <c r="BT215" s="1" t="str">
        <f>HYPERLINK("http://exon.niaid.nih.gov/transcriptome/T_rubida/S1/links/PRK/Triru-contig_495-PRK.txt","elongation factor 2")</f>
        <v>elongation factor 2</v>
      </c>
      <c r="BU215" s="2">
        <v>3.0000000000000001E-80</v>
      </c>
      <c r="BV215" s="1" t="s">
        <v>57</v>
      </c>
      <c r="BW215" t="s">
        <v>57</v>
      </c>
      <c r="BX215" s="1" t="s">
        <v>57</v>
      </c>
      <c r="BY215" t="s">
        <v>57</v>
      </c>
    </row>
    <row r="216" spans="1:77">
      <c r="A216" t="str">
        <f>HYPERLINK("http://exon.niaid.nih.gov/transcriptome/T_rubida/S1/links/Triru/Triru-contig_29.txt","Triru-contig_29")</f>
        <v>Triru-contig_29</v>
      </c>
      <c r="B216">
        <v>121</v>
      </c>
      <c r="C216" t="str">
        <f>HYPERLINK("http://exon.niaid.nih.gov/transcriptome/T_rubida/S1/links/Triru/Triru-5-48-asb-29.txt","Contig-29")</f>
        <v>Contig-29</v>
      </c>
      <c r="D216" t="str">
        <f>HYPERLINK("http://exon.niaid.nih.gov/transcriptome/T_rubida/S1/links/Triru/Triru-5-48-29-CLU.txt","Contig29")</f>
        <v>Contig29</v>
      </c>
      <c r="E216" t="str">
        <f>HYPERLINK("http://exon.niaid.nih.gov/transcriptome/T_rubida/S1/links/Triru/Triru-5-48-29-qual.txt","93.")</f>
        <v>93.</v>
      </c>
      <c r="F216" t="s">
        <v>10</v>
      </c>
      <c r="G216">
        <v>69.400000000000006</v>
      </c>
      <c r="H216">
        <v>670</v>
      </c>
      <c r="I216" t="s">
        <v>40</v>
      </c>
      <c r="J216">
        <v>696</v>
      </c>
      <c r="K216">
        <v>705</v>
      </c>
      <c r="L216">
        <v>120</v>
      </c>
      <c r="M216" t="s">
        <v>5239</v>
      </c>
      <c r="N216" s="15">
        <v>1</v>
      </c>
      <c r="Q216" s="5" t="s">
        <v>4825</v>
      </c>
      <c r="R216" t="s">
        <v>4820</v>
      </c>
      <c r="S216" t="str">
        <f>HYPERLINK("http://exon.niaid.nih.gov/transcriptome/T_rubida/S1/links/RRNA/Triru-contig_29-RRNA.txt","RRNA")</f>
        <v>RRNA</v>
      </c>
      <c r="T216" s="23">
        <v>1E-35</v>
      </c>
      <c r="U216">
        <v>41.7</v>
      </c>
      <c r="V216" s="1" t="str">
        <f>HYPERLINK("http://exon.niaid.nih.gov/transcriptome/T_rubida/S1/links/NR/Triru-contig_29-NR.txt","hypothetical protein")</f>
        <v>hypothetical protein</v>
      </c>
      <c r="W216" t="str">
        <f>HYPERLINK("http://www.ncbi.nlm.nih.gov/sutils/blink.cgi?pid=133916482","3E-011")</f>
        <v>3E-011</v>
      </c>
      <c r="X216" t="str">
        <f>HYPERLINK("http://www.ncbi.nlm.nih.gov/protein/133916482","gi|133916482")</f>
        <v>gi|133916482</v>
      </c>
      <c r="Y216">
        <v>73.2</v>
      </c>
      <c r="Z216">
        <v>52</v>
      </c>
      <c r="AA216">
        <v>53</v>
      </c>
      <c r="AB216">
        <v>71</v>
      </c>
      <c r="AC216">
        <v>100</v>
      </c>
      <c r="AD216">
        <v>15</v>
      </c>
      <c r="AE216">
        <v>0</v>
      </c>
      <c r="AF216">
        <v>1</v>
      </c>
      <c r="AG216">
        <v>399</v>
      </c>
      <c r="AH216">
        <v>1</v>
      </c>
      <c r="AI216">
        <v>3</v>
      </c>
      <c r="AJ216" t="s">
        <v>11</v>
      </c>
      <c r="AK216">
        <v>3.8460000000000001</v>
      </c>
      <c r="AL216" t="s">
        <v>831</v>
      </c>
      <c r="AM216" t="s">
        <v>832</v>
      </c>
      <c r="AN216" t="s">
        <v>833</v>
      </c>
      <c r="AO216" s="1" t="str">
        <f>HYPERLINK("http://exon.niaid.nih.gov/transcriptome/T_rubida/S1/links/SWISSP/Triru-contig_29-SWISSP.txt","Proteasome subunit beta 2")</f>
        <v>Proteasome subunit beta 2</v>
      </c>
      <c r="AP216" t="str">
        <f>HYPERLINK("http://www.uniprot.org/uniprot/A1RTI7","46")</f>
        <v>46</v>
      </c>
      <c r="AQ216" t="s">
        <v>834</v>
      </c>
      <c r="AR216">
        <v>28.5</v>
      </c>
      <c r="AS216">
        <v>52</v>
      </c>
      <c r="AT216">
        <v>33</v>
      </c>
      <c r="AU216">
        <v>27</v>
      </c>
      <c r="AV216">
        <v>35</v>
      </c>
      <c r="AW216">
        <v>0</v>
      </c>
      <c r="AX216">
        <v>49</v>
      </c>
      <c r="AY216">
        <v>241</v>
      </c>
      <c r="AZ216">
        <v>1</v>
      </c>
      <c r="BA216">
        <v>1</v>
      </c>
      <c r="BB216" t="s">
        <v>11</v>
      </c>
      <c r="BC216">
        <v>9.6150000000000002</v>
      </c>
      <c r="BD216" t="s">
        <v>704</v>
      </c>
      <c r="BE216" t="s">
        <v>835</v>
      </c>
      <c r="BF216" t="s">
        <v>836</v>
      </c>
      <c r="BG216" t="s">
        <v>837</v>
      </c>
      <c r="BH216" s="1" t="s">
        <v>57</v>
      </c>
      <c r="BI216" t="s">
        <v>57</v>
      </c>
      <c r="BJ216" s="1" t="str">
        <f>HYPERLINK("http://exon.niaid.nih.gov/transcriptome/T_rubida/S1/links/CDD/Triru-contig_29-CDD.txt","Cw-hydrolase")</f>
        <v>Cw-hydrolase</v>
      </c>
      <c r="BK216" t="str">
        <f>HYPERLINK("http://www.ncbi.nlm.nih.gov/Structure/cdd/cddsrv.cgi?uid=pfam10695&amp;version=v4.0","0.74")</f>
        <v>0.74</v>
      </c>
      <c r="BL216" t="s">
        <v>838</v>
      </c>
      <c r="BM216" s="1" t="str">
        <f>HYPERLINK("http://exon.niaid.nih.gov/transcriptome/T_rubida/S1/links/KOG/Triru-contig_29-KOG.txt","Amino acid transporter protein")</f>
        <v>Amino acid transporter protein</v>
      </c>
      <c r="BN216" t="str">
        <f>HYPERLINK("http://www.ncbi.nlm.nih.gov/COG/grace/shokog.cgi?KOG1305","1.2")</f>
        <v>1.2</v>
      </c>
      <c r="BO216" t="s">
        <v>839</v>
      </c>
      <c r="BP216" s="1" t="str">
        <f>HYPERLINK("http://exon.niaid.nih.gov/transcriptome/T_rubida/S1/links/PFAM/Triru-contig_29-PFAM.txt","Cw-hydrolase")</f>
        <v>Cw-hydrolase</v>
      </c>
      <c r="BQ216" t="str">
        <f>HYPERLINK("http://pfam.sanger.ac.uk/family?acc=PF10695","0.15")</f>
        <v>0.15</v>
      </c>
      <c r="BR216" s="1" t="str">
        <f>HYPERLINK("http://exon.niaid.nih.gov/transcriptome/T_rubida/S1/links/SMART/Triru-contig_29-SMART.txt","COLFI")</f>
        <v>COLFI</v>
      </c>
      <c r="BS216" t="str">
        <f>HYPERLINK("http://smart.embl-heidelberg.de/smart/do_annotation.pl?DOMAIN=COLFI&amp;BLAST=DUMMY","0.73")</f>
        <v>0.73</v>
      </c>
      <c r="BT216" s="1" t="str">
        <f>HYPERLINK("http://exon.niaid.nih.gov/transcriptome/T_rubida/S1/links/PRK/Triru-contig_29-PRK.txt","NADH dehydrogenase subunit 2")</f>
        <v>NADH dehydrogenase subunit 2</v>
      </c>
      <c r="BU216">
        <v>2</v>
      </c>
      <c r="BV216" s="1" t="str">
        <f>HYPERLINK("http://exon.niaid.nih.gov/transcriptome/T_rubida/S1/links/MIT-PLA/Triru-contig_29-MIT-PLA.txt","Triatoma dimidiata mitochondrial DNA, complete genome")</f>
        <v>Triatoma dimidiata mitochondrial DNA, complete genome</v>
      </c>
      <c r="BW216" t="str">
        <f>HYPERLINK("http://www.ncbi.nlm.nih.gov/entrez/viewer.fcgi?db=nucleotide&amp;val=11139100","0.0")</f>
        <v>0.0</v>
      </c>
      <c r="BX216" s="1" t="str">
        <f>HYPERLINK("http://exon.niaid.nih.gov/transcriptome/T_rubida/S1/links/RRNA/Triru-contig_29-RRNA.txt","Eublaberus posticus mitochondrion 16S ribosomal RNA, partial sequence")</f>
        <v>Eublaberus posticus mitochondrion 16S ribosomal RNA, partial sequence</v>
      </c>
      <c r="BY216" t="str">
        <f>HYPERLINK("http://www.ncbi.nlm.nih.gov/entrez/viewer.fcgi?db=nucleotide&amp;val=623283","1E-035")</f>
        <v>1E-035</v>
      </c>
    </row>
    <row r="217" spans="1:77">
      <c r="A217" t="str">
        <f>HYPERLINK("http://exon.niaid.nih.gov/transcriptome/T_rubida/S1/links/Triru/Triru-contig_634.txt","Triru-contig_634")</f>
        <v>Triru-contig_634</v>
      </c>
      <c r="B217">
        <v>1</v>
      </c>
      <c r="C217" t="str">
        <f>HYPERLINK("http://exon.niaid.nih.gov/transcriptome/T_rubida/S1/links/Triru/Triru-5-48-asb-634.txt","Contig-634")</f>
        <v>Contig-634</v>
      </c>
      <c r="D217" t="str">
        <f>HYPERLINK("http://exon.niaid.nih.gov/transcriptome/T_rubida/S1/links/Triru/Triru-5-48-634-CLU.txt","Contig634")</f>
        <v>Contig634</v>
      </c>
      <c r="E217" t="str">
        <f>HYPERLINK("http://exon.niaid.nih.gov/transcriptome/T_rubida/S1/links/Triru/Triru-5-48-634-qual.txt","63.1")</f>
        <v>63.1</v>
      </c>
      <c r="F217" t="s">
        <v>10</v>
      </c>
      <c r="G217">
        <v>70.3</v>
      </c>
      <c r="H217">
        <v>325</v>
      </c>
      <c r="I217" t="s">
        <v>646</v>
      </c>
      <c r="J217">
        <v>325</v>
      </c>
      <c r="K217">
        <v>344</v>
      </c>
      <c r="L217">
        <v>162</v>
      </c>
      <c r="M217" t="s">
        <v>5240</v>
      </c>
      <c r="N217" s="15">
        <v>3</v>
      </c>
      <c r="Q217" s="5" t="s">
        <v>5027</v>
      </c>
      <c r="R217" t="s">
        <v>4820</v>
      </c>
      <c r="S217" t="str">
        <f>HYPERLINK("http://exon.niaid.nih.gov/transcriptome/T_rubida/S1/links/PFAM/Triru-contig_634-PFAM.txt","PFAM")</f>
        <v>PFAM</v>
      </c>
      <c r="T217" s="23">
        <v>2E-12</v>
      </c>
      <c r="U217">
        <v>44.8</v>
      </c>
      <c r="V217" s="1" t="str">
        <f>HYPERLINK("http://exon.niaid.nih.gov/transcriptome/T_rubida/S1/links/NR/Triru-contig_634-NR.txt","GI22004")</f>
        <v>GI22004</v>
      </c>
      <c r="W217" t="str">
        <f>HYPERLINK("http://www.ncbi.nlm.nih.gov/sutils/blink.cgi?pid=195113653","6E-009")</f>
        <v>6E-009</v>
      </c>
      <c r="X217" t="str">
        <f>HYPERLINK("http://www.ncbi.nlm.nih.gov/protein/195113653","gi|195113653")</f>
        <v>gi|195113653</v>
      </c>
      <c r="Y217">
        <v>64.3</v>
      </c>
      <c r="Z217">
        <v>52</v>
      </c>
      <c r="AA217">
        <v>107</v>
      </c>
      <c r="AB217">
        <v>60</v>
      </c>
      <c r="AC217">
        <v>50</v>
      </c>
      <c r="AD217">
        <v>21</v>
      </c>
      <c r="AE217">
        <v>0</v>
      </c>
      <c r="AF217">
        <v>54</v>
      </c>
      <c r="AG217">
        <v>18</v>
      </c>
      <c r="AH217">
        <v>1</v>
      </c>
      <c r="AI217">
        <v>3</v>
      </c>
      <c r="AJ217" t="s">
        <v>11</v>
      </c>
      <c r="AL217" t="s">
        <v>2442</v>
      </c>
      <c r="AM217" t="s">
        <v>4686</v>
      </c>
      <c r="AN217" t="s">
        <v>4687</v>
      </c>
      <c r="AO217" s="1" t="str">
        <f>HYPERLINK("http://exon.niaid.nih.gov/transcriptome/T_rubida/S1/links/SWISSP/Triru-contig_634-SWISSP.txt","39S ribosomal protein L55, mitochondrial")</f>
        <v>39S ribosomal protein L55, mitochondrial</v>
      </c>
      <c r="AP217" t="str">
        <f>HYPERLINK("http://www.uniprot.org/uniprot/Q9VE04","5E-010")</f>
        <v>5E-010</v>
      </c>
      <c r="AQ217" t="s">
        <v>4688</v>
      </c>
      <c r="AR217">
        <v>63.2</v>
      </c>
      <c r="AS217">
        <v>52</v>
      </c>
      <c r="AT217">
        <v>56</v>
      </c>
      <c r="AU217">
        <v>50</v>
      </c>
      <c r="AV217">
        <v>23</v>
      </c>
      <c r="AW217">
        <v>0</v>
      </c>
      <c r="AX217">
        <v>55</v>
      </c>
      <c r="AY217">
        <v>18</v>
      </c>
      <c r="AZ217">
        <v>1</v>
      </c>
      <c r="BA217">
        <v>3</v>
      </c>
      <c r="BB217" t="s">
        <v>11</v>
      </c>
      <c r="BD217" t="s">
        <v>704</v>
      </c>
      <c r="BE217" t="s">
        <v>1125</v>
      </c>
      <c r="BF217" t="s">
        <v>4689</v>
      </c>
      <c r="BG217" t="s">
        <v>4690</v>
      </c>
      <c r="BH217" s="1" t="s">
        <v>4691</v>
      </c>
      <c r="BI217">
        <f>HYPERLINK("http://exon.niaid.nih.gov/transcriptome/T_rubida/S1/links/GO/Triru-contig_634-GO.txt",0.0000000003)</f>
        <v>3E-10</v>
      </c>
      <c r="BJ217" s="1" t="str">
        <f>HYPERLINK("http://exon.niaid.nih.gov/transcriptome/T_rubida/S1/links/CDD/Triru-contig_634-CDD.txt","Mitoc_L55")</f>
        <v>Mitoc_L55</v>
      </c>
      <c r="BK217" t="str">
        <f>HYPERLINK("http://www.ncbi.nlm.nih.gov/Structure/cdd/cddsrv.cgi?uid=pfam09776&amp;version=v4.0","1E-011")</f>
        <v>1E-011</v>
      </c>
      <c r="BL217" t="s">
        <v>4692</v>
      </c>
      <c r="BM217" s="1" t="str">
        <f>HYPERLINK("http://exon.niaid.nih.gov/transcriptome/T_rubida/S1/links/KOG/Triru-contig_634-KOG.txt","Mitochondrial ribosomal protein L55")</f>
        <v>Mitochondrial ribosomal protein L55</v>
      </c>
      <c r="BN217" t="str">
        <f>HYPERLINK("http://www.ncbi.nlm.nih.gov/COG/grace/shokog.cgi?KOG4616","1E-010")</f>
        <v>1E-010</v>
      </c>
      <c r="BO217" t="s">
        <v>1185</v>
      </c>
      <c r="BP217" s="1" t="str">
        <f>HYPERLINK("http://exon.niaid.nih.gov/transcriptome/T_rubida/S1/links/PFAM/Triru-contig_634-PFAM.txt","Mitoc_L55")</f>
        <v>Mitoc_L55</v>
      </c>
      <c r="BQ217" t="str">
        <f>HYPERLINK("http://pfam.sanger.ac.uk/family?acc=PF09776","2E-012")</f>
        <v>2E-012</v>
      </c>
      <c r="BR217" s="1" t="str">
        <f>HYPERLINK("http://exon.niaid.nih.gov/transcriptome/T_rubida/S1/links/SMART/Triru-contig_634-SMART.txt","BROMO")</f>
        <v>BROMO</v>
      </c>
      <c r="BS217" t="str">
        <f>HYPERLINK("http://smart.embl-heidelberg.de/smart/do_annotation.pl?DOMAIN=BROMO&amp;BLAST=DUMMY","0.085")</f>
        <v>0.085</v>
      </c>
      <c r="BT217" s="1" t="str">
        <f>HYPERLINK("http://exon.niaid.nih.gov/transcriptome/T_rubida/S1/links/PRK/Triru-contig_634-PRK.txt","variable surface protein Vir27")</f>
        <v>variable surface protein Vir27</v>
      </c>
      <c r="BU217">
        <v>0.26</v>
      </c>
      <c r="BV217" s="1" t="s">
        <v>57</v>
      </c>
      <c r="BW217" t="s">
        <v>57</v>
      </c>
      <c r="BX217" s="1" t="s">
        <v>57</v>
      </c>
      <c r="BY217" t="s">
        <v>57</v>
      </c>
    </row>
    <row r="218" spans="1:77">
      <c r="A218" t="str">
        <f>HYPERLINK("http://exon.niaid.nih.gov/transcriptome/T_rubida/S1/links/Triru/Triru-contig_247.txt","Triru-contig_247")</f>
        <v>Triru-contig_247</v>
      </c>
      <c r="B218">
        <v>1</v>
      </c>
      <c r="C218" t="str">
        <f>HYPERLINK("http://exon.niaid.nih.gov/transcriptome/T_rubida/S1/links/Triru/Triru-5-48-asb-247.txt","Contig-247")</f>
        <v>Contig-247</v>
      </c>
      <c r="D218" t="str">
        <f>HYPERLINK("http://exon.niaid.nih.gov/transcriptome/T_rubida/S1/links/Triru/Triru-5-48-247-CLU.txt","Contig247")</f>
        <v>Contig247</v>
      </c>
      <c r="E218" t="str">
        <f>HYPERLINK("http://exon.niaid.nih.gov/transcriptome/T_rubida/S1/links/Triru/Triru-5-48-247-qual.txt","51.9")</f>
        <v>51.9</v>
      </c>
      <c r="F218">
        <v>1.3</v>
      </c>
      <c r="G218">
        <v>66.3</v>
      </c>
      <c r="H218">
        <v>141</v>
      </c>
      <c r="I218" t="s">
        <v>259</v>
      </c>
      <c r="J218">
        <v>141</v>
      </c>
      <c r="K218">
        <v>160</v>
      </c>
      <c r="L218">
        <v>117</v>
      </c>
      <c r="M218" t="s">
        <v>5241</v>
      </c>
      <c r="N218" s="15">
        <v>2</v>
      </c>
      <c r="Q218" s="5" t="s">
        <v>4905</v>
      </c>
      <c r="R218" t="s">
        <v>4820</v>
      </c>
      <c r="S218" t="str">
        <f>HYPERLINK("http://exon.niaid.nih.gov/transcriptome/T_rubida/S1/links/KOG/Triru-contig_247-KOG.txt","KOG")</f>
        <v>KOG</v>
      </c>
      <c r="T218" s="23">
        <v>6E-11</v>
      </c>
      <c r="U218">
        <v>6</v>
      </c>
      <c r="V218" s="1" t="str">
        <f>HYPERLINK("http://exon.niaid.nih.gov/transcriptome/T_rubida/S1/links/NR/Triru-contig_247-NR.txt","phenylalanyl-tRNA synthetase, beta subunit")</f>
        <v>phenylalanyl-tRNA synthetase, beta subunit</v>
      </c>
      <c r="W218" t="str">
        <f>HYPERLINK("http://www.ncbi.nlm.nih.gov/sutils/blink.cgi?pid=148226986","4E-007")</f>
        <v>4E-007</v>
      </c>
      <c r="X218" t="str">
        <f>HYPERLINK("http://www.ncbi.nlm.nih.gov/protein/148226986","gi|148226986")</f>
        <v>gi|148226986</v>
      </c>
      <c r="Y218">
        <v>58.2</v>
      </c>
      <c r="Z218">
        <v>34</v>
      </c>
      <c r="AA218">
        <v>588</v>
      </c>
      <c r="AB218">
        <v>68</v>
      </c>
      <c r="AC218">
        <v>6</v>
      </c>
      <c r="AD218">
        <v>11</v>
      </c>
      <c r="AE218">
        <v>0</v>
      </c>
      <c r="AF218">
        <v>554</v>
      </c>
      <c r="AG218">
        <v>14</v>
      </c>
      <c r="AH218">
        <v>1</v>
      </c>
      <c r="AI218">
        <v>2</v>
      </c>
      <c r="AJ218" t="s">
        <v>11</v>
      </c>
      <c r="AL218" t="s">
        <v>2158</v>
      </c>
      <c r="AM218" t="s">
        <v>2159</v>
      </c>
      <c r="AN218" t="s">
        <v>2160</v>
      </c>
      <c r="AO218" s="1" t="str">
        <f>HYPERLINK("http://exon.niaid.nih.gov/transcriptome/T_rubida/S1/links/SWISSP/Triru-contig_247-SWISSP.txt","Phenylalanyl-tRNA synthetase beta chain")</f>
        <v>Phenylalanyl-tRNA synthetase beta chain</v>
      </c>
      <c r="AP218" t="str">
        <f>HYPERLINK("http://www.uniprot.org/uniprot/Q9WUA2","2E-008")</f>
        <v>2E-008</v>
      </c>
      <c r="AQ218" t="s">
        <v>2161</v>
      </c>
      <c r="AR218">
        <v>57.8</v>
      </c>
      <c r="AS218">
        <v>35</v>
      </c>
      <c r="AT218">
        <v>66</v>
      </c>
      <c r="AU218">
        <v>6</v>
      </c>
      <c r="AV218">
        <v>12</v>
      </c>
      <c r="AW218">
        <v>0</v>
      </c>
      <c r="AX218">
        <v>554</v>
      </c>
      <c r="AY218">
        <v>11</v>
      </c>
      <c r="AZ218">
        <v>1</v>
      </c>
      <c r="BA218">
        <v>2</v>
      </c>
      <c r="BB218" t="s">
        <v>11</v>
      </c>
      <c r="BD218" t="s">
        <v>704</v>
      </c>
      <c r="BE218" t="s">
        <v>807</v>
      </c>
      <c r="BF218" t="s">
        <v>2162</v>
      </c>
      <c r="BG218" t="s">
        <v>2163</v>
      </c>
      <c r="BH218" s="1" t="s">
        <v>2164</v>
      </c>
      <c r="BI218">
        <f>HYPERLINK("http://exon.niaid.nih.gov/transcriptome/T_rubida/S1/links/GO/Triru-contig_247-GO.txt",0.00000001)</f>
        <v>1E-8</v>
      </c>
      <c r="BJ218" s="1" t="str">
        <f>HYPERLINK("http://exon.niaid.nih.gov/transcriptome/T_rubida/S1/links/CDD/Triru-contig_247-CDD.txt","PLN02265")</f>
        <v>PLN02265</v>
      </c>
      <c r="BK218" t="str">
        <f>HYPERLINK("http://www.ncbi.nlm.nih.gov/Structure/cdd/cddsrv.cgi?uid=PLN02265&amp;version=v4.0","2E-010")</f>
        <v>2E-010</v>
      </c>
      <c r="BL218" t="s">
        <v>2165</v>
      </c>
      <c r="BM218" s="1" t="str">
        <f>HYPERLINK("http://exon.niaid.nih.gov/transcriptome/T_rubida/S1/links/KOG/Triru-contig_247-KOG.txt","Phenylalanyl-tRNA synthetase beta subunit")</f>
        <v>Phenylalanyl-tRNA synthetase beta subunit</v>
      </c>
      <c r="BN218" t="str">
        <f>HYPERLINK("http://www.ncbi.nlm.nih.gov/COG/grace/shokog.cgi?KOG2472","6E-011")</f>
        <v>6E-011</v>
      </c>
      <c r="BO218" t="s">
        <v>1185</v>
      </c>
      <c r="BP218" s="1" t="str">
        <f>HYPERLINK("http://exon.niaid.nih.gov/transcriptome/T_rubida/S1/links/PFAM/Triru-contig_247-PFAM.txt","Cyto_ox_2")</f>
        <v>Cyto_ox_2</v>
      </c>
      <c r="BQ218" t="str">
        <f>HYPERLINK("http://pfam.sanger.ac.uk/family?acc=PF02322","0.35")</f>
        <v>0.35</v>
      </c>
      <c r="BR218" s="1" t="str">
        <f>HYPERLINK("http://exon.niaid.nih.gov/transcriptome/T_rubida/S1/links/SMART/Triru-contig_247-SMART.txt","Glyco_18")</f>
        <v>Glyco_18</v>
      </c>
      <c r="BS218" t="str">
        <f>HYPERLINK("http://smart.embl-heidelberg.de/smart/do_annotation.pl?DOMAIN=Glyco_18&amp;BLAST=DUMMY","1.6")</f>
        <v>1.6</v>
      </c>
      <c r="BT218" s="1" t="str">
        <f>HYPERLINK("http://exon.niaid.nih.gov/transcriptome/T_rubida/S1/links/PRK/Triru-contig_247-PRK.txt","probable phenylalanyl-tRNA synthetase beta chain.")</f>
        <v>probable phenylalanyl-tRNA synthetase beta chain.</v>
      </c>
      <c r="BU218" s="2">
        <v>7.0000000000000004E-11</v>
      </c>
      <c r="BV218" s="1" t="s">
        <v>57</v>
      </c>
      <c r="BW218" t="s">
        <v>57</v>
      </c>
      <c r="BX218" s="1" t="s">
        <v>57</v>
      </c>
      <c r="BY218" t="s">
        <v>57</v>
      </c>
    </row>
    <row r="219" spans="1:77">
      <c r="A219" t="str">
        <f>HYPERLINK("http://exon.niaid.nih.gov/transcriptome/T_rubida/S1/links/Triru/Triru-contig_339.txt","Triru-contig_339")</f>
        <v>Triru-contig_339</v>
      </c>
      <c r="B219">
        <v>1</v>
      </c>
      <c r="C219" t="str">
        <f>HYPERLINK("http://exon.niaid.nih.gov/transcriptome/T_rubida/S1/links/Triru/Triru-5-48-asb-339.txt","Contig-339")</f>
        <v>Contig-339</v>
      </c>
      <c r="D219" t="str">
        <f>HYPERLINK("http://exon.niaid.nih.gov/transcriptome/T_rubida/S1/links/Triru/Triru-5-48-339-CLU.txt","Contig339")</f>
        <v>Contig339</v>
      </c>
      <c r="E219" t="str">
        <f>HYPERLINK("http://exon.niaid.nih.gov/transcriptome/T_rubida/S1/links/Triru/Triru-5-48-339-qual.txt","43.9")</f>
        <v>43.9</v>
      </c>
      <c r="F219" t="s">
        <v>10</v>
      </c>
      <c r="G219">
        <v>52.4</v>
      </c>
      <c r="H219">
        <v>680</v>
      </c>
      <c r="I219" t="s">
        <v>351</v>
      </c>
      <c r="J219">
        <v>680</v>
      </c>
      <c r="K219">
        <v>699</v>
      </c>
      <c r="L219">
        <v>549</v>
      </c>
      <c r="M219" t="s">
        <v>5242</v>
      </c>
      <c r="N219" s="15">
        <v>1</v>
      </c>
      <c r="O219" s="14" t="str">
        <f>HYPERLINK("http://exon.niaid.nih.gov/transcriptome/T_rubida/S1/links/Sigp/TRIRU-CONTIG_339-SigP.txt","Cyt")</f>
        <v>Cyt</v>
      </c>
      <c r="Q219" s="5" t="s">
        <v>4935</v>
      </c>
      <c r="R219" t="s">
        <v>4820</v>
      </c>
      <c r="S219" t="str">
        <f>HYPERLINK("http://exon.niaid.nih.gov/transcriptome/T_rubida/S1/links/KOG/Triru-contig_339-KOG.txt","KOG")</f>
        <v>KOG</v>
      </c>
      <c r="T219" s="23">
        <v>7.0000000000000005E-8</v>
      </c>
      <c r="U219">
        <v>32.200000000000003</v>
      </c>
      <c r="V219" s="1" t="str">
        <f>HYPERLINK("http://exon.niaid.nih.gov/transcriptome/T_rubida/S1/links/NR/Triru-contig_339-NR.txt","polyadenylate-binding protein 1-like isoform 1")</f>
        <v>polyadenylate-binding protein 1-like isoform 1</v>
      </c>
      <c r="W219" t="str">
        <f>HYPERLINK("http://www.ncbi.nlm.nih.gov/sutils/blink.cgi?pid=328782034","4E-053")</f>
        <v>4E-053</v>
      </c>
      <c r="X219" t="str">
        <f>HYPERLINK("http://www.ncbi.nlm.nih.gov/protein/328782034","gi|328782034")</f>
        <v>gi|328782034</v>
      </c>
      <c r="Y219">
        <v>212</v>
      </c>
      <c r="Z219">
        <v>188</v>
      </c>
      <c r="AA219">
        <v>601</v>
      </c>
      <c r="AB219">
        <v>63</v>
      </c>
      <c r="AC219">
        <v>31</v>
      </c>
      <c r="AD219">
        <v>69</v>
      </c>
      <c r="AE219">
        <v>9</v>
      </c>
      <c r="AF219">
        <v>413</v>
      </c>
      <c r="AG219">
        <v>1</v>
      </c>
      <c r="AH219">
        <v>1</v>
      </c>
      <c r="AI219">
        <v>1</v>
      </c>
      <c r="AJ219" t="s">
        <v>11</v>
      </c>
      <c r="AL219" t="s">
        <v>1153</v>
      </c>
      <c r="AM219" t="s">
        <v>2774</v>
      </c>
      <c r="AN219" t="s">
        <v>2775</v>
      </c>
      <c r="AO219" s="1" t="str">
        <f>HYPERLINK("http://exon.niaid.nih.gov/transcriptome/T_rubida/S1/links/SWISSP/Triru-contig_339-SWISSP.txt","Polyadenylate-binding protein 1")</f>
        <v>Polyadenylate-binding protein 1</v>
      </c>
      <c r="AP219" t="str">
        <f>HYPERLINK("http://www.uniprot.org/uniprot/P29341","2E-040")</f>
        <v>2E-040</v>
      </c>
      <c r="AQ219" t="s">
        <v>2776</v>
      </c>
      <c r="AR219">
        <v>166</v>
      </c>
      <c r="AS219">
        <v>170</v>
      </c>
      <c r="AT219">
        <v>56</v>
      </c>
      <c r="AU219">
        <v>27</v>
      </c>
      <c r="AV219">
        <v>75</v>
      </c>
      <c r="AW219">
        <v>10</v>
      </c>
      <c r="AX219">
        <v>453</v>
      </c>
      <c r="AY219">
        <v>46</v>
      </c>
      <c r="AZ219">
        <v>1</v>
      </c>
      <c r="BA219">
        <v>1</v>
      </c>
      <c r="BB219" t="s">
        <v>11</v>
      </c>
      <c r="BD219" t="s">
        <v>704</v>
      </c>
      <c r="BE219" t="s">
        <v>807</v>
      </c>
      <c r="BF219" t="s">
        <v>2777</v>
      </c>
      <c r="BG219" t="s">
        <v>2778</v>
      </c>
      <c r="BH219" s="1" t="s">
        <v>2779</v>
      </c>
      <c r="BI219">
        <f>HYPERLINK("http://exon.niaid.nih.gov/transcriptome/T_rubida/S1/links/GO/Triru-contig_339-GO.txt",4E-42)</f>
        <v>4.0000000000000002E-42</v>
      </c>
      <c r="BJ219" s="1" t="str">
        <f>HYPERLINK("http://exon.niaid.nih.gov/transcriptome/T_rubida/S1/links/CDD/Triru-contig_339-CDD.txt","PABP-1234")</f>
        <v>PABP-1234</v>
      </c>
      <c r="BK219" t="str">
        <f>HYPERLINK("http://www.ncbi.nlm.nih.gov/Structure/cdd/cddsrv.cgi?uid=TIGR01628&amp;version=v4.0","1E-035")</f>
        <v>1E-035</v>
      </c>
      <c r="BL219" t="s">
        <v>2780</v>
      </c>
      <c r="BM219" s="1" t="str">
        <f>HYPERLINK("http://exon.niaid.nih.gov/transcriptome/T_rubida/S1/links/KOG/Triru-contig_339-KOG.txt","Polyadenylate-binding protein (RRM superfamily)")</f>
        <v>Polyadenylate-binding protein (RRM superfamily)</v>
      </c>
      <c r="BN219" t="str">
        <f>HYPERLINK("http://www.ncbi.nlm.nih.gov/COG/grace/shokog.cgi?KOG0123","7E-008")</f>
        <v>7E-008</v>
      </c>
      <c r="BO219" t="s">
        <v>2781</v>
      </c>
      <c r="BP219" s="1" t="str">
        <f>HYPERLINK("http://exon.niaid.nih.gov/transcriptome/T_rubida/S1/links/PFAM/Triru-contig_339-PFAM.txt","PABP")</f>
        <v>PABP</v>
      </c>
      <c r="BQ219" t="str">
        <f>HYPERLINK("http://pfam.sanger.ac.uk/family?acc=PF00658","1E-034")</f>
        <v>1E-034</v>
      </c>
      <c r="BR219" s="1" t="str">
        <f>HYPERLINK("http://exon.niaid.nih.gov/transcriptome/T_rubida/S1/links/SMART/Triru-contig_339-SMART.txt","PolyA")</f>
        <v>PolyA</v>
      </c>
      <c r="BS219" t="str">
        <f>HYPERLINK("http://smart.embl-heidelberg.de/smart/do_annotation.pl?DOMAIN=PolyA&amp;BLAST=DUMMY","6E-028")</f>
        <v>6E-028</v>
      </c>
      <c r="BT219" s="1" t="str">
        <f>HYPERLINK("http://exon.niaid.nih.gov/transcriptome/T_rubida/S1/links/PRK/Triru-contig_339-PRK.txt","DNA polymerase III subunits gamma and tau")</f>
        <v>DNA polymerase III subunits gamma and tau</v>
      </c>
      <c r="BU219" s="2">
        <v>1.9999999999999999E-11</v>
      </c>
      <c r="BV219" s="1" t="s">
        <v>57</v>
      </c>
      <c r="BW219" t="s">
        <v>57</v>
      </c>
      <c r="BX219" s="1" t="s">
        <v>57</v>
      </c>
      <c r="BY219" t="s">
        <v>57</v>
      </c>
    </row>
    <row r="220" spans="1:77">
      <c r="A220" t="str">
        <f>HYPERLINK("http://exon.niaid.nih.gov/transcriptome/T_rubida/S1/links/Triru/Triru-contig_586.txt","Triru-contig_586")</f>
        <v>Triru-contig_586</v>
      </c>
      <c r="B220">
        <v>1</v>
      </c>
      <c r="C220" t="str">
        <f>HYPERLINK("http://exon.niaid.nih.gov/transcriptome/T_rubida/S1/links/Triru/Triru-5-48-asb-586.txt","Contig-586")</f>
        <v>Contig-586</v>
      </c>
      <c r="D220" t="str">
        <f>HYPERLINK("http://exon.niaid.nih.gov/transcriptome/T_rubida/S1/links/Triru/Triru-5-48-586-CLU.txt","Contig586")</f>
        <v>Contig586</v>
      </c>
      <c r="E220" t="str">
        <f>HYPERLINK("http://exon.niaid.nih.gov/transcriptome/T_rubida/S1/links/Triru/Triru-5-48-586-qual.txt","64.6")</f>
        <v>64.6</v>
      </c>
      <c r="F220" t="s">
        <v>10</v>
      </c>
      <c r="G220">
        <v>51.7</v>
      </c>
      <c r="H220">
        <v>670</v>
      </c>
      <c r="I220" t="s">
        <v>598</v>
      </c>
      <c r="J220">
        <v>670</v>
      </c>
      <c r="K220">
        <v>689</v>
      </c>
      <c r="L220">
        <v>549</v>
      </c>
      <c r="M220" t="s">
        <v>5243</v>
      </c>
      <c r="N220" s="15">
        <v>1</v>
      </c>
      <c r="O220" s="14" t="str">
        <f>HYPERLINK("http://exon.niaid.nih.gov/transcriptome/T_rubida/S1/links/Sigp/TRIRU-CONTIG_586-SigP.txt","Cyt")</f>
        <v>Cyt</v>
      </c>
      <c r="Q220" s="5" t="s">
        <v>4935</v>
      </c>
      <c r="R220" t="s">
        <v>4820</v>
      </c>
      <c r="S220" t="str">
        <f>HYPERLINK("http://exon.niaid.nih.gov/transcriptome/T_rubida/S1/links/KOG/Triru-contig_586-KOG.txt","KOG")</f>
        <v>KOG</v>
      </c>
      <c r="T220" s="23">
        <v>5.9999999999999995E-8</v>
      </c>
      <c r="U220">
        <v>32.200000000000003</v>
      </c>
      <c r="V220" s="1" t="str">
        <f>HYPERLINK("http://exon.niaid.nih.gov/transcriptome/T_rubida/S1/links/NR/Triru-contig_586-NR.txt","polyadenylate-binding protein 1-like isoform 3")</f>
        <v>polyadenylate-binding protein 1-like isoform 3</v>
      </c>
      <c r="W220" t="str">
        <f>HYPERLINK("http://www.ncbi.nlm.nih.gov/sutils/blink.cgi?pid=340719922","2E-052")</f>
        <v>2E-052</v>
      </c>
      <c r="X220" t="str">
        <f>HYPERLINK("http://www.ncbi.nlm.nih.gov/protein/340719922","gi|340719922")</f>
        <v>gi|340719922</v>
      </c>
      <c r="Y220">
        <v>210</v>
      </c>
      <c r="Z220">
        <v>176</v>
      </c>
      <c r="AA220">
        <v>621</v>
      </c>
      <c r="AB220">
        <v>65</v>
      </c>
      <c r="AC220">
        <v>29</v>
      </c>
      <c r="AD220">
        <v>61</v>
      </c>
      <c r="AE220">
        <v>3</v>
      </c>
      <c r="AF220">
        <v>445</v>
      </c>
      <c r="AG220">
        <v>19</v>
      </c>
      <c r="AH220">
        <v>1</v>
      </c>
      <c r="AI220">
        <v>1</v>
      </c>
      <c r="AJ220" t="s">
        <v>11</v>
      </c>
      <c r="AL220" t="s">
        <v>1360</v>
      </c>
      <c r="AM220" t="s">
        <v>4424</v>
      </c>
      <c r="AN220" t="s">
        <v>2775</v>
      </c>
      <c r="AO220" s="1" t="str">
        <f>HYPERLINK("http://exon.niaid.nih.gov/transcriptome/T_rubida/S1/links/SWISSP/Triru-contig_586-SWISSP.txt","Polyadenylate-binding protein 1")</f>
        <v>Polyadenylate-binding protein 1</v>
      </c>
      <c r="AP220" t="str">
        <f>HYPERLINK("http://www.uniprot.org/uniprot/P29341","2E-040")</f>
        <v>2E-040</v>
      </c>
      <c r="AQ220" t="s">
        <v>2776</v>
      </c>
      <c r="AR220">
        <v>166</v>
      </c>
      <c r="AS220">
        <v>170</v>
      </c>
      <c r="AT220">
        <v>56</v>
      </c>
      <c r="AU220">
        <v>27</v>
      </c>
      <c r="AV220">
        <v>75</v>
      </c>
      <c r="AW220">
        <v>10</v>
      </c>
      <c r="AX220">
        <v>453</v>
      </c>
      <c r="AY220">
        <v>46</v>
      </c>
      <c r="AZ220">
        <v>1</v>
      </c>
      <c r="BA220">
        <v>1</v>
      </c>
      <c r="BB220" t="s">
        <v>11</v>
      </c>
      <c r="BD220" t="s">
        <v>704</v>
      </c>
      <c r="BE220" t="s">
        <v>807</v>
      </c>
      <c r="BF220" t="s">
        <v>2777</v>
      </c>
      <c r="BG220" t="s">
        <v>2778</v>
      </c>
      <c r="BH220" s="1" t="s">
        <v>2779</v>
      </c>
      <c r="BI220">
        <f>HYPERLINK("http://exon.niaid.nih.gov/transcriptome/T_rubida/S1/links/GO/Triru-contig_586-GO.txt",4E-42)</f>
        <v>4.0000000000000002E-42</v>
      </c>
      <c r="BJ220" s="1" t="str">
        <f>HYPERLINK("http://exon.niaid.nih.gov/transcriptome/T_rubida/S1/links/CDD/Triru-contig_586-CDD.txt","PABP-1234")</f>
        <v>PABP-1234</v>
      </c>
      <c r="BK220" t="str">
        <f>HYPERLINK("http://www.ncbi.nlm.nih.gov/Structure/cdd/cddsrv.cgi?uid=TIGR01628&amp;version=v4.0","9E-036")</f>
        <v>9E-036</v>
      </c>
      <c r="BL220" t="s">
        <v>4425</v>
      </c>
      <c r="BM220" s="1" t="str">
        <f>HYPERLINK("http://exon.niaid.nih.gov/transcriptome/T_rubida/S1/links/KOG/Triru-contig_586-KOG.txt","Polyadenylate-binding protein (RRM superfamily)")</f>
        <v>Polyadenylate-binding protein (RRM superfamily)</v>
      </c>
      <c r="BN220" t="str">
        <f>HYPERLINK("http://www.ncbi.nlm.nih.gov/COG/grace/shokog.cgi?KOG0123","6E-008")</f>
        <v>6E-008</v>
      </c>
      <c r="BO220" t="s">
        <v>2781</v>
      </c>
      <c r="BP220" s="1" t="str">
        <f>HYPERLINK("http://exon.niaid.nih.gov/transcriptome/T_rubida/S1/links/PFAM/Triru-contig_586-PFAM.txt","PABP")</f>
        <v>PABP</v>
      </c>
      <c r="BQ220" t="str">
        <f>HYPERLINK("http://pfam.sanger.ac.uk/family?acc=PF00658","1E-034")</f>
        <v>1E-034</v>
      </c>
      <c r="BR220" s="1" t="str">
        <f>HYPERLINK("http://exon.niaid.nih.gov/transcriptome/T_rubida/S1/links/SMART/Triru-contig_586-SMART.txt","PolyA")</f>
        <v>PolyA</v>
      </c>
      <c r="BS220" t="str">
        <f>HYPERLINK("http://smart.embl-heidelberg.de/smart/do_annotation.pl?DOMAIN=PolyA&amp;BLAST=DUMMY","6E-028")</f>
        <v>6E-028</v>
      </c>
      <c r="BT220" s="1" t="str">
        <f>HYPERLINK("http://exon.niaid.nih.gov/transcriptome/T_rubida/S1/links/PRK/Triru-contig_586-PRK.txt","DNA polymerase III subunits gamma and tau")</f>
        <v>DNA polymerase III subunits gamma and tau</v>
      </c>
      <c r="BU220" s="2">
        <v>9.9999999999999994E-12</v>
      </c>
      <c r="BV220" s="1" t="s">
        <v>57</v>
      </c>
      <c r="BW220" t="s">
        <v>57</v>
      </c>
      <c r="BX220" s="1" t="s">
        <v>57</v>
      </c>
      <c r="BY220" t="s">
        <v>57</v>
      </c>
    </row>
    <row r="221" spans="1:77">
      <c r="A221" t="str">
        <f>HYPERLINK("http://exon.niaid.nih.gov/transcriptome/T_rubida/S1/links/Triru/Triru-contig_117.txt","Triru-contig_117")</f>
        <v>Triru-contig_117</v>
      </c>
      <c r="B221">
        <v>1</v>
      </c>
      <c r="C221" t="str">
        <f>HYPERLINK("http://exon.niaid.nih.gov/transcriptome/T_rubida/S1/links/Triru/Triru-5-48-asb-117.txt","Contig-117")</f>
        <v>Contig-117</v>
      </c>
      <c r="D221" t="str">
        <f>HYPERLINK("http://exon.niaid.nih.gov/transcriptome/T_rubida/S1/links/Triru/Triru-5-48-117-CLU.txt","Contig117")</f>
        <v>Contig117</v>
      </c>
      <c r="E221" t="str">
        <f>HYPERLINK("http://exon.niaid.nih.gov/transcriptome/T_rubida/S1/links/Triru/Triru-5-48-117-qual.txt","58.2")</f>
        <v>58.2</v>
      </c>
      <c r="F221" t="s">
        <v>10</v>
      </c>
      <c r="G221">
        <v>62.1</v>
      </c>
      <c r="H221">
        <v>398</v>
      </c>
      <c r="I221" t="s">
        <v>129</v>
      </c>
      <c r="J221">
        <v>398</v>
      </c>
      <c r="K221">
        <v>417</v>
      </c>
      <c r="L221">
        <v>306</v>
      </c>
      <c r="M221" t="s">
        <v>5244</v>
      </c>
      <c r="N221" s="15">
        <v>2</v>
      </c>
      <c r="O221" s="14" t="str">
        <f>HYPERLINK("http://exon.niaid.nih.gov/transcriptome/T_rubida/S1/links/Sigp/TRIRU-CONTIG_117-SigP.txt","Cyt")</f>
        <v>Cyt</v>
      </c>
      <c r="Q221" s="5" t="s">
        <v>4862</v>
      </c>
      <c r="R221" t="s">
        <v>4820</v>
      </c>
      <c r="S221" t="str">
        <f>HYPERLINK("http://exon.niaid.nih.gov/transcriptome/T_rubida/S1/links/PRK/Triru-contig_117-PRK.txt","PRK")</f>
        <v>PRK</v>
      </c>
      <c r="T221" s="23">
        <v>7.0000000000000001E-49</v>
      </c>
      <c r="U221">
        <v>48</v>
      </c>
      <c r="V221" s="1" t="str">
        <f>HYPERLINK("http://exon.niaid.nih.gov/transcriptome/T_rubida/S1/links/NR/Triru-contig_117-NR.txt","60S ribosomal protein L15, putative")</f>
        <v>60S ribosomal protein L15, putative</v>
      </c>
      <c r="W221" t="str">
        <f>HYPERLINK("http://www.ncbi.nlm.nih.gov/sutils/blink.cgi?pid=242011669","2E-046")</f>
        <v>2E-046</v>
      </c>
      <c r="X221" t="str">
        <f>HYPERLINK("http://www.ncbi.nlm.nih.gov/protein/242011669","gi|242011669")</f>
        <v>gi|242011669</v>
      </c>
      <c r="Y221">
        <v>189</v>
      </c>
      <c r="Z221">
        <v>96</v>
      </c>
      <c r="AA221">
        <v>204</v>
      </c>
      <c r="AB221">
        <v>90</v>
      </c>
      <c r="AC221">
        <v>48</v>
      </c>
      <c r="AD221">
        <v>9</v>
      </c>
      <c r="AE221">
        <v>0</v>
      </c>
      <c r="AF221">
        <v>108</v>
      </c>
      <c r="AG221">
        <v>17</v>
      </c>
      <c r="AH221">
        <v>1</v>
      </c>
      <c r="AI221">
        <v>2</v>
      </c>
      <c r="AJ221" t="s">
        <v>11</v>
      </c>
      <c r="AL221" t="s">
        <v>1177</v>
      </c>
      <c r="AM221" t="s">
        <v>1373</v>
      </c>
      <c r="AN221" t="s">
        <v>1374</v>
      </c>
      <c r="AO221" s="1" t="str">
        <f>HYPERLINK("http://exon.niaid.nih.gov/transcriptome/T_rubida/S1/links/SWISSP/Triru-contig_117-SWISSP.txt","60S ribosomal protein L15")</f>
        <v>60S ribosomal protein L15</v>
      </c>
      <c r="AP221" t="str">
        <f>HYPERLINK("http://www.uniprot.org/uniprot/P30736","1E-039")</f>
        <v>1E-039</v>
      </c>
      <c r="AQ221" t="s">
        <v>1375</v>
      </c>
      <c r="AR221">
        <v>161</v>
      </c>
      <c r="AS221">
        <v>96</v>
      </c>
      <c r="AT221">
        <v>74</v>
      </c>
      <c r="AU221">
        <v>48</v>
      </c>
      <c r="AV221">
        <v>25</v>
      </c>
      <c r="AW221">
        <v>0</v>
      </c>
      <c r="AX221">
        <v>108</v>
      </c>
      <c r="AY221">
        <v>17</v>
      </c>
      <c r="AZ221">
        <v>1</v>
      </c>
      <c r="BA221">
        <v>2</v>
      </c>
      <c r="BB221" t="s">
        <v>11</v>
      </c>
      <c r="BD221" t="s">
        <v>704</v>
      </c>
      <c r="BE221" t="s">
        <v>1376</v>
      </c>
      <c r="BF221" t="s">
        <v>1377</v>
      </c>
      <c r="BG221" t="s">
        <v>1378</v>
      </c>
      <c r="BH221" s="1" t="s">
        <v>1379</v>
      </c>
      <c r="BI221">
        <f>HYPERLINK("http://exon.niaid.nih.gov/transcriptome/T_rubida/S1/links/GO/Triru-contig_117-GO.txt",5E-40)</f>
        <v>4.9999999999999996E-40</v>
      </c>
      <c r="BJ221" s="1" t="str">
        <f>HYPERLINK("http://exon.niaid.nih.gov/transcriptome/T_rubida/S1/links/CDD/Triru-contig_117-CDD.txt","PTZ00026")</f>
        <v>PTZ00026</v>
      </c>
      <c r="BK221" t="str">
        <f>HYPERLINK("http://www.ncbi.nlm.nih.gov/Structure/cdd/cddsrv.cgi?uid=PTZ00026&amp;version=v4.0","1E-048")</f>
        <v>1E-048</v>
      </c>
      <c r="BL221" t="s">
        <v>1380</v>
      </c>
      <c r="BM221" s="1" t="str">
        <f>HYPERLINK("http://exon.niaid.nih.gov/transcriptome/T_rubida/S1/links/KOG/Triru-contig_117-KOG.txt","60s ribosomal protein L15")</f>
        <v>60s ribosomal protein L15</v>
      </c>
      <c r="BN221" t="str">
        <f>HYPERLINK("http://www.ncbi.nlm.nih.gov/COG/grace/shokog.cgi?KOG1678","8E-049")</f>
        <v>8E-049</v>
      </c>
      <c r="BO221" t="s">
        <v>1185</v>
      </c>
      <c r="BP221" s="1" t="str">
        <f>HYPERLINK("http://exon.niaid.nih.gov/transcriptome/T_rubida/S1/links/PFAM/Triru-contig_117-PFAM.txt","Ribosomal_L15e")</f>
        <v>Ribosomal_L15e</v>
      </c>
      <c r="BQ221" t="str">
        <f>HYPERLINK("http://pfam.sanger.ac.uk/family?acc=PF00827","6E-048")</f>
        <v>6E-048</v>
      </c>
      <c r="BR221" s="1" t="str">
        <f>HYPERLINK("http://exon.niaid.nih.gov/transcriptome/T_rubida/S1/links/SMART/Triru-contig_117-SMART.txt","MAM")</f>
        <v>MAM</v>
      </c>
      <c r="BS221" t="str">
        <f>HYPERLINK("http://smart.embl-heidelberg.de/smart/do_annotation.pl?DOMAIN=MAM&amp;BLAST=DUMMY","0.010")</f>
        <v>0.010</v>
      </c>
      <c r="BT221" s="1" t="str">
        <f>HYPERLINK("http://exon.niaid.nih.gov/transcriptome/T_rubida/S1/links/PRK/Triru-contig_117-PRK.txt","60S ribosomal protein L15")</f>
        <v>60S ribosomal protein L15</v>
      </c>
      <c r="BU221" s="2">
        <v>7.0000000000000001E-49</v>
      </c>
      <c r="BV221" s="1" t="s">
        <v>57</v>
      </c>
      <c r="BW221" t="s">
        <v>57</v>
      </c>
      <c r="BX221" s="1" t="s">
        <v>57</v>
      </c>
      <c r="BY221" t="s">
        <v>57</v>
      </c>
    </row>
    <row r="222" spans="1:77">
      <c r="A222" t="str">
        <f>HYPERLINK("http://exon.niaid.nih.gov/transcriptome/T_rubida/S1/links/Triru/Triru-contig_324.txt","Triru-contig_324")</f>
        <v>Triru-contig_324</v>
      </c>
      <c r="B222">
        <v>1</v>
      </c>
      <c r="C222" t="str">
        <f>HYPERLINK("http://exon.niaid.nih.gov/transcriptome/T_rubida/S1/links/Triru/Triru-5-48-asb-324.txt","Contig-324")</f>
        <v>Contig-324</v>
      </c>
      <c r="D222" t="str">
        <f>HYPERLINK("http://exon.niaid.nih.gov/transcriptome/T_rubida/S1/links/Triru/Triru-5-48-324-CLU.txt","Contig324")</f>
        <v>Contig324</v>
      </c>
      <c r="E222" t="str">
        <f>HYPERLINK("http://exon.niaid.nih.gov/transcriptome/T_rubida/S1/links/Triru/Triru-5-48-324-qual.txt","62.5")</f>
        <v>62.5</v>
      </c>
      <c r="F222" t="s">
        <v>10</v>
      </c>
      <c r="G222">
        <v>63.1</v>
      </c>
      <c r="H222">
        <v>358</v>
      </c>
      <c r="I222" t="s">
        <v>336</v>
      </c>
      <c r="J222">
        <v>358</v>
      </c>
      <c r="K222">
        <v>377</v>
      </c>
      <c r="L222">
        <v>315</v>
      </c>
      <c r="M222" t="s">
        <v>5245</v>
      </c>
      <c r="N222" s="15">
        <v>3</v>
      </c>
      <c r="O222" s="14" t="str">
        <f>HYPERLINK("http://exon.niaid.nih.gov/transcriptome/T_rubida/S1/links/Sigp/TRIRU-CONTIG_324-SigP.txt","Cyt")</f>
        <v>Cyt</v>
      </c>
      <c r="Q222" s="5" t="s">
        <v>4929</v>
      </c>
      <c r="R222" t="s">
        <v>4820</v>
      </c>
      <c r="S222" t="str">
        <f>HYPERLINK("http://exon.niaid.nih.gov/transcriptome/T_rubida/S1/links/PRK/Triru-contig_324-PRK.txt","PRK")</f>
        <v>PRK</v>
      </c>
      <c r="T222" s="23">
        <v>3E-51</v>
      </c>
      <c r="U222">
        <v>88</v>
      </c>
      <c r="V222" s="1" t="str">
        <f>HYPERLINK("http://exon.niaid.nih.gov/transcriptome/T_rubida/S1/links/NR/Triru-contig_324-NR.txt","ribosomal protein S20")</f>
        <v>ribosomal protein S20</v>
      </c>
      <c r="W222" t="str">
        <f>HYPERLINK("http://www.ncbi.nlm.nih.gov/sutils/blink.cgi?pid=149898895","1E-050")</f>
        <v>1E-050</v>
      </c>
      <c r="X222" t="str">
        <f>HYPERLINK("http://www.ncbi.nlm.nih.gov/protein/149898895","gi|149898895")</f>
        <v>gi|149898895</v>
      </c>
      <c r="Y222">
        <v>202</v>
      </c>
      <c r="Z222">
        <v>102</v>
      </c>
      <c r="AA222">
        <v>117</v>
      </c>
      <c r="AB222">
        <v>99</v>
      </c>
      <c r="AC222">
        <v>88</v>
      </c>
      <c r="AD222">
        <v>1</v>
      </c>
      <c r="AE222">
        <v>0</v>
      </c>
      <c r="AF222">
        <v>15</v>
      </c>
      <c r="AG222">
        <v>9</v>
      </c>
      <c r="AH222">
        <v>1</v>
      </c>
      <c r="AI222">
        <v>3</v>
      </c>
      <c r="AJ222" t="s">
        <v>11</v>
      </c>
      <c r="AL222" t="s">
        <v>1067</v>
      </c>
      <c r="AM222" t="s">
        <v>2671</v>
      </c>
      <c r="AN222" t="s">
        <v>2672</v>
      </c>
      <c r="AO222" s="1" t="str">
        <f>HYPERLINK("http://exon.niaid.nih.gov/transcriptome/T_rubida/S1/links/SWISSP/Triru-contig_324-SWISSP.txt","40S ribosomal protein S20")</f>
        <v>40S ribosomal protein S20</v>
      </c>
      <c r="AP222" t="str">
        <f>HYPERLINK("http://www.uniprot.org/uniprot/P23403","3E-046")</f>
        <v>3E-046</v>
      </c>
      <c r="AQ222" t="s">
        <v>2673</v>
      </c>
      <c r="AR222">
        <v>183</v>
      </c>
      <c r="AS222">
        <v>101</v>
      </c>
      <c r="AT222">
        <v>83</v>
      </c>
      <c r="AU222">
        <v>86</v>
      </c>
      <c r="AV222">
        <v>17</v>
      </c>
      <c r="AW222">
        <v>0</v>
      </c>
      <c r="AX222">
        <v>17</v>
      </c>
      <c r="AY222">
        <v>12</v>
      </c>
      <c r="AZ222">
        <v>1</v>
      </c>
      <c r="BA222">
        <v>3</v>
      </c>
      <c r="BB222" t="s">
        <v>11</v>
      </c>
      <c r="BD222" t="s">
        <v>704</v>
      </c>
      <c r="BE222" t="s">
        <v>2158</v>
      </c>
      <c r="BF222" t="s">
        <v>2674</v>
      </c>
      <c r="BG222" t="s">
        <v>2675</v>
      </c>
      <c r="BH222" s="1" t="s">
        <v>2676</v>
      </c>
      <c r="BI222">
        <f>HYPERLINK("http://exon.niaid.nih.gov/transcriptome/T_rubida/S1/links/GO/Triru-contig_324-GO.txt",2E-46)</f>
        <v>2E-46</v>
      </c>
      <c r="BJ222" s="1" t="str">
        <f>HYPERLINK("http://exon.niaid.nih.gov/transcriptome/T_rubida/S1/links/CDD/Triru-contig_324-CDD.txt","PTZ00039")</f>
        <v>PTZ00039</v>
      </c>
      <c r="BK222" t="str">
        <f>HYPERLINK("http://www.ncbi.nlm.nih.gov/Structure/cdd/cddsrv.cgi?uid=PTZ00039&amp;version=v4.0","6E-051")</f>
        <v>6E-051</v>
      </c>
      <c r="BL222" t="s">
        <v>2677</v>
      </c>
      <c r="BM222" s="1" t="str">
        <f>HYPERLINK("http://exon.niaid.nih.gov/transcriptome/T_rubida/S1/links/KOG/Triru-contig_324-KOG.txt","40S ribosomal protein S20")</f>
        <v>40S ribosomal protein S20</v>
      </c>
      <c r="BN222" t="str">
        <f>HYPERLINK("http://www.ncbi.nlm.nih.gov/COG/grace/shokog.cgi?KOG0900","7E-045")</f>
        <v>7E-045</v>
      </c>
      <c r="BO222" t="s">
        <v>1185</v>
      </c>
      <c r="BP222" s="1" t="str">
        <f>HYPERLINK("http://exon.niaid.nih.gov/transcriptome/T_rubida/S1/links/PFAM/Triru-contig_324-PFAM.txt","Ribosomal_S10")</f>
        <v>Ribosomal_S10</v>
      </c>
      <c r="BQ222" t="str">
        <f>HYPERLINK("http://pfam.sanger.ac.uk/family?acc=PF00338","8E-033")</f>
        <v>8E-033</v>
      </c>
      <c r="BR222" s="1" t="str">
        <f>HYPERLINK("http://exon.niaid.nih.gov/transcriptome/T_rubida/S1/links/SMART/Triru-contig_324-SMART.txt","HTTM")</f>
        <v>HTTM</v>
      </c>
      <c r="BS222" t="str">
        <f>HYPERLINK("http://smart.embl-heidelberg.de/smart/do_annotation.pl?DOMAIN=HTTM&amp;BLAST=DUMMY","0.020")</f>
        <v>0.020</v>
      </c>
      <c r="BT222" s="1" t="str">
        <f>HYPERLINK("http://exon.niaid.nih.gov/transcriptome/T_rubida/S1/links/PRK/Triru-contig_324-PRK.txt","40S ribosomal protein S20")</f>
        <v>40S ribosomal protein S20</v>
      </c>
      <c r="BU222" s="2">
        <v>3E-51</v>
      </c>
      <c r="BV222" s="1" t="s">
        <v>57</v>
      </c>
      <c r="BW222" t="s">
        <v>57</v>
      </c>
      <c r="BX222" s="1" t="s">
        <v>57</v>
      </c>
      <c r="BY222" t="s">
        <v>57</v>
      </c>
    </row>
    <row r="223" spans="1:77">
      <c r="A223" t="str">
        <f>HYPERLINK("http://exon.niaid.nih.gov/transcriptome/T_rubida/S1/links/Triru/Triru-contig_118.txt","Triru-contig_118")</f>
        <v>Triru-contig_118</v>
      </c>
      <c r="B223">
        <v>3</v>
      </c>
      <c r="C223" t="str">
        <f>HYPERLINK("http://exon.niaid.nih.gov/transcriptome/T_rubida/S1/links/Triru/Triru-5-48-asb-118.txt","Contig-118")</f>
        <v>Contig-118</v>
      </c>
      <c r="D223" t="str">
        <f>HYPERLINK("http://exon.niaid.nih.gov/transcriptome/T_rubida/S1/links/Triru/Triru-5-48-118-CLU.txt","Contig118")</f>
        <v>Contig118</v>
      </c>
      <c r="E223" t="str">
        <f>HYPERLINK("http://exon.niaid.nih.gov/transcriptome/T_rubida/S1/links/Triru/Triru-5-48-118-qual.txt","78.")</f>
        <v>78.</v>
      </c>
      <c r="F223" t="s">
        <v>10</v>
      </c>
      <c r="G223">
        <v>64</v>
      </c>
      <c r="H223">
        <v>181</v>
      </c>
      <c r="I223" t="s">
        <v>130</v>
      </c>
      <c r="J223">
        <v>181</v>
      </c>
      <c r="K223">
        <v>200</v>
      </c>
      <c r="L223">
        <v>129</v>
      </c>
      <c r="M223" t="s">
        <v>5246</v>
      </c>
      <c r="N223" s="15">
        <v>1</v>
      </c>
      <c r="Q223" s="5" t="s">
        <v>4863</v>
      </c>
      <c r="R223" t="s">
        <v>4820</v>
      </c>
      <c r="S223" t="str">
        <f>HYPERLINK("http://exon.niaid.nih.gov/transcriptome/T_rubida/S1/links/PRK/Triru-contig_118-PRK.txt","PRK")</f>
        <v>PRK</v>
      </c>
      <c r="T223" s="23">
        <v>2.0000000000000001E-17</v>
      </c>
      <c r="U223">
        <v>32</v>
      </c>
      <c r="V223" s="1" t="str">
        <f>HYPERLINK("http://exon.niaid.nih.gov/transcriptome/T_rubida/S1/links/NR/Triru-contig_118-NR.txt","putative ribosomal protein L35a")</f>
        <v>putative ribosomal protein L35a</v>
      </c>
      <c r="W223" t="str">
        <f>HYPERLINK("http://www.ncbi.nlm.nih.gov/sutils/blink.cgi?pid=159145660","1E-011")</f>
        <v>1E-011</v>
      </c>
      <c r="X223" t="str">
        <f>HYPERLINK("http://www.ncbi.nlm.nih.gov/protein/159145660","gi|159145660")</f>
        <v>gi|159145660</v>
      </c>
      <c r="Y223">
        <v>73.2</v>
      </c>
      <c r="Z223">
        <v>38</v>
      </c>
      <c r="AA223">
        <v>135</v>
      </c>
      <c r="AB223">
        <v>82</v>
      </c>
      <c r="AC223">
        <v>29</v>
      </c>
      <c r="AD223">
        <v>7</v>
      </c>
      <c r="AE223">
        <v>0</v>
      </c>
      <c r="AF223">
        <v>97</v>
      </c>
      <c r="AG223">
        <v>31</v>
      </c>
      <c r="AH223">
        <v>1</v>
      </c>
      <c r="AI223">
        <v>1</v>
      </c>
      <c r="AJ223" t="s">
        <v>11</v>
      </c>
      <c r="AL223" t="s">
        <v>1381</v>
      </c>
      <c r="AM223" t="s">
        <v>1382</v>
      </c>
      <c r="AN223" t="s">
        <v>1383</v>
      </c>
      <c r="AO223" s="1" t="str">
        <f>HYPERLINK("http://exon.niaid.nih.gov/transcriptome/T_rubida/S1/links/SWISSP/Triru-contig_118-SWISSP.txt","60S ribosomal protein L35a")</f>
        <v>60S ribosomal protein L35a</v>
      </c>
      <c r="AP223" t="str">
        <f>HYPERLINK("http://www.uniprot.org/uniprot/P49180","5E-011")</f>
        <v>5E-011</v>
      </c>
      <c r="AQ223" t="s">
        <v>1384</v>
      </c>
      <c r="AR223">
        <v>66.599999999999994</v>
      </c>
      <c r="AS223">
        <v>38</v>
      </c>
      <c r="AT223">
        <v>69</v>
      </c>
      <c r="AU223">
        <v>31</v>
      </c>
      <c r="AV223">
        <v>12</v>
      </c>
      <c r="AW223">
        <v>0</v>
      </c>
      <c r="AX223">
        <v>86</v>
      </c>
      <c r="AY223">
        <v>31</v>
      </c>
      <c r="AZ223">
        <v>1</v>
      </c>
      <c r="BA223">
        <v>1</v>
      </c>
      <c r="BB223" t="s">
        <v>11</v>
      </c>
      <c r="BD223" t="s">
        <v>704</v>
      </c>
      <c r="BE223" t="s">
        <v>1385</v>
      </c>
      <c r="BF223" t="s">
        <v>1386</v>
      </c>
      <c r="BG223" t="s">
        <v>1387</v>
      </c>
      <c r="BH223" s="1" t="s">
        <v>1388</v>
      </c>
      <c r="BI223">
        <f>HYPERLINK("http://exon.niaid.nih.gov/transcriptome/T_rubida/S1/links/GO/Triru-contig_118-GO.txt",0.00000000003)</f>
        <v>3E-11</v>
      </c>
      <c r="BJ223" s="1" t="str">
        <f>HYPERLINK("http://exon.niaid.nih.gov/transcriptome/T_rubida/S1/links/CDD/Triru-contig_118-CDD.txt","PTZ00041")</f>
        <v>PTZ00041</v>
      </c>
      <c r="BK223" t="str">
        <f>HYPERLINK("http://www.ncbi.nlm.nih.gov/Structure/cdd/cddsrv.cgi?uid=PTZ00041&amp;version=v4.0","7E-017")</f>
        <v>7E-017</v>
      </c>
      <c r="BL223" t="s">
        <v>1389</v>
      </c>
      <c r="BM223" s="1" t="str">
        <f>HYPERLINK("http://exon.niaid.nih.gov/transcriptome/T_rubida/S1/links/KOG/Triru-contig_118-KOG.txt","60S ribosomal protein L35A/L37")</f>
        <v>60S ribosomal protein L35A/L37</v>
      </c>
      <c r="BN223" t="str">
        <f>HYPERLINK("http://www.ncbi.nlm.nih.gov/COG/grace/shokog.cgi?KOG0887","5E-016")</f>
        <v>5E-016</v>
      </c>
      <c r="BO223" t="s">
        <v>1185</v>
      </c>
      <c r="BP223" s="1" t="str">
        <f>HYPERLINK("http://exon.niaid.nih.gov/transcriptome/T_rubida/S1/links/PFAM/Triru-contig_118-PFAM.txt","Ribosomal_L35Ae")</f>
        <v>Ribosomal_L35Ae</v>
      </c>
      <c r="BQ223" t="str">
        <f>HYPERLINK("http://pfam.sanger.ac.uk/family?acc=PF01247","9E-017")</f>
        <v>9E-017</v>
      </c>
      <c r="BR223" s="1" t="str">
        <f>HYPERLINK("http://exon.niaid.nih.gov/transcriptome/T_rubida/S1/links/SMART/Triru-contig_118-SMART.txt","Glyco_32")</f>
        <v>Glyco_32</v>
      </c>
      <c r="BS223" t="str">
        <f>HYPERLINK("http://smart.embl-heidelberg.de/smart/do_annotation.pl?DOMAIN=Glyco_32&amp;BLAST=DUMMY","0.043")</f>
        <v>0.043</v>
      </c>
      <c r="BT223" s="1" t="str">
        <f>HYPERLINK("http://exon.niaid.nih.gov/transcriptome/T_rubida/S1/links/PRK/Triru-contig_118-PRK.txt","60S ribosomal protein L35a")</f>
        <v>60S ribosomal protein L35a</v>
      </c>
      <c r="BU223" s="2">
        <v>2.0000000000000001E-17</v>
      </c>
      <c r="BV223" s="1" t="s">
        <v>57</v>
      </c>
      <c r="BW223" t="s">
        <v>57</v>
      </c>
      <c r="BX223" s="1" t="s">
        <v>57</v>
      </c>
      <c r="BY223" t="s">
        <v>57</v>
      </c>
    </row>
    <row r="224" spans="1:77">
      <c r="A224" t="str">
        <f>HYPERLINK("http://exon.niaid.nih.gov/transcriptome/T_rubida/S1/links/Triru/Triru-contig_559.txt","Triru-contig_559")</f>
        <v>Triru-contig_559</v>
      </c>
      <c r="B224">
        <v>1</v>
      </c>
      <c r="C224" t="str">
        <f>HYPERLINK("http://exon.niaid.nih.gov/transcriptome/T_rubida/S1/links/Triru/Triru-5-48-asb-559.txt","Contig-559")</f>
        <v>Contig-559</v>
      </c>
      <c r="D224" t="str">
        <f>HYPERLINK("http://exon.niaid.nih.gov/transcriptome/T_rubida/S1/links/Triru/Triru-5-48-559-CLU.txt","Contig559")</f>
        <v>Contig559</v>
      </c>
      <c r="E224" t="str">
        <f>HYPERLINK("http://exon.niaid.nih.gov/transcriptome/T_rubida/S1/links/Triru/Triru-5-48-559-qual.txt","61.")</f>
        <v>61.</v>
      </c>
      <c r="F224" t="s">
        <v>10</v>
      </c>
      <c r="G224">
        <v>64.3</v>
      </c>
      <c r="H224">
        <v>219</v>
      </c>
      <c r="I224" t="s">
        <v>571</v>
      </c>
      <c r="J224">
        <v>219</v>
      </c>
      <c r="K224">
        <v>238</v>
      </c>
      <c r="L224">
        <v>171</v>
      </c>
      <c r="M224" t="s">
        <v>5247</v>
      </c>
      <c r="N224" s="15">
        <v>1</v>
      </c>
      <c r="Q224" s="5" t="s">
        <v>5008</v>
      </c>
      <c r="R224" t="s">
        <v>4820</v>
      </c>
      <c r="S224" t="str">
        <f>HYPERLINK("http://exon.niaid.nih.gov/transcriptome/T_rubida/S1/links/PRK/Triru-contig_559-PRK.txt","PRK")</f>
        <v>PRK</v>
      </c>
      <c r="T224" s="23">
        <v>9.9999999999999997E-29</v>
      </c>
      <c r="U224">
        <v>38.1</v>
      </c>
      <c r="V224" s="1" t="str">
        <f>HYPERLINK("http://exon.niaid.nih.gov/transcriptome/T_rubida/S1/links/NR/Triru-contig_559-NR.txt","60S ribosomal protein L23-like")</f>
        <v>60S ribosomal protein L23-like</v>
      </c>
      <c r="W224" t="str">
        <f>HYPERLINK("http://www.ncbi.nlm.nih.gov/sutils/blink.cgi?pid=340724772","2E-023")</f>
        <v>2E-023</v>
      </c>
      <c r="X224" t="str">
        <f>HYPERLINK("http://www.ncbi.nlm.nih.gov/protein/340724772","gi|340724772")</f>
        <v>gi|340724772</v>
      </c>
      <c r="Y224">
        <v>112</v>
      </c>
      <c r="Z224">
        <v>56</v>
      </c>
      <c r="AA224">
        <v>140</v>
      </c>
      <c r="AB224">
        <v>92</v>
      </c>
      <c r="AC224">
        <v>41</v>
      </c>
      <c r="AD224">
        <v>4</v>
      </c>
      <c r="AE224">
        <v>0</v>
      </c>
      <c r="AF224">
        <v>84</v>
      </c>
      <c r="AG224">
        <v>1</v>
      </c>
      <c r="AH224">
        <v>1</v>
      </c>
      <c r="AI224">
        <v>1</v>
      </c>
      <c r="AJ224" t="s">
        <v>11</v>
      </c>
      <c r="AL224" t="s">
        <v>1360</v>
      </c>
      <c r="AM224" t="s">
        <v>4251</v>
      </c>
      <c r="AN224" t="s">
        <v>3763</v>
      </c>
      <c r="AO224" s="1" t="str">
        <f>HYPERLINK("http://exon.niaid.nih.gov/transcriptome/T_rubida/S1/links/SWISSP/Triru-contig_559-SWISSP.txt","60S ribosomal protein L23")</f>
        <v>60S ribosomal protein L23</v>
      </c>
      <c r="AP224" t="str">
        <f>HYPERLINK("http://www.uniprot.org/uniprot/P48159","2E-024")</f>
        <v>2E-024</v>
      </c>
      <c r="AQ224" t="s">
        <v>4252</v>
      </c>
      <c r="AR224">
        <v>111</v>
      </c>
      <c r="AS224">
        <v>56</v>
      </c>
      <c r="AT224">
        <v>91</v>
      </c>
      <c r="AU224">
        <v>41</v>
      </c>
      <c r="AV224">
        <v>5</v>
      </c>
      <c r="AW224">
        <v>0</v>
      </c>
      <c r="AX224">
        <v>84</v>
      </c>
      <c r="AY224">
        <v>1</v>
      </c>
      <c r="AZ224">
        <v>1</v>
      </c>
      <c r="BA224">
        <v>1</v>
      </c>
      <c r="BB224" t="s">
        <v>11</v>
      </c>
      <c r="BD224" t="s">
        <v>704</v>
      </c>
      <c r="BE224" t="s">
        <v>1125</v>
      </c>
      <c r="BF224" t="s">
        <v>4253</v>
      </c>
      <c r="BG224" t="s">
        <v>4254</v>
      </c>
      <c r="BH224" s="1" t="s">
        <v>4255</v>
      </c>
      <c r="BI224">
        <f>HYPERLINK("http://exon.niaid.nih.gov/transcriptome/T_rubida/S1/links/GO/Triru-contig_559-GO.txt",1E-24)</f>
        <v>9.9999999999999992E-25</v>
      </c>
      <c r="BJ224" s="1" t="str">
        <f>HYPERLINK("http://exon.niaid.nih.gov/transcriptome/T_rubida/S1/links/CDD/Triru-contig_559-CDD.txt","PTZ00054")</f>
        <v>PTZ00054</v>
      </c>
      <c r="BK224" t="str">
        <f>HYPERLINK("http://www.ncbi.nlm.nih.gov/Structure/cdd/cddsrv.cgi?uid=PTZ00054&amp;version=v4.0","3E-028")</f>
        <v>3E-028</v>
      </c>
      <c r="BL224" t="s">
        <v>4256</v>
      </c>
      <c r="BM224" s="1" t="str">
        <f>HYPERLINK("http://exon.niaid.nih.gov/transcriptome/T_rubida/S1/links/KOG/Triru-contig_559-KOG.txt","60S ribosomal protein L14/L17/L23")</f>
        <v>60S ribosomal protein L14/L17/L23</v>
      </c>
      <c r="BN224" t="str">
        <f>HYPERLINK("http://www.ncbi.nlm.nih.gov/COG/grace/shokog.cgi?KOG0901","5E-020")</f>
        <v>5E-020</v>
      </c>
      <c r="BO224" t="s">
        <v>1185</v>
      </c>
      <c r="BP224" s="1" t="str">
        <f>HYPERLINK("http://exon.niaid.nih.gov/transcriptome/T_rubida/S1/links/PFAM/Triru-contig_559-PFAM.txt","Ribosomal_L14")</f>
        <v>Ribosomal_L14</v>
      </c>
      <c r="BQ224" t="str">
        <f>HYPERLINK("http://pfam.sanger.ac.uk/family?acc=PF00238","1E-017")</f>
        <v>1E-017</v>
      </c>
      <c r="BR224" s="1" t="str">
        <f>HYPERLINK("http://exon.niaid.nih.gov/transcriptome/T_rubida/S1/links/SMART/Triru-contig_559-SMART.txt","PAC")</f>
        <v>PAC</v>
      </c>
      <c r="BS224" t="str">
        <f>HYPERLINK("http://smart.embl-heidelberg.de/smart/do_annotation.pl?DOMAIN=PAC&amp;BLAST=DUMMY","0.030")</f>
        <v>0.030</v>
      </c>
      <c r="BT224" s="1" t="str">
        <f>HYPERLINK("http://exon.niaid.nih.gov/transcriptome/T_rubida/S1/links/PRK/Triru-contig_559-PRK.txt","60S ribosomal protein L23")</f>
        <v>60S ribosomal protein L23</v>
      </c>
      <c r="BU224" s="2">
        <v>9.9999999999999997E-29</v>
      </c>
      <c r="BV224" s="1" t="s">
        <v>57</v>
      </c>
      <c r="BW224" t="s">
        <v>57</v>
      </c>
      <c r="BX224" s="1" t="s">
        <v>57</v>
      </c>
      <c r="BY224" t="s">
        <v>57</v>
      </c>
    </row>
    <row r="225" spans="1:77">
      <c r="A225" t="str">
        <f>HYPERLINK("http://exon.niaid.nih.gov/transcriptome/T_rubida/S1/links/Triru/Triru-contig_624.txt","Triru-contig_624")</f>
        <v>Triru-contig_624</v>
      </c>
      <c r="B225">
        <v>1</v>
      </c>
      <c r="C225" t="str">
        <f>HYPERLINK("http://exon.niaid.nih.gov/transcriptome/T_rubida/S1/links/Triru/Triru-5-48-asb-624.txt","Contig-624")</f>
        <v>Contig-624</v>
      </c>
      <c r="D225" t="str">
        <f>HYPERLINK("http://exon.niaid.nih.gov/transcriptome/T_rubida/S1/links/Triru/Triru-5-48-624-CLU.txt","Contig624")</f>
        <v>Contig624</v>
      </c>
      <c r="E225" t="str">
        <f>HYPERLINK("http://exon.niaid.nih.gov/transcriptome/T_rubida/S1/links/Triru/Triru-5-48-624-qual.txt","61.4")</f>
        <v>61.4</v>
      </c>
      <c r="F225" t="s">
        <v>10</v>
      </c>
      <c r="G225">
        <v>64</v>
      </c>
      <c r="H225">
        <v>209</v>
      </c>
      <c r="I225" t="s">
        <v>636</v>
      </c>
      <c r="J225">
        <v>209</v>
      </c>
      <c r="K225">
        <v>228</v>
      </c>
      <c r="L225">
        <v>165</v>
      </c>
      <c r="M225" t="s">
        <v>5248</v>
      </c>
      <c r="N225" s="15">
        <v>3</v>
      </c>
      <c r="Q225" s="5" t="s">
        <v>5008</v>
      </c>
      <c r="R225" t="s">
        <v>4820</v>
      </c>
      <c r="S225" t="str">
        <f>HYPERLINK("http://exon.niaid.nih.gov/transcriptome/T_rubida/S1/links/PRK/Triru-contig_624-PRK.txt","PRK")</f>
        <v>PRK</v>
      </c>
      <c r="T225" s="23">
        <v>7.0000000000000006E-30</v>
      </c>
      <c r="U225">
        <v>38.799999999999997</v>
      </c>
      <c r="V225" s="1" t="str">
        <f>HYPERLINK("http://exon.niaid.nih.gov/transcriptome/T_rubida/S1/links/NR/Triru-contig_624-NR.txt","60S ribosomal protein L23-like")</f>
        <v>60S ribosomal protein L23-like</v>
      </c>
      <c r="W225" t="str">
        <f>HYPERLINK("http://www.ncbi.nlm.nih.gov/sutils/blink.cgi?pid=340724772","6E-023")</f>
        <v>6E-023</v>
      </c>
      <c r="X225" t="str">
        <f>HYPERLINK("http://www.ncbi.nlm.nih.gov/protein/340724772","gi|340724772")</f>
        <v>gi|340724772</v>
      </c>
      <c r="Y225">
        <v>110</v>
      </c>
      <c r="Z225">
        <v>54</v>
      </c>
      <c r="AA225">
        <v>140</v>
      </c>
      <c r="AB225">
        <v>96</v>
      </c>
      <c r="AC225">
        <v>39</v>
      </c>
      <c r="AD225">
        <v>2</v>
      </c>
      <c r="AE225">
        <v>0</v>
      </c>
      <c r="AF225">
        <v>86</v>
      </c>
      <c r="AG225">
        <v>3</v>
      </c>
      <c r="AH225">
        <v>1</v>
      </c>
      <c r="AI225">
        <v>3</v>
      </c>
      <c r="AJ225" t="s">
        <v>11</v>
      </c>
      <c r="AL225" t="s">
        <v>1360</v>
      </c>
      <c r="AM225" t="s">
        <v>4251</v>
      </c>
      <c r="AN225" t="s">
        <v>3763</v>
      </c>
      <c r="AO225" s="1" t="str">
        <f>HYPERLINK("http://exon.niaid.nih.gov/transcriptome/T_rubida/S1/links/SWISSP/Triru-contig_624-SWISSP.txt","60S ribosomal protein L23")</f>
        <v>60S ribosomal protein L23</v>
      </c>
      <c r="AP225" t="str">
        <f>HYPERLINK("http://www.uniprot.org/uniprot/P48159","5E-024")</f>
        <v>5E-024</v>
      </c>
      <c r="AQ225" t="s">
        <v>4252</v>
      </c>
      <c r="AR225">
        <v>109</v>
      </c>
      <c r="AS225">
        <v>54</v>
      </c>
      <c r="AT225">
        <v>94</v>
      </c>
      <c r="AU225">
        <v>39</v>
      </c>
      <c r="AV225">
        <v>3</v>
      </c>
      <c r="AW225">
        <v>0</v>
      </c>
      <c r="AX225">
        <v>86</v>
      </c>
      <c r="AY225">
        <v>3</v>
      </c>
      <c r="AZ225">
        <v>1</v>
      </c>
      <c r="BA225">
        <v>3</v>
      </c>
      <c r="BB225" t="s">
        <v>11</v>
      </c>
      <c r="BD225" t="s">
        <v>704</v>
      </c>
      <c r="BE225" t="s">
        <v>1125</v>
      </c>
      <c r="BF225" t="s">
        <v>4645</v>
      </c>
      <c r="BG225" t="s">
        <v>4646</v>
      </c>
      <c r="BH225" s="1" t="s">
        <v>4255</v>
      </c>
      <c r="BI225">
        <f>HYPERLINK("http://exon.niaid.nih.gov/transcriptome/T_rubida/S1/links/GO/Triru-contig_624-GO.txt",3E-24)</f>
        <v>3E-24</v>
      </c>
      <c r="BJ225" s="1" t="str">
        <f>HYPERLINK("http://exon.niaid.nih.gov/transcriptome/T_rubida/S1/links/CDD/Triru-contig_624-CDD.txt","PTZ00054")</f>
        <v>PTZ00054</v>
      </c>
      <c r="BK225" t="str">
        <f>HYPERLINK("http://www.ncbi.nlm.nih.gov/Structure/cdd/cddsrv.cgi?uid=PTZ00054&amp;version=v4.0","2E-029")</f>
        <v>2E-029</v>
      </c>
      <c r="BL225" t="s">
        <v>4647</v>
      </c>
      <c r="BM225" s="1" t="str">
        <f>HYPERLINK("http://exon.niaid.nih.gov/transcriptome/T_rubida/S1/links/KOG/Triru-contig_624-KOG.txt","60S ribosomal protein L14/L17/L23")</f>
        <v>60S ribosomal protein L14/L17/L23</v>
      </c>
      <c r="BN225" t="str">
        <f>HYPERLINK("http://www.ncbi.nlm.nih.gov/COG/grace/shokog.cgi?KOG0901","2E-020")</f>
        <v>2E-020</v>
      </c>
      <c r="BO225" t="s">
        <v>1185</v>
      </c>
      <c r="BP225" s="1" t="str">
        <f>HYPERLINK("http://exon.niaid.nih.gov/transcriptome/T_rubida/S1/links/PFAM/Triru-contig_624-PFAM.txt","Ribosomal_L14")</f>
        <v>Ribosomal_L14</v>
      </c>
      <c r="BQ225" t="str">
        <f>HYPERLINK("http://pfam.sanger.ac.uk/family?acc=PF00238","3E-018")</f>
        <v>3E-018</v>
      </c>
      <c r="BR225" s="1" t="str">
        <f>HYPERLINK("http://exon.niaid.nih.gov/transcriptome/T_rubida/S1/links/SMART/Triru-contig_624-SMART.txt","PAC")</f>
        <v>PAC</v>
      </c>
      <c r="BS225" t="str">
        <f>HYPERLINK("http://smart.embl-heidelberg.de/smart/do_annotation.pl?DOMAIN=PAC&amp;BLAST=DUMMY","0.023")</f>
        <v>0.023</v>
      </c>
      <c r="BT225" s="1" t="str">
        <f>HYPERLINK("http://exon.niaid.nih.gov/transcriptome/T_rubida/S1/links/PRK/Triru-contig_624-PRK.txt","60S ribosomal protein L23")</f>
        <v>60S ribosomal protein L23</v>
      </c>
      <c r="BU225" s="2">
        <v>7.0000000000000006E-30</v>
      </c>
      <c r="BV225" s="1" t="s">
        <v>57</v>
      </c>
      <c r="BW225" t="s">
        <v>57</v>
      </c>
      <c r="BX225" s="1" t="s">
        <v>57</v>
      </c>
      <c r="BY225" t="s">
        <v>57</v>
      </c>
    </row>
    <row r="226" spans="1:77">
      <c r="A226" t="str">
        <f>HYPERLINK("http://exon.niaid.nih.gov/transcriptome/T_rubida/S1/links/Triru/Triru-contig_262.txt","Triru-contig_262")</f>
        <v>Triru-contig_262</v>
      </c>
      <c r="B226">
        <v>1</v>
      </c>
      <c r="C226" t="str">
        <f>HYPERLINK("http://exon.niaid.nih.gov/transcriptome/T_rubida/S1/links/Triru/Triru-5-48-asb-262.txt","Contig-262")</f>
        <v>Contig-262</v>
      </c>
      <c r="D226" t="str">
        <f>HYPERLINK("http://exon.niaid.nih.gov/transcriptome/T_rubida/S1/links/Triru/Triru-5-48-262-CLU.txt","Contig262")</f>
        <v>Contig262</v>
      </c>
      <c r="E226" t="str">
        <f>HYPERLINK("http://exon.niaid.nih.gov/transcriptome/T_rubida/S1/links/Triru/Triru-5-48-262-qual.txt","51.8")</f>
        <v>51.8</v>
      </c>
      <c r="F226" t="s">
        <v>10</v>
      </c>
      <c r="G226">
        <v>66.2</v>
      </c>
      <c r="H226">
        <v>200</v>
      </c>
      <c r="I226" t="s">
        <v>274</v>
      </c>
      <c r="J226">
        <v>200</v>
      </c>
      <c r="K226">
        <v>219</v>
      </c>
      <c r="L226">
        <v>129</v>
      </c>
      <c r="M226" t="s">
        <v>5249</v>
      </c>
      <c r="N226" s="15">
        <v>1</v>
      </c>
      <c r="Q226" s="5" t="s">
        <v>4907</v>
      </c>
      <c r="R226" t="s">
        <v>4820</v>
      </c>
      <c r="S226" t="str">
        <f>HYPERLINK("http://exon.niaid.nih.gov/transcriptome/T_rubida/S1/links/PRK/Triru-contig_262-PRK.txt","PRK")</f>
        <v>PRK</v>
      </c>
      <c r="T226" s="23">
        <v>8.0000000000000006E-18</v>
      </c>
      <c r="U226">
        <v>27.9</v>
      </c>
      <c r="V226" s="1" t="str">
        <f>HYPERLINK("http://exon.niaid.nih.gov/transcriptome/T_rubida/S1/links/NR/Triru-contig_262-NR.txt","40S ribosomal protein S23-like")</f>
        <v>40S ribosomal protein S23-like</v>
      </c>
      <c r="W226" t="str">
        <f>HYPERLINK("http://www.ncbi.nlm.nih.gov/sutils/blink.cgi?pid=340726020","7E-013")</f>
        <v>7E-013</v>
      </c>
      <c r="X226" t="str">
        <f>HYPERLINK("http://www.ncbi.nlm.nih.gov/protein/340726020","gi|340726020")</f>
        <v>gi|340726020</v>
      </c>
      <c r="Y226">
        <v>77.400000000000006</v>
      </c>
      <c r="Z226">
        <v>39</v>
      </c>
      <c r="AA226">
        <v>143</v>
      </c>
      <c r="AB226">
        <v>95</v>
      </c>
      <c r="AC226">
        <v>28</v>
      </c>
      <c r="AD226">
        <v>2</v>
      </c>
      <c r="AE226">
        <v>0</v>
      </c>
      <c r="AF226">
        <v>104</v>
      </c>
      <c r="AG226">
        <v>10</v>
      </c>
      <c r="AH226">
        <v>1</v>
      </c>
      <c r="AI226">
        <v>1</v>
      </c>
      <c r="AJ226" t="s">
        <v>11</v>
      </c>
      <c r="AL226" t="s">
        <v>1360</v>
      </c>
      <c r="AM226" t="s">
        <v>2244</v>
      </c>
      <c r="AN226" t="s">
        <v>1413</v>
      </c>
      <c r="AO226" s="1" t="str">
        <f>HYPERLINK("http://exon.niaid.nih.gov/transcriptome/T_rubida/S1/links/SWISSP/Triru-contig_262-SWISSP.txt","40S ribosomal protein S23")</f>
        <v>40S ribosomal protein S23</v>
      </c>
      <c r="AP226" t="str">
        <f>HYPERLINK("http://www.uniprot.org/uniprot/Q962Q7","3E-014")</f>
        <v>3E-014</v>
      </c>
      <c r="AQ226" t="s">
        <v>2245</v>
      </c>
      <c r="AR226">
        <v>77.400000000000006</v>
      </c>
      <c r="AS226">
        <v>39</v>
      </c>
      <c r="AT226">
        <v>95</v>
      </c>
      <c r="AU226">
        <v>28</v>
      </c>
      <c r="AV226">
        <v>2</v>
      </c>
      <c r="AW226">
        <v>0</v>
      </c>
      <c r="AX226">
        <v>104</v>
      </c>
      <c r="AY226">
        <v>10</v>
      </c>
      <c r="AZ226">
        <v>1</v>
      </c>
      <c r="BA226">
        <v>1</v>
      </c>
      <c r="BB226" t="s">
        <v>11</v>
      </c>
      <c r="BD226" t="s">
        <v>704</v>
      </c>
      <c r="BE226" t="s">
        <v>1246</v>
      </c>
      <c r="BF226" t="s">
        <v>2246</v>
      </c>
      <c r="BG226" t="s">
        <v>2247</v>
      </c>
      <c r="BH226" s="1" t="s">
        <v>2248</v>
      </c>
      <c r="BI226">
        <f>HYPERLINK("http://exon.niaid.nih.gov/transcriptome/T_rubida/S1/links/GO/Triru-contig_262-GO.txt",0.00000000000002)</f>
        <v>2E-14</v>
      </c>
      <c r="BJ226" s="1" t="str">
        <f>HYPERLINK("http://exon.niaid.nih.gov/transcriptome/T_rubida/S1/links/CDD/Triru-contig_262-CDD.txt","PTZ00067")</f>
        <v>PTZ00067</v>
      </c>
      <c r="BK226" t="str">
        <f>HYPERLINK("http://www.ncbi.nlm.nih.gov/Structure/cdd/cddsrv.cgi?uid=PTZ00067&amp;version=v4.0","2E-017")</f>
        <v>2E-017</v>
      </c>
      <c r="BL226" t="s">
        <v>2249</v>
      </c>
      <c r="BM226" s="1" t="str">
        <f>HYPERLINK("http://exon.niaid.nih.gov/transcriptome/T_rubida/S1/links/KOG/Triru-contig_262-KOG.txt","40S ribosomal protein S23")</f>
        <v>40S ribosomal protein S23</v>
      </c>
      <c r="BN226" t="str">
        <f>HYPERLINK("http://www.ncbi.nlm.nih.gov/COG/grace/shokog.cgi?KOG1749","8E-017")</f>
        <v>8E-017</v>
      </c>
      <c r="BO226" t="s">
        <v>1185</v>
      </c>
      <c r="BP226" s="1" t="str">
        <f>HYPERLINK("http://exon.niaid.nih.gov/transcriptome/T_rubida/S1/links/PFAM/Triru-contig_262-PFAM.txt","Ribosomal_S12")</f>
        <v>Ribosomal_S12</v>
      </c>
      <c r="BQ226" t="str">
        <f>HYPERLINK("http://pfam.sanger.ac.uk/family?acc=PF00164","1E-007")</f>
        <v>1E-007</v>
      </c>
      <c r="BR226" s="1" t="str">
        <f>HYPERLINK("http://exon.niaid.nih.gov/transcriptome/T_rubida/S1/links/SMART/Triru-contig_262-SMART.txt","WNT1")</f>
        <v>WNT1</v>
      </c>
      <c r="BS226" t="str">
        <f>HYPERLINK("http://smart.embl-heidelberg.de/smart/do_annotation.pl?DOMAIN=WNT1&amp;BLAST=DUMMY","0.28")</f>
        <v>0.28</v>
      </c>
      <c r="BT226" s="1" t="str">
        <f>HYPERLINK("http://exon.niaid.nih.gov/transcriptome/T_rubida/S1/links/PRK/Triru-contig_262-PRK.txt","40S ribosomal S23")</f>
        <v>40S ribosomal S23</v>
      </c>
      <c r="BU226" s="2">
        <v>8.0000000000000006E-18</v>
      </c>
      <c r="BV226" s="1" t="s">
        <v>57</v>
      </c>
      <c r="BW226" t="s">
        <v>57</v>
      </c>
      <c r="BX226" s="1" t="s">
        <v>57</v>
      </c>
      <c r="BY226" t="s">
        <v>57</v>
      </c>
    </row>
    <row r="227" spans="1:77">
      <c r="A227" t="str">
        <f>HYPERLINK("http://exon.niaid.nih.gov/transcriptome/T_rubida/S1/links/Triru/Triru-contig_457.txt","Triru-contig_457")</f>
        <v>Triru-contig_457</v>
      </c>
      <c r="B227">
        <v>1</v>
      </c>
      <c r="C227" t="str">
        <f>HYPERLINK("http://exon.niaid.nih.gov/transcriptome/T_rubida/S1/links/Triru/Triru-5-48-asb-457.txt","Contig-457")</f>
        <v>Contig-457</v>
      </c>
      <c r="D227" t="str">
        <f>HYPERLINK("http://exon.niaid.nih.gov/transcriptome/T_rubida/S1/links/Triru/Triru-5-48-457-CLU.txt","Contig457")</f>
        <v>Contig457</v>
      </c>
      <c r="E227" t="str">
        <f>HYPERLINK("http://exon.niaid.nih.gov/transcriptome/T_rubida/S1/links/Triru/Triru-5-48-457-qual.txt","60.4")</f>
        <v>60.4</v>
      </c>
      <c r="F227" t="s">
        <v>10</v>
      </c>
      <c r="G227">
        <v>63.3</v>
      </c>
      <c r="H227">
        <v>313</v>
      </c>
      <c r="I227" t="s">
        <v>469</v>
      </c>
      <c r="J227">
        <v>313</v>
      </c>
      <c r="K227">
        <v>332</v>
      </c>
      <c r="L227">
        <v>240</v>
      </c>
      <c r="M227" t="s">
        <v>5250</v>
      </c>
      <c r="N227" s="15">
        <v>3</v>
      </c>
      <c r="Q227" s="5" t="s">
        <v>4907</v>
      </c>
      <c r="R227" t="s">
        <v>4820</v>
      </c>
      <c r="S227" t="str">
        <f>HYPERLINK("http://exon.niaid.nih.gov/transcriptome/T_rubida/S1/links/PRK/Triru-contig_457-PRK.txt","PRK")</f>
        <v>PRK</v>
      </c>
      <c r="T227" s="23">
        <v>8.9999999999999998E-48</v>
      </c>
      <c r="U227">
        <v>55.2</v>
      </c>
      <c r="V227" s="1" t="str">
        <f>HYPERLINK("http://exon.niaid.nih.gov/transcriptome/T_rubida/S1/links/NR/Triru-contig_457-NR.txt","40S ribosomal protein S23")</f>
        <v>40S ribosomal protein S23</v>
      </c>
      <c r="W227" t="str">
        <f>HYPERLINK("http://www.ncbi.nlm.nih.gov/sutils/blink.cgi?pid=114153284","1E-037")</f>
        <v>1E-037</v>
      </c>
      <c r="X227" t="str">
        <f>HYPERLINK("http://www.ncbi.nlm.nih.gov/protein/114153284","gi|114153284")</f>
        <v>gi|114153284</v>
      </c>
      <c r="Y227">
        <v>159</v>
      </c>
      <c r="Z227">
        <v>78</v>
      </c>
      <c r="AA227">
        <v>143</v>
      </c>
      <c r="AB227">
        <v>100</v>
      </c>
      <c r="AC227">
        <v>55</v>
      </c>
      <c r="AD227">
        <v>0</v>
      </c>
      <c r="AE227">
        <v>0</v>
      </c>
      <c r="AF227">
        <v>65</v>
      </c>
      <c r="AG227">
        <v>6</v>
      </c>
      <c r="AH227">
        <v>1</v>
      </c>
      <c r="AI227">
        <v>3</v>
      </c>
      <c r="AJ227" t="s">
        <v>11</v>
      </c>
      <c r="AL227" t="s">
        <v>3577</v>
      </c>
      <c r="AM227" t="s">
        <v>3578</v>
      </c>
      <c r="AN227" t="s">
        <v>3579</v>
      </c>
      <c r="AO227" s="1" t="str">
        <f>HYPERLINK("http://exon.niaid.nih.gov/transcriptome/T_rubida/S1/links/SWISSP/Triru-contig_457-SWISSP.txt","40S ribosomal protein S23")</f>
        <v>40S ribosomal protein S23</v>
      </c>
      <c r="AP227" t="str">
        <f>HYPERLINK("http://www.uniprot.org/uniprot/Q86FP7","1E-038")</f>
        <v>1E-038</v>
      </c>
      <c r="AQ227" t="s">
        <v>3580</v>
      </c>
      <c r="AR227">
        <v>158</v>
      </c>
      <c r="AS227">
        <v>78</v>
      </c>
      <c r="AT227">
        <v>98</v>
      </c>
      <c r="AU227">
        <v>55</v>
      </c>
      <c r="AV227">
        <v>1</v>
      </c>
      <c r="AW227">
        <v>0</v>
      </c>
      <c r="AX227">
        <v>65</v>
      </c>
      <c r="AY227">
        <v>6</v>
      </c>
      <c r="AZ227">
        <v>1</v>
      </c>
      <c r="BA227">
        <v>3</v>
      </c>
      <c r="BB227" t="s">
        <v>11</v>
      </c>
      <c r="BD227" t="s">
        <v>704</v>
      </c>
      <c r="BE227" t="s">
        <v>3581</v>
      </c>
      <c r="BF227" t="s">
        <v>3582</v>
      </c>
      <c r="BG227" t="s">
        <v>3583</v>
      </c>
      <c r="BH227" s="1" t="s">
        <v>3584</v>
      </c>
      <c r="BI227">
        <f>HYPERLINK("http://exon.niaid.nih.gov/transcriptome/T_rubida/S1/links/GO/Triru-contig_457-GO.txt",9E-38)</f>
        <v>9.0000000000000002E-38</v>
      </c>
      <c r="BJ227" s="1" t="str">
        <f>HYPERLINK("http://exon.niaid.nih.gov/transcriptome/T_rubida/S1/links/CDD/Triru-contig_457-CDD.txt","PTZ00067")</f>
        <v>PTZ00067</v>
      </c>
      <c r="BK227" t="str">
        <f>HYPERLINK("http://www.ncbi.nlm.nih.gov/Structure/cdd/cddsrv.cgi?uid=PTZ00067&amp;version=v4.0","3E-047")</f>
        <v>3E-047</v>
      </c>
      <c r="BL227" t="s">
        <v>3585</v>
      </c>
      <c r="BM227" s="1" t="str">
        <f>HYPERLINK("http://exon.niaid.nih.gov/transcriptome/T_rubida/S1/links/KOG/Triru-contig_457-KOG.txt","40S ribosomal protein S23")</f>
        <v>40S ribosomal protein S23</v>
      </c>
      <c r="BN227" t="str">
        <f>HYPERLINK("http://www.ncbi.nlm.nih.gov/COG/grace/shokog.cgi?KOG1749","4E-043")</f>
        <v>4E-043</v>
      </c>
      <c r="BO227" t="s">
        <v>1185</v>
      </c>
      <c r="BP227" s="1" t="str">
        <f>HYPERLINK("http://exon.niaid.nih.gov/transcriptome/T_rubida/S1/links/PFAM/Triru-contig_457-PFAM.txt","Ribosomal_S12")</f>
        <v>Ribosomal_S12</v>
      </c>
      <c r="BQ227" t="str">
        <f>HYPERLINK("http://pfam.sanger.ac.uk/family?acc=PF00164","1E-024")</f>
        <v>1E-024</v>
      </c>
      <c r="BR227" s="1" t="str">
        <f>HYPERLINK("http://exon.niaid.nih.gov/transcriptome/T_rubida/S1/links/SMART/Triru-contig_457-SMART.txt","HintN")</f>
        <v>HintN</v>
      </c>
      <c r="BS227" t="str">
        <f>HYPERLINK("http://smart.embl-heidelberg.de/smart/do_annotation.pl?DOMAIN=HintN&amp;BLAST=DUMMY","0.061")</f>
        <v>0.061</v>
      </c>
      <c r="BT227" s="1" t="str">
        <f>HYPERLINK("http://exon.niaid.nih.gov/transcriptome/T_rubida/S1/links/PRK/Triru-contig_457-PRK.txt","40S ribosomal S23")</f>
        <v>40S ribosomal S23</v>
      </c>
      <c r="BU227" s="2">
        <v>8.9999999999999998E-48</v>
      </c>
      <c r="BV227" s="1" t="s">
        <v>57</v>
      </c>
      <c r="BW227" t="s">
        <v>57</v>
      </c>
      <c r="BX227" s="1" t="s">
        <v>57</v>
      </c>
      <c r="BY227" t="s">
        <v>57</v>
      </c>
    </row>
    <row r="228" spans="1:77">
      <c r="A228" t="str">
        <f>HYPERLINK("http://exon.niaid.nih.gov/transcriptome/T_rubida/S1/links/Triru/Triru-contig_95.txt","Triru-contig_95")</f>
        <v>Triru-contig_95</v>
      </c>
      <c r="B228">
        <v>6</v>
      </c>
      <c r="C228" t="str">
        <f>HYPERLINK("http://exon.niaid.nih.gov/transcriptome/T_rubida/S1/links/Triru/Triru-5-48-asb-95.txt","Contig-95")</f>
        <v>Contig-95</v>
      </c>
      <c r="D228" t="str">
        <f>HYPERLINK("http://exon.niaid.nih.gov/transcriptome/T_rubida/S1/links/Triru/Triru-5-48-95-CLU.txt","Contig95")</f>
        <v>Contig95</v>
      </c>
      <c r="E228" t="str">
        <f>HYPERLINK("http://exon.niaid.nih.gov/transcriptome/T_rubida/S1/links/Triru/Triru-5-48-95-qual.txt","88.1")</f>
        <v>88.1</v>
      </c>
      <c r="F228" t="s">
        <v>10</v>
      </c>
      <c r="G228">
        <v>63.9</v>
      </c>
      <c r="H228">
        <v>229</v>
      </c>
      <c r="I228" t="s">
        <v>107</v>
      </c>
      <c r="J228">
        <v>248</v>
      </c>
      <c r="K228">
        <v>249</v>
      </c>
      <c r="L228">
        <v>183</v>
      </c>
      <c r="M228" t="s">
        <v>5251</v>
      </c>
      <c r="N228" s="15">
        <v>2</v>
      </c>
      <c r="Q228" s="5" t="s">
        <v>4843</v>
      </c>
      <c r="R228" t="s">
        <v>4820</v>
      </c>
      <c r="S228" t="str">
        <f>HYPERLINK("http://exon.niaid.nih.gov/transcriptome/T_rubida/S1/links/PRK/Triru-contig_95-PRK.txt","PRK")</f>
        <v>PRK</v>
      </c>
      <c r="T228" s="23">
        <v>9.9999999999999995E-21</v>
      </c>
      <c r="U228">
        <v>42.2</v>
      </c>
      <c r="V228" s="1" t="str">
        <f>HYPERLINK("http://exon.niaid.nih.gov/transcriptome/T_rubida/S1/links/NR/Triru-contig_95-NR.txt","ribosomal subunit L34")</f>
        <v>ribosomal subunit L34</v>
      </c>
      <c r="W228" t="str">
        <f>HYPERLINK("http://www.ncbi.nlm.nih.gov/sutils/blink.cgi?pid=146285345","8E-017")</f>
        <v>8E-017</v>
      </c>
      <c r="X228" t="str">
        <f>HYPERLINK("http://www.ncbi.nlm.nih.gov/protein/146285345","gi|146285345")</f>
        <v>gi|146285345</v>
      </c>
      <c r="Y228">
        <v>90.5</v>
      </c>
      <c r="Z228">
        <v>54</v>
      </c>
      <c r="AA228">
        <v>119</v>
      </c>
      <c r="AB228">
        <v>80</v>
      </c>
      <c r="AC228">
        <v>46</v>
      </c>
      <c r="AD228">
        <v>11</v>
      </c>
      <c r="AE228">
        <v>0</v>
      </c>
      <c r="AF228">
        <v>58</v>
      </c>
      <c r="AG228">
        <v>2</v>
      </c>
      <c r="AH228">
        <v>1</v>
      </c>
      <c r="AI228">
        <v>2</v>
      </c>
      <c r="AJ228" t="s">
        <v>11</v>
      </c>
      <c r="AL228" t="s">
        <v>1216</v>
      </c>
      <c r="AM228" t="s">
        <v>1217</v>
      </c>
      <c r="AN228" t="s">
        <v>1218</v>
      </c>
      <c r="AO228" s="1" t="str">
        <f>HYPERLINK("http://exon.niaid.nih.gov/transcriptome/T_rubida/S1/links/SWISSP/Triru-contig_95-SWISSP.txt","60S ribosomal protein L34")</f>
        <v>60S ribosomal protein L34</v>
      </c>
      <c r="AP228" t="str">
        <f>HYPERLINK("http://www.uniprot.org/uniprot/Q9NB34","3E-014")</f>
        <v>3E-014</v>
      </c>
      <c r="AQ228" t="s">
        <v>1219</v>
      </c>
      <c r="AR228">
        <v>77</v>
      </c>
      <c r="AS228">
        <v>60</v>
      </c>
      <c r="AT228">
        <v>61</v>
      </c>
      <c r="AU228">
        <v>44</v>
      </c>
      <c r="AV228">
        <v>24</v>
      </c>
      <c r="AW228">
        <v>2</v>
      </c>
      <c r="AX228">
        <v>58</v>
      </c>
      <c r="AY228">
        <v>2</v>
      </c>
      <c r="AZ228">
        <v>1</v>
      </c>
      <c r="BA228">
        <v>2</v>
      </c>
      <c r="BB228" t="s">
        <v>11</v>
      </c>
      <c r="BD228" t="s">
        <v>704</v>
      </c>
      <c r="BE228" t="s">
        <v>1220</v>
      </c>
      <c r="BF228" t="s">
        <v>1221</v>
      </c>
      <c r="BG228" t="s">
        <v>1222</v>
      </c>
      <c r="BH228" s="1" t="s">
        <v>1223</v>
      </c>
      <c r="BI228">
        <f>HYPERLINK("http://exon.niaid.nih.gov/transcriptome/T_rubida/S1/links/GO/Triru-contig_95-GO.txt",0.00000000000003)</f>
        <v>2.9999999999999998E-14</v>
      </c>
      <c r="BJ228" s="1" t="str">
        <f>HYPERLINK("http://exon.niaid.nih.gov/transcriptome/T_rubida/S1/links/CDD/Triru-contig_95-CDD.txt","PTZ00074")</f>
        <v>PTZ00074</v>
      </c>
      <c r="BK228" t="str">
        <f>HYPERLINK("http://www.ncbi.nlm.nih.gov/Structure/cdd/cddsrv.cgi?uid=PTZ00074&amp;version=v4.0","3E-020")</f>
        <v>3E-020</v>
      </c>
      <c r="BL228" t="s">
        <v>1224</v>
      </c>
      <c r="BM228" s="1" t="str">
        <f>HYPERLINK("http://exon.niaid.nih.gov/transcriptome/T_rubida/S1/links/KOG/Triru-contig_95-KOG.txt","60s ribosomal protein L34")</f>
        <v>60s ribosomal protein L34</v>
      </c>
      <c r="BN228" t="str">
        <f>HYPERLINK("http://www.ncbi.nlm.nih.gov/COG/grace/shokog.cgi?KOG1790","2E-017")</f>
        <v>2E-017</v>
      </c>
      <c r="BO228" t="s">
        <v>1185</v>
      </c>
      <c r="BP228" s="1" t="str">
        <f>HYPERLINK("http://exon.niaid.nih.gov/transcriptome/T_rubida/S1/links/PFAM/Triru-contig_95-PFAM.txt","Ribosomal_L34e")</f>
        <v>Ribosomal_L34e</v>
      </c>
      <c r="BQ228" t="str">
        <f>HYPERLINK("http://pfam.sanger.ac.uk/family?acc=PF01199","5E-014")</f>
        <v>5E-014</v>
      </c>
      <c r="BR228" s="1" t="str">
        <f>HYPERLINK("http://exon.niaid.nih.gov/transcriptome/T_rubida/S1/links/SMART/Triru-contig_95-SMART.txt","FYVE")</f>
        <v>FYVE</v>
      </c>
      <c r="BS228" t="str">
        <f>HYPERLINK("http://smart.embl-heidelberg.de/smart/do_annotation.pl?DOMAIN=FYVE&amp;BLAST=DUMMY","0.11")</f>
        <v>0.11</v>
      </c>
      <c r="BT228" s="1" t="str">
        <f>HYPERLINK("http://exon.niaid.nih.gov/transcriptome/T_rubida/S1/links/PRK/Triru-contig_95-PRK.txt","60S ribosomal protein L34")</f>
        <v>60S ribosomal protein L34</v>
      </c>
      <c r="BU228" s="2">
        <v>9.9999999999999995E-21</v>
      </c>
      <c r="BV228" s="1" t="s">
        <v>57</v>
      </c>
      <c r="BW228" t="s">
        <v>57</v>
      </c>
      <c r="BX228" s="1" t="s">
        <v>57</v>
      </c>
      <c r="BY228" t="s">
        <v>57</v>
      </c>
    </row>
    <row r="229" spans="1:77">
      <c r="A229" t="str">
        <f>HYPERLINK("http://exon.niaid.nih.gov/transcriptome/T_rubida/S1/links/Triru/Triru-contig_465.txt","Triru-contig_465")</f>
        <v>Triru-contig_465</v>
      </c>
      <c r="B229">
        <v>1</v>
      </c>
      <c r="C229" t="str">
        <f>HYPERLINK("http://exon.niaid.nih.gov/transcriptome/T_rubida/S1/links/Triru/Triru-5-48-asb-465.txt","Contig-465")</f>
        <v>Contig-465</v>
      </c>
      <c r="D229" t="str">
        <f>HYPERLINK("http://exon.niaid.nih.gov/transcriptome/T_rubida/S1/links/Triru/Triru-5-48-465-CLU.txt","Contig465")</f>
        <v>Contig465</v>
      </c>
      <c r="E229" t="str">
        <f>HYPERLINK("http://exon.niaid.nih.gov/transcriptome/T_rubida/S1/links/Triru/Triru-5-48-465-qual.txt","61.8")</f>
        <v>61.8</v>
      </c>
      <c r="F229" t="s">
        <v>10</v>
      </c>
      <c r="G229">
        <v>61.8</v>
      </c>
      <c r="H229">
        <v>256</v>
      </c>
      <c r="I229" t="s">
        <v>477</v>
      </c>
      <c r="J229">
        <v>256</v>
      </c>
      <c r="K229">
        <v>275</v>
      </c>
      <c r="L229">
        <v>183</v>
      </c>
      <c r="M229" t="s">
        <v>5252</v>
      </c>
      <c r="N229" s="15">
        <v>2</v>
      </c>
      <c r="O229" s="14" t="str">
        <f>HYPERLINK("http://exon.niaid.nih.gov/transcriptome/T_rubida/S1/links/Sigp/TRIRU-CONTIG_465-SigP.txt","Cyt")</f>
        <v>Cyt</v>
      </c>
      <c r="Q229" s="5" t="s">
        <v>4978</v>
      </c>
      <c r="R229" t="s">
        <v>4820</v>
      </c>
      <c r="S229" t="str">
        <f>HYPERLINK("http://exon.niaid.nih.gov/transcriptome/T_rubida/S1/links/PRK/Triru-contig_465-PRK.txt","PRK")</f>
        <v>PRK</v>
      </c>
      <c r="T229" s="23">
        <v>2.9999999999999999E-19</v>
      </c>
      <c r="U229">
        <v>22.2</v>
      </c>
      <c r="V229" s="1" t="str">
        <f>HYPERLINK("http://exon.niaid.nih.gov/transcriptome/T_rubida/S1/links/NR/Triru-contig_465-NR.txt","ribosomal protein S3")</f>
        <v>ribosomal protein S3</v>
      </c>
      <c r="W229" t="str">
        <f>HYPERLINK("http://www.ncbi.nlm.nih.gov/sutils/blink.cgi?pid=70906311","4E-016")</f>
        <v>4E-016</v>
      </c>
      <c r="X229" t="str">
        <f>HYPERLINK("http://www.ncbi.nlm.nih.gov/protein/70906311","gi|70906311")</f>
        <v>gi|70906311</v>
      </c>
      <c r="Y229">
        <v>88.2</v>
      </c>
      <c r="Z229">
        <v>70</v>
      </c>
      <c r="AA229">
        <v>243</v>
      </c>
      <c r="AB229">
        <v>60</v>
      </c>
      <c r="AC229">
        <v>29</v>
      </c>
      <c r="AD229">
        <v>28</v>
      </c>
      <c r="AE229">
        <v>0</v>
      </c>
      <c r="AF229">
        <v>171</v>
      </c>
      <c r="AG229">
        <v>2</v>
      </c>
      <c r="AH229">
        <v>1</v>
      </c>
      <c r="AI229">
        <v>2</v>
      </c>
      <c r="AJ229" t="s">
        <v>11</v>
      </c>
      <c r="AK229">
        <v>1.429</v>
      </c>
      <c r="AL229" t="s">
        <v>3625</v>
      </c>
      <c r="AM229" t="s">
        <v>3626</v>
      </c>
      <c r="AN229" t="s">
        <v>2145</v>
      </c>
      <c r="AO229" s="1" t="str">
        <f>HYPERLINK("http://exon.niaid.nih.gov/transcriptome/T_rubida/S1/links/SWISSP/Triru-contig_465-SWISSP.txt","40S ribosomal protein S3")</f>
        <v>40S ribosomal protein S3</v>
      </c>
      <c r="AP229" t="str">
        <f>HYPERLINK("http://www.uniprot.org/uniprot/Q06559","4E-016")</f>
        <v>4E-016</v>
      </c>
      <c r="AQ229" t="s">
        <v>2146</v>
      </c>
      <c r="AR229">
        <v>83.6</v>
      </c>
      <c r="AS229">
        <v>45</v>
      </c>
      <c r="AT229">
        <v>84</v>
      </c>
      <c r="AU229">
        <v>19</v>
      </c>
      <c r="AV229">
        <v>7</v>
      </c>
      <c r="AW229">
        <v>0</v>
      </c>
      <c r="AX229">
        <v>173</v>
      </c>
      <c r="AY229">
        <v>2</v>
      </c>
      <c r="AZ229">
        <v>1</v>
      </c>
      <c r="BA229">
        <v>2</v>
      </c>
      <c r="BB229" t="s">
        <v>11</v>
      </c>
      <c r="BD229" t="s">
        <v>704</v>
      </c>
      <c r="BE229" t="s">
        <v>1125</v>
      </c>
      <c r="BF229" t="s">
        <v>2147</v>
      </c>
      <c r="BG229" t="s">
        <v>2148</v>
      </c>
      <c r="BH229" s="1" t="s">
        <v>3627</v>
      </c>
      <c r="BI229">
        <f>HYPERLINK("http://exon.niaid.nih.gov/transcriptome/T_rubida/S1/links/GO/Triru-contig_465-GO.txt",0.0000000000000003)</f>
        <v>2.9999999999999999E-16</v>
      </c>
      <c r="BJ229" s="1" t="str">
        <f>HYPERLINK("http://exon.niaid.nih.gov/transcriptome/T_rubida/S1/links/CDD/Triru-contig_465-CDD.txt","PTZ00084")</f>
        <v>PTZ00084</v>
      </c>
      <c r="BK229" t="str">
        <f>HYPERLINK("http://www.ncbi.nlm.nih.gov/Structure/cdd/cddsrv.cgi?uid=PTZ00084&amp;version=v4.0","8E-019")</f>
        <v>8E-019</v>
      </c>
      <c r="BL229" t="s">
        <v>3628</v>
      </c>
      <c r="BM229" s="1" t="str">
        <f>HYPERLINK("http://exon.niaid.nih.gov/transcriptome/T_rubida/S1/links/KOG/Triru-contig_465-KOG.txt","40S ribosomal protein S3")</f>
        <v>40S ribosomal protein S3</v>
      </c>
      <c r="BN229" t="str">
        <f>HYPERLINK("http://www.ncbi.nlm.nih.gov/COG/grace/shokog.cgi?KOG3181","7E-019")</f>
        <v>7E-019</v>
      </c>
      <c r="BO229" t="s">
        <v>1185</v>
      </c>
      <c r="BP229" s="1" t="str">
        <f>HYPERLINK("http://exon.niaid.nih.gov/transcriptome/T_rubida/S1/links/PFAM/Triru-contig_465-PFAM.txt","Ribosomal_S3_C")</f>
        <v>Ribosomal_S3_C</v>
      </c>
      <c r="BQ229" t="str">
        <f>HYPERLINK("http://pfam.sanger.ac.uk/family?acc=PF00189","0.007")</f>
        <v>0.007</v>
      </c>
      <c r="BR229" s="1" t="str">
        <f>HYPERLINK("http://exon.niaid.nih.gov/transcriptome/T_rubida/S1/links/SMART/Triru-contig_465-SMART.txt","CAP10")</f>
        <v>CAP10</v>
      </c>
      <c r="BS229" t="str">
        <f>HYPERLINK("http://smart.embl-heidelberg.de/smart/do_annotation.pl?DOMAIN=CAP10&amp;BLAST=DUMMY","0.14")</f>
        <v>0.14</v>
      </c>
      <c r="BT229" s="1" t="str">
        <f>HYPERLINK("http://exon.niaid.nih.gov/transcriptome/T_rubida/S1/links/PRK/Triru-contig_465-PRK.txt","40S ribosomal protein S3")</f>
        <v>40S ribosomal protein S3</v>
      </c>
      <c r="BU229" s="2">
        <v>2.9999999999999999E-19</v>
      </c>
      <c r="BV229" s="1" t="s">
        <v>57</v>
      </c>
      <c r="BW229" t="s">
        <v>57</v>
      </c>
      <c r="BX229" s="1" t="s">
        <v>57</v>
      </c>
      <c r="BY229" t="s">
        <v>57</v>
      </c>
    </row>
    <row r="230" spans="1:77">
      <c r="A230" t="str">
        <f>HYPERLINK("http://exon.niaid.nih.gov/transcriptome/T_rubida/S1/links/Triru/Triru-contig_189.txt","Triru-contig_189")</f>
        <v>Triru-contig_189</v>
      </c>
      <c r="B230">
        <v>1</v>
      </c>
      <c r="C230" t="str">
        <f>HYPERLINK("http://exon.niaid.nih.gov/transcriptome/T_rubida/S1/links/Triru/Triru-5-48-asb-189.txt","Contig-189")</f>
        <v>Contig-189</v>
      </c>
      <c r="D230" t="str">
        <f>HYPERLINK("http://exon.niaid.nih.gov/transcriptome/T_rubida/S1/links/Triru/Triru-5-48-189-CLU.txt","Contig189")</f>
        <v>Contig189</v>
      </c>
      <c r="E230" t="str">
        <f>HYPERLINK("http://exon.niaid.nih.gov/transcriptome/T_rubida/S1/links/Triru/Triru-5-48-189-qual.txt","63.7")</f>
        <v>63.7</v>
      </c>
      <c r="F230" t="s">
        <v>10</v>
      </c>
      <c r="G230">
        <v>64.2</v>
      </c>
      <c r="H230">
        <v>280</v>
      </c>
      <c r="I230" t="s">
        <v>201</v>
      </c>
      <c r="J230">
        <v>280</v>
      </c>
      <c r="K230">
        <v>299</v>
      </c>
      <c r="L230">
        <v>141</v>
      </c>
      <c r="M230" t="s">
        <v>5253</v>
      </c>
      <c r="N230" s="15">
        <v>3</v>
      </c>
      <c r="Q230" s="5" t="s">
        <v>4893</v>
      </c>
      <c r="R230" t="s">
        <v>4820</v>
      </c>
      <c r="S230" t="str">
        <f>HYPERLINK("http://exon.niaid.nih.gov/transcriptome/T_rubida/S1/links/PRK/Triru-contig_189-PRK.txt","PRK")</f>
        <v>PRK</v>
      </c>
      <c r="T230" s="23">
        <v>2.9999999999999999E-19</v>
      </c>
      <c r="U230">
        <v>65.7</v>
      </c>
      <c r="V230" s="1" t="str">
        <f>HYPERLINK("http://exon.niaid.nih.gov/transcriptome/T_rubida/S1/links/NR/Triru-contig_189-NR.txt","ribosomal protein S28e-like protein")</f>
        <v>ribosomal protein S28e-like protein</v>
      </c>
      <c r="W230" t="str">
        <f>HYPERLINK("http://www.ncbi.nlm.nih.gov/sutils/blink.cgi?pid=121543975","1E-016")</f>
        <v>1E-016</v>
      </c>
      <c r="X230" t="str">
        <f>HYPERLINK("http://www.ncbi.nlm.nih.gov/protein/121543975","gi|121543975")</f>
        <v>gi|121543975</v>
      </c>
      <c r="Y230">
        <v>89.7</v>
      </c>
      <c r="Z230">
        <v>44</v>
      </c>
      <c r="AA230">
        <v>65</v>
      </c>
      <c r="AB230">
        <v>97</v>
      </c>
      <c r="AC230">
        <v>69</v>
      </c>
      <c r="AD230">
        <v>1</v>
      </c>
      <c r="AE230">
        <v>0</v>
      </c>
      <c r="AF230">
        <v>21</v>
      </c>
      <c r="AG230">
        <v>9</v>
      </c>
      <c r="AH230">
        <v>1</v>
      </c>
      <c r="AI230">
        <v>3</v>
      </c>
      <c r="AJ230" t="s">
        <v>11</v>
      </c>
      <c r="AL230" t="s">
        <v>1811</v>
      </c>
      <c r="AM230" t="s">
        <v>1812</v>
      </c>
      <c r="AN230" t="s">
        <v>1813</v>
      </c>
      <c r="AO230" s="1" t="str">
        <f>HYPERLINK("http://exon.niaid.nih.gov/transcriptome/T_rubida/S1/links/SWISSP/Triru-contig_189-SWISSP.txt","40S ribosomal protein S28")</f>
        <v>40S ribosomal protein S28</v>
      </c>
      <c r="AP230" t="str">
        <f>HYPERLINK("http://www.uniprot.org/uniprot/Q9W334","9E-018")</f>
        <v>9E-018</v>
      </c>
      <c r="AQ230" t="s">
        <v>1814</v>
      </c>
      <c r="AR230">
        <v>89</v>
      </c>
      <c r="AS230">
        <v>44</v>
      </c>
      <c r="AT230">
        <v>95</v>
      </c>
      <c r="AU230">
        <v>69</v>
      </c>
      <c r="AV230">
        <v>2</v>
      </c>
      <c r="AW230">
        <v>0</v>
      </c>
      <c r="AX230">
        <v>21</v>
      </c>
      <c r="AY230">
        <v>9</v>
      </c>
      <c r="AZ230">
        <v>1</v>
      </c>
      <c r="BA230">
        <v>3</v>
      </c>
      <c r="BB230" t="s">
        <v>11</v>
      </c>
      <c r="BD230" t="s">
        <v>704</v>
      </c>
      <c r="BE230" t="s">
        <v>1125</v>
      </c>
      <c r="BF230" t="s">
        <v>1815</v>
      </c>
      <c r="BG230" t="s">
        <v>1816</v>
      </c>
      <c r="BH230" s="1" t="s">
        <v>1817</v>
      </c>
      <c r="BI230">
        <f>HYPERLINK("http://exon.niaid.nih.gov/transcriptome/T_rubida/S1/links/GO/Triru-contig_189-GO.txt",0.000000000000000006)</f>
        <v>5.9999999999999997E-18</v>
      </c>
      <c r="BJ230" s="1" t="str">
        <f>HYPERLINK("http://exon.niaid.nih.gov/transcriptome/T_rubida/S1/links/CDD/Triru-contig_189-CDD.txt","S1_S28E")</f>
        <v>S1_S28E</v>
      </c>
      <c r="BK230" t="str">
        <f>HYPERLINK("http://www.ncbi.nlm.nih.gov/Structure/cdd/cddsrv.cgi?uid=cd04457&amp;version=v4.0","2E-019")</f>
        <v>2E-019</v>
      </c>
      <c r="BL230" t="s">
        <v>1818</v>
      </c>
      <c r="BM230" s="1" t="str">
        <f>HYPERLINK("http://exon.niaid.nih.gov/transcriptome/T_rubida/S1/links/KOG/Triru-contig_189-KOG.txt","40S ribosomal protein S28")</f>
        <v>40S ribosomal protein S28</v>
      </c>
      <c r="BN230" t="str">
        <f>HYPERLINK("http://www.ncbi.nlm.nih.gov/COG/grace/shokog.cgi?KOG3502","3E-017")</f>
        <v>3E-017</v>
      </c>
      <c r="BO230" t="s">
        <v>1185</v>
      </c>
      <c r="BP230" s="1" t="str">
        <f>HYPERLINK("http://exon.niaid.nih.gov/transcriptome/T_rubida/S1/links/PFAM/Triru-contig_189-PFAM.txt","Ribosomal_S28e")</f>
        <v>Ribosomal_S28e</v>
      </c>
      <c r="BQ230" t="str">
        <f>HYPERLINK("http://pfam.sanger.ac.uk/family?acc=PF01200","4E-019")</f>
        <v>4E-019</v>
      </c>
      <c r="BR230" s="1" t="str">
        <f>HYPERLINK("http://exon.niaid.nih.gov/transcriptome/T_rubida/S1/links/SMART/Triru-contig_189-SMART.txt","CysPc")</f>
        <v>CysPc</v>
      </c>
      <c r="BS230" t="str">
        <f>HYPERLINK("http://smart.embl-heidelberg.de/smart/do_annotation.pl?DOMAIN=CysPc&amp;BLAST=DUMMY","0.21")</f>
        <v>0.21</v>
      </c>
      <c r="BT230" s="1" t="str">
        <f>HYPERLINK("http://exon.niaid.nih.gov/transcriptome/T_rubida/S1/links/PRK/Triru-contig_189-PRK.txt","40S ribosomal protein S28")</f>
        <v>40S ribosomal protein S28</v>
      </c>
      <c r="BU230" s="2">
        <v>2.9999999999999999E-19</v>
      </c>
      <c r="BV230" s="1" t="s">
        <v>57</v>
      </c>
      <c r="BW230" t="s">
        <v>57</v>
      </c>
      <c r="BX230" s="1" t="s">
        <v>57</v>
      </c>
      <c r="BY230" t="s">
        <v>57</v>
      </c>
    </row>
    <row r="231" spans="1:77">
      <c r="A231" t="str">
        <f>HYPERLINK("http://exon.niaid.nih.gov/transcriptome/T_rubida/S1/links/Triru/Triru-contig_509.txt","Triru-contig_509")</f>
        <v>Triru-contig_509</v>
      </c>
      <c r="B231">
        <v>1</v>
      </c>
      <c r="C231" t="str">
        <f>HYPERLINK("http://exon.niaid.nih.gov/transcriptome/T_rubida/S1/links/Triru/Triru-5-48-asb-509.txt","Contig-509")</f>
        <v>Contig-509</v>
      </c>
      <c r="D231" t="str">
        <f>HYPERLINK("http://exon.niaid.nih.gov/transcriptome/T_rubida/S1/links/Triru/Triru-5-48-509-CLU.txt","Contig509")</f>
        <v>Contig509</v>
      </c>
      <c r="E231" t="str">
        <f>HYPERLINK("http://exon.niaid.nih.gov/transcriptome/T_rubida/S1/links/Triru/Triru-5-48-509-qual.txt","64.2")</f>
        <v>64.2</v>
      </c>
      <c r="F231" t="s">
        <v>10</v>
      </c>
      <c r="G231">
        <v>67</v>
      </c>
      <c r="H231">
        <v>208</v>
      </c>
      <c r="I231" t="s">
        <v>521</v>
      </c>
      <c r="J231">
        <v>208</v>
      </c>
      <c r="K231">
        <v>227</v>
      </c>
      <c r="L231">
        <v>156</v>
      </c>
      <c r="M231" t="s">
        <v>5254</v>
      </c>
      <c r="N231" s="15">
        <v>3</v>
      </c>
      <c r="Q231" s="5" t="s">
        <v>4992</v>
      </c>
      <c r="R231" t="s">
        <v>4820</v>
      </c>
      <c r="S231" t="str">
        <f>HYPERLINK("http://exon.niaid.nih.gov/transcriptome/T_rubida/S1/links/PRK/Triru-contig_509-PRK.txt","PRK")</f>
        <v>PRK</v>
      </c>
      <c r="T231" s="23">
        <v>5.0000000000000002E-26</v>
      </c>
      <c r="U231">
        <v>26.4</v>
      </c>
      <c r="V231" s="1" t="str">
        <f>HYPERLINK("http://exon.niaid.nih.gov/transcriptome/T_rubida/S1/links/NR/Triru-contig_509-NR.txt","GA20032")</f>
        <v>GA20032</v>
      </c>
      <c r="W231" t="str">
        <f>HYPERLINK("http://www.ncbi.nlm.nih.gov/sutils/blink.cgi?pid=198453726","6E-020")</f>
        <v>6E-020</v>
      </c>
      <c r="X231" t="str">
        <f>HYPERLINK("http://www.ncbi.nlm.nih.gov/protein/198453726","gi|198453726")</f>
        <v>gi|198453726</v>
      </c>
      <c r="Y231">
        <v>100</v>
      </c>
      <c r="Z231">
        <v>50</v>
      </c>
      <c r="AA231">
        <v>234</v>
      </c>
      <c r="AB231">
        <v>96</v>
      </c>
      <c r="AC231">
        <v>22</v>
      </c>
      <c r="AD231">
        <v>2</v>
      </c>
      <c r="AE231">
        <v>0</v>
      </c>
      <c r="AF231">
        <v>184</v>
      </c>
      <c r="AG231">
        <v>6</v>
      </c>
      <c r="AH231">
        <v>1</v>
      </c>
      <c r="AI231">
        <v>3</v>
      </c>
      <c r="AJ231" t="s">
        <v>11</v>
      </c>
      <c r="AL231" t="s">
        <v>1895</v>
      </c>
      <c r="AM231" t="s">
        <v>3923</v>
      </c>
      <c r="AN231" t="s">
        <v>3924</v>
      </c>
      <c r="AO231" s="1" t="str">
        <f>HYPERLINK("http://exon.niaid.nih.gov/transcriptome/T_rubida/S1/links/SWISSP/Triru-contig_509-SWISSP.txt","40S ribosomal protein S5b")</f>
        <v>40S ribosomal protein S5b</v>
      </c>
      <c r="AP231" t="str">
        <f>HYPERLINK("http://www.uniprot.org/uniprot/Q9VFE4","2E-021")</f>
        <v>2E-021</v>
      </c>
      <c r="AQ231" t="s">
        <v>3925</v>
      </c>
      <c r="AR231">
        <v>100</v>
      </c>
      <c r="AS231">
        <v>50</v>
      </c>
      <c r="AT231">
        <v>96</v>
      </c>
      <c r="AU231">
        <v>22</v>
      </c>
      <c r="AV231">
        <v>2</v>
      </c>
      <c r="AW231">
        <v>0</v>
      </c>
      <c r="AX231">
        <v>180</v>
      </c>
      <c r="AY231">
        <v>6</v>
      </c>
      <c r="AZ231">
        <v>1</v>
      </c>
      <c r="BA231">
        <v>3</v>
      </c>
      <c r="BB231" t="s">
        <v>11</v>
      </c>
      <c r="BD231" t="s">
        <v>704</v>
      </c>
      <c r="BE231" t="s">
        <v>1125</v>
      </c>
      <c r="BF231" t="s">
        <v>3926</v>
      </c>
      <c r="BG231" t="s">
        <v>3927</v>
      </c>
      <c r="BH231" s="1" t="s">
        <v>3928</v>
      </c>
      <c r="BI231">
        <f>HYPERLINK("http://exon.niaid.nih.gov/transcriptome/T_rubida/S1/links/GO/Triru-contig_509-GO.txt",2E-21)</f>
        <v>1.9999999999999998E-21</v>
      </c>
      <c r="BJ231" s="1" t="str">
        <f>HYPERLINK("http://exon.niaid.nih.gov/transcriptome/T_rubida/S1/links/CDD/Triru-contig_509-CDD.txt","PTZ00091")</f>
        <v>PTZ00091</v>
      </c>
      <c r="BK231" t="str">
        <f>HYPERLINK("http://www.ncbi.nlm.nih.gov/Structure/cdd/cddsrv.cgi?uid=PTZ00091&amp;version=v4.0","1E-025")</f>
        <v>1E-025</v>
      </c>
      <c r="BL231" t="s">
        <v>3929</v>
      </c>
      <c r="BM231" s="1" t="str">
        <f>HYPERLINK("http://exon.niaid.nih.gov/transcriptome/T_rubida/S1/links/KOG/Triru-contig_509-KOG.txt","Ribosomal protein S7")</f>
        <v>Ribosomal protein S7</v>
      </c>
      <c r="BN231" t="str">
        <f>HYPERLINK("http://www.ncbi.nlm.nih.gov/COG/grace/shokog.cgi?KOG3291","1E-019")</f>
        <v>1E-019</v>
      </c>
      <c r="BO231" t="s">
        <v>1185</v>
      </c>
      <c r="BP231" s="1" t="str">
        <f>HYPERLINK("http://exon.niaid.nih.gov/transcriptome/T_rubida/S1/links/PFAM/Triru-contig_509-PFAM.txt","Ribosomal_S7")</f>
        <v>Ribosomal_S7</v>
      </c>
      <c r="BQ231" t="str">
        <f>HYPERLINK("http://pfam.sanger.ac.uk/family?acc=PF00177","2E-014")</f>
        <v>2E-014</v>
      </c>
      <c r="BR231" s="1" t="str">
        <f>HYPERLINK("http://exon.niaid.nih.gov/transcriptome/T_rubida/S1/links/SMART/Triru-contig_509-SMART.txt","UBCc")</f>
        <v>UBCc</v>
      </c>
      <c r="BS231" t="str">
        <f>HYPERLINK("http://smart.embl-heidelberg.de/smart/do_annotation.pl?DOMAIN=UBCc&amp;BLAST=DUMMY","0.16")</f>
        <v>0.16</v>
      </c>
      <c r="BT231" s="1" t="str">
        <f>HYPERLINK("http://exon.niaid.nih.gov/transcriptome/T_rubida/S1/links/PRK/Triru-contig_509-PRK.txt","40S ribosomal protein S5")</f>
        <v>40S ribosomal protein S5</v>
      </c>
      <c r="BU231" s="2">
        <v>5.0000000000000002E-26</v>
      </c>
      <c r="BV231" s="1" t="s">
        <v>57</v>
      </c>
      <c r="BW231" t="s">
        <v>57</v>
      </c>
      <c r="BX231" s="1" t="s">
        <v>57</v>
      </c>
      <c r="BY231" t="s">
        <v>57</v>
      </c>
    </row>
    <row r="232" spans="1:77">
      <c r="A232" t="str">
        <f>HYPERLINK("http://exon.niaid.nih.gov/transcriptome/T_rubida/S1/links/Triru/Triru-contig_427.txt","Triru-contig_427")</f>
        <v>Triru-contig_427</v>
      </c>
      <c r="B232">
        <v>1</v>
      </c>
      <c r="C232" t="str">
        <f>HYPERLINK("http://exon.niaid.nih.gov/transcriptome/T_rubida/S1/links/Triru/Triru-5-48-asb-427.txt","Contig-427")</f>
        <v>Contig-427</v>
      </c>
      <c r="D232" t="str">
        <f>HYPERLINK("http://exon.niaid.nih.gov/transcriptome/T_rubida/S1/links/Triru/Triru-5-48-427-CLU.txt","Contig427")</f>
        <v>Contig427</v>
      </c>
      <c r="E232" t="str">
        <f>HYPERLINK("http://exon.niaid.nih.gov/transcriptome/T_rubida/S1/links/Triru/Triru-5-48-427-qual.txt","62.5")</f>
        <v>62.5</v>
      </c>
      <c r="F232" t="s">
        <v>10</v>
      </c>
      <c r="G232">
        <v>65.5</v>
      </c>
      <c r="H232">
        <v>204</v>
      </c>
      <c r="I232" t="s">
        <v>439</v>
      </c>
      <c r="J232">
        <v>204</v>
      </c>
      <c r="K232">
        <v>223</v>
      </c>
      <c r="L232">
        <v>165</v>
      </c>
      <c r="M232" t="s">
        <v>5255</v>
      </c>
      <c r="N232" s="15">
        <v>2</v>
      </c>
      <c r="Q232" s="5" t="s">
        <v>4963</v>
      </c>
      <c r="R232" t="s">
        <v>4820</v>
      </c>
      <c r="S232" t="str">
        <f>HYPERLINK("http://exon.niaid.nih.gov/transcriptome/T_rubida/S1/links/PRK/Triru-contig_427-PRK.txt","PRK")</f>
        <v>PRK</v>
      </c>
      <c r="T232" s="23">
        <v>5.9999999999999999E-16</v>
      </c>
      <c r="U232">
        <v>33.299999999999997</v>
      </c>
      <c r="V232" s="1" t="str">
        <f>HYPERLINK("http://exon.niaid.nih.gov/transcriptome/T_rubida/S1/links/NR/Triru-contig_427-NR.txt","ribosomal protein L30-like")</f>
        <v>ribosomal protein L30-like</v>
      </c>
      <c r="W232" t="str">
        <f>HYPERLINK("http://www.ncbi.nlm.nih.gov/sutils/blink.cgi?pid=291225003","5E-014")</f>
        <v>5E-014</v>
      </c>
      <c r="X232" t="str">
        <f>HYPERLINK("http://www.ncbi.nlm.nih.gov/protein/291225003","gi|291225003")</f>
        <v>gi|291225003</v>
      </c>
      <c r="Y232">
        <v>81.3</v>
      </c>
      <c r="Z232">
        <v>38</v>
      </c>
      <c r="AA232">
        <v>114</v>
      </c>
      <c r="AB232">
        <v>92</v>
      </c>
      <c r="AC232">
        <v>34</v>
      </c>
      <c r="AD232">
        <v>3</v>
      </c>
      <c r="AE232">
        <v>0</v>
      </c>
      <c r="AF232">
        <v>73</v>
      </c>
      <c r="AG232">
        <v>25</v>
      </c>
      <c r="AH232">
        <v>1</v>
      </c>
      <c r="AI232">
        <v>1</v>
      </c>
      <c r="AJ232" t="s">
        <v>11</v>
      </c>
      <c r="AL232" t="s">
        <v>3370</v>
      </c>
      <c r="AM232" t="s">
        <v>3371</v>
      </c>
      <c r="AN232" t="s">
        <v>3372</v>
      </c>
      <c r="AO232" s="1" t="str">
        <f>HYPERLINK("http://exon.niaid.nih.gov/transcriptome/T_rubida/S1/links/SWISSP/Triru-contig_427-SWISSP.txt","60S ribosomal protein L30")</f>
        <v>60S ribosomal protein L30</v>
      </c>
      <c r="AP232" t="str">
        <f>HYPERLINK("http://www.uniprot.org/uniprot/P58374","4E-015")</f>
        <v>4E-015</v>
      </c>
      <c r="AQ232" t="s">
        <v>3373</v>
      </c>
      <c r="AR232">
        <v>80.099999999999994</v>
      </c>
      <c r="AS232">
        <v>38</v>
      </c>
      <c r="AT232">
        <v>89</v>
      </c>
      <c r="AU232">
        <v>34</v>
      </c>
      <c r="AV232">
        <v>4</v>
      </c>
      <c r="AW232">
        <v>0</v>
      </c>
      <c r="AX232">
        <v>70</v>
      </c>
      <c r="AY232">
        <v>25</v>
      </c>
      <c r="AZ232">
        <v>1</v>
      </c>
      <c r="BA232">
        <v>1</v>
      </c>
      <c r="BB232" t="s">
        <v>11</v>
      </c>
      <c r="BD232" t="s">
        <v>704</v>
      </c>
      <c r="BE232" t="s">
        <v>3374</v>
      </c>
      <c r="BF232" t="s">
        <v>3375</v>
      </c>
      <c r="BG232" t="s">
        <v>3376</v>
      </c>
      <c r="BH232" s="1" t="s">
        <v>3377</v>
      </c>
      <c r="BI232">
        <f>HYPERLINK("http://exon.niaid.nih.gov/transcriptome/T_rubida/S1/links/GO/Triru-contig_427-GO.txt",0.00000000000003)</f>
        <v>2.9999999999999998E-14</v>
      </c>
      <c r="BJ232" s="1" t="str">
        <f>HYPERLINK("http://exon.niaid.nih.gov/transcriptome/T_rubida/S1/links/CDD/Triru-contig_427-CDD.txt","PTZ00106")</f>
        <v>PTZ00106</v>
      </c>
      <c r="BK232" t="str">
        <f>HYPERLINK("http://www.ncbi.nlm.nih.gov/Structure/cdd/cddsrv.cgi?uid=PTZ00106&amp;version=v4.0","2E-015")</f>
        <v>2E-015</v>
      </c>
      <c r="BL232" t="s">
        <v>3378</v>
      </c>
      <c r="BM232" s="1" t="str">
        <f>HYPERLINK("http://exon.niaid.nih.gov/transcriptome/T_rubida/S1/links/KOG/Triru-contig_427-KOG.txt","60S ribosomal protein L30")</f>
        <v>60S ribosomal protein L30</v>
      </c>
      <c r="BN232" t="str">
        <f>HYPERLINK("http://www.ncbi.nlm.nih.gov/COG/grace/shokog.cgi?KOG2988","3E-013")</f>
        <v>3E-013</v>
      </c>
      <c r="BO232" t="s">
        <v>1185</v>
      </c>
      <c r="BP232" s="1" t="str">
        <f>HYPERLINK("http://exon.niaid.nih.gov/transcriptome/T_rubida/S1/links/PFAM/Triru-contig_427-PFAM.txt","Ribosomal_L7Ae")</f>
        <v>Ribosomal_L7Ae</v>
      </c>
      <c r="BQ232" t="str">
        <f>HYPERLINK("http://pfam.sanger.ac.uk/family?acc=PF01248","9E-006")</f>
        <v>9E-006</v>
      </c>
      <c r="BR232" s="1" t="str">
        <f>HYPERLINK("http://exon.niaid.nih.gov/transcriptome/T_rubida/S1/links/SMART/Triru-contig_427-SMART.txt","VKc")</f>
        <v>VKc</v>
      </c>
      <c r="BS232" t="str">
        <f>HYPERLINK("http://smart.embl-heidelberg.de/smart/do_annotation.pl?DOMAIN=VKc&amp;BLAST=DUMMY","0.18")</f>
        <v>0.18</v>
      </c>
      <c r="BT232" s="1" t="str">
        <f>HYPERLINK("http://exon.niaid.nih.gov/transcriptome/T_rubida/S1/links/PRK/Triru-contig_427-PRK.txt","60S ribosomal protein L30")</f>
        <v>60S ribosomal protein L30</v>
      </c>
      <c r="BU232" s="2">
        <v>5.9999999999999999E-16</v>
      </c>
      <c r="BV232" s="1" t="s">
        <v>57</v>
      </c>
      <c r="BW232" t="s">
        <v>57</v>
      </c>
      <c r="BX232" s="1" t="s">
        <v>57</v>
      </c>
      <c r="BY232" t="s">
        <v>57</v>
      </c>
    </row>
    <row r="233" spans="1:77">
      <c r="A233" t="str">
        <f>HYPERLINK("http://exon.niaid.nih.gov/transcriptome/T_rubida/S1/links/Triru/Triru-contig_106.txt","Triru-contig_106")</f>
        <v>Triru-contig_106</v>
      </c>
      <c r="B233">
        <v>4</v>
      </c>
      <c r="C233" t="str">
        <f>HYPERLINK("http://exon.niaid.nih.gov/transcriptome/T_rubida/S1/links/Triru/Triru-5-48-asb-106.txt","Contig-106")</f>
        <v>Contig-106</v>
      </c>
      <c r="D233" t="str">
        <f>HYPERLINK("http://exon.niaid.nih.gov/transcriptome/T_rubida/S1/links/Triru/Triru-5-48-106-CLU.txt","Contig106")</f>
        <v>Contig106</v>
      </c>
      <c r="E233" t="str">
        <f>HYPERLINK("http://exon.niaid.nih.gov/transcriptome/T_rubida/S1/links/Triru/Triru-5-48-106-qual.txt","73.4")</f>
        <v>73.4</v>
      </c>
      <c r="F233" t="s">
        <v>10</v>
      </c>
      <c r="G233">
        <v>64.2</v>
      </c>
      <c r="H233">
        <v>403</v>
      </c>
      <c r="I233" t="s">
        <v>118</v>
      </c>
      <c r="J233">
        <v>403</v>
      </c>
      <c r="K233">
        <v>422</v>
      </c>
      <c r="L233">
        <v>357</v>
      </c>
      <c r="M233" t="s">
        <v>5256</v>
      </c>
      <c r="N233" s="15">
        <v>2</v>
      </c>
      <c r="O233" s="14" t="str">
        <f>HYPERLINK("http://exon.niaid.nih.gov/transcriptome/T_rubida/S1/links/Sigp/TRIRU-CONTIG_106-SigP.txt","Cyt")</f>
        <v>Cyt</v>
      </c>
      <c r="Q233" s="5" t="s">
        <v>4854</v>
      </c>
      <c r="R233" t="s">
        <v>4820</v>
      </c>
      <c r="S233" t="str">
        <f>HYPERLINK("http://exon.niaid.nih.gov/transcriptome/T_rubida/S1/links/PRK/Triru-contig_106-PRK.txt","PRK")</f>
        <v>PRK</v>
      </c>
      <c r="T233" s="23">
        <v>5.0000000000000002E-63</v>
      </c>
      <c r="U233">
        <v>77.2</v>
      </c>
      <c r="V233" s="1" t="str">
        <f>HYPERLINK("http://exon.niaid.nih.gov/transcriptome/T_rubida/S1/links/NR/Triru-contig_106-NR.txt","S18e ribosomal protein")</f>
        <v>S18e ribosomal protein</v>
      </c>
      <c r="W233" t="str">
        <f>HYPERLINK("http://www.ncbi.nlm.nih.gov/sutils/blink.cgi?pid=263173239","2E-058")</f>
        <v>2E-058</v>
      </c>
      <c r="X233" t="str">
        <f>HYPERLINK("http://www.ncbi.nlm.nih.gov/protein/263173239","gi|263173239")</f>
        <v>gi|263173239</v>
      </c>
      <c r="Y233">
        <v>228</v>
      </c>
      <c r="Z233">
        <v>118</v>
      </c>
      <c r="AA233">
        <v>131</v>
      </c>
      <c r="AB233">
        <v>92</v>
      </c>
      <c r="AC233">
        <v>91</v>
      </c>
      <c r="AD233">
        <v>9</v>
      </c>
      <c r="AE233">
        <v>0</v>
      </c>
      <c r="AF233">
        <v>13</v>
      </c>
      <c r="AG233">
        <v>2</v>
      </c>
      <c r="AH233">
        <v>1</v>
      </c>
      <c r="AI233">
        <v>2</v>
      </c>
      <c r="AJ233" t="s">
        <v>11</v>
      </c>
      <c r="AL233" t="s">
        <v>1294</v>
      </c>
      <c r="AM233" t="s">
        <v>1295</v>
      </c>
      <c r="AN233" t="s">
        <v>1296</v>
      </c>
      <c r="AO233" s="1" t="str">
        <f>HYPERLINK("http://exon.niaid.nih.gov/transcriptome/T_rubida/S1/links/SWISSP/Triru-contig_106-SWISSP.txt","40S ribosomal protein S18")</f>
        <v>40S ribosomal protein S18</v>
      </c>
      <c r="AP233" t="str">
        <f>HYPERLINK("http://www.uniprot.org/uniprot/Q962R1","3E-059")</f>
        <v>3E-059</v>
      </c>
      <c r="AQ233" t="s">
        <v>1297</v>
      </c>
      <c r="AR233">
        <v>226</v>
      </c>
      <c r="AS233">
        <v>118</v>
      </c>
      <c r="AT233">
        <v>89</v>
      </c>
      <c r="AU233">
        <v>78</v>
      </c>
      <c r="AV233">
        <v>12</v>
      </c>
      <c r="AW233">
        <v>0</v>
      </c>
      <c r="AX233">
        <v>34</v>
      </c>
      <c r="AY233">
        <v>2</v>
      </c>
      <c r="AZ233">
        <v>1</v>
      </c>
      <c r="BA233">
        <v>2</v>
      </c>
      <c r="BB233" t="s">
        <v>11</v>
      </c>
      <c r="BD233" t="s">
        <v>704</v>
      </c>
      <c r="BE233" t="s">
        <v>1246</v>
      </c>
      <c r="BF233" t="s">
        <v>1298</v>
      </c>
      <c r="BG233" t="s">
        <v>1299</v>
      </c>
      <c r="BH233" s="1" t="s">
        <v>1300</v>
      </c>
      <c r="BI233">
        <f>HYPERLINK("http://exon.niaid.nih.gov/transcriptome/T_rubida/S1/links/GO/Triru-contig_106-GO.txt",4E-56)</f>
        <v>4.0000000000000002E-56</v>
      </c>
      <c r="BJ233" s="1" t="str">
        <f>HYPERLINK("http://exon.niaid.nih.gov/transcriptome/T_rubida/S1/links/CDD/Triru-contig_106-CDD.txt","PTZ00134")</f>
        <v>PTZ00134</v>
      </c>
      <c r="BK233" t="str">
        <f>HYPERLINK("http://www.ncbi.nlm.nih.gov/Structure/cdd/cddsrv.cgi?uid=PTZ00134&amp;version=v4.0","1E-062")</f>
        <v>1E-062</v>
      </c>
      <c r="BL233" t="s">
        <v>1301</v>
      </c>
      <c r="BM233" s="1" t="str">
        <f>HYPERLINK("http://exon.niaid.nih.gov/transcriptome/T_rubida/S1/links/KOG/Triru-contig_106-KOG.txt","Ribosomal protein S18")</f>
        <v>Ribosomal protein S18</v>
      </c>
      <c r="BN233" t="str">
        <f>HYPERLINK("http://www.ncbi.nlm.nih.gov/COG/grace/shokog.cgi?KOG3311","1E-050")</f>
        <v>1E-050</v>
      </c>
      <c r="BO233" t="s">
        <v>1185</v>
      </c>
      <c r="BP233" s="1" t="str">
        <f>HYPERLINK("http://exon.niaid.nih.gov/transcriptome/T_rubida/S1/links/PFAM/Triru-contig_106-PFAM.txt","Ribosomal_S13")</f>
        <v>Ribosomal_S13</v>
      </c>
      <c r="BQ233" t="str">
        <f>HYPERLINK("http://pfam.sanger.ac.uk/family?acc=PF00416","8E-032")</f>
        <v>8E-032</v>
      </c>
      <c r="BR233" s="1" t="str">
        <f>HYPERLINK("http://exon.niaid.nih.gov/transcriptome/T_rubida/S1/links/SMART/Triru-contig_106-SMART.txt","LYZ1")</f>
        <v>LYZ1</v>
      </c>
      <c r="BS233" t="str">
        <f>HYPERLINK("http://smart.embl-heidelberg.de/smart/do_annotation.pl?DOMAIN=LYZ1&amp;BLAST=DUMMY","0.22")</f>
        <v>0.22</v>
      </c>
      <c r="BT233" s="1" t="str">
        <f>HYPERLINK("http://exon.niaid.nih.gov/transcriptome/T_rubida/S1/links/PRK/Triru-contig_106-PRK.txt","40S ribosomal protein S18")</f>
        <v>40S ribosomal protein S18</v>
      </c>
      <c r="BU233" s="2">
        <v>5.0000000000000002E-63</v>
      </c>
      <c r="BV233" s="1" t="s">
        <v>57</v>
      </c>
      <c r="BW233" t="s">
        <v>57</v>
      </c>
      <c r="BX233" s="1" t="s">
        <v>57</v>
      </c>
      <c r="BY233" t="s">
        <v>57</v>
      </c>
    </row>
    <row r="234" spans="1:77">
      <c r="A234" t="str">
        <f>HYPERLINK("http://exon.niaid.nih.gov/transcriptome/T_rubida/S1/links/Triru/Triru-contig_643.txt","Triru-contig_643")</f>
        <v>Triru-contig_643</v>
      </c>
      <c r="B234">
        <v>1</v>
      </c>
      <c r="C234" t="str">
        <f>HYPERLINK("http://exon.niaid.nih.gov/transcriptome/T_rubida/S1/links/Triru/Triru-5-48-asb-643.txt","Contig-643")</f>
        <v>Contig-643</v>
      </c>
      <c r="D234" t="str">
        <f>HYPERLINK("http://exon.niaid.nih.gov/transcriptome/T_rubida/S1/links/Triru/Triru-5-48-643-CLU.txt","Contig643")</f>
        <v>Contig643</v>
      </c>
      <c r="E234" t="str">
        <f>HYPERLINK("http://exon.niaid.nih.gov/transcriptome/T_rubida/S1/links/Triru/Triru-5-48-643-qual.txt","57.")</f>
        <v>57.</v>
      </c>
      <c r="F234" t="s">
        <v>10</v>
      </c>
      <c r="G234">
        <v>64.099999999999994</v>
      </c>
      <c r="H234">
        <v>187</v>
      </c>
      <c r="I234" t="s">
        <v>655</v>
      </c>
      <c r="J234">
        <v>187</v>
      </c>
      <c r="K234">
        <v>206</v>
      </c>
      <c r="L234">
        <v>150</v>
      </c>
      <c r="M234" t="s">
        <v>5257</v>
      </c>
      <c r="N234" s="15">
        <v>1</v>
      </c>
      <c r="Q234" s="5" t="s">
        <v>5030</v>
      </c>
      <c r="R234" t="s">
        <v>4820</v>
      </c>
      <c r="S234" t="str">
        <f>HYPERLINK("http://exon.niaid.nih.gov/transcriptome/T_rubida/S1/links/PRK/Triru-contig_643-PRK.txt","PRK")</f>
        <v>PRK</v>
      </c>
      <c r="T234" s="23">
        <v>6.9999999999999993E-24</v>
      </c>
      <c r="U234">
        <v>22.4</v>
      </c>
      <c r="V234" s="1" t="str">
        <f>HYPERLINK("http://exon.niaid.nih.gov/transcriptome/T_rubida/S1/links/NR/Triru-contig_643-NR.txt","40S ribosomal protein S8")</f>
        <v>40S ribosomal protein S8</v>
      </c>
      <c r="W234" t="str">
        <f>HYPERLINK("http://www.ncbi.nlm.nih.gov/sutils/blink.cgi?pid=149689088","6E-019")</f>
        <v>6E-019</v>
      </c>
      <c r="X234" t="str">
        <f>HYPERLINK("http://www.ncbi.nlm.nih.gov/protein/149689088","gi|149689088")</f>
        <v>gi|149689088</v>
      </c>
      <c r="Y234">
        <v>97.4</v>
      </c>
      <c r="Z234">
        <v>48</v>
      </c>
      <c r="AA234">
        <v>208</v>
      </c>
      <c r="AB234">
        <v>93</v>
      </c>
      <c r="AC234">
        <v>24</v>
      </c>
      <c r="AD234">
        <v>3</v>
      </c>
      <c r="AE234">
        <v>0</v>
      </c>
      <c r="AF234">
        <v>160</v>
      </c>
      <c r="AG234">
        <v>4</v>
      </c>
      <c r="AH234">
        <v>1</v>
      </c>
      <c r="AI234">
        <v>1</v>
      </c>
      <c r="AJ234" t="s">
        <v>11</v>
      </c>
      <c r="AL234" t="s">
        <v>1067</v>
      </c>
      <c r="AM234" t="s">
        <v>4735</v>
      </c>
      <c r="AN234" t="s">
        <v>1428</v>
      </c>
      <c r="AO234" s="1" t="str">
        <f>HYPERLINK("http://exon.niaid.nih.gov/transcriptome/T_rubida/S1/links/SWISSP/Triru-contig_643-SWISSP.txt","40S ribosomal protein S8")</f>
        <v>40S ribosomal protein S8</v>
      </c>
      <c r="AP234" t="str">
        <f>HYPERLINK("http://www.uniprot.org/uniprot/Q7SYU0","2E-018")</f>
        <v>2E-018</v>
      </c>
      <c r="AQ234" t="s">
        <v>4736</v>
      </c>
      <c r="AR234">
        <v>90.9</v>
      </c>
      <c r="AS234">
        <v>46</v>
      </c>
      <c r="AT234">
        <v>89</v>
      </c>
      <c r="AU234">
        <v>23</v>
      </c>
      <c r="AV234">
        <v>5</v>
      </c>
      <c r="AW234">
        <v>0</v>
      </c>
      <c r="AX234">
        <v>162</v>
      </c>
      <c r="AY234">
        <v>10</v>
      </c>
      <c r="AZ234">
        <v>1</v>
      </c>
      <c r="BA234">
        <v>1</v>
      </c>
      <c r="BB234" t="s">
        <v>11</v>
      </c>
      <c r="BD234" t="s">
        <v>704</v>
      </c>
      <c r="BE234" t="s">
        <v>2158</v>
      </c>
      <c r="BF234" t="s">
        <v>4737</v>
      </c>
      <c r="BG234" t="s">
        <v>4738</v>
      </c>
      <c r="BH234" s="1" t="s">
        <v>3767</v>
      </c>
      <c r="BI234">
        <f>HYPERLINK("http://exon.niaid.nih.gov/transcriptome/T_rubida/S1/links/GO/Triru-contig_643-GO.txt",0.000000000000000003)</f>
        <v>2.9999999999999998E-18</v>
      </c>
      <c r="BJ234" s="1" t="str">
        <f>HYPERLINK("http://exon.niaid.nih.gov/transcriptome/T_rubida/S1/links/CDD/Triru-contig_643-CDD.txt","PTZ00148")</f>
        <v>PTZ00148</v>
      </c>
      <c r="BK234" t="str">
        <f>HYPERLINK("http://www.ncbi.nlm.nih.gov/Structure/cdd/cddsrv.cgi?uid=PTZ00148&amp;version=v4.0","2E-023")</f>
        <v>2E-023</v>
      </c>
      <c r="BL234" t="s">
        <v>4739</v>
      </c>
      <c r="BM234" s="1" t="str">
        <f>HYPERLINK("http://exon.niaid.nih.gov/transcriptome/T_rubida/S1/links/KOG/Triru-contig_643-KOG.txt","40S ribosomal protein S8")</f>
        <v>40S ribosomal protein S8</v>
      </c>
      <c r="BN234" t="str">
        <f>HYPERLINK("http://www.ncbi.nlm.nih.gov/COG/grace/shokog.cgi?KOG3283","9E-022")</f>
        <v>9E-022</v>
      </c>
      <c r="BO234" t="s">
        <v>1185</v>
      </c>
      <c r="BP234" s="1" t="str">
        <f>HYPERLINK("http://exon.niaid.nih.gov/transcriptome/T_rubida/S1/links/PFAM/Triru-contig_643-PFAM.txt","Ribosomal_S8e")</f>
        <v>Ribosomal_S8e</v>
      </c>
      <c r="BQ234" t="str">
        <f>HYPERLINK("http://pfam.sanger.ac.uk/family?acc=PF01201","2E-005")</f>
        <v>2E-005</v>
      </c>
      <c r="BR234" s="1" t="str">
        <f>HYPERLINK("http://exon.niaid.nih.gov/transcriptome/T_rubida/S1/links/SMART/Triru-contig_643-SMART.txt","S1")</f>
        <v>S1</v>
      </c>
      <c r="BS234" t="str">
        <f>HYPERLINK("http://smart.embl-heidelberg.de/smart/do_annotation.pl?DOMAIN=S1&amp;BLAST=DUMMY","0.079")</f>
        <v>0.079</v>
      </c>
      <c r="BT234" s="1" t="str">
        <f>HYPERLINK("http://exon.niaid.nih.gov/transcriptome/T_rubida/S1/links/PRK/Triru-contig_643-PRK.txt","40S ribosomal protein S8")</f>
        <v>40S ribosomal protein S8</v>
      </c>
      <c r="BU234" s="2">
        <v>6.9999999999999993E-24</v>
      </c>
      <c r="BV234" s="1" t="s">
        <v>57</v>
      </c>
      <c r="BW234" t="s">
        <v>57</v>
      </c>
      <c r="BX234" s="1" t="s">
        <v>57</v>
      </c>
      <c r="BY234" t="s">
        <v>57</v>
      </c>
    </row>
    <row r="235" spans="1:77">
      <c r="A235" t="str">
        <f>HYPERLINK("http://exon.niaid.nih.gov/transcriptome/T_rubida/S1/links/Triru/Triru-contig_171.txt","Triru-contig_171")</f>
        <v>Triru-contig_171</v>
      </c>
      <c r="B235">
        <v>1</v>
      </c>
      <c r="C235" t="str">
        <f>HYPERLINK("http://exon.niaid.nih.gov/transcriptome/T_rubida/S1/links/Triru/Triru-5-48-asb-171.txt","Contig-171")</f>
        <v>Contig-171</v>
      </c>
      <c r="D235" t="str">
        <f>HYPERLINK("http://exon.niaid.nih.gov/transcriptome/T_rubida/S1/links/Triru/Triru-5-48-171-CLU.txt","Contig171")</f>
        <v>Contig171</v>
      </c>
      <c r="E235" t="str">
        <f>HYPERLINK("http://exon.niaid.nih.gov/transcriptome/T_rubida/S1/links/Triru/Triru-5-48-171-qual.txt","61.")</f>
        <v>61.</v>
      </c>
      <c r="F235" t="s">
        <v>10</v>
      </c>
      <c r="G235">
        <v>65.599999999999994</v>
      </c>
      <c r="H235">
        <v>196</v>
      </c>
      <c r="I235" t="s">
        <v>183</v>
      </c>
      <c r="J235">
        <v>196</v>
      </c>
      <c r="K235">
        <v>215</v>
      </c>
      <c r="L235">
        <v>153</v>
      </c>
      <c r="M235" t="s">
        <v>5258</v>
      </c>
      <c r="N235" s="15">
        <v>3</v>
      </c>
      <c r="O235" s="14" t="str">
        <f>HYPERLINK("http://exon.niaid.nih.gov/transcriptome/T_rubida/S1/links/Sigp/TRIRU-CONTIG_171-SigP.txt","Cyt")</f>
        <v>Cyt</v>
      </c>
      <c r="Q235" s="5" t="s">
        <v>4889</v>
      </c>
      <c r="R235" t="s">
        <v>4820</v>
      </c>
      <c r="S235" t="str">
        <f>HYPERLINK("http://exon.niaid.nih.gov/transcriptome/T_rubida/S1/links/PRK/Triru-contig_171-PRK.txt","PRK")</f>
        <v>PRK</v>
      </c>
      <c r="T235" s="23">
        <v>2.0000000000000001E-22</v>
      </c>
      <c r="U235">
        <v>36.799999999999997</v>
      </c>
      <c r="V235" s="1" t="str">
        <f>HYPERLINK("http://exon.niaid.nih.gov/transcriptome/T_rubida/S1/links/NR/Triru-contig_171-NR.txt","similar to ribosomal protein L32 isoform 2")</f>
        <v>similar to ribosomal protein L32 isoform 2</v>
      </c>
      <c r="W235" t="str">
        <f>HYPERLINK("http://www.ncbi.nlm.nih.gov/sutils/blink.cgi?pid=156551531","7E-018")</f>
        <v>7E-018</v>
      </c>
      <c r="X235" t="str">
        <f>HYPERLINK("http://www.ncbi.nlm.nih.gov/protein/156551531","gi|156551531")</f>
        <v>gi|156551531</v>
      </c>
      <c r="Y235">
        <v>94</v>
      </c>
      <c r="Z235">
        <v>48</v>
      </c>
      <c r="AA235">
        <v>134</v>
      </c>
      <c r="AB235">
        <v>93</v>
      </c>
      <c r="AC235">
        <v>37</v>
      </c>
      <c r="AD235">
        <v>3</v>
      </c>
      <c r="AE235">
        <v>0</v>
      </c>
      <c r="AF235">
        <v>86</v>
      </c>
      <c r="AG235">
        <v>9</v>
      </c>
      <c r="AH235">
        <v>1</v>
      </c>
      <c r="AI235">
        <v>3</v>
      </c>
      <c r="AJ235" t="s">
        <v>11</v>
      </c>
      <c r="AL235" t="s">
        <v>1330</v>
      </c>
      <c r="AM235" t="s">
        <v>1712</v>
      </c>
      <c r="AN235" t="s">
        <v>1713</v>
      </c>
      <c r="AO235" s="1" t="str">
        <f>HYPERLINK("http://exon.niaid.nih.gov/transcriptome/T_rubida/S1/links/SWISSP/Triru-contig_171-SWISSP.txt","60S ribosomal protein L32")</f>
        <v>60S ribosomal protein L32</v>
      </c>
      <c r="AP235" t="str">
        <f>HYPERLINK("http://www.uniprot.org/uniprot/Q962T1","2E-017")</f>
        <v>2E-017</v>
      </c>
      <c r="AQ235" t="s">
        <v>1714</v>
      </c>
      <c r="AR235">
        <v>87.4</v>
      </c>
      <c r="AS235">
        <v>48</v>
      </c>
      <c r="AT235">
        <v>85</v>
      </c>
      <c r="AU235">
        <v>37</v>
      </c>
      <c r="AV235">
        <v>7</v>
      </c>
      <c r="AW235">
        <v>0</v>
      </c>
      <c r="AX235">
        <v>86</v>
      </c>
      <c r="AY235">
        <v>9</v>
      </c>
      <c r="AZ235">
        <v>1</v>
      </c>
      <c r="BA235">
        <v>3</v>
      </c>
      <c r="BB235" t="s">
        <v>11</v>
      </c>
      <c r="BD235" t="s">
        <v>704</v>
      </c>
      <c r="BE235" t="s">
        <v>1246</v>
      </c>
      <c r="BF235" t="s">
        <v>1715</v>
      </c>
      <c r="BG235" t="s">
        <v>1716</v>
      </c>
      <c r="BH235" s="1" t="s">
        <v>1717</v>
      </c>
      <c r="BI235">
        <f>HYPERLINK("http://exon.niaid.nih.gov/transcriptome/T_rubida/S1/links/GO/Triru-contig_171-GO.txt",0.00000000000001)</f>
        <v>1E-14</v>
      </c>
      <c r="BJ235" s="1" t="str">
        <f>HYPERLINK("http://exon.niaid.nih.gov/transcriptome/T_rubida/S1/links/CDD/Triru-contig_171-CDD.txt","PTZ00159")</f>
        <v>PTZ00159</v>
      </c>
      <c r="BK235" t="str">
        <f>HYPERLINK("http://www.ncbi.nlm.nih.gov/Structure/cdd/cddsrv.cgi?uid=PTZ00159&amp;version=v4.0","6E-022")</f>
        <v>6E-022</v>
      </c>
      <c r="BL235" t="s">
        <v>1718</v>
      </c>
      <c r="BM235" s="1" t="str">
        <f>HYPERLINK("http://exon.niaid.nih.gov/transcriptome/T_rubida/S1/links/KOG/Triru-contig_171-KOG.txt","60S ribosomal protein L32")</f>
        <v>60S ribosomal protein L32</v>
      </c>
      <c r="BN235" t="str">
        <f>HYPERLINK("http://www.ncbi.nlm.nih.gov/COG/grace/shokog.cgi?KOG0878","7E-012")</f>
        <v>7E-012</v>
      </c>
      <c r="BO235" t="s">
        <v>1185</v>
      </c>
      <c r="BP235" s="1" t="str">
        <f>HYPERLINK("http://exon.niaid.nih.gov/transcriptome/T_rubida/S1/links/PFAM/Triru-contig_171-PFAM.txt","Ribosomal_L32e")</f>
        <v>Ribosomal_L32e</v>
      </c>
      <c r="BQ235" t="str">
        <f>HYPERLINK("http://pfam.sanger.ac.uk/family?acc=PF01655","7E-015")</f>
        <v>7E-015</v>
      </c>
      <c r="BR235" s="1" t="str">
        <f>HYPERLINK("http://exon.niaid.nih.gov/transcriptome/T_rubida/S1/links/SMART/Triru-contig_171-SMART.txt","MADS")</f>
        <v>MADS</v>
      </c>
      <c r="BS235" t="str">
        <f>HYPERLINK("http://smart.embl-heidelberg.de/smart/do_annotation.pl?DOMAIN=MADS&amp;BLAST=DUMMY","0.21")</f>
        <v>0.21</v>
      </c>
      <c r="BT235" s="1" t="str">
        <f>HYPERLINK("http://exon.niaid.nih.gov/transcriptome/T_rubida/S1/links/PRK/Triru-contig_171-PRK.txt","60S ribosomal protein L32")</f>
        <v>60S ribosomal protein L32</v>
      </c>
      <c r="BU235" s="2">
        <v>2.0000000000000001E-22</v>
      </c>
      <c r="BV235" s="1" t="s">
        <v>57</v>
      </c>
      <c r="BW235" t="s">
        <v>57</v>
      </c>
      <c r="BX235" s="1" t="s">
        <v>57</v>
      </c>
      <c r="BY235" t="s">
        <v>57</v>
      </c>
    </row>
    <row r="236" spans="1:77">
      <c r="A236" t="str">
        <f>HYPERLINK("http://exon.niaid.nih.gov/transcriptome/T_rubida/S1/links/Triru/Triru-contig_111.txt","Triru-contig_111")</f>
        <v>Triru-contig_111</v>
      </c>
      <c r="B236">
        <v>4</v>
      </c>
      <c r="C236" t="str">
        <f>HYPERLINK("http://exon.niaid.nih.gov/transcriptome/T_rubida/S1/links/Triru/Triru-5-48-asb-111.txt","Contig-111")</f>
        <v>Contig-111</v>
      </c>
      <c r="D236" t="str">
        <f>HYPERLINK("http://exon.niaid.nih.gov/transcriptome/T_rubida/S1/links/Triru/Triru-5-48-111-CLU.txt","Contig111")</f>
        <v>Contig111</v>
      </c>
      <c r="E236" t="str">
        <f>HYPERLINK("http://exon.niaid.nih.gov/transcriptome/T_rubida/S1/links/Triru/Triru-5-48-111-qual.txt","82.1")</f>
        <v>82.1</v>
      </c>
      <c r="F236" t="s">
        <v>10</v>
      </c>
      <c r="G236">
        <v>57</v>
      </c>
      <c r="H236">
        <v>578</v>
      </c>
      <c r="I236" t="s">
        <v>123</v>
      </c>
      <c r="J236">
        <v>578</v>
      </c>
      <c r="K236">
        <v>597</v>
      </c>
      <c r="L236">
        <v>525</v>
      </c>
      <c r="M236" t="s">
        <v>5259</v>
      </c>
      <c r="N236" s="15">
        <v>3</v>
      </c>
      <c r="O236" s="14" t="str">
        <f>HYPERLINK("http://exon.niaid.nih.gov/transcriptome/T_rubida/S1/links/Sigp/TRIRU-CONTIG_111-SigP.txt","BL")</f>
        <v>BL</v>
      </c>
      <c r="P236" t="s">
        <v>5057</v>
      </c>
      <c r="Q236" s="5" t="s">
        <v>4858</v>
      </c>
      <c r="R236" t="s">
        <v>4820</v>
      </c>
      <c r="S236" t="str">
        <f>HYPERLINK("http://exon.niaid.nih.gov/transcriptome/T_rubida/S1/links/PRK/Triru-contig_111-PRK.txt","PRK")</f>
        <v>PRK</v>
      </c>
      <c r="T236" s="23">
        <v>2.0000000000000001E-53</v>
      </c>
      <c r="U236">
        <v>53.8</v>
      </c>
      <c r="V236" s="1" t="str">
        <f>HYPERLINK("http://exon.niaid.nih.gov/transcriptome/T_rubida/S1/links/NR/Triru-contig_111-NR.txt","similar to putative 40S ribosomal protein SA")</f>
        <v>similar to putative 40S ribosomal protein SA</v>
      </c>
      <c r="W236" t="str">
        <f>HYPERLINK("http://www.ncbi.nlm.nih.gov/sutils/blink.cgi?pid=156548613","3E-053")</f>
        <v>3E-053</v>
      </c>
      <c r="X236" t="str">
        <f>HYPERLINK("http://www.ncbi.nlm.nih.gov/protein/156548613","gi|156548613")</f>
        <v>gi|156548613</v>
      </c>
      <c r="Y236">
        <v>212</v>
      </c>
      <c r="Z236">
        <v>184</v>
      </c>
      <c r="AA236">
        <v>317</v>
      </c>
      <c r="AB236">
        <v>58</v>
      </c>
      <c r="AC236">
        <v>58</v>
      </c>
      <c r="AD236">
        <v>77</v>
      </c>
      <c r="AE236">
        <v>12</v>
      </c>
      <c r="AF236">
        <v>125</v>
      </c>
      <c r="AG236">
        <v>6</v>
      </c>
      <c r="AH236">
        <v>1</v>
      </c>
      <c r="AI236">
        <v>3</v>
      </c>
      <c r="AJ236" t="s">
        <v>11</v>
      </c>
      <c r="AL236" t="s">
        <v>1330</v>
      </c>
      <c r="AM236" t="s">
        <v>1331</v>
      </c>
      <c r="AN236" t="s">
        <v>1332</v>
      </c>
      <c r="AO236" s="1" t="str">
        <f>HYPERLINK("http://exon.niaid.nih.gov/transcriptome/T_rubida/S1/links/SWISSP/Triru-contig_111-SWISSP.txt","40S ribosomal protein SA")</f>
        <v>40S ribosomal protein SA</v>
      </c>
      <c r="AP236" t="str">
        <f>HYPERLINK("http://www.uniprot.org/uniprot/Q0PXX8","9E-053")</f>
        <v>9E-053</v>
      </c>
      <c r="AQ236" t="s">
        <v>1333</v>
      </c>
      <c r="AR236">
        <v>206</v>
      </c>
      <c r="AS236">
        <v>178</v>
      </c>
      <c r="AT236">
        <v>60</v>
      </c>
      <c r="AU236">
        <v>59</v>
      </c>
      <c r="AV236">
        <v>71</v>
      </c>
      <c r="AW236">
        <v>7</v>
      </c>
      <c r="AX236">
        <v>123</v>
      </c>
      <c r="AY236">
        <v>6</v>
      </c>
      <c r="AZ236">
        <v>1</v>
      </c>
      <c r="BA236">
        <v>3</v>
      </c>
      <c r="BB236" t="s">
        <v>11</v>
      </c>
      <c r="BD236" t="s">
        <v>704</v>
      </c>
      <c r="BE236" t="s">
        <v>1334</v>
      </c>
      <c r="BF236" t="s">
        <v>1335</v>
      </c>
      <c r="BG236" t="s">
        <v>1336</v>
      </c>
      <c r="BH236" s="1" t="s">
        <v>1337</v>
      </c>
      <c r="BI236">
        <f>HYPERLINK("http://exon.niaid.nih.gov/transcriptome/T_rubida/S1/links/GO/Triru-contig_111-GO.txt",2E-48)</f>
        <v>1.9999999999999999E-48</v>
      </c>
      <c r="BJ236" s="1" t="str">
        <f>HYPERLINK("http://exon.niaid.nih.gov/transcriptome/T_rubida/S1/links/CDD/Triru-contig_111-CDD.txt","PTZ00254")</f>
        <v>PTZ00254</v>
      </c>
      <c r="BK236" t="str">
        <f>HYPERLINK("http://www.ncbi.nlm.nih.gov/Structure/cdd/cddsrv.cgi?uid=PTZ00254&amp;version=v4.0","4E-053")</f>
        <v>4E-053</v>
      </c>
      <c r="BL236" t="s">
        <v>1338</v>
      </c>
      <c r="BM236" s="1" t="str">
        <f>HYPERLINK("http://exon.niaid.nih.gov/transcriptome/T_rubida/S1/links/KOG/Triru-contig_111-KOG.txt","40S ribosomal protein SA (P40)/Laminin receptor 1")</f>
        <v>40S ribosomal protein SA (P40)/Laminin receptor 1</v>
      </c>
      <c r="BN236" t="str">
        <f>HYPERLINK("http://www.ncbi.nlm.nih.gov/COG/grace/shokog.cgi?KOG0830","9E-043")</f>
        <v>9E-043</v>
      </c>
      <c r="BO236" t="s">
        <v>1185</v>
      </c>
      <c r="BP236" s="1" t="str">
        <f>HYPERLINK("http://exon.niaid.nih.gov/transcriptome/T_rubida/S1/links/PFAM/Triru-contig_111-PFAM.txt","Ribosomal_S2")</f>
        <v>Ribosomal_S2</v>
      </c>
      <c r="BQ236" t="str">
        <f>HYPERLINK("http://pfam.sanger.ac.uk/family?acc=PF00318","2E-026")</f>
        <v>2E-026</v>
      </c>
      <c r="BR236" s="1" t="str">
        <f>HYPERLINK("http://exon.niaid.nih.gov/transcriptome/T_rubida/S1/links/SMART/Triru-contig_111-SMART.txt","PlsC")</f>
        <v>PlsC</v>
      </c>
      <c r="BS236" t="str">
        <f>HYPERLINK("http://smart.embl-heidelberg.de/smart/do_annotation.pl?DOMAIN=PlsC&amp;BLAST=DUMMY","0.100")</f>
        <v>0.100</v>
      </c>
      <c r="BT236" s="1" t="str">
        <f>HYPERLINK("http://exon.niaid.nih.gov/transcriptome/T_rubida/S1/links/PRK/Triru-contig_111-PRK.txt","40S ribosomal protein SA")</f>
        <v>40S ribosomal protein SA</v>
      </c>
      <c r="BU236" s="2">
        <v>2.0000000000000001E-53</v>
      </c>
      <c r="BV236" s="1" t="s">
        <v>57</v>
      </c>
      <c r="BW236" t="s">
        <v>57</v>
      </c>
      <c r="BX236" s="1" t="s">
        <v>57</v>
      </c>
      <c r="BY236" t="s">
        <v>57</v>
      </c>
    </row>
    <row r="237" spans="1:77">
      <c r="A237" t="str">
        <f>HYPERLINK("http://exon.niaid.nih.gov/transcriptome/T_rubida/S1/links/Triru/Triru-contig_303.txt","Triru-contig_303")</f>
        <v>Triru-contig_303</v>
      </c>
      <c r="B237">
        <v>1</v>
      </c>
      <c r="C237" t="str">
        <f>HYPERLINK("http://exon.niaid.nih.gov/transcriptome/T_rubida/S1/links/Triru/Triru-5-48-asb-303.txt","Contig-303")</f>
        <v>Contig-303</v>
      </c>
      <c r="D237" t="str">
        <f>HYPERLINK("http://exon.niaid.nih.gov/transcriptome/T_rubida/S1/links/Triru/Triru-5-48-303-CLU.txt","Contig303")</f>
        <v>Contig303</v>
      </c>
      <c r="E237" t="str">
        <f>HYPERLINK("http://exon.niaid.nih.gov/transcriptome/T_rubida/S1/links/Triru/Triru-5-48-303-qual.txt","51.9")</f>
        <v>51.9</v>
      </c>
      <c r="F237" t="s">
        <v>10</v>
      </c>
      <c r="G237">
        <v>72</v>
      </c>
      <c r="H237">
        <v>584</v>
      </c>
      <c r="I237" t="s">
        <v>315</v>
      </c>
      <c r="J237">
        <v>584</v>
      </c>
      <c r="K237">
        <v>603</v>
      </c>
      <c r="L237">
        <v>315</v>
      </c>
      <c r="M237" t="s">
        <v>5260</v>
      </c>
      <c r="N237" s="15">
        <v>1</v>
      </c>
      <c r="O237" s="14" t="str">
        <f>HYPERLINK("http://exon.niaid.nih.gov/transcriptome/T_rubida/S1/links/Sigp/TRIRU-CONTIG_303-SigP.txt","Cyt")</f>
        <v>Cyt</v>
      </c>
      <c r="Q237" s="5" t="s">
        <v>4921</v>
      </c>
      <c r="R237" t="s">
        <v>4820</v>
      </c>
      <c r="S237" t="str">
        <f>HYPERLINK("http://exon.niaid.nih.gov/transcriptome/T_rubida/S1/links/PRK/Triru-contig_303-PRK.txt","PRK")</f>
        <v>PRK</v>
      </c>
      <c r="T237" s="23">
        <v>1.9999999999999998E-65</v>
      </c>
      <c r="U237">
        <v>46.6</v>
      </c>
      <c r="V237" s="1" t="str">
        <f>HYPERLINK("http://exon.niaid.nih.gov/transcriptome/T_rubida/S1/links/NR/Triru-contig_303-NR.txt","TGF beta-inducible nuclear protein 1")</f>
        <v>TGF beta-inducible nuclear protein 1</v>
      </c>
      <c r="W237" t="str">
        <f>HYPERLINK("http://www.ncbi.nlm.nih.gov/sutils/blink.cgi?pid=112984142","8E-051")</f>
        <v>8E-051</v>
      </c>
      <c r="X237" t="str">
        <f>HYPERLINK("http://www.ncbi.nlm.nih.gov/protein/112984142","gi|112984142")</f>
        <v>gi|112984142</v>
      </c>
      <c r="Y237">
        <v>204</v>
      </c>
      <c r="Z237">
        <v>103</v>
      </c>
      <c r="AA237">
        <v>259</v>
      </c>
      <c r="AB237">
        <v>94</v>
      </c>
      <c r="AC237">
        <v>40</v>
      </c>
      <c r="AD237">
        <v>6</v>
      </c>
      <c r="AE237">
        <v>0</v>
      </c>
      <c r="AF237">
        <v>156</v>
      </c>
      <c r="AG237">
        <v>4</v>
      </c>
      <c r="AH237">
        <v>1</v>
      </c>
      <c r="AI237">
        <v>1</v>
      </c>
      <c r="AJ237" t="s">
        <v>11</v>
      </c>
      <c r="AL237" t="s">
        <v>1289</v>
      </c>
      <c r="AM237" t="s">
        <v>2529</v>
      </c>
      <c r="AN237" t="s">
        <v>2530</v>
      </c>
      <c r="AO237" s="1" t="str">
        <f>HYPERLINK("http://exon.niaid.nih.gov/transcriptome/T_rubida/S1/links/SWISSP/Triru-contig_303-SWISSP.txt","Ribosome biogenesis protein NSA2 homolog")</f>
        <v>Ribosome biogenesis protein NSA2 homolog</v>
      </c>
      <c r="AP237" t="str">
        <f>HYPERLINK("http://www.uniprot.org/uniprot/Q9CR47","3E-050")</f>
        <v>3E-050</v>
      </c>
      <c r="AQ237" t="s">
        <v>2531</v>
      </c>
      <c r="AR237">
        <v>197</v>
      </c>
      <c r="AS237">
        <v>103</v>
      </c>
      <c r="AT237">
        <v>88</v>
      </c>
      <c r="AU237">
        <v>40</v>
      </c>
      <c r="AV237">
        <v>12</v>
      </c>
      <c r="AW237">
        <v>0</v>
      </c>
      <c r="AX237">
        <v>157</v>
      </c>
      <c r="AY237">
        <v>4</v>
      </c>
      <c r="AZ237">
        <v>1</v>
      </c>
      <c r="BA237">
        <v>1</v>
      </c>
      <c r="BB237" t="s">
        <v>11</v>
      </c>
      <c r="BD237" t="s">
        <v>704</v>
      </c>
      <c r="BE237" t="s">
        <v>807</v>
      </c>
      <c r="BF237" t="s">
        <v>2532</v>
      </c>
      <c r="BG237" t="s">
        <v>2533</v>
      </c>
      <c r="BH237" s="1" t="s">
        <v>2534</v>
      </c>
      <c r="BI237">
        <f>HYPERLINK("http://exon.niaid.nih.gov/transcriptome/T_rubida/S1/links/GO/Triru-contig_303-GO.txt",3E-50)</f>
        <v>2.9999999999999999E-50</v>
      </c>
      <c r="BJ237" s="1" t="str">
        <f>HYPERLINK("http://exon.niaid.nih.gov/transcriptome/T_rubida/S1/links/CDD/Triru-contig_303-CDD.txt","PTZ00388")</f>
        <v>PTZ00388</v>
      </c>
      <c r="BK237" t="str">
        <f>HYPERLINK("http://www.ncbi.nlm.nih.gov/Structure/cdd/cddsrv.cgi?uid=PTZ00388&amp;version=v4.0","5E-065")</f>
        <v>5E-065</v>
      </c>
      <c r="BL237" t="s">
        <v>2535</v>
      </c>
      <c r="BM237" s="1" t="str">
        <f>HYPERLINK("http://exon.niaid.nih.gov/transcriptome/T_rubida/S1/links/KOG/Triru-contig_303-KOG.txt","Uncharacterized conserved protein related to ribosomal protein S8E")</f>
        <v>Uncharacterized conserved protein related to ribosomal protein S8E</v>
      </c>
      <c r="BN237" t="str">
        <f>HYPERLINK("http://www.ncbi.nlm.nih.gov/COG/grace/shokog.cgi?KOG3163","4E-059")</f>
        <v>4E-059</v>
      </c>
      <c r="BO237" t="s">
        <v>750</v>
      </c>
      <c r="BP237" s="1" t="str">
        <f>HYPERLINK("http://exon.niaid.nih.gov/transcriptome/T_rubida/S1/links/PFAM/Triru-contig_303-PFAM.txt","Ribosomal_S8e")</f>
        <v>Ribosomal_S8e</v>
      </c>
      <c r="BQ237" t="str">
        <f>HYPERLINK("http://pfam.sanger.ac.uk/family?acc=PF01201","1E-024")</f>
        <v>1E-024</v>
      </c>
      <c r="BR237" s="1" t="str">
        <f>HYPERLINK("http://exon.niaid.nih.gov/transcriptome/T_rubida/S1/links/SMART/Triru-contig_303-SMART.txt","CSF2")</f>
        <v>CSF2</v>
      </c>
      <c r="BS237" t="str">
        <f>HYPERLINK("http://smart.embl-heidelberg.de/smart/do_annotation.pl?DOMAIN=CSF2&amp;BLAST=DUMMY","0.076")</f>
        <v>0.076</v>
      </c>
      <c r="BT237" s="1" t="str">
        <f>HYPERLINK("http://exon.niaid.nih.gov/transcriptome/T_rubida/S1/links/PRK/Triru-contig_303-PRK.txt","40S ribosomal protein S8-like")</f>
        <v>40S ribosomal protein S8-like</v>
      </c>
      <c r="BU237" s="2">
        <v>1.9999999999999998E-65</v>
      </c>
      <c r="BV237" s="1" t="s">
        <v>57</v>
      </c>
      <c r="BW237" t="s">
        <v>57</v>
      </c>
      <c r="BX237" s="1" t="s">
        <v>57</v>
      </c>
      <c r="BY237" t="s">
        <v>57</v>
      </c>
    </row>
    <row r="238" spans="1:77">
      <c r="A238" t="str">
        <f>HYPERLINK("http://exon.niaid.nih.gov/transcriptome/T_rubida/S1/links/Triru/Triru-contig_113.txt","Triru-contig_113")</f>
        <v>Triru-contig_113</v>
      </c>
      <c r="B238">
        <v>1</v>
      </c>
      <c r="C238" t="str">
        <f>HYPERLINK("http://exon.niaid.nih.gov/transcriptome/T_rubida/S1/links/Triru/Triru-5-48-asb-113.txt","Contig-113")</f>
        <v>Contig-113</v>
      </c>
      <c r="D238" t="str">
        <f>HYPERLINK("http://exon.niaid.nih.gov/transcriptome/T_rubida/S1/links/Triru/Triru-5-48-113-CLU.txt","Contig113")</f>
        <v>Contig113</v>
      </c>
      <c r="E238" t="str">
        <f>HYPERLINK("http://exon.niaid.nih.gov/transcriptome/T_rubida/S1/links/Triru/Triru-5-48-113-qual.txt","21.3")</f>
        <v>21.3</v>
      </c>
      <c r="F238" t="s">
        <v>10</v>
      </c>
      <c r="G238">
        <v>57.9</v>
      </c>
      <c r="H238">
        <v>891</v>
      </c>
      <c r="I238" t="s">
        <v>125</v>
      </c>
      <c r="J238">
        <v>891</v>
      </c>
      <c r="K238">
        <v>910</v>
      </c>
      <c r="L238">
        <v>492</v>
      </c>
      <c r="M238" t="s">
        <v>5261</v>
      </c>
      <c r="N238" s="15">
        <v>2</v>
      </c>
      <c r="O238" s="14" t="str">
        <f>HYPERLINK("http://exon.niaid.nih.gov/transcriptome/T_rubida/S1/links/Sigp/TRIRU-CONTIG_113-SigP.txt","Cyt")</f>
        <v>Cyt</v>
      </c>
      <c r="Q238" s="5" t="s">
        <v>4860</v>
      </c>
      <c r="R238" t="s">
        <v>4820</v>
      </c>
      <c r="S238" t="str">
        <f>HYPERLINK("http://exon.niaid.nih.gov/transcriptome/T_rubida/S1/links/PFAM/Triru-contig_113-PFAM.txt","PFAM")</f>
        <v>PFAM</v>
      </c>
      <c r="T238" s="23">
        <v>6E-49</v>
      </c>
      <c r="U238">
        <v>91.9</v>
      </c>
      <c r="V238" s="1" t="str">
        <f>HYPERLINK("http://exon.niaid.nih.gov/transcriptome/T_rubida/S1/links/NR/Triru-contig_113-NR.txt","ribosomal protein L22e")</f>
        <v>ribosomal protein L22e</v>
      </c>
      <c r="W238" t="str">
        <f>HYPERLINK("http://www.ncbi.nlm.nih.gov/sutils/blink.cgi?pid=70909769","1E-036")</f>
        <v>1E-036</v>
      </c>
      <c r="X238" t="str">
        <f>HYPERLINK("http://www.ncbi.nlm.nih.gov/protein/70909769","gi|70909769")</f>
        <v>gi|70909769</v>
      </c>
      <c r="Y238">
        <v>145</v>
      </c>
      <c r="Z238">
        <v>117</v>
      </c>
      <c r="AA238">
        <v>121</v>
      </c>
      <c r="AB238">
        <v>67</v>
      </c>
      <c r="AC238">
        <v>98</v>
      </c>
      <c r="AD238">
        <v>35</v>
      </c>
      <c r="AE238">
        <v>0</v>
      </c>
      <c r="AF238">
        <v>4</v>
      </c>
      <c r="AG238">
        <v>479</v>
      </c>
      <c r="AH238">
        <v>2</v>
      </c>
      <c r="AI238">
        <v>2</v>
      </c>
      <c r="AJ238" t="s">
        <v>888</v>
      </c>
      <c r="AK238">
        <v>0.85499999999999998</v>
      </c>
      <c r="AL238" t="s">
        <v>1346</v>
      </c>
      <c r="AM238" t="s">
        <v>1347</v>
      </c>
      <c r="AN238" t="s">
        <v>1348</v>
      </c>
      <c r="AO238" s="1" t="str">
        <f>HYPERLINK("http://exon.niaid.nih.gov/transcriptome/T_rubida/S1/links/SWISSP/Triru-contig_113-SWISSP.txt","60S ribosomal protein L22")</f>
        <v>60S ribosomal protein L22</v>
      </c>
      <c r="AP238" t="str">
        <f>HYPERLINK("http://www.uniprot.org/uniprot/P50887","2E-036")</f>
        <v>2E-036</v>
      </c>
      <c r="AQ238" t="s">
        <v>1341</v>
      </c>
      <c r="AR238">
        <v>142</v>
      </c>
      <c r="AS238">
        <v>228</v>
      </c>
      <c r="AT238">
        <v>60</v>
      </c>
      <c r="AU238">
        <v>77</v>
      </c>
      <c r="AV238">
        <v>46</v>
      </c>
      <c r="AW238">
        <v>0</v>
      </c>
      <c r="AX238">
        <v>60</v>
      </c>
      <c r="AY238">
        <v>283</v>
      </c>
      <c r="AZ238">
        <v>6</v>
      </c>
      <c r="BA238">
        <v>2</v>
      </c>
      <c r="BB238" t="s">
        <v>888</v>
      </c>
      <c r="BC238">
        <v>0.439</v>
      </c>
      <c r="BD238" t="s">
        <v>704</v>
      </c>
      <c r="BE238" t="s">
        <v>1125</v>
      </c>
      <c r="BF238" t="s">
        <v>1349</v>
      </c>
      <c r="BG238" t="s">
        <v>1350</v>
      </c>
      <c r="BH238" s="1" t="s">
        <v>1344</v>
      </c>
      <c r="BI238">
        <f>HYPERLINK("http://exon.niaid.nih.gov/transcriptome/T_rubida/S1/links/GO/Triru-contig_113-GO.txt",2E-36)</f>
        <v>1.9999999999999999E-36</v>
      </c>
      <c r="BJ238" s="1" t="str">
        <f>HYPERLINK("http://exon.niaid.nih.gov/transcriptome/T_rubida/S1/links/CDD/Triru-contig_113-CDD.txt","Ribosomal_L22e")</f>
        <v>Ribosomal_L22e</v>
      </c>
      <c r="BK238" t="str">
        <f>HYPERLINK("http://www.ncbi.nlm.nih.gov/Structure/cdd/cddsrv.cgi?uid=pfam01776&amp;version=v4.0","3E-048")</f>
        <v>3E-048</v>
      </c>
      <c r="BL238" t="s">
        <v>1351</v>
      </c>
      <c r="BM238" s="1" t="str">
        <f>HYPERLINK("http://exon.niaid.nih.gov/transcriptome/T_rubida/S1/links/KOG/Triru-contig_113-KOG.txt","60S ribosomal protein L22")</f>
        <v>60S ribosomal protein L22</v>
      </c>
      <c r="BN238" t="str">
        <f>HYPERLINK("http://www.ncbi.nlm.nih.gov/COG/grace/shokog.cgi?KOG3434","9E-040")</f>
        <v>9E-040</v>
      </c>
      <c r="BO238" t="s">
        <v>1185</v>
      </c>
      <c r="BP238" s="1" t="str">
        <f>HYPERLINK("http://exon.niaid.nih.gov/transcriptome/T_rubida/S1/links/PFAM/Triru-contig_113-PFAM.txt","Ribosomal_L22e")</f>
        <v>Ribosomal_L22e</v>
      </c>
      <c r="BQ238" t="str">
        <f>HYPERLINK("http://pfam.sanger.ac.uk/family?acc=PF01776","6E-049")</f>
        <v>6E-049</v>
      </c>
      <c r="BR238" s="1" t="str">
        <f>HYPERLINK("http://exon.niaid.nih.gov/transcriptome/T_rubida/S1/links/SMART/Triru-contig_113-SMART.txt","HMG17")</f>
        <v>HMG17</v>
      </c>
      <c r="BS238" t="str">
        <f>HYPERLINK("http://smart.embl-heidelberg.de/smart/do_annotation.pl?DOMAIN=HMG17&amp;BLAST=DUMMY","0.15")</f>
        <v>0.15</v>
      </c>
      <c r="BT238" s="1" t="str">
        <f>HYPERLINK("http://exon.niaid.nih.gov/transcriptome/T_rubida/S1/links/PRK/Triru-contig_113-PRK.txt","60S ribosomal protein L22")</f>
        <v>60S ribosomal protein L22</v>
      </c>
      <c r="BU238" s="2">
        <v>3.9999999999999998E-38</v>
      </c>
      <c r="BV238" s="1" t="s">
        <v>57</v>
      </c>
      <c r="BW238" t="s">
        <v>57</v>
      </c>
      <c r="BX238" s="1" t="s">
        <v>57</v>
      </c>
      <c r="BY238" t="s">
        <v>57</v>
      </c>
    </row>
    <row r="239" spans="1:77">
      <c r="A239" t="str">
        <f>HYPERLINK("http://exon.niaid.nih.gov/transcriptome/T_rubida/S1/links/Triru/Triru-contig_617.txt","Triru-contig_617")</f>
        <v>Triru-contig_617</v>
      </c>
      <c r="B239">
        <v>1</v>
      </c>
      <c r="C239" t="str">
        <f>HYPERLINK("http://exon.niaid.nih.gov/transcriptome/T_rubida/S1/links/Triru/Triru-5-48-asb-617.txt","Contig-617")</f>
        <v>Contig-617</v>
      </c>
      <c r="D239" t="str">
        <f>HYPERLINK("http://exon.niaid.nih.gov/transcriptome/T_rubida/S1/links/Triru/Triru-5-48-617-CLU.txt","Contig617")</f>
        <v>Contig617</v>
      </c>
      <c r="E239" t="str">
        <f>HYPERLINK("http://exon.niaid.nih.gov/transcriptome/T_rubida/S1/links/Triru/Triru-5-48-617-qual.txt","62.3")</f>
        <v>62.3</v>
      </c>
      <c r="F239" t="s">
        <v>10</v>
      </c>
      <c r="G239">
        <v>69.3</v>
      </c>
      <c r="H239">
        <v>206</v>
      </c>
      <c r="I239" t="s">
        <v>629</v>
      </c>
      <c r="J239">
        <v>206</v>
      </c>
      <c r="K239">
        <v>225</v>
      </c>
      <c r="L239">
        <v>102</v>
      </c>
      <c r="M239" t="s">
        <v>5262</v>
      </c>
      <c r="N239" s="15">
        <v>3</v>
      </c>
      <c r="Q239" s="5" t="s">
        <v>5026</v>
      </c>
      <c r="R239" t="s">
        <v>4820</v>
      </c>
      <c r="S239" t="str">
        <f>HYPERLINK("http://exon.niaid.nih.gov/transcriptome/T_rubida/S1/links/PFAM/Triru-contig_617-PFAM.txt","PFAM")</f>
        <v>PFAM</v>
      </c>
      <c r="T239" s="23">
        <v>4.0000000000000003E-17</v>
      </c>
      <c r="U239">
        <v>74.400000000000006</v>
      </c>
      <c r="V239" s="1" t="str">
        <f>HYPERLINK("http://exon.niaid.nih.gov/transcriptome/T_rubida/S1/links/NR/Triru-contig_617-NR.txt","ribosomal protein L39, putative")</f>
        <v>ribosomal protein L39, putative</v>
      </c>
      <c r="W239" t="str">
        <f>HYPERLINK("http://www.ncbi.nlm.nih.gov/sutils/blink.cgi?pid=241781184","1E-011")</f>
        <v>1E-011</v>
      </c>
      <c r="X239" t="str">
        <f>HYPERLINK("http://www.ncbi.nlm.nih.gov/protein/241781184","gi|241781184")</f>
        <v>gi|241781184</v>
      </c>
      <c r="Y239">
        <v>73.599999999999994</v>
      </c>
      <c r="Z239">
        <v>31</v>
      </c>
      <c r="AA239">
        <v>76</v>
      </c>
      <c r="AB239">
        <v>100</v>
      </c>
      <c r="AC239">
        <v>42</v>
      </c>
      <c r="AD239">
        <v>0</v>
      </c>
      <c r="AE239">
        <v>0</v>
      </c>
      <c r="AF239">
        <v>45</v>
      </c>
      <c r="AG239">
        <v>9</v>
      </c>
      <c r="AH239">
        <v>1</v>
      </c>
      <c r="AI239">
        <v>3</v>
      </c>
      <c r="AJ239" t="s">
        <v>11</v>
      </c>
      <c r="AL239" t="s">
        <v>2789</v>
      </c>
      <c r="AM239" t="s">
        <v>4604</v>
      </c>
      <c r="AN239" t="s">
        <v>4605</v>
      </c>
      <c r="AO239" s="1" t="str">
        <f>HYPERLINK("http://exon.niaid.nih.gov/transcriptome/T_rubida/S1/links/SWISSP/Triru-contig_617-SWISSP.txt","60S ribosomal protein L39")</f>
        <v>60S ribosomal protein L39</v>
      </c>
      <c r="AP239" t="str">
        <f>HYPERLINK("http://www.uniprot.org/uniprot/Q962S4","5E-013")</f>
        <v>5E-013</v>
      </c>
      <c r="AQ239" t="s">
        <v>4606</v>
      </c>
      <c r="AR239">
        <v>73.2</v>
      </c>
      <c r="AS239">
        <v>31</v>
      </c>
      <c r="AT239">
        <v>96</v>
      </c>
      <c r="AU239">
        <v>63</v>
      </c>
      <c r="AV239">
        <v>1</v>
      </c>
      <c r="AW239">
        <v>0</v>
      </c>
      <c r="AX239">
        <v>20</v>
      </c>
      <c r="AY239">
        <v>9</v>
      </c>
      <c r="AZ239">
        <v>1</v>
      </c>
      <c r="BA239">
        <v>3</v>
      </c>
      <c r="BB239" t="s">
        <v>11</v>
      </c>
      <c r="BD239" t="s">
        <v>704</v>
      </c>
      <c r="BE239" t="s">
        <v>1246</v>
      </c>
      <c r="BF239" t="s">
        <v>4607</v>
      </c>
      <c r="BG239" t="s">
        <v>4608</v>
      </c>
      <c r="BH239" s="1" t="s">
        <v>4609</v>
      </c>
      <c r="BI239">
        <f>HYPERLINK("http://exon.niaid.nih.gov/transcriptome/T_rubida/S1/links/GO/Triru-contig_617-GO.txt",0.000000000008)</f>
        <v>7.9999999999999998E-12</v>
      </c>
      <c r="BJ239" s="1" t="str">
        <f>HYPERLINK("http://exon.niaid.nih.gov/transcriptome/T_rubida/S1/links/CDD/Triru-contig_617-CDD.txt","Ribosomal_L39")</f>
        <v>Ribosomal_L39</v>
      </c>
      <c r="BK239" t="str">
        <f>HYPERLINK("http://www.ncbi.nlm.nih.gov/Structure/cdd/cddsrv.cgi?uid=pfam00832&amp;version=v4.0","2E-016")</f>
        <v>2E-016</v>
      </c>
      <c r="BL239" t="s">
        <v>4610</v>
      </c>
      <c r="BM239" s="1" t="str">
        <f>HYPERLINK("http://exon.niaid.nih.gov/transcriptome/T_rubida/S1/links/KOG/Triru-contig_617-KOG.txt","60s ribosomal protein L39")</f>
        <v>60s ribosomal protein L39</v>
      </c>
      <c r="BN239" t="str">
        <f>HYPERLINK("http://www.ncbi.nlm.nih.gov/COG/grace/shokog.cgi?KOG0002","2E-016")</f>
        <v>2E-016</v>
      </c>
      <c r="BO239" t="s">
        <v>1185</v>
      </c>
      <c r="BP239" s="1" t="str">
        <f>HYPERLINK("http://exon.niaid.nih.gov/transcriptome/T_rubida/S1/links/PFAM/Triru-contig_617-PFAM.txt","Ribosomal_L39")</f>
        <v>Ribosomal_L39</v>
      </c>
      <c r="BQ239" t="str">
        <f>HYPERLINK("http://pfam.sanger.ac.uk/family?acc=PF00832","4E-017")</f>
        <v>4E-017</v>
      </c>
      <c r="BR239" s="1" t="str">
        <f>HYPERLINK("http://exon.niaid.nih.gov/transcriptome/T_rubida/S1/links/SMART/Triru-contig_617-SMART.txt","MyTH4")</f>
        <v>MyTH4</v>
      </c>
      <c r="BS239" t="str">
        <f>HYPERLINK("http://smart.embl-heidelberg.de/smart/do_annotation.pl?DOMAIN=MyTH4&amp;BLAST=DUMMY","0.25")</f>
        <v>0.25</v>
      </c>
      <c r="BT239" s="1" t="str">
        <f>HYPERLINK("http://exon.niaid.nih.gov/transcriptome/T_rubida/S1/links/PRK/Triru-contig_617-PRK.txt","50S ribosomal protein L39e")</f>
        <v>50S ribosomal protein L39e</v>
      </c>
      <c r="BU239" s="2">
        <v>1.0000000000000001E-9</v>
      </c>
      <c r="BV239" s="1" t="s">
        <v>57</v>
      </c>
      <c r="BW239" t="s">
        <v>57</v>
      </c>
      <c r="BX239" s="1" t="s">
        <v>57</v>
      </c>
      <c r="BY239" t="s">
        <v>57</v>
      </c>
    </row>
    <row r="240" spans="1:77">
      <c r="A240" t="str">
        <f>HYPERLINK("http://exon.niaid.nih.gov/transcriptome/T_rubida/S1/links/Triru/Triru-contig_395.txt","Triru-contig_395")</f>
        <v>Triru-contig_395</v>
      </c>
      <c r="B240">
        <v>1</v>
      </c>
      <c r="C240" t="str">
        <f>HYPERLINK("http://exon.niaid.nih.gov/transcriptome/T_rubida/S1/links/Triru/Triru-5-48-asb-395.txt","Contig-395")</f>
        <v>Contig-395</v>
      </c>
      <c r="D240" t="str">
        <f>HYPERLINK("http://exon.niaid.nih.gov/transcriptome/T_rubida/S1/links/Triru/Triru-5-48-395-CLU.txt","Contig395")</f>
        <v>Contig395</v>
      </c>
      <c r="E240" t="str">
        <f>HYPERLINK("http://exon.niaid.nih.gov/transcriptome/T_rubida/S1/links/Triru/Triru-5-48-395-qual.txt","63.9")</f>
        <v>63.9</v>
      </c>
      <c r="F240" t="s">
        <v>10</v>
      </c>
      <c r="G240">
        <v>61.2</v>
      </c>
      <c r="H240">
        <v>429</v>
      </c>
      <c r="I240" t="s">
        <v>407</v>
      </c>
      <c r="J240">
        <v>429</v>
      </c>
      <c r="K240">
        <v>448</v>
      </c>
      <c r="L240">
        <v>390</v>
      </c>
      <c r="M240" t="s">
        <v>5263</v>
      </c>
      <c r="N240" s="15">
        <v>1</v>
      </c>
      <c r="O240" s="14" t="str">
        <f>HYPERLINK("http://exon.niaid.nih.gov/transcriptome/T_rubida/S1/links/Sigp/TRIRU-CONTIG_395-SigP.txt","Cyt")</f>
        <v>Cyt</v>
      </c>
      <c r="Q240" s="5" t="s">
        <v>4953</v>
      </c>
      <c r="R240" t="s">
        <v>4820</v>
      </c>
      <c r="S240" t="str">
        <f>HYPERLINK("http://exon.niaid.nih.gov/transcriptome/T_rubida/S1/links/NR/Triru-contig_395-NR.txt","NR")</f>
        <v>NR</v>
      </c>
      <c r="T240" s="23">
        <v>9.9999999999999997E-65</v>
      </c>
      <c r="U240">
        <v>58.9</v>
      </c>
      <c r="V240" s="1" t="str">
        <f>HYPERLINK("http://exon.niaid.nih.gov/transcriptome/T_rubida/S1/links/NR/Triru-contig_395-NR.txt","ribosomal protein L10")</f>
        <v>ribosomal protein L10</v>
      </c>
      <c r="W240" t="str">
        <f>HYPERLINK("http://www.ncbi.nlm.nih.gov/sutils/blink.cgi?pid=263173291","1E-064")</f>
        <v>1E-064</v>
      </c>
      <c r="X240" t="str">
        <f>HYPERLINK("http://www.ncbi.nlm.nih.gov/protein/263173291","gi|263173291")</f>
        <v>gi|263173291</v>
      </c>
      <c r="Y240">
        <v>249</v>
      </c>
      <c r="Z240">
        <v>127</v>
      </c>
      <c r="AA240">
        <v>217</v>
      </c>
      <c r="AB240">
        <v>91</v>
      </c>
      <c r="AC240">
        <v>59</v>
      </c>
      <c r="AD240">
        <v>11</v>
      </c>
      <c r="AE240">
        <v>0</v>
      </c>
      <c r="AF240">
        <v>89</v>
      </c>
      <c r="AG240">
        <v>4</v>
      </c>
      <c r="AH240">
        <v>1</v>
      </c>
      <c r="AI240">
        <v>1</v>
      </c>
      <c r="AJ240" t="s">
        <v>11</v>
      </c>
      <c r="AL240" t="s">
        <v>1294</v>
      </c>
      <c r="AM240" t="s">
        <v>3157</v>
      </c>
      <c r="AN240" t="s">
        <v>3158</v>
      </c>
      <c r="AO240" s="1" t="str">
        <f>HYPERLINK("http://exon.niaid.nih.gov/transcriptome/T_rubida/S1/links/SWISSP/Triru-contig_395-SWISSP.txt","60S ribosomal protein L10")</f>
        <v>60S ribosomal protein L10</v>
      </c>
      <c r="AP240" t="str">
        <f>HYPERLINK("http://www.uniprot.org/uniprot/O96647","1E-060")</f>
        <v>1E-060</v>
      </c>
      <c r="AQ240" t="s">
        <v>3159</v>
      </c>
      <c r="AR240">
        <v>231</v>
      </c>
      <c r="AS240">
        <v>124</v>
      </c>
      <c r="AT240">
        <v>86</v>
      </c>
      <c r="AU240">
        <v>57</v>
      </c>
      <c r="AV240">
        <v>17</v>
      </c>
      <c r="AW240">
        <v>0</v>
      </c>
      <c r="AX240">
        <v>92</v>
      </c>
      <c r="AY240">
        <v>4</v>
      </c>
      <c r="AZ240">
        <v>1</v>
      </c>
      <c r="BA240">
        <v>1</v>
      </c>
      <c r="BB240" t="s">
        <v>11</v>
      </c>
      <c r="BD240" t="s">
        <v>704</v>
      </c>
      <c r="BE240" t="s">
        <v>3160</v>
      </c>
      <c r="BF240" t="s">
        <v>3161</v>
      </c>
      <c r="BG240" t="s">
        <v>3162</v>
      </c>
      <c r="BH240" s="1" t="s">
        <v>3163</v>
      </c>
      <c r="BI240">
        <f>HYPERLINK("http://exon.niaid.nih.gov/transcriptome/T_rubida/S1/links/GO/Triru-contig_395-GO.txt",1E-58)</f>
        <v>1E-58</v>
      </c>
      <c r="BJ240" s="1" t="str">
        <f>HYPERLINK("http://exon.niaid.nih.gov/transcriptome/T_rubida/S1/links/CDD/Triru-contig_395-CDD.txt","PTZ00173")</f>
        <v>PTZ00173</v>
      </c>
      <c r="BK240" t="str">
        <f>HYPERLINK("http://www.ncbi.nlm.nih.gov/Structure/cdd/cddsrv.cgi?uid=PTZ00173&amp;version=v4.0","2E-063")</f>
        <v>2E-063</v>
      </c>
      <c r="BL240" t="s">
        <v>3164</v>
      </c>
      <c r="BM240" s="1" t="str">
        <f>HYPERLINK("http://exon.niaid.nih.gov/transcriptome/T_rubida/S1/links/KOG/Triru-contig_395-KOG.txt","60s ribosomal protein L10")</f>
        <v>60s ribosomal protein L10</v>
      </c>
      <c r="BN240" t="str">
        <f>HYPERLINK("http://www.ncbi.nlm.nih.gov/COG/grace/shokog.cgi?KOG0857","1E-050")</f>
        <v>1E-050</v>
      </c>
      <c r="BO240" t="s">
        <v>1185</v>
      </c>
      <c r="BP240" s="1" t="str">
        <f>HYPERLINK("http://exon.niaid.nih.gov/transcriptome/T_rubida/S1/links/PFAM/Triru-contig_395-PFAM.txt","Ribosomal_L16")</f>
        <v>Ribosomal_L16</v>
      </c>
      <c r="BQ240" t="str">
        <f>HYPERLINK("http://pfam.sanger.ac.uk/family?acc=PF00252","3E-016")</f>
        <v>3E-016</v>
      </c>
      <c r="BR240" s="1" t="str">
        <f>HYPERLINK("http://exon.niaid.nih.gov/transcriptome/T_rubida/S1/links/SMART/Triru-contig_395-SMART.txt","BAR")</f>
        <v>BAR</v>
      </c>
      <c r="BS240" t="str">
        <f>HYPERLINK("http://smart.embl-heidelberg.de/smart/do_annotation.pl?DOMAIN=BAR&amp;BLAST=DUMMY","0.12")</f>
        <v>0.12</v>
      </c>
      <c r="BT240" s="1" t="str">
        <f>HYPERLINK("http://exon.niaid.nih.gov/transcriptome/T_rubida/S1/links/PRK/Triru-contig_395-PRK.txt","60S ribosomal protein L10")</f>
        <v>60S ribosomal protein L10</v>
      </c>
      <c r="BU240" s="2">
        <v>7.0000000000000006E-64</v>
      </c>
      <c r="BV240" s="1" t="s">
        <v>57</v>
      </c>
      <c r="BW240" t="s">
        <v>57</v>
      </c>
      <c r="BX240" s="1" t="s">
        <v>57</v>
      </c>
      <c r="BY240" t="s">
        <v>57</v>
      </c>
    </row>
    <row r="241" spans="1:77">
      <c r="A241" t="str">
        <f>HYPERLINK("http://exon.niaid.nih.gov/transcriptome/T_rubida/S1/links/Triru/Triru-contig_642.txt","Triru-contig_642")</f>
        <v>Triru-contig_642</v>
      </c>
      <c r="B241">
        <v>1</v>
      </c>
      <c r="C241" t="str">
        <f>HYPERLINK("http://exon.niaid.nih.gov/transcriptome/T_rubida/S1/links/Triru/Triru-5-48-asb-642.txt","Contig-642")</f>
        <v>Contig-642</v>
      </c>
      <c r="D241" t="str">
        <f>HYPERLINK("http://exon.niaid.nih.gov/transcriptome/T_rubida/S1/links/Triru/Triru-5-48-642-CLU.txt","Contig642")</f>
        <v>Contig642</v>
      </c>
      <c r="E241" t="str">
        <f>HYPERLINK("http://exon.niaid.nih.gov/transcriptome/T_rubida/S1/links/Triru/Triru-5-48-642-qual.txt","62.4")</f>
        <v>62.4</v>
      </c>
      <c r="F241" t="s">
        <v>10</v>
      </c>
      <c r="G241">
        <v>65.3</v>
      </c>
      <c r="H241">
        <v>220</v>
      </c>
      <c r="I241" t="s">
        <v>654</v>
      </c>
      <c r="J241">
        <v>220</v>
      </c>
      <c r="K241">
        <v>239</v>
      </c>
      <c r="L241">
        <v>180</v>
      </c>
      <c r="M241" t="s">
        <v>5264</v>
      </c>
      <c r="N241" s="15">
        <v>2</v>
      </c>
      <c r="Q241" s="5" t="s">
        <v>5029</v>
      </c>
      <c r="R241" t="s">
        <v>4820</v>
      </c>
      <c r="S241" t="str">
        <f>HYPERLINK("http://exon.niaid.nih.gov/transcriptome/T_rubida/S1/links/NR/Triru-contig_642-NR.txt","NR")</f>
        <v>NR</v>
      </c>
      <c r="T241" s="23">
        <v>1E-8</v>
      </c>
      <c r="U241">
        <v>34.299999999999997</v>
      </c>
      <c r="V241" s="1" t="str">
        <f>HYPERLINK("http://exon.niaid.nih.gov/transcriptome/T_rubida/S1/links/NR/Triru-contig_642-NR.txt","ribosomal protein L14-like protein")</f>
        <v>ribosomal protein L14-like protein</v>
      </c>
      <c r="W241" t="str">
        <f>HYPERLINK("http://www.ncbi.nlm.nih.gov/sutils/blink.cgi?pid=146285359","1E-008")</f>
        <v>1E-008</v>
      </c>
      <c r="X241" t="str">
        <f>HYPERLINK("http://www.ncbi.nlm.nih.gov/protein/146285359","gi|146285359")</f>
        <v>gi|146285359</v>
      </c>
      <c r="Y241">
        <v>63.2</v>
      </c>
      <c r="Z241">
        <v>53</v>
      </c>
      <c r="AA241">
        <v>157</v>
      </c>
      <c r="AB241">
        <v>57</v>
      </c>
      <c r="AC241">
        <v>34</v>
      </c>
      <c r="AD241">
        <v>23</v>
      </c>
      <c r="AE241">
        <v>0</v>
      </c>
      <c r="AF241">
        <v>104</v>
      </c>
      <c r="AG241">
        <v>11</v>
      </c>
      <c r="AH241">
        <v>1</v>
      </c>
      <c r="AI241">
        <v>2</v>
      </c>
      <c r="AJ241" t="s">
        <v>11</v>
      </c>
      <c r="AL241" t="s">
        <v>1216</v>
      </c>
      <c r="AM241" t="s">
        <v>4731</v>
      </c>
      <c r="AN241" t="s">
        <v>3372</v>
      </c>
      <c r="AO241" s="1" t="str">
        <f>HYPERLINK("http://exon.niaid.nih.gov/transcriptome/T_rubida/S1/links/SWISSP/Triru-contig_642-SWISSP.txt","60S ribosomal protein L14")</f>
        <v>60S ribosomal protein L14</v>
      </c>
      <c r="AP241" t="str">
        <f>HYPERLINK("http://www.uniprot.org/uniprot/Q95ZE8","4E-006")</f>
        <v>4E-006</v>
      </c>
      <c r="AQ241" t="s">
        <v>1682</v>
      </c>
      <c r="AR241">
        <v>50.1</v>
      </c>
      <c r="AS241">
        <v>56</v>
      </c>
      <c r="AT241">
        <v>43</v>
      </c>
      <c r="AU241">
        <v>36</v>
      </c>
      <c r="AV241">
        <v>32</v>
      </c>
      <c r="AW241">
        <v>0</v>
      </c>
      <c r="AX241">
        <v>104</v>
      </c>
      <c r="AY241">
        <v>11</v>
      </c>
      <c r="AZ241">
        <v>1</v>
      </c>
      <c r="BA241">
        <v>2</v>
      </c>
      <c r="BB241" t="s">
        <v>11</v>
      </c>
      <c r="BD241" t="s">
        <v>704</v>
      </c>
      <c r="BE241" t="s">
        <v>1683</v>
      </c>
      <c r="BF241" t="s">
        <v>4732</v>
      </c>
      <c r="BG241" t="s">
        <v>4733</v>
      </c>
      <c r="BH241" s="1" t="s">
        <v>1686</v>
      </c>
      <c r="BI241">
        <f>HYPERLINK("http://exon.niaid.nih.gov/transcriptome/T_rubida/S1/links/GO/Triru-contig_642-GO.txt",0.00002)</f>
        <v>2.0000000000000002E-5</v>
      </c>
      <c r="BJ241" s="1" t="str">
        <f>HYPERLINK("http://exon.niaid.nih.gov/transcriptome/T_rubida/S1/links/CDD/Triru-contig_642-CDD.txt","Ribosomal_L14e")</f>
        <v>Ribosomal_L14e</v>
      </c>
      <c r="BK241" t="str">
        <f>HYPERLINK("http://www.ncbi.nlm.nih.gov/Structure/cdd/cddsrv.cgi?uid=pfam01929&amp;version=v4.0","8E-004")</f>
        <v>8E-004</v>
      </c>
      <c r="BL241" t="s">
        <v>4734</v>
      </c>
      <c r="BM241" s="1" t="str">
        <f>HYPERLINK("http://exon.niaid.nih.gov/transcriptome/T_rubida/S1/links/KOG/Triru-contig_642-KOG.txt","60S ribosomal protein L14")</f>
        <v>60S ribosomal protein L14</v>
      </c>
      <c r="BN241" t="str">
        <f>HYPERLINK("http://www.ncbi.nlm.nih.gov/COG/grace/shokog.cgi?KOG3421","0.001")</f>
        <v>0.001</v>
      </c>
      <c r="BO241" t="s">
        <v>1185</v>
      </c>
      <c r="BP241" s="1" t="str">
        <f>HYPERLINK("http://exon.niaid.nih.gov/transcriptome/T_rubida/S1/links/PFAM/Triru-contig_642-PFAM.txt","Ribosomal_L14e")</f>
        <v>Ribosomal_L14e</v>
      </c>
      <c r="BQ241" t="str">
        <f>HYPERLINK("http://pfam.sanger.ac.uk/family?acc=PF01929","2E-004")</f>
        <v>2E-004</v>
      </c>
      <c r="BR241" s="1" t="str">
        <f>HYPERLINK("http://exon.niaid.nih.gov/transcriptome/T_rubida/S1/links/SMART/Triru-contig_642-SMART.txt","PSN")</f>
        <v>PSN</v>
      </c>
      <c r="BS241" t="str">
        <f>HYPERLINK("http://smart.embl-heidelberg.de/smart/do_annotation.pl?DOMAIN=PSN&amp;BLAST=DUMMY","0.002")</f>
        <v>0.002</v>
      </c>
      <c r="BT241" s="1" t="str">
        <f>HYPERLINK("http://exon.niaid.nih.gov/transcriptome/T_rubida/S1/links/PRK/Triru-contig_642-PRK.txt","60S ribosomal protein L14")</f>
        <v>60S ribosomal protein L14</v>
      </c>
      <c r="BU241">
        <v>1.7999999999999999E-2</v>
      </c>
      <c r="BV241" s="1" t="s">
        <v>57</v>
      </c>
      <c r="BW241" t="s">
        <v>57</v>
      </c>
      <c r="BX241" s="1" t="s">
        <v>57</v>
      </c>
      <c r="BY241" t="s">
        <v>57</v>
      </c>
    </row>
    <row r="242" spans="1:77">
      <c r="A242" t="str">
        <f>HYPERLINK("http://exon.niaid.nih.gov/transcriptome/T_rubida/S1/links/Triru/Triru-contig_565.txt","Triru-contig_565")</f>
        <v>Triru-contig_565</v>
      </c>
      <c r="B242">
        <v>1</v>
      </c>
      <c r="C242" t="str">
        <f>HYPERLINK("http://exon.niaid.nih.gov/transcriptome/T_rubida/S1/links/Triru/Triru-5-48-asb-565.txt","Contig-565")</f>
        <v>Contig-565</v>
      </c>
      <c r="D242" t="str">
        <f>HYPERLINK("http://exon.niaid.nih.gov/transcriptome/T_rubida/S1/links/Triru/Triru-5-48-565-CLU.txt","Contig565")</f>
        <v>Contig565</v>
      </c>
      <c r="E242" t="str">
        <f>HYPERLINK("http://exon.niaid.nih.gov/transcriptome/T_rubida/S1/links/Triru/Triru-5-48-565-qual.txt","60.6")</f>
        <v>60.6</v>
      </c>
      <c r="F242" t="s">
        <v>10</v>
      </c>
      <c r="G242">
        <v>65.099999999999994</v>
      </c>
      <c r="H242">
        <v>457</v>
      </c>
      <c r="I242" t="s">
        <v>577</v>
      </c>
      <c r="J242">
        <v>457</v>
      </c>
      <c r="K242">
        <v>476</v>
      </c>
      <c r="L242">
        <v>267</v>
      </c>
      <c r="M242" t="s">
        <v>5265</v>
      </c>
      <c r="N242" s="15">
        <v>2</v>
      </c>
      <c r="O242" s="14" t="str">
        <f>HYPERLINK("http://exon.niaid.nih.gov/transcriptome/T_rubida/S1/links/Sigp/TRIRU-CONTIG_565-SigP.txt","Cyt")</f>
        <v>Cyt</v>
      </c>
      <c r="Q242" s="5" t="s">
        <v>5009</v>
      </c>
      <c r="R242" t="s">
        <v>4820</v>
      </c>
      <c r="S242" t="str">
        <f>HYPERLINK("http://exon.niaid.nih.gov/transcriptome/T_rubida/S1/links/NR/Triru-contig_565-NR.txt","NR")</f>
        <v>NR</v>
      </c>
      <c r="T242" s="23">
        <v>9.9999999999999993E-35</v>
      </c>
      <c r="U242">
        <v>44.2</v>
      </c>
      <c r="V242" s="1" t="str">
        <f>HYPERLINK("http://exon.niaid.nih.gov/transcriptome/T_rubida/S1/links/NR/Triru-contig_565-NR.txt","putative ribosomal protein L19e")</f>
        <v>putative ribosomal protein L19e</v>
      </c>
      <c r="W242" t="str">
        <f>HYPERLINK("http://www.ncbi.nlm.nih.gov/sutils/blink.cgi?pid=90820030","1E-034")</f>
        <v>1E-034</v>
      </c>
      <c r="X242" t="str">
        <f>HYPERLINK("http://www.ncbi.nlm.nih.gov/protein/90820030","gi|90820030")</f>
        <v>gi|90820030</v>
      </c>
      <c r="Y242">
        <v>149</v>
      </c>
      <c r="Z242">
        <v>87</v>
      </c>
      <c r="AA242">
        <v>199</v>
      </c>
      <c r="AB242">
        <v>84</v>
      </c>
      <c r="AC242">
        <v>44</v>
      </c>
      <c r="AD242">
        <v>14</v>
      </c>
      <c r="AE242">
        <v>0</v>
      </c>
      <c r="AF242">
        <v>112</v>
      </c>
      <c r="AG242">
        <v>38</v>
      </c>
      <c r="AH242">
        <v>1</v>
      </c>
      <c r="AI242">
        <v>2</v>
      </c>
      <c r="AJ242" t="s">
        <v>11</v>
      </c>
      <c r="AL242" t="s">
        <v>1208</v>
      </c>
      <c r="AM242" t="s">
        <v>4286</v>
      </c>
      <c r="AN242" t="s">
        <v>1179</v>
      </c>
      <c r="AO242" s="1" t="str">
        <f>HYPERLINK("http://exon.niaid.nih.gov/transcriptome/T_rubida/S1/links/SWISSP/Triru-contig_565-SWISSP.txt","60S ribosomal protein L19")</f>
        <v>60S ribosomal protein L19</v>
      </c>
      <c r="AP242" t="str">
        <f>HYPERLINK("http://www.uniprot.org/uniprot/P36241","9E-031")</f>
        <v>9E-031</v>
      </c>
      <c r="AQ242" t="s">
        <v>4287</v>
      </c>
      <c r="AR242">
        <v>132</v>
      </c>
      <c r="AS242">
        <v>84</v>
      </c>
      <c r="AT242">
        <v>76</v>
      </c>
      <c r="AU242">
        <v>42</v>
      </c>
      <c r="AV242">
        <v>20</v>
      </c>
      <c r="AW242">
        <v>0</v>
      </c>
      <c r="AX242">
        <v>112</v>
      </c>
      <c r="AY242">
        <v>38</v>
      </c>
      <c r="AZ242">
        <v>1</v>
      </c>
      <c r="BA242">
        <v>2</v>
      </c>
      <c r="BB242" t="s">
        <v>11</v>
      </c>
      <c r="BD242" t="s">
        <v>704</v>
      </c>
      <c r="BE242" t="s">
        <v>1125</v>
      </c>
      <c r="BF242" t="s">
        <v>4288</v>
      </c>
      <c r="BG242" t="s">
        <v>4289</v>
      </c>
      <c r="BH242" s="1" t="s">
        <v>4290</v>
      </c>
      <c r="BI242">
        <f>HYPERLINK("http://exon.niaid.nih.gov/transcriptome/T_rubida/S1/links/GO/Triru-contig_565-GO.txt",8E-31)</f>
        <v>8.0000000000000007E-31</v>
      </c>
      <c r="BJ242" s="1" t="str">
        <f>HYPERLINK("http://exon.niaid.nih.gov/transcriptome/T_rubida/S1/links/CDD/Triru-contig_565-CDD.txt","PTZ00097")</f>
        <v>PTZ00097</v>
      </c>
      <c r="BK242" t="str">
        <f>HYPERLINK("http://www.ncbi.nlm.nih.gov/Structure/cdd/cddsrv.cgi?uid=PTZ00097&amp;version=v4.0","3E-024")</f>
        <v>3E-024</v>
      </c>
      <c r="BL242" t="s">
        <v>4291</v>
      </c>
      <c r="BM242" s="1" t="str">
        <f>HYPERLINK("http://exon.niaid.nih.gov/transcriptome/T_rubida/S1/links/KOG/Triru-contig_565-KOG.txt","60s ribosomal protein L19")</f>
        <v>60s ribosomal protein L19</v>
      </c>
      <c r="BN242" t="str">
        <f>HYPERLINK("http://www.ncbi.nlm.nih.gov/COG/grace/shokog.cgi?KOG1696","7E-033")</f>
        <v>7E-033</v>
      </c>
      <c r="BO242" t="s">
        <v>1185</v>
      </c>
      <c r="BP242" s="1" t="str">
        <f>HYPERLINK("http://exon.niaid.nih.gov/transcriptome/T_rubida/S1/links/PFAM/Triru-contig_565-PFAM.txt","Ribosomal_L19e")</f>
        <v>Ribosomal_L19e</v>
      </c>
      <c r="BQ242" t="str">
        <f>HYPERLINK("http://pfam.sanger.ac.uk/family?acc=PF01280","1E-013")</f>
        <v>1E-013</v>
      </c>
      <c r="BR242" s="1" t="str">
        <f>HYPERLINK("http://exon.niaid.nih.gov/transcriptome/T_rubida/S1/links/SMART/Triru-contig_565-SMART.txt","AgrB")</f>
        <v>AgrB</v>
      </c>
      <c r="BS242" t="str">
        <f>HYPERLINK("http://smart.embl-heidelberg.de/smart/do_annotation.pl?DOMAIN=AgrB&amp;BLAST=DUMMY","0.10")</f>
        <v>0.10</v>
      </c>
      <c r="BT242" s="1" t="str">
        <f>HYPERLINK("http://exon.niaid.nih.gov/transcriptome/T_rubida/S1/links/PRK/Triru-contig_565-PRK.txt","60S ribosomal protein L19")</f>
        <v>60S ribosomal protein L19</v>
      </c>
      <c r="BU242" s="2">
        <v>9.9999999999999992E-25</v>
      </c>
      <c r="BV242" s="1" t="s">
        <v>57</v>
      </c>
      <c r="BW242" t="s">
        <v>57</v>
      </c>
      <c r="BX242" s="1" t="s">
        <v>57</v>
      </c>
      <c r="BY242" t="s">
        <v>57</v>
      </c>
    </row>
    <row r="243" spans="1:77">
      <c r="A243" t="str">
        <f>HYPERLINK("http://exon.niaid.nih.gov/transcriptome/T_rubida/S1/links/Triru/Triru-contig_126.txt","Triru-contig_126")</f>
        <v>Triru-contig_126</v>
      </c>
      <c r="B243">
        <v>3</v>
      </c>
      <c r="C243" t="str">
        <f>HYPERLINK("http://exon.niaid.nih.gov/transcriptome/T_rubida/S1/links/Triru/Triru-5-48-asb-126.txt","Contig-126")</f>
        <v>Contig-126</v>
      </c>
      <c r="D243" t="str">
        <f>HYPERLINK("http://exon.niaid.nih.gov/transcriptome/T_rubida/S1/links/Triru/Triru-5-48-126-CLU.txt","Contig126")</f>
        <v>Contig126</v>
      </c>
      <c r="E243" t="str">
        <f>HYPERLINK("http://exon.niaid.nih.gov/transcriptome/T_rubida/S1/links/Triru/Triru-5-48-126-qual.txt","83.7")</f>
        <v>83.7</v>
      </c>
      <c r="F243" t="s">
        <v>10</v>
      </c>
      <c r="G243">
        <v>63.3</v>
      </c>
      <c r="H243">
        <v>466</v>
      </c>
      <c r="I243" t="s">
        <v>138</v>
      </c>
      <c r="J243">
        <v>466</v>
      </c>
      <c r="K243">
        <v>485</v>
      </c>
      <c r="L243">
        <v>414</v>
      </c>
      <c r="M243" t="s">
        <v>5266</v>
      </c>
      <c r="N243" s="15">
        <v>3</v>
      </c>
      <c r="O243" s="14" t="str">
        <f>HYPERLINK("http://exon.niaid.nih.gov/transcriptome/T_rubida/S1/links/Sigp/TRIRU-CONTIG_126-SigP.txt","SIG")</f>
        <v>SIG</v>
      </c>
      <c r="P243" t="s">
        <v>5057</v>
      </c>
      <c r="Q243" s="5" t="s">
        <v>4872</v>
      </c>
      <c r="R243" t="s">
        <v>4820</v>
      </c>
      <c r="S243" t="str">
        <f>HYPERLINK("http://exon.niaid.nih.gov/transcriptome/T_rubida/S1/links/NR/Triru-contig_126-NR.txt","NR")</f>
        <v>NR</v>
      </c>
      <c r="T243" s="23">
        <v>1.9999999999999999E-72</v>
      </c>
      <c r="U243">
        <v>100</v>
      </c>
      <c r="V243" s="1" t="str">
        <f>HYPERLINK("http://exon.niaid.nih.gov/transcriptome/T_rubida/S1/links/NR/Triru-contig_126-NR.txt","ribosomal protein L28")</f>
        <v>ribosomal protein L28</v>
      </c>
      <c r="W243" t="str">
        <f>HYPERLINK("http://www.ncbi.nlm.nih.gov/sutils/blink.cgi?pid=111379895","2E-072")</f>
        <v>2E-072</v>
      </c>
      <c r="X243" t="str">
        <f>HYPERLINK("http://www.ncbi.nlm.nih.gov/protein/111379895","gi|111379895")</f>
        <v>gi|111379895</v>
      </c>
      <c r="Y243">
        <v>275</v>
      </c>
      <c r="Z243">
        <v>137</v>
      </c>
      <c r="AA243">
        <v>138</v>
      </c>
      <c r="AB243">
        <v>98</v>
      </c>
      <c r="AC243">
        <v>100</v>
      </c>
      <c r="AD243">
        <v>2</v>
      </c>
      <c r="AE243">
        <v>0</v>
      </c>
      <c r="AF243">
        <v>1</v>
      </c>
      <c r="AG243">
        <v>3</v>
      </c>
      <c r="AH243">
        <v>1</v>
      </c>
      <c r="AI243">
        <v>3</v>
      </c>
      <c r="AJ243" t="s">
        <v>11</v>
      </c>
      <c r="AL243" t="s">
        <v>938</v>
      </c>
      <c r="AM243" t="s">
        <v>1441</v>
      </c>
      <c r="AN243" t="s">
        <v>1324</v>
      </c>
      <c r="AO243" s="1" t="str">
        <f>HYPERLINK("http://exon.niaid.nih.gov/transcriptome/T_rubida/S1/links/SWISSP/Triru-contig_126-SWISSP.txt","60S ribosomal protein L28")</f>
        <v>60S ribosomal protein L28</v>
      </c>
      <c r="AP243" t="str">
        <f>HYPERLINK("http://www.uniprot.org/uniprot/Q962T2","2E-034")</f>
        <v>2E-034</v>
      </c>
      <c r="AQ243" t="s">
        <v>1442</v>
      </c>
      <c r="AR243">
        <v>145</v>
      </c>
      <c r="AS243">
        <v>131</v>
      </c>
      <c r="AT243">
        <v>53</v>
      </c>
      <c r="AU243">
        <v>95</v>
      </c>
      <c r="AV243">
        <v>63</v>
      </c>
      <c r="AW243">
        <v>0</v>
      </c>
      <c r="AX243">
        <v>1</v>
      </c>
      <c r="AY243">
        <v>3</v>
      </c>
      <c r="AZ243">
        <v>1</v>
      </c>
      <c r="BA243">
        <v>3</v>
      </c>
      <c r="BB243" t="s">
        <v>11</v>
      </c>
      <c r="BD243" t="s">
        <v>704</v>
      </c>
      <c r="BE243" t="s">
        <v>1246</v>
      </c>
      <c r="BF243" t="s">
        <v>1443</v>
      </c>
      <c r="BG243" t="s">
        <v>1444</v>
      </c>
      <c r="BH243" s="1" t="s">
        <v>1445</v>
      </c>
      <c r="BI243">
        <f>HYPERLINK("http://exon.niaid.nih.gov/transcriptome/T_rubida/S1/links/GO/Triru-contig_126-GO.txt",2E-31)</f>
        <v>2.0000000000000002E-31</v>
      </c>
      <c r="BJ243" s="1" t="str">
        <f>HYPERLINK("http://exon.niaid.nih.gov/transcriptome/T_rubida/S1/links/CDD/Triru-contig_126-CDD.txt","Ribosomal_L28e")</f>
        <v>Ribosomal_L28e</v>
      </c>
      <c r="BK243" t="str">
        <f>HYPERLINK("http://www.ncbi.nlm.nih.gov/Structure/cdd/cddsrv.cgi?uid=pfam01778&amp;version=v4.0","2E-029")</f>
        <v>2E-029</v>
      </c>
      <c r="BL243" t="s">
        <v>1446</v>
      </c>
      <c r="BM243" s="1" t="str">
        <f>HYPERLINK("http://exon.niaid.nih.gov/transcriptome/T_rubida/S1/links/KOG/Triru-contig_126-KOG.txt","60S ribosomal protein L28")</f>
        <v>60S ribosomal protein L28</v>
      </c>
      <c r="BN243" t="str">
        <f>HYPERLINK("http://www.ncbi.nlm.nih.gov/COG/grace/shokog.cgi?KOG3412","1E-032")</f>
        <v>1E-032</v>
      </c>
      <c r="BO243" t="s">
        <v>1185</v>
      </c>
      <c r="BP243" s="1" t="str">
        <f>HYPERLINK("http://exon.niaid.nih.gov/transcriptome/T_rubida/S1/links/PFAM/Triru-contig_126-PFAM.txt","Ribosomal_L28e")</f>
        <v>Ribosomal_L28e</v>
      </c>
      <c r="BQ243" t="str">
        <f>HYPERLINK("http://pfam.sanger.ac.uk/family?acc=PF01778","4E-030")</f>
        <v>4E-030</v>
      </c>
      <c r="BR243" s="1" t="str">
        <f>HYPERLINK("http://exon.niaid.nih.gov/transcriptome/T_rubida/S1/links/SMART/Triru-contig_126-SMART.txt","Adenylsucc_synt")</f>
        <v>Adenylsucc_synt</v>
      </c>
      <c r="BS243" t="str">
        <f>HYPERLINK("http://smart.embl-heidelberg.de/smart/do_annotation.pl?DOMAIN=Adenylsucc_synt&amp;BLAST=DUMMY","0.11")</f>
        <v>0.11</v>
      </c>
      <c r="BT243" s="1" t="str">
        <f>HYPERLINK("http://exon.niaid.nih.gov/transcriptome/T_rubida/S1/links/PRK/Triru-contig_126-PRK.txt","60S ribosomal protein L28")</f>
        <v>60S ribosomal protein L28</v>
      </c>
      <c r="BU243" s="2">
        <v>5.0000000000000004E-6</v>
      </c>
      <c r="BV243" s="1" t="s">
        <v>57</v>
      </c>
      <c r="BW243" t="s">
        <v>57</v>
      </c>
      <c r="BX243" s="1" t="s">
        <v>57</v>
      </c>
      <c r="BY243" t="s">
        <v>57</v>
      </c>
    </row>
    <row r="244" spans="1:77">
      <c r="A244" t="str">
        <f>HYPERLINK("http://exon.niaid.nih.gov/transcriptome/T_rubida/S1/links/Triru/Triru-contig_340.txt","Triru-contig_340")</f>
        <v>Triru-contig_340</v>
      </c>
      <c r="B244">
        <v>1</v>
      </c>
      <c r="C244" t="str">
        <f>HYPERLINK("http://exon.niaid.nih.gov/transcriptome/T_rubida/S1/links/Triru/Triru-5-48-asb-340.txt","Contig-340")</f>
        <v>Contig-340</v>
      </c>
      <c r="D244" t="str">
        <f>HYPERLINK("http://exon.niaid.nih.gov/transcriptome/T_rubida/S1/links/Triru/Triru-5-48-340-CLU.txt","Contig340")</f>
        <v>Contig340</v>
      </c>
      <c r="E244" t="str">
        <f>HYPERLINK("http://exon.niaid.nih.gov/transcriptome/T_rubida/S1/links/Triru/Triru-5-48-340-qual.txt","40.2")</f>
        <v>40.2</v>
      </c>
      <c r="F244" t="s">
        <v>10</v>
      </c>
      <c r="G244">
        <v>63.6</v>
      </c>
      <c r="H244">
        <v>947</v>
      </c>
      <c r="I244" t="s">
        <v>352</v>
      </c>
      <c r="J244">
        <v>947</v>
      </c>
      <c r="K244">
        <v>966</v>
      </c>
      <c r="L244">
        <v>882</v>
      </c>
      <c r="M244" t="s">
        <v>5267</v>
      </c>
      <c r="N244" s="15">
        <v>3</v>
      </c>
      <c r="O244" s="14" t="str">
        <f>HYPERLINK("http://exon.niaid.nih.gov/transcriptome/T_rubida/S1/links/Sigp/TRIRU-CONTIG_340-SigP.txt","Cyt")</f>
        <v>Cyt</v>
      </c>
      <c r="Q244" s="5" t="s">
        <v>4936</v>
      </c>
      <c r="R244" t="s">
        <v>4820</v>
      </c>
      <c r="S244" t="str">
        <f>HYPERLINK("http://exon.niaid.nih.gov/transcriptome/T_rubida/S1/links/NR/Triru-contig_340-NR.txt","NR")</f>
        <v>NR</v>
      </c>
      <c r="T244" s="23">
        <v>0</v>
      </c>
      <c r="U244">
        <v>69.599999999999994</v>
      </c>
      <c r="V244" s="1" t="str">
        <f>HYPERLINK("http://exon.niaid.nih.gov/transcriptome/T_rubida/S1/links/NR/Triru-contig_340-NR.txt","ribosomal protein L3")</f>
        <v>ribosomal protein L3</v>
      </c>
      <c r="W244" t="str">
        <f>HYPERLINK("http://www.ncbi.nlm.nih.gov/sutils/blink.cgi?pid=84095076","1E-154")</f>
        <v>1E-154</v>
      </c>
      <c r="X244" t="str">
        <f>HYPERLINK("http://www.ncbi.nlm.nih.gov/protein/84095076","gi|84095076")</f>
        <v>gi|84095076</v>
      </c>
      <c r="Y244">
        <v>547</v>
      </c>
      <c r="Z244">
        <v>286</v>
      </c>
      <c r="AA244">
        <v>412</v>
      </c>
      <c r="AB244">
        <v>90</v>
      </c>
      <c r="AC244">
        <v>70</v>
      </c>
      <c r="AD244">
        <v>27</v>
      </c>
      <c r="AE244">
        <v>0</v>
      </c>
      <c r="AF244">
        <v>116</v>
      </c>
      <c r="AG244">
        <v>18</v>
      </c>
      <c r="AH244">
        <v>1</v>
      </c>
      <c r="AI244">
        <v>3</v>
      </c>
      <c r="AJ244" t="s">
        <v>11</v>
      </c>
      <c r="AL244" t="s">
        <v>2782</v>
      </c>
      <c r="AM244" t="s">
        <v>2783</v>
      </c>
      <c r="AN244" t="s">
        <v>1179</v>
      </c>
      <c r="AO244" s="1" t="str">
        <f>HYPERLINK("http://exon.niaid.nih.gov/transcriptome/T_rubida/S1/links/SWISSP/Triru-contig_340-SWISSP.txt","60S ribosomal protein L3")</f>
        <v>60S ribosomal protein L3</v>
      </c>
      <c r="AP244" t="str">
        <f>HYPERLINK("http://www.uniprot.org/uniprot/O16797","1E-149")</f>
        <v>1E-149</v>
      </c>
      <c r="AQ244" t="s">
        <v>2784</v>
      </c>
      <c r="AR244">
        <v>529</v>
      </c>
      <c r="AS244">
        <v>286</v>
      </c>
      <c r="AT244">
        <v>86</v>
      </c>
      <c r="AU244">
        <v>69</v>
      </c>
      <c r="AV244">
        <v>38</v>
      </c>
      <c r="AW244">
        <v>0</v>
      </c>
      <c r="AX244">
        <v>116</v>
      </c>
      <c r="AY244">
        <v>18</v>
      </c>
      <c r="AZ244">
        <v>1</v>
      </c>
      <c r="BA244">
        <v>3</v>
      </c>
      <c r="BB244" t="s">
        <v>11</v>
      </c>
      <c r="BD244" t="s">
        <v>704</v>
      </c>
      <c r="BE244" t="s">
        <v>1125</v>
      </c>
      <c r="BF244" t="s">
        <v>2785</v>
      </c>
      <c r="BG244" t="s">
        <v>2786</v>
      </c>
      <c r="BH244" s="1" t="s">
        <v>2787</v>
      </c>
      <c r="BI244">
        <f>HYPERLINK("http://exon.niaid.nih.gov/transcriptome/T_rubida/S1/links/GO/Triru-contig_340-GO.txt",0)</f>
        <v>0</v>
      </c>
      <c r="BJ244" s="1" t="str">
        <f>HYPERLINK("http://exon.niaid.nih.gov/transcriptome/T_rubida/S1/links/CDD/Triru-contig_340-CDD.txt","PTZ00103")</f>
        <v>PTZ00103</v>
      </c>
      <c r="BK244" t="str">
        <f>HYPERLINK("http://www.ncbi.nlm.nih.gov/Structure/cdd/cddsrv.cgi?uid=PTZ00103&amp;version=v4.0","1E-145")</f>
        <v>1E-145</v>
      </c>
      <c r="BL244" t="s">
        <v>2788</v>
      </c>
      <c r="BM244" s="1" t="str">
        <f>HYPERLINK("http://exon.niaid.nih.gov/transcriptome/T_rubida/S1/links/KOG/Triru-contig_340-KOG.txt","60S ribosomal protein L3 and related proteins")</f>
        <v>60S ribosomal protein L3 and related proteins</v>
      </c>
      <c r="BN244" t="str">
        <f>HYPERLINK("http://www.ncbi.nlm.nih.gov/COG/grace/shokog.cgi?KOG0746","1E-140")</f>
        <v>1E-140</v>
      </c>
      <c r="BO244" t="s">
        <v>1185</v>
      </c>
      <c r="BP244" s="1" t="str">
        <f>HYPERLINK("http://exon.niaid.nih.gov/transcriptome/T_rubida/S1/links/PFAM/Triru-contig_340-PFAM.txt","Ribosomal_L3")</f>
        <v>Ribosomal_L3</v>
      </c>
      <c r="BQ244" t="str">
        <f>HYPERLINK("http://pfam.sanger.ac.uk/family?acc=PF00297","1E-057")</f>
        <v>1E-057</v>
      </c>
      <c r="BR244" s="1" t="str">
        <f>HYPERLINK("http://exon.niaid.nih.gov/transcriptome/T_rubida/S1/links/SMART/Triru-contig_340-SMART.txt","NUC")</f>
        <v>NUC</v>
      </c>
      <c r="BS244" t="str">
        <f>HYPERLINK("http://smart.embl-heidelberg.de/smart/do_annotation.pl?DOMAIN=NUC&amp;BLAST=DUMMY","0.11")</f>
        <v>0.11</v>
      </c>
      <c r="BT244" s="1" t="str">
        <f>HYPERLINK("http://exon.niaid.nih.gov/transcriptome/T_rubida/S1/links/PRK/Triru-contig_340-PRK.txt","60S ribosomal protein L3")</f>
        <v>60S ribosomal protein L3</v>
      </c>
      <c r="BU244" s="2">
        <v>9.9999999999999991E-146</v>
      </c>
      <c r="BV244" s="1" t="s">
        <v>57</v>
      </c>
      <c r="BW244" t="s">
        <v>57</v>
      </c>
      <c r="BX244" s="1" t="s">
        <v>57</v>
      </c>
      <c r="BY244" t="s">
        <v>57</v>
      </c>
    </row>
    <row r="245" spans="1:77">
      <c r="A245" t="str">
        <f>HYPERLINK("http://exon.niaid.nih.gov/transcriptome/T_rubida/S1/links/Triru/Triru-contig_239.txt","Triru-contig_239")</f>
        <v>Triru-contig_239</v>
      </c>
      <c r="B245">
        <v>1</v>
      </c>
      <c r="C245" t="str">
        <f>HYPERLINK("http://exon.niaid.nih.gov/transcriptome/T_rubida/S1/links/Triru/Triru-5-48-asb-239.txt","Contig-239")</f>
        <v>Contig-239</v>
      </c>
      <c r="D245" t="str">
        <f>HYPERLINK("http://exon.niaid.nih.gov/transcriptome/T_rubida/S1/links/Triru/Triru-5-48-239-CLU.txt","Contig239")</f>
        <v>Contig239</v>
      </c>
      <c r="E245" t="str">
        <f>HYPERLINK("http://exon.niaid.nih.gov/transcriptome/T_rubida/S1/links/Triru/Triru-5-48-239-qual.txt","47.2")</f>
        <v>47.2</v>
      </c>
      <c r="F245">
        <v>0.3</v>
      </c>
      <c r="G245">
        <v>65.7</v>
      </c>
      <c r="H245">
        <v>305</v>
      </c>
      <c r="I245" t="s">
        <v>251</v>
      </c>
      <c r="J245">
        <v>305</v>
      </c>
      <c r="K245">
        <v>324</v>
      </c>
      <c r="L245">
        <v>252</v>
      </c>
      <c r="M245" t="s">
        <v>5268</v>
      </c>
      <c r="N245" s="15">
        <v>1</v>
      </c>
      <c r="O245" s="14" t="str">
        <f>HYPERLINK("http://exon.niaid.nih.gov/transcriptome/T_rubida/S1/links/Sigp/TRIRU-CONTIG_239-SigP.txt","Cyt")</f>
        <v>Cyt</v>
      </c>
      <c r="Q245" s="5" t="s">
        <v>4902</v>
      </c>
      <c r="R245" t="s">
        <v>4820</v>
      </c>
      <c r="S245" t="str">
        <f>HYPERLINK("http://exon.niaid.nih.gov/transcriptome/T_rubida/S1/links/NR/Triru-contig_239-NR.txt","NR")</f>
        <v>NR</v>
      </c>
      <c r="T245" s="23">
        <v>4.0000000000000003E-30</v>
      </c>
      <c r="U245">
        <v>65</v>
      </c>
      <c r="V245" s="1" t="str">
        <f>HYPERLINK("http://exon.niaid.nih.gov/transcriptome/T_rubida/S1/links/NR/Triru-contig_239-NR.txt","ribosomal protein L35")</f>
        <v>ribosomal protein L35</v>
      </c>
      <c r="W245" t="str">
        <f>HYPERLINK("http://www.ncbi.nlm.nih.gov/sutils/blink.cgi?pid=264667453","4E-030")</f>
        <v>4E-030</v>
      </c>
      <c r="X245" t="str">
        <f>HYPERLINK("http://www.ncbi.nlm.nih.gov/protein/264667453","gi|264667453")</f>
        <v>gi|264667453</v>
      </c>
      <c r="Y245">
        <v>134</v>
      </c>
      <c r="Z245">
        <v>79</v>
      </c>
      <c r="AA245">
        <v>123</v>
      </c>
      <c r="AB245">
        <v>81</v>
      </c>
      <c r="AC245">
        <v>65</v>
      </c>
      <c r="AD245">
        <v>15</v>
      </c>
      <c r="AE245">
        <v>0</v>
      </c>
      <c r="AF245">
        <v>44</v>
      </c>
      <c r="AG245">
        <v>13</v>
      </c>
      <c r="AH245">
        <v>1</v>
      </c>
      <c r="AI245">
        <v>1</v>
      </c>
      <c r="AJ245" t="s">
        <v>11</v>
      </c>
      <c r="AL245" t="s">
        <v>2109</v>
      </c>
      <c r="AM245" t="s">
        <v>2110</v>
      </c>
      <c r="AN245" t="s">
        <v>1179</v>
      </c>
      <c r="AO245" s="1" t="str">
        <f>HYPERLINK("http://exon.niaid.nih.gov/transcriptome/T_rubida/S1/links/SWISSP/Triru-contig_239-SWISSP.txt","60S ribosomal protein L35")</f>
        <v>60S ribosomal protein L35</v>
      </c>
      <c r="AP245" t="str">
        <f>HYPERLINK("http://www.uniprot.org/uniprot/P17078","2E-023")</f>
        <v>2E-023</v>
      </c>
      <c r="AQ245" t="s">
        <v>2032</v>
      </c>
      <c r="AR245">
        <v>107</v>
      </c>
      <c r="AS245">
        <v>79</v>
      </c>
      <c r="AT245">
        <v>65</v>
      </c>
      <c r="AU245">
        <v>65</v>
      </c>
      <c r="AV245">
        <v>28</v>
      </c>
      <c r="AW245">
        <v>0</v>
      </c>
      <c r="AX245">
        <v>44</v>
      </c>
      <c r="AY245">
        <v>13</v>
      </c>
      <c r="AZ245">
        <v>1</v>
      </c>
      <c r="BA245">
        <v>1</v>
      </c>
      <c r="BB245" t="s">
        <v>11</v>
      </c>
      <c r="BD245" t="s">
        <v>704</v>
      </c>
      <c r="BE245" t="s">
        <v>1164</v>
      </c>
      <c r="BF245" t="s">
        <v>2111</v>
      </c>
      <c r="BG245" t="s">
        <v>2112</v>
      </c>
      <c r="BH245" s="1" t="s">
        <v>2113</v>
      </c>
      <c r="BI245">
        <f>HYPERLINK("http://exon.niaid.nih.gov/transcriptome/T_rubida/S1/links/GO/Triru-contig_239-GO.txt",2E-25)</f>
        <v>2.0000000000000001E-25</v>
      </c>
      <c r="BJ245" s="1" t="str">
        <f>HYPERLINK("http://exon.niaid.nih.gov/transcriptome/T_rubida/S1/links/CDD/Triru-contig_239-CDD.txt","PRK13831")</f>
        <v>PRK13831</v>
      </c>
      <c r="BK245" t="str">
        <f>HYPERLINK("http://www.ncbi.nlm.nih.gov/Structure/cdd/cddsrv.cgi?uid=PRK13831&amp;version=v4.0","0.025")</f>
        <v>0.025</v>
      </c>
      <c r="BL245" t="s">
        <v>2114</v>
      </c>
      <c r="BM245" s="1" t="str">
        <f>HYPERLINK("http://exon.niaid.nih.gov/transcriptome/T_rubida/S1/links/KOG/Triru-contig_239-KOG.txt","60S ribosomal protein L35")</f>
        <v>60S ribosomal protein L35</v>
      </c>
      <c r="BN245" t="str">
        <f>HYPERLINK("http://www.ncbi.nlm.nih.gov/COG/grace/shokog.cgi?KOG3436","7E-024")</f>
        <v>7E-024</v>
      </c>
      <c r="BO245" t="s">
        <v>1185</v>
      </c>
      <c r="BP245" s="1" t="str">
        <f>HYPERLINK("http://exon.niaid.nih.gov/transcriptome/T_rubida/S1/links/PFAM/Triru-contig_239-PFAM.txt","YfhO")</f>
        <v>YfhO</v>
      </c>
      <c r="BQ245" t="str">
        <f>HYPERLINK("http://pfam.sanger.ac.uk/family?acc=PF09586","0.009")</f>
        <v>0.009</v>
      </c>
      <c r="BR245" s="1" t="str">
        <f>HYPERLINK("http://exon.niaid.nih.gov/transcriptome/T_rubida/S1/links/SMART/Triru-contig_239-SMART.txt","PP2Cc")</f>
        <v>PP2Cc</v>
      </c>
      <c r="BS245" t="str">
        <f>HYPERLINK("http://smart.embl-heidelberg.de/smart/do_annotation.pl?DOMAIN=PP2Cc&amp;BLAST=DUMMY","0.024")</f>
        <v>0.024</v>
      </c>
      <c r="BT245" s="1" t="str">
        <f>HYPERLINK("http://exon.niaid.nih.gov/transcriptome/T_rubida/S1/links/PRK/Triru-contig_239-PRK.txt","conjugal transfer protein TrbI")</f>
        <v>conjugal transfer protein TrbI</v>
      </c>
      <c r="BU245">
        <v>8.9999999999999993E-3</v>
      </c>
      <c r="BV245" s="1" t="s">
        <v>57</v>
      </c>
      <c r="BW245" t="s">
        <v>57</v>
      </c>
      <c r="BX245" s="1" t="s">
        <v>57</v>
      </c>
      <c r="BY245" t="s">
        <v>57</v>
      </c>
    </row>
    <row r="246" spans="1:77">
      <c r="A246" t="str">
        <f>HYPERLINK("http://exon.niaid.nih.gov/transcriptome/T_rubida/S1/links/Triru/Triru-contig_446.txt","Triru-contig_446")</f>
        <v>Triru-contig_446</v>
      </c>
      <c r="B246">
        <v>1</v>
      </c>
      <c r="C246" t="str">
        <f>HYPERLINK("http://exon.niaid.nih.gov/transcriptome/T_rubida/S1/links/Triru/Triru-5-48-asb-446.txt","Contig-446")</f>
        <v>Contig-446</v>
      </c>
      <c r="D246" t="str">
        <f>HYPERLINK("http://exon.niaid.nih.gov/transcriptome/T_rubida/S1/links/Triru/Triru-5-48-446-CLU.txt","Contig446")</f>
        <v>Contig446</v>
      </c>
      <c r="E246" t="str">
        <f>HYPERLINK("http://exon.niaid.nih.gov/transcriptome/T_rubida/S1/links/Triru/Triru-5-48-446-qual.txt","63.5")</f>
        <v>63.5</v>
      </c>
      <c r="F246" t="s">
        <v>10</v>
      </c>
      <c r="G246">
        <v>64.599999999999994</v>
      </c>
      <c r="H246">
        <v>464</v>
      </c>
      <c r="I246" t="s">
        <v>458</v>
      </c>
      <c r="J246">
        <v>464</v>
      </c>
      <c r="K246">
        <v>483</v>
      </c>
      <c r="L246">
        <v>324</v>
      </c>
      <c r="M246" t="s">
        <v>5269</v>
      </c>
      <c r="N246" s="15">
        <v>1</v>
      </c>
      <c r="O246" s="14" t="str">
        <f>HYPERLINK("http://exon.niaid.nih.gov/transcriptome/T_rubida/S1/links/Sigp/TRIRU-CONTIG_446-SigP.txt","Cyt")</f>
        <v>Cyt</v>
      </c>
      <c r="Q246" s="5" t="s">
        <v>4973</v>
      </c>
      <c r="R246" t="s">
        <v>4820</v>
      </c>
      <c r="S246" t="str">
        <f>HYPERLINK("http://exon.niaid.nih.gov/transcriptome/T_rubida/S1/links/NR/Triru-contig_446-NR.txt","NR")</f>
        <v>NR</v>
      </c>
      <c r="T246" s="23">
        <v>1E-54</v>
      </c>
      <c r="U246">
        <v>100</v>
      </c>
      <c r="V246" s="1" t="str">
        <f>HYPERLINK("http://exon.niaid.nih.gov/transcriptome/T_rubida/S1/links/NR/Triru-contig_446-NR.txt","ribosomal protein L44e")</f>
        <v>ribosomal protein L44e</v>
      </c>
      <c r="W246" t="str">
        <f>HYPERLINK("http://www.ncbi.nlm.nih.gov/sutils/blink.cgi?pid=70909939","1E-054")</f>
        <v>1E-054</v>
      </c>
      <c r="X246" t="str">
        <f>HYPERLINK("http://www.ncbi.nlm.nih.gov/protein/70909939","gi|70909939")</f>
        <v>gi|70909939</v>
      </c>
      <c r="Y246">
        <v>216</v>
      </c>
      <c r="Z246">
        <v>103</v>
      </c>
      <c r="AA246">
        <v>104</v>
      </c>
      <c r="AB246">
        <v>96</v>
      </c>
      <c r="AC246">
        <v>100</v>
      </c>
      <c r="AD246">
        <v>4</v>
      </c>
      <c r="AE246">
        <v>0</v>
      </c>
      <c r="AF246">
        <v>1</v>
      </c>
      <c r="AG246">
        <v>76</v>
      </c>
      <c r="AH246">
        <v>1</v>
      </c>
      <c r="AI246">
        <v>1</v>
      </c>
      <c r="AJ246" t="s">
        <v>11</v>
      </c>
      <c r="AL246" t="s">
        <v>3502</v>
      </c>
      <c r="AM246" t="s">
        <v>3503</v>
      </c>
      <c r="AN246" t="s">
        <v>3504</v>
      </c>
      <c r="AO246" s="1" t="str">
        <f>HYPERLINK("http://exon.niaid.nih.gov/transcriptome/T_rubida/S1/links/SWISSP/Triru-contig_446-SWISSP.txt","60S ribosomal protein L44")</f>
        <v>60S ribosomal protein L44</v>
      </c>
      <c r="AP246" t="str">
        <f>HYPERLINK("http://www.uniprot.org/uniprot/Q9NB33","2E-052")</f>
        <v>2E-052</v>
      </c>
      <c r="AQ246" t="s">
        <v>3505</v>
      </c>
      <c r="AR246">
        <v>204</v>
      </c>
      <c r="AS246">
        <v>103</v>
      </c>
      <c r="AT246">
        <v>90</v>
      </c>
      <c r="AU246">
        <v>100</v>
      </c>
      <c r="AV246">
        <v>10</v>
      </c>
      <c r="AW246">
        <v>0</v>
      </c>
      <c r="AX246">
        <v>1</v>
      </c>
      <c r="AY246">
        <v>76</v>
      </c>
      <c r="AZ246">
        <v>1</v>
      </c>
      <c r="BA246">
        <v>1</v>
      </c>
      <c r="BB246" t="s">
        <v>11</v>
      </c>
      <c r="BD246" t="s">
        <v>704</v>
      </c>
      <c r="BE246" t="s">
        <v>1220</v>
      </c>
      <c r="BF246" t="s">
        <v>3506</v>
      </c>
      <c r="BG246" t="s">
        <v>3507</v>
      </c>
      <c r="BH246" s="1" t="s">
        <v>3508</v>
      </c>
      <c r="BI246">
        <f>HYPERLINK("http://exon.niaid.nih.gov/transcriptome/T_rubida/S1/links/GO/Triru-contig_446-GO.txt",9E-54)</f>
        <v>8.9999999999999997E-54</v>
      </c>
      <c r="BJ246" s="1" t="str">
        <f>HYPERLINK("http://exon.niaid.nih.gov/transcriptome/T_rubida/S1/links/CDD/Triru-contig_446-CDD.txt","PTZ00157")</f>
        <v>PTZ00157</v>
      </c>
      <c r="BK246" t="str">
        <f>HYPERLINK("http://www.ncbi.nlm.nih.gov/Structure/cdd/cddsrv.cgi?uid=PTZ00157&amp;version=v4.0","2E-043")</f>
        <v>2E-043</v>
      </c>
      <c r="BL246" t="s">
        <v>3509</v>
      </c>
      <c r="BM246" s="1" t="str">
        <f>HYPERLINK("http://exon.niaid.nih.gov/transcriptome/T_rubida/S1/links/KOG/Triru-contig_446-KOG.txt","60S ribosomal protein L44")</f>
        <v>60S ribosomal protein L44</v>
      </c>
      <c r="BN246" t="str">
        <f>HYPERLINK("http://www.ncbi.nlm.nih.gov/COG/grace/shokog.cgi?KOG3464","7E-050")</f>
        <v>7E-050</v>
      </c>
      <c r="BO246" t="s">
        <v>1185</v>
      </c>
      <c r="BP246" s="1" t="str">
        <f>HYPERLINK("http://exon.niaid.nih.gov/transcriptome/T_rubida/S1/links/PFAM/Triru-contig_446-PFAM.txt","Ribosomal_L44")</f>
        <v>Ribosomal_L44</v>
      </c>
      <c r="BQ246" t="str">
        <f>HYPERLINK("http://pfam.sanger.ac.uk/family?acc=PF00935","1E-038")</f>
        <v>1E-038</v>
      </c>
      <c r="BR246" s="1" t="str">
        <f>HYPERLINK("http://exon.niaid.nih.gov/transcriptome/T_rubida/S1/links/SMART/Triru-contig_446-SMART.txt","HTTM")</f>
        <v>HTTM</v>
      </c>
      <c r="BS246" t="str">
        <f>HYPERLINK("http://smart.embl-heidelberg.de/smart/do_annotation.pl?DOMAIN=HTTM&amp;BLAST=DUMMY","0.023")</f>
        <v>0.023</v>
      </c>
      <c r="BT246" s="1" t="str">
        <f>HYPERLINK("http://exon.niaid.nih.gov/transcriptome/T_rubida/S1/links/PRK/Triru-contig_446-PRK.txt","60S ribosomal protein L36a")</f>
        <v>60S ribosomal protein L36a</v>
      </c>
      <c r="BU246" s="2">
        <v>8.9999999999999997E-44</v>
      </c>
      <c r="BV246" s="1" t="s">
        <v>57</v>
      </c>
      <c r="BW246" t="s">
        <v>57</v>
      </c>
      <c r="BX246" s="1" t="s">
        <v>57</v>
      </c>
      <c r="BY246" t="s">
        <v>57</v>
      </c>
    </row>
    <row r="247" spans="1:77">
      <c r="A247" t="str">
        <f>HYPERLINK("http://exon.niaid.nih.gov/transcriptome/T_rubida/S1/links/Triru/Triru-contig_533.txt","Triru-contig_533")</f>
        <v>Triru-contig_533</v>
      </c>
      <c r="B247">
        <v>1</v>
      </c>
      <c r="C247" t="str">
        <f>HYPERLINK("http://exon.niaid.nih.gov/transcriptome/T_rubida/S1/links/Triru/Triru-5-48-asb-533.txt","Contig-533")</f>
        <v>Contig-533</v>
      </c>
      <c r="D247" t="str">
        <f>HYPERLINK("http://exon.niaid.nih.gov/transcriptome/T_rubida/S1/links/Triru/Triru-5-48-533-CLU.txt","Contig533")</f>
        <v>Contig533</v>
      </c>
      <c r="E247" t="str">
        <f>HYPERLINK("http://exon.niaid.nih.gov/transcriptome/T_rubida/S1/links/Triru/Triru-5-48-533-qual.txt","65.1")</f>
        <v>65.1</v>
      </c>
      <c r="F247" t="s">
        <v>10</v>
      </c>
      <c r="G247">
        <v>64.2</v>
      </c>
      <c r="H247">
        <v>453</v>
      </c>
      <c r="I247" t="s">
        <v>545</v>
      </c>
      <c r="J247">
        <v>453</v>
      </c>
      <c r="K247">
        <v>472</v>
      </c>
      <c r="L247">
        <v>354</v>
      </c>
      <c r="M247" t="s">
        <v>5270</v>
      </c>
      <c r="N247" s="15">
        <v>1</v>
      </c>
      <c r="O247" s="14" t="str">
        <f>HYPERLINK("http://exon.niaid.nih.gov/transcriptome/T_rubida/S1/links/Sigp/TRIRU-CONTIG_533-SigP.txt","Cyt")</f>
        <v>Cyt</v>
      </c>
      <c r="Q247" s="5" t="s">
        <v>5001</v>
      </c>
      <c r="R247" t="s">
        <v>4820</v>
      </c>
      <c r="S247" t="str">
        <f>HYPERLINK("http://exon.niaid.nih.gov/transcriptome/T_rubida/S1/links/PFAM/Triru-contig_533-PFAM.txt","PFAM")</f>
        <v>PFAM</v>
      </c>
      <c r="T247" s="23">
        <v>3E-49</v>
      </c>
      <c r="U247">
        <v>102.7</v>
      </c>
      <c r="V247" s="1" t="str">
        <f>HYPERLINK("http://exon.niaid.nih.gov/transcriptome/T_rubida/S1/links/NR/Triru-contig_533-NR.txt","hypothetical protein SINV_00918")</f>
        <v>hypothetical protein SINV_00918</v>
      </c>
      <c r="W247" t="str">
        <f>HYPERLINK("http://www.ncbi.nlm.nih.gov/sutils/blink.cgi?pid=322778718","1E-035")</f>
        <v>1E-035</v>
      </c>
      <c r="X247" t="str">
        <f>HYPERLINK("http://www.ncbi.nlm.nih.gov/protein/322778718","gi|322778718")</f>
        <v>gi|322778718</v>
      </c>
      <c r="Y247">
        <v>152</v>
      </c>
      <c r="Z247">
        <v>115</v>
      </c>
      <c r="AA247">
        <v>281</v>
      </c>
      <c r="AB247">
        <v>61</v>
      </c>
      <c r="AC247">
        <v>41</v>
      </c>
      <c r="AD247">
        <v>45</v>
      </c>
      <c r="AE247">
        <v>0</v>
      </c>
      <c r="AF247">
        <v>166</v>
      </c>
      <c r="AG247">
        <v>7</v>
      </c>
      <c r="AH247">
        <v>1</v>
      </c>
      <c r="AI247">
        <v>1</v>
      </c>
      <c r="AJ247" t="s">
        <v>11</v>
      </c>
      <c r="AL247" t="s">
        <v>1144</v>
      </c>
      <c r="AM247" t="s">
        <v>4085</v>
      </c>
      <c r="AN247" t="s">
        <v>4086</v>
      </c>
      <c r="AO247" s="1" t="str">
        <f>HYPERLINK("http://exon.niaid.nih.gov/transcriptome/T_rubida/S1/links/SWISSP/Triru-contig_533-SWISSP.txt","60S ribosomal protein L6")</f>
        <v>60S ribosomal protein L6</v>
      </c>
      <c r="AP247" t="str">
        <f>HYPERLINK("http://www.uniprot.org/uniprot/Q2YGT9","5E-027")</f>
        <v>5E-027</v>
      </c>
      <c r="AQ247" t="s">
        <v>4087</v>
      </c>
      <c r="AR247">
        <v>120</v>
      </c>
      <c r="AS247">
        <v>112</v>
      </c>
      <c r="AT247">
        <v>50</v>
      </c>
      <c r="AU247">
        <v>40</v>
      </c>
      <c r="AV247">
        <v>58</v>
      </c>
      <c r="AW247">
        <v>0</v>
      </c>
      <c r="AX247">
        <v>172</v>
      </c>
      <c r="AY247">
        <v>7</v>
      </c>
      <c r="AZ247">
        <v>1</v>
      </c>
      <c r="BA247">
        <v>1</v>
      </c>
      <c r="BB247" t="s">
        <v>11</v>
      </c>
      <c r="BD247" t="s">
        <v>704</v>
      </c>
      <c r="BE247" t="s">
        <v>2025</v>
      </c>
      <c r="BF247" t="s">
        <v>4088</v>
      </c>
      <c r="BG247" t="s">
        <v>4089</v>
      </c>
      <c r="BH247" s="1" t="s">
        <v>4090</v>
      </c>
      <c r="BI247">
        <f>HYPERLINK("http://exon.niaid.nih.gov/transcriptome/T_rubida/S1/links/GO/Triru-contig_533-GO.txt",7E-31)</f>
        <v>6.9999999999999997E-31</v>
      </c>
      <c r="BJ247" s="1" t="str">
        <f>HYPERLINK("http://exon.niaid.nih.gov/transcriptome/T_rubida/S1/links/CDD/Triru-contig_533-CDD.txt","Ribosomal_L6e")</f>
        <v>Ribosomal_L6e</v>
      </c>
      <c r="BK247" t="str">
        <f>HYPERLINK("http://www.ncbi.nlm.nih.gov/Structure/cdd/cddsrv.cgi?uid=pfam01159&amp;version=v4.0","1E-048")</f>
        <v>1E-048</v>
      </c>
      <c r="BL247" t="s">
        <v>4091</v>
      </c>
      <c r="BM247" s="1" t="str">
        <f>HYPERLINK("http://exon.niaid.nih.gov/transcriptome/T_rubida/S1/links/KOG/Triru-contig_533-KOG.txt","60s ribosomal protein L6")</f>
        <v>60s ribosomal protein L6</v>
      </c>
      <c r="BN247" t="str">
        <f>HYPERLINK("http://www.ncbi.nlm.nih.gov/COG/grace/shokog.cgi?KOG1694","3E-026")</f>
        <v>3E-026</v>
      </c>
      <c r="BO247" t="s">
        <v>1185</v>
      </c>
      <c r="BP247" s="1" t="str">
        <f>HYPERLINK("http://exon.niaid.nih.gov/transcriptome/T_rubida/S1/links/PFAM/Triru-contig_533-PFAM.txt","Ribosomal_L6e")</f>
        <v>Ribosomal_L6e</v>
      </c>
      <c r="BQ247" t="str">
        <f>HYPERLINK("http://pfam.sanger.ac.uk/family?acc=PF01159","3E-049")</f>
        <v>3E-049</v>
      </c>
      <c r="BR247" s="1" t="str">
        <f>HYPERLINK("http://exon.niaid.nih.gov/transcriptome/T_rubida/S1/links/SMART/Triru-contig_533-SMART.txt","SEC14")</f>
        <v>SEC14</v>
      </c>
      <c r="BS247" t="str">
        <f>HYPERLINK("http://smart.embl-heidelberg.de/smart/do_annotation.pl?DOMAIN=SEC14&amp;BLAST=DUMMY","0.020")</f>
        <v>0.020</v>
      </c>
      <c r="BT247" s="1" t="str">
        <f>HYPERLINK("http://exon.niaid.nih.gov/transcriptome/T_rubida/S1/links/PRK/Triru-contig_533-PRK.txt","flagellar assembly protein J")</f>
        <v>flagellar assembly protein J</v>
      </c>
      <c r="BU247">
        <v>0.33</v>
      </c>
      <c r="BV247" s="1" t="s">
        <v>57</v>
      </c>
      <c r="BW247" t="s">
        <v>57</v>
      </c>
      <c r="BX247" s="1" t="s">
        <v>57</v>
      </c>
      <c r="BY247" t="s">
        <v>57</v>
      </c>
    </row>
    <row r="248" spans="1:77">
      <c r="A248" t="str">
        <f>HYPERLINK("http://exon.niaid.nih.gov/transcriptome/T_rubida/S1/links/Triru/Triru-contig_187.txt","Triru-contig_187")</f>
        <v>Triru-contig_187</v>
      </c>
      <c r="B248">
        <v>1</v>
      </c>
      <c r="C248" t="str">
        <f>HYPERLINK("http://exon.niaid.nih.gov/transcriptome/T_rubida/S1/links/Triru/Triru-5-48-asb-187.txt","Contig-187")</f>
        <v>Contig-187</v>
      </c>
      <c r="D248" t="str">
        <f>HYPERLINK("http://exon.niaid.nih.gov/transcriptome/T_rubida/S1/links/Triru/Triru-5-48-187-CLU.txt","Contig187")</f>
        <v>Contig187</v>
      </c>
      <c r="E248" t="str">
        <f>HYPERLINK("http://exon.niaid.nih.gov/transcriptome/T_rubida/S1/links/Triru/Triru-5-48-187-qual.txt","65.1")</f>
        <v>65.1</v>
      </c>
      <c r="F248" t="s">
        <v>10</v>
      </c>
      <c r="G248">
        <v>57.9</v>
      </c>
      <c r="H248">
        <v>321</v>
      </c>
      <c r="I248" t="s">
        <v>199</v>
      </c>
      <c r="J248">
        <v>321</v>
      </c>
      <c r="K248">
        <v>340</v>
      </c>
      <c r="L248">
        <v>240</v>
      </c>
      <c r="M248" t="s">
        <v>5271</v>
      </c>
      <c r="N248" s="15">
        <v>2</v>
      </c>
      <c r="Q248" s="5" t="s">
        <v>4891</v>
      </c>
      <c r="R248" t="s">
        <v>4820</v>
      </c>
      <c r="S248" t="str">
        <f>HYPERLINK("http://exon.niaid.nih.gov/transcriptome/T_rubida/S1/links/NR/Triru-contig_187-NR.txt","NR")</f>
        <v>NR</v>
      </c>
      <c r="T248" s="23">
        <v>5.9999999999999998E-38</v>
      </c>
      <c r="U248">
        <v>67.2</v>
      </c>
      <c r="V248" s="1" t="str">
        <f>HYPERLINK("http://exon.niaid.nih.gov/transcriptome/T_rubida/S1/links/NR/Triru-contig_187-NR.txt","ribosomal protein P1")</f>
        <v>ribosomal protein P1</v>
      </c>
      <c r="W248" t="str">
        <f>HYPERLINK("http://www.ncbi.nlm.nih.gov/sutils/blink.cgi?pid=149898879","6E-038")</f>
        <v>6E-038</v>
      </c>
      <c r="X248" t="str">
        <f>HYPERLINK("http://www.ncbi.nlm.nih.gov/protein/149898879","gi|149898879")</f>
        <v>gi|149898879</v>
      </c>
      <c r="Y248">
        <v>160</v>
      </c>
      <c r="Z248">
        <v>77</v>
      </c>
      <c r="AA248">
        <v>116</v>
      </c>
      <c r="AB248">
        <v>100</v>
      </c>
      <c r="AC248">
        <v>67</v>
      </c>
      <c r="AD248">
        <v>0</v>
      </c>
      <c r="AE248">
        <v>0</v>
      </c>
      <c r="AF248">
        <v>39</v>
      </c>
      <c r="AG248">
        <v>8</v>
      </c>
      <c r="AH248">
        <v>1</v>
      </c>
      <c r="AI248">
        <v>2</v>
      </c>
      <c r="AJ248" t="s">
        <v>11</v>
      </c>
      <c r="AL248" t="s">
        <v>1067</v>
      </c>
      <c r="AM248" t="s">
        <v>1795</v>
      </c>
      <c r="AN248" t="s">
        <v>1796</v>
      </c>
      <c r="AO248" s="1" t="str">
        <f>HYPERLINK("http://exon.niaid.nih.gov/transcriptome/T_rubida/S1/links/SWISSP/Triru-contig_187-SWISSP.txt","60S acidic ribosomal protein P1")</f>
        <v>60S acidic ribosomal protein P1</v>
      </c>
      <c r="AP248" t="str">
        <f>HYPERLINK("http://www.uniprot.org/uniprot/P08570","8E-027")</f>
        <v>8E-027</v>
      </c>
      <c r="AQ248" t="s">
        <v>1797</v>
      </c>
      <c r="AR248">
        <v>119</v>
      </c>
      <c r="AS248">
        <v>72</v>
      </c>
      <c r="AT248">
        <v>79</v>
      </c>
      <c r="AU248">
        <v>65</v>
      </c>
      <c r="AV248">
        <v>16</v>
      </c>
      <c r="AW248">
        <v>0</v>
      </c>
      <c r="AX248">
        <v>40</v>
      </c>
      <c r="AY248">
        <v>8</v>
      </c>
      <c r="AZ248">
        <v>1</v>
      </c>
      <c r="BA248">
        <v>2</v>
      </c>
      <c r="BB248" t="s">
        <v>11</v>
      </c>
      <c r="BD248" t="s">
        <v>704</v>
      </c>
      <c r="BE248" t="s">
        <v>1125</v>
      </c>
      <c r="BF248" t="s">
        <v>1798</v>
      </c>
      <c r="BG248" t="s">
        <v>1799</v>
      </c>
      <c r="BH248" s="1" t="s">
        <v>1800</v>
      </c>
      <c r="BI248">
        <f>HYPERLINK("http://exon.niaid.nih.gov/transcriptome/T_rubida/S1/links/GO/Triru-contig_187-GO.txt",5E-27)</f>
        <v>5.0000000000000002E-27</v>
      </c>
      <c r="BJ248" s="1" t="str">
        <f>HYPERLINK("http://exon.niaid.nih.gov/transcriptome/T_rubida/S1/links/CDD/Triru-contig_187-CDD.txt","Ribosomal_P1")</f>
        <v>Ribosomal_P1</v>
      </c>
      <c r="BK248" t="str">
        <f>HYPERLINK("http://www.ncbi.nlm.nih.gov/Structure/cdd/cddsrv.cgi?uid=cd05831&amp;version=v4.0","1E-027")</f>
        <v>1E-027</v>
      </c>
      <c r="BL248" t="s">
        <v>1801</v>
      </c>
      <c r="BM248" s="1" t="str">
        <f>HYPERLINK("http://exon.niaid.nih.gov/transcriptome/T_rubida/S1/links/KOG/Triru-contig_187-KOG.txt","60s acidic ribosomal protein P1")</f>
        <v>60s acidic ribosomal protein P1</v>
      </c>
      <c r="BN248" t="str">
        <f>HYPERLINK("http://www.ncbi.nlm.nih.gov/COG/grace/shokog.cgi?KOG1762","3E-024")</f>
        <v>3E-024</v>
      </c>
      <c r="BO248" t="s">
        <v>1185</v>
      </c>
      <c r="BP248" s="1" t="str">
        <f>HYPERLINK("http://exon.niaid.nih.gov/transcriptome/T_rubida/S1/links/PFAM/Triru-contig_187-PFAM.txt","Ribosomal_60s")</f>
        <v>Ribosomal_60s</v>
      </c>
      <c r="BQ248" t="str">
        <f>HYPERLINK("http://pfam.sanger.ac.uk/family?acc=PF00428","7E-023")</f>
        <v>7E-023</v>
      </c>
      <c r="BR248" s="1" t="str">
        <f>HYPERLINK("http://exon.niaid.nih.gov/transcriptome/T_rubida/S1/links/SMART/Triru-contig_187-SMART.txt","AgrB")</f>
        <v>AgrB</v>
      </c>
      <c r="BS248" t="str">
        <f>HYPERLINK("http://smart.embl-heidelberg.de/smart/do_annotation.pl?DOMAIN=AgrB&amp;BLAST=DUMMY","0.039")</f>
        <v>0.039</v>
      </c>
      <c r="BT248" s="1" t="str">
        <f>HYPERLINK("http://exon.niaid.nih.gov/transcriptome/T_rubida/S1/links/PRK/Triru-contig_187-PRK.txt","large subunit ribosomal protein LP2")</f>
        <v>large subunit ribosomal protein LP2</v>
      </c>
      <c r="BU248" s="2">
        <v>4.9999999999999997E-12</v>
      </c>
      <c r="BV248" s="1" t="s">
        <v>57</v>
      </c>
      <c r="BW248" t="s">
        <v>57</v>
      </c>
      <c r="BX248" s="1" t="s">
        <v>57</v>
      </c>
      <c r="BY248" t="s">
        <v>57</v>
      </c>
    </row>
    <row r="249" spans="1:77">
      <c r="A249" t="str">
        <f>HYPERLINK("http://exon.niaid.nih.gov/transcriptome/T_rubida/S1/links/Triru/Triru-contig_220.txt","Triru-contig_220")</f>
        <v>Triru-contig_220</v>
      </c>
      <c r="B249">
        <v>1</v>
      </c>
      <c r="C249" t="str">
        <f>HYPERLINK("http://exon.niaid.nih.gov/transcriptome/T_rubida/S1/links/Triru/Triru-5-48-asb-220.txt","Contig-220")</f>
        <v>Contig-220</v>
      </c>
      <c r="D249" t="str">
        <f>HYPERLINK("http://exon.niaid.nih.gov/transcriptome/T_rubida/S1/links/Triru/Triru-5-48-220-CLU.txt","Contig220")</f>
        <v>Contig220</v>
      </c>
      <c r="E249" t="str">
        <f>HYPERLINK("http://exon.niaid.nih.gov/transcriptome/T_rubida/S1/links/Triru/Triru-5-48-220-qual.txt","63.5")</f>
        <v>63.5</v>
      </c>
      <c r="F249" t="s">
        <v>10</v>
      </c>
      <c r="G249">
        <v>59.2</v>
      </c>
      <c r="H249">
        <v>354</v>
      </c>
      <c r="I249" t="s">
        <v>232</v>
      </c>
      <c r="J249">
        <v>354</v>
      </c>
      <c r="K249">
        <v>373</v>
      </c>
      <c r="L249">
        <v>282</v>
      </c>
      <c r="M249" t="s">
        <v>5272</v>
      </c>
      <c r="N249" s="15">
        <v>3</v>
      </c>
      <c r="O249" s="14" t="str">
        <f>HYPERLINK("http://exon.niaid.nih.gov/transcriptome/T_rubida/S1/links/Sigp/TRIRU-CONTIG_220-SigP.txt","SIG")</f>
        <v>SIG</v>
      </c>
      <c r="Q249" s="5" t="s">
        <v>4896</v>
      </c>
      <c r="R249" t="s">
        <v>4820</v>
      </c>
      <c r="S249" t="str">
        <f>HYPERLINK("http://exon.niaid.nih.gov/transcriptome/T_rubida/S1/links/NR/Triru-contig_220-NR.txt","NR")</f>
        <v>NR</v>
      </c>
      <c r="T249" s="23">
        <v>3.0000000000000003E-39</v>
      </c>
      <c r="U249">
        <v>76.3</v>
      </c>
      <c r="V249" s="1" t="str">
        <f>HYPERLINK("http://exon.niaid.nih.gov/transcriptome/T_rubida/S1/links/NR/Triru-contig_220-NR.txt","ribosomal protein P2")</f>
        <v>ribosomal protein P2</v>
      </c>
      <c r="W249" t="str">
        <f>HYPERLINK("http://www.ncbi.nlm.nih.gov/sutils/blink.cgi?pid=307095098","3E-039")</f>
        <v>3E-039</v>
      </c>
      <c r="X249" t="str">
        <f>HYPERLINK("http://www.ncbi.nlm.nih.gov/protein/307095098","gi|307095098")</f>
        <v>gi|307095098</v>
      </c>
      <c r="Y249">
        <v>165</v>
      </c>
      <c r="Z249">
        <v>86</v>
      </c>
      <c r="AA249">
        <v>114</v>
      </c>
      <c r="AB249">
        <v>96</v>
      </c>
      <c r="AC249">
        <v>76</v>
      </c>
      <c r="AD249">
        <v>3</v>
      </c>
      <c r="AE249">
        <v>0</v>
      </c>
      <c r="AF249">
        <v>28</v>
      </c>
      <c r="AG249">
        <v>5</v>
      </c>
      <c r="AH249">
        <v>1</v>
      </c>
      <c r="AI249">
        <v>2</v>
      </c>
      <c r="AJ249" t="s">
        <v>11</v>
      </c>
      <c r="AL249" t="s">
        <v>1121</v>
      </c>
      <c r="AM249" t="s">
        <v>1990</v>
      </c>
      <c r="AN249" t="s">
        <v>1991</v>
      </c>
      <c r="AO249" s="1" t="str">
        <f>HYPERLINK("http://exon.niaid.nih.gov/transcriptome/T_rubida/S1/links/SWISSP/Triru-contig_220-SWISSP.txt","60S acidic ribosomal protein P2")</f>
        <v>60S acidic ribosomal protein P2</v>
      </c>
      <c r="AP249" t="str">
        <f>HYPERLINK("http://www.uniprot.org/uniprot/P42899","8E-027")</f>
        <v>8E-027</v>
      </c>
      <c r="AQ249" t="s">
        <v>1992</v>
      </c>
      <c r="AR249">
        <v>119</v>
      </c>
      <c r="AS249">
        <v>86</v>
      </c>
      <c r="AT249">
        <v>73</v>
      </c>
      <c r="AU249">
        <v>76</v>
      </c>
      <c r="AV249">
        <v>23</v>
      </c>
      <c r="AW249">
        <v>1</v>
      </c>
      <c r="AX249">
        <v>29</v>
      </c>
      <c r="AY249">
        <v>8</v>
      </c>
      <c r="AZ249">
        <v>1</v>
      </c>
      <c r="BA249">
        <v>2</v>
      </c>
      <c r="BB249" t="s">
        <v>11</v>
      </c>
      <c r="BD249" t="s">
        <v>704</v>
      </c>
      <c r="BE249" t="s">
        <v>1934</v>
      </c>
      <c r="BF249" t="s">
        <v>1993</v>
      </c>
      <c r="BG249" t="s">
        <v>1994</v>
      </c>
      <c r="BH249" s="1" t="s">
        <v>1995</v>
      </c>
      <c r="BI249">
        <f>HYPERLINK("http://exon.niaid.nih.gov/transcriptome/T_rubida/S1/links/GO/Triru-contig_220-GO.txt",2E-27)</f>
        <v>2.0000000000000001E-27</v>
      </c>
      <c r="BJ249" s="1" t="str">
        <f>HYPERLINK("http://exon.niaid.nih.gov/transcriptome/T_rubida/S1/links/CDD/Triru-contig_220-CDD.txt","Ribosomal_P2")</f>
        <v>Ribosomal_P2</v>
      </c>
      <c r="BK249" t="str">
        <f>HYPERLINK("http://www.ncbi.nlm.nih.gov/Structure/cdd/cddsrv.cgi?uid=cd05833&amp;version=v4.0","2E-030")</f>
        <v>2E-030</v>
      </c>
      <c r="BL249" t="s">
        <v>1996</v>
      </c>
      <c r="BM249" s="1" t="str">
        <f>HYPERLINK("http://exon.niaid.nih.gov/transcriptome/T_rubida/S1/links/KOG/Triru-contig_220-KOG.txt","60S acidic ribosomal protein P2")</f>
        <v>60S acidic ribosomal protein P2</v>
      </c>
      <c r="BN249" t="str">
        <f>HYPERLINK("http://www.ncbi.nlm.nih.gov/COG/grace/shokog.cgi?KOG3449","4E-029")</f>
        <v>4E-029</v>
      </c>
      <c r="BO249" t="s">
        <v>1185</v>
      </c>
      <c r="BP249" s="1" t="str">
        <f>HYPERLINK("http://exon.niaid.nih.gov/transcriptome/T_rubida/S1/links/PFAM/Triru-contig_220-PFAM.txt","Ribosomal_60s")</f>
        <v>Ribosomal_60s</v>
      </c>
      <c r="BQ249" t="str">
        <f>HYPERLINK("http://pfam.sanger.ac.uk/family?acc=PF00428","7E-021")</f>
        <v>7E-021</v>
      </c>
      <c r="BR249" s="1" t="str">
        <f>HYPERLINK("http://exon.niaid.nih.gov/transcriptome/T_rubida/S1/links/SMART/Triru-contig_220-SMART.txt","ZnF_C4")</f>
        <v>ZnF_C4</v>
      </c>
      <c r="BS249" t="str">
        <f>HYPERLINK("http://smart.embl-heidelberg.de/smart/do_annotation.pl?DOMAIN=ZnF_C4&amp;BLAST=DUMMY","0.009")</f>
        <v>0.009</v>
      </c>
      <c r="BT249" s="1" t="str">
        <f>HYPERLINK("http://exon.niaid.nih.gov/transcriptome/T_rubida/S1/links/PRK/Triru-contig_220-PRK.txt","large subunit ribosomal protein LP2")</f>
        <v>large subunit ribosomal protein LP2</v>
      </c>
      <c r="BU249" s="2">
        <v>2.0000000000000001E-22</v>
      </c>
      <c r="BV249" s="1" t="s">
        <v>57</v>
      </c>
      <c r="BW249" t="s">
        <v>57</v>
      </c>
      <c r="BX249" s="1" t="s">
        <v>57</v>
      </c>
      <c r="BY249" t="s">
        <v>57</v>
      </c>
    </row>
    <row r="250" spans="1:77">
      <c r="A250" t="str">
        <f>HYPERLINK("http://exon.niaid.nih.gov/transcriptome/T_rubida/S1/links/Triru/Triru-contig_653.txt","Triru-contig_653")</f>
        <v>Triru-contig_653</v>
      </c>
      <c r="B250">
        <v>1</v>
      </c>
      <c r="C250" t="str">
        <f>HYPERLINK("http://exon.niaid.nih.gov/transcriptome/T_rubida/S1/links/Triru/Triru-5-48-asb-653.txt","Contig-653")</f>
        <v>Contig-653</v>
      </c>
      <c r="D250" t="str">
        <f>HYPERLINK("http://exon.niaid.nih.gov/transcriptome/T_rubida/S1/links/Triru/Triru-5-48-653-CLU.txt","Contig653")</f>
        <v>Contig653</v>
      </c>
      <c r="E250" t="str">
        <f>HYPERLINK("http://exon.niaid.nih.gov/transcriptome/T_rubida/S1/links/Triru/Triru-5-48-653-qual.txt","65.6")</f>
        <v>65.6</v>
      </c>
      <c r="F250" t="s">
        <v>10</v>
      </c>
      <c r="G250">
        <v>61.3</v>
      </c>
      <c r="H250">
        <v>294</v>
      </c>
      <c r="I250" t="s">
        <v>665</v>
      </c>
      <c r="J250">
        <v>294</v>
      </c>
      <c r="K250">
        <v>313</v>
      </c>
      <c r="L250">
        <v>231</v>
      </c>
      <c r="M250" t="s">
        <v>5273</v>
      </c>
      <c r="N250" s="15">
        <v>1</v>
      </c>
      <c r="O250" s="14" t="str">
        <f>HYPERLINK("http://exon.niaid.nih.gov/transcriptome/T_rubida/S1/links/Sigp/TRIRU-CONTIG_653-SigP.txt","Cyt")</f>
        <v>Cyt</v>
      </c>
      <c r="Q250" s="5" t="s">
        <v>5031</v>
      </c>
      <c r="R250" t="s">
        <v>4820</v>
      </c>
      <c r="S250" t="str">
        <f>HYPERLINK("http://exon.niaid.nih.gov/transcriptome/T_rubida/S1/links/PFAM/Triru-contig_653-PFAM.txt","PFAM")</f>
        <v>PFAM</v>
      </c>
      <c r="T250" s="23">
        <v>9.9999999999999998E-17</v>
      </c>
      <c r="U250">
        <v>35</v>
      </c>
      <c r="V250" s="1" t="str">
        <f>HYPERLINK("http://exon.niaid.nih.gov/transcriptome/T_rubida/S1/links/NR/Triru-contig_653-NR.txt","ribosomal protein S19e")</f>
        <v>ribosomal protein S19e</v>
      </c>
      <c r="W250" t="str">
        <f>HYPERLINK("http://www.ncbi.nlm.nih.gov/sutils/blink.cgi?pid=70909579","5E-012")</f>
        <v>5E-012</v>
      </c>
      <c r="X250" t="str">
        <f>HYPERLINK("http://www.ncbi.nlm.nih.gov/protein/70909579","gi|70909579")</f>
        <v>gi|70909579</v>
      </c>
      <c r="Y250">
        <v>74.7</v>
      </c>
      <c r="Z250">
        <v>53</v>
      </c>
      <c r="AA250">
        <v>153</v>
      </c>
      <c r="AB250">
        <v>66</v>
      </c>
      <c r="AC250">
        <v>35</v>
      </c>
      <c r="AD250">
        <v>18</v>
      </c>
      <c r="AE250">
        <v>0</v>
      </c>
      <c r="AF250">
        <v>95</v>
      </c>
      <c r="AG250">
        <v>7</v>
      </c>
      <c r="AH250">
        <v>1</v>
      </c>
      <c r="AI250">
        <v>1</v>
      </c>
      <c r="AJ250" t="s">
        <v>11</v>
      </c>
      <c r="AL250" t="s">
        <v>2029</v>
      </c>
      <c r="AM250" t="s">
        <v>4781</v>
      </c>
      <c r="AN250" t="s">
        <v>4572</v>
      </c>
      <c r="AO250" s="1" t="str">
        <f>HYPERLINK("http://exon.niaid.nih.gov/transcriptome/T_rubida/S1/links/SWISSP/Triru-contig_653-SWISSP.txt","40S ribosomal protein S19")</f>
        <v>40S ribosomal protein S19</v>
      </c>
      <c r="AP250" t="str">
        <f>HYPERLINK("http://www.uniprot.org/uniprot/Q8ITC3","3E-011")</f>
        <v>3E-011</v>
      </c>
      <c r="AQ250" t="s">
        <v>3658</v>
      </c>
      <c r="AR250">
        <v>67.400000000000006</v>
      </c>
      <c r="AS250">
        <v>50</v>
      </c>
      <c r="AT250">
        <v>60</v>
      </c>
      <c r="AU250">
        <v>35</v>
      </c>
      <c r="AV250">
        <v>20</v>
      </c>
      <c r="AW250">
        <v>0</v>
      </c>
      <c r="AX250">
        <v>94</v>
      </c>
      <c r="AY250">
        <v>7</v>
      </c>
      <c r="AZ250">
        <v>1</v>
      </c>
      <c r="BA250">
        <v>1</v>
      </c>
      <c r="BB250" t="s">
        <v>11</v>
      </c>
      <c r="BD250" t="s">
        <v>704</v>
      </c>
      <c r="BE250" t="s">
        <v>3659</v>
      </c>
      <c r="BF250" t="s">
        <v>4782</v>
      </c>
      <c r="BG250" t="s">
        <v>4783</v>
      </c>
      <c r="BH250" s="1" t="s">
        <v>4784</v>
      </c>
      <c r="BI250">
        <f>HYPERLINK("http://exon.niaid.nih.gov/transcriptome/T_rubida/S1/links/GO/Triru-contig_653-GO.txt",0.000000002)</f>
        <v>2.0000000000000001E-9</v>
      </c>
      <c r="BJ250" s="1" t="str">
        <f>HYPERLINK("http://exon.niaid.nih.gov/transcriptome/T_rubida/S1/links/CDD/Triru-contig_653-CDD.txt","Ribosomal_S19e")</f>
        <v>Ribosomal_S19e</v>
      </c>
      <c r="BK250" t="str">
        <f>HYPERLINK("http://www.ncbi.nlm.nih.gov/Structure/cdd/cddsrv.cgi?uid=pfam01090&amp;version=v4.0","4E-016")</f>
        <v>4E-016</v>
      </c>
      <c r="BL250" t="s">
        <v>4785</v>
      </c>
      <c r="BM250" s="1" t="str">
        <f>HYPERLINK("http://exon.niaid.nih.gov/transcriptome/T_rubida/S1/links/KOG/Triru-contig_653-KOG.txt","40S ribosomal protein S19")</f>
        <v>40S ribosomal protein S19</v>
      </c>
      <c r="BN250" t="str">
        <f>HYPERLINK("http://www.ncbi.nlm.nih.gov/COG/grace/shokog.cgi?KOG3411","1E-014")</f>
        <v>1E-014</v>
      </c>
      <c r="BO250" t="s">
        <v>1185</v>
      </c>
      <c r="BP250" s="1" t="str">
        <f>HYPERLINK("http://exon.niaid.nih.gov/transcriptome/T_rubida/S1/links/PFAM/Triru-contig_653-PFAM.txt","Ribosomal_S19e")</f>
        <v>Ribosomal_S19e</v>
      </c>
      <c r="BQ250" t="str">
        <f>HYPERLINK("http://pfam.sanger.ac.uk/family?acc=PF01090","1E-016")</f>
        <v>1E-016</v>
      </c>
      <c r="BR250" s="1" t="str">
        <f>HYPERLINK("http://exon.niaid.nih.gov/transcriptome/T_rubida/S1/links/SMART/Triru-contig_653-SMART.txt","HTH_GNTR")</f>
        <v>HTH_GNTR</v>
      </c>
      <c r="BS250" t="str">
        <f>HYPERLINK("http://smart.embl-heidelberg.de/smart/do_annotation.pl?DOMAIN=HTH_GNTR&amp;BLAST=DUMMY","0.010")</f>
        <v>0.010</v>
      </c>
      <c r="BT250" s="1" t="str">
        <f>HYPERLINK("http://exon.niaid.nih.gov/transcriptome/T_rubida/S1/links/PRK/Triru-contig_653-PRK.txt","30S ribosomal protein S19e")</f>
        <v>30S ribosomal protein S19e</v>
      </c>
      <c r="BU250" s="2">
        <v>5.9999999999999995E-8</v>
      </c>
      <c r="BV250" s="1" t="s">
        <v>57</v>
      </c>
      <c r="BW250" t="s">
        <v>57</v>
      </c>
      <c r="BX250" s="1" t="s">
        <v>57</v>
      </c>
      <c r="BY250" t="s">
        <v>57</v>
      </c>
    </row>
    <row r="251" spans="1:77">
      <c r="A251" t="str">
        <f>HYPERLINK("http://exon.niaid.nih.gov/transcriptome/T_rubida/S1/links/Triru/Triru-contig_165.txt","Triru-contig_165")</f>
        <v>Triru-contig_165</v>
      </c>
      <c r="B251">
        <v>1</v>
      </c>
      <c r="C251" t="str">
        <f>HYPERLINK("http://exon.niaid.nih.gov/transcriptome/T_rubida/S1/links/Triru/Triru-5-48-asb-165.txt","Contig-165")</f>
        <v>Contig-165</v>
      </c>
      <c r="D251" t="str">
        <f>HYPERLINK("http://exon.niaid.nih.gov/transcriptome/T_rubida/S1/links/Triru/Triru-5-48-165-CLU.txt","Contig165")</f>
        <v>Contig165</v>
      </c>
      <c r="E251" t="str">
        <f>HYPERLINK("http://exon.niaid.nih.gov/transcriptome/T_rubida/S1/links/Triru/Triru-5-48-165-qual.txt","61.9")</f>
        <v>61.9</v>
      </c>
      <c r="F251" t="s">
        <v>10</v>
      </c>
      <c r="G251">
        <v>64.400000000000006</v>
      </c>
      <c r="H251">
        <v>694</v>
      </c>
      <c r="I251" t="s">
        <v>177</v>
      </c>
      <c r="J251">
        <v>694</v>
      </c>
      <c r="K251">
        <v>713</v>
      </c>
      <c r="L251">
        <v>588</v>
      </c>
      <c r="M251" t="s">
        <v>5274</v>
      </c>
      <c r="N251" s="15">
        <v>3</v>
      </c>
      <c r="O251" s="14" t="str">
        <f>HYPERLINK("http://exon.niaid.nih.gov/transcriptome/T_rubida/S1/links/Sigp/TRIRU-CONTIG_165-SigP.txt","Cyt")</f>
        <v>Cyt</v>
      </c>
      <c r="Q251" s="5" t="s">
        <v>4887</v>
      </c>
      <c r="R251" t="s">
        <v>4820</v>
      </c>
      <c r="S251" t="str">
        <f>HYPERLINK("http://exon.niaid.nih.gov/transcriptome/T_rubida/S1/links/KOG/Triru-contig_165-KOG.txt","KOG")</f>
        <v>KOG</v>
      </c>
      <c r="T251" s="23">
        <v>9.9999999999999996E-83</v>
      </c>
      <c r="U251">
        <v>100</v>
      </c>
      <c r="V251" s="1" t="str">
        <f>HYPERLINK("http://exon.niaid.nih.gov/transcriptome/T_rubida/S1/links/NR/Triru-contig_165-NR.txt","similar to S9e ribosomal protein")</f>
        <v>similar to S9e ribosomal protein</v>
      </c>
      <c r="W251" t="str">
        <f>HYPERLINK("http://www.ncbi.nlm.nih.gov/sutils/blink.cgi?pid=156536971","3E-097")</f>
        <v>3E-097</v>
      </c>
      <c r="X251" t="str">
        <f>HYPERLINK("http://www.ncbi.nlm.nih.gov/protein/156536971","gi|156536971")</f>
        <v>gi|156536971</v>
      </c>
      <c r="Y251">
        <v>358</v>
      </c>
      <c r="Z251">
        <v>192</v>
      </c>
      <c r="AA251">
        <v>193</v>
      </c>
      <c r="AB251">
        <v>94</v>
      </c>
      <c r="AC251">
        <v>100</v>
      </c>
      <c r="AD251">
        <v>11</v>
      </c>
      <c r="AE251">
        <v>0</v>
      </c>
      <c r="AF251">
        <v>1</v>
      </c>
      <c r="AG251">
        <v>84</v>
      </c>
      <c r="AH251">
        <v>1</v>
      </c>
      <c r="AI251">
        <v>3</v>
      </c>
      <c r="AJ251" t="s">
        <v>11</v>
      </c>
      <c r="AL251" t="s">
        <v>1330</v>
      </c>
      <c r="AM251" t="s">
        <v>1673</v>
      </c>
      <c r="AN251" t="s">
        <v>1674</v>
      </c>
      <c r="AO251" s="1" t="str">
        <f>HYPERLINK("http://exon.niaid.nih.gov/transcriptome/T_rubida/S1/links/SWISSP/Triru-contig_165-SWISSP.txt","40S ribosomal protein S9")</f>
        <v>40S ribosomal protein S9</v>
      </c>
      <c r="AP251" t="str">
        <f>HYPERLINK("http://www.uniprot.org/uniprot/P55935","2E-093")</f>
        <v>2E-093</v>
      </c>
      <c r="AQ251" t="s">
        <v>1675</v>
      </c>
      <c r="AR251">
        <v>342</v>
      </c>
      <c r="AS251">
        <v>194</v>
      </c>
      <c r="AT251">
        <v>90</v>
      </c>
      <c r="AU251">
        <v>100</v>
      </c>
      <c r="AV251">
        <v>19</v>
      </c>
      <c r="AW251">
        <v>2</v>
      </c>
      <c r="AX251">
        <v>1</v>
      </c>
      <c r="AY251">
        <v>84</v>
      </c>
      <c r="AZ251">
        <v>1</v>
      </c>
      <c r="BA251">
        <v>3</v>
      </c>
      <c r="BB251" t="s">
        <v>11</v>
      </c>
      <c r="BD251" t="s">
        <v>704</v>
      </c>
      <c r="BE251" t="s">
        <v>1125</v>
      </c>
      <c r="BF251" t="s">
        <v>1676</v>
      </c>
      <c r="BG251" t="s">
        <v>1677</v>
      </c>
      <c r="BH251" s="1" t="s">
        <v>1678</v>
      </c>
      <c r="BI251">
        <f>HYPERLINK("http://exon.niaid.nih.gov/transcriptome/T_rubida/S1/links/GO/Triru-contig_165-GO.txt",1E-93)</f>
        <v>9.999999999999999E-94</v>
      </c>
      <c r="BJ251" s="1" t="str">
        <f>HYPERLINK("http://exon.niaid.nih.gov/transcriptome/T_rubida/S1/links/CDD/Triru-contig_165-CDD.txt","PTZ00155")</f>
        <v>PTZ00155</v>
      </c>
      <c r="BK251" t="str">
        <f>HYPERLINK("http://www.ncbi.nlm.nih.gov/Structure/cdd/cddsrv.cgi?uid=PTZ00155&amp;version=v4.0","2E-099")</f>
        <v>2E-099</v>
      </c>
      <c r="BL251" t="s">
        <v>1679</v>
      </c>
      <c r="BM251" s="1" t="str">
        <f>HYPERLINK("http://exon.niaid.nih.gov/transcriptome/T_rubida/S1/links/KOG/Triru-contig_165-KOG.txt","Ribosomal protein S4")</f>
        <v>Ribosomal protein S4</v>
      </c>
      <c r="BN251" t="str">
        <f>HYPERLINK("http://www.ncbi.nlm.nih.gov/COG/grace/shokog.cgi?KOG3301","1E-082")</f>
        <v>1E-082</v>
      </c>
      <c r="BO251" t="s">
        <v>1185</v>
      </c>
      <c r="BP251" s="1" t="str">
        <f>HYPERLINK("http://exon.niaid.nih.gov/transcriptome/T_rubida/S1/links/PFAM/Triru-contig_165-PFAM.txt","Ribosomal_S4")</f>
        <v>Ribosomal_S4</v>
      </c>
      <c r="BQ251" t="str">
        <f>HYPERLINK("http://pfam.sanger.ac.uk/family?acc=PF00163","2E-028")</f>
        <v>2E-028</v>
      </c>
      <c r="BR251" s="1" t="str">
        <f>HYPERLINK("http://exon.niaid.nih.gov/transcriptome/T_rubida/S1/links/SMART/Triru-contig_165-SMART.txt","S4")</f>
        <v>S4</v>
      </c>
      <c r="BS251" t="str">
        <f>HYPERLINK("http://smart.embl-heidelberg.de/smart/do_annotation.pl?DOMAIN=S4&amp;BLAST=DUMMY","4E-009")</f>
        <v>4E-009</v>
      </c>
      <c r="BT251" s="1" t="str">
        <f>HYPERLINK("http://exon.niaid.nih.gov/transcriptome/T_rubida/S1/links/PRK/Triru-contig_165-PRK.txt","40S ribosomal protein S9")</f>
        <v>40S ribosomal protein S9</v>
      </c>
      <c r="BU251" s="2">
        <v>1E-100</v>
      </c>
      <c r="BV251" s="1" t="s">
        <v>57</v>
      </c>
      <c r="BW251" t="s">
        <v>57</v>
      </c>
      <c r="BX251" s="1" t="s">
        <v>57</v>
      </c>
      <c r="BY251" t="s">
        <v>57</v>
      </c>
    </row>
    <row r="252" spans="1:77">
      <c r="A252" t="str">
        <f>HYPERLINK("http://exon.niaid.nih.gov/transcriptome/T_rubida/S1/links/Triru/Triru-contig_129.txt","Triru-contig_129")</f>
        <v>Triru-contig_129</v>
      </c>
      <c r="B252">
        <v>3</v>
      </c>
      <c r="C252" t="str">
        <f>HYPERLINK("http://exon.niaid.nih.gov/transcriptome/T_rubida/S1/links/Triru/Triru-5-48-asb-129.txt","Contig-129")</f>
        <v>Contig-129</v>
      </c>
      <c r="D252" t="str">
        <f>HYPERLINK("http://exon.niaid.nih.gov/transcriptome/T_rubida/S1/links/Triru/Triru-5-48-129-CLU.txt","Contig129")</f>
        <v>Contig129</v>
      </c>
      <c r="E252" t="str">
        <f>HYPERLINK("http://exon.niaid.nih.gov/transcriptome/T_rubida/S1/links/Triru/Triru-5-48-129-qual.txt","88.7")</f>
        <v>88.7</v>
      </c>
      <c r="F252" t="s">
        <v>10</v>
      </c>
      <c r="G252">
        <v>71.2</v>
      </c>
      <c r="H252">
        <v>551</v>
      </c>
      <c r="I252" t="s">
        <v>141</v>
      </c>
      <c r="J252">
        <v>552</v>
      </c>
      <c r="K252">
        <v>570</v>
      </c>
      <c r="L252">
        <v>180</v>
      </c>
      <c r="M252" t="s">
        <v>5275</v>
      </c>
      <c r="N252" s="15">
        <v>1</v>
      </c>
      <c r="O252" s="14" t="str">
        <f>HYPERLINK("http://exon.niaid.nih.gov/transcriptome/T_rubida/S1/links/Sigp/TRIRU-CONTIG_129-SigP.txt","Cyt")</f>
        <v>Cyt</v>
      </c>
      <c r="Q252" s="5" t="s">
        <v>4874</v>
      </c>
      <c r="R252" t="s">
        <v>4820</v>
      </c>
      <c r="S252" t="str">
        <f>HYPERLINK("http://exon.niaid.nih.gov/transcriptome/T_rubida/S1/links/NR/Triru-contig_129-NR.txt","NR")</f>
        <v>NR</v>
      </c>
      <c r="T252" s="23">
        <v>7.9999999999999994E-24</v>
      </c>
      <c r="U252">
        <v>92.1</v>
      </c>
      <c r="V252" s="1" t="str">
        <f>HYPERLINK("http://exon.niaid.nih.gov/transcriptome/T_rubida/S1/links/NR/Triru-contig_129-NR.txt","ribosome-associated membrane protein")</f>
        <v>ribosome-associated membrane protein</v>
      </c>
      <c r="W252" t="str">
        <f>HYPERLINK("http://www.ncbi.nlm.nih.gov/sutils/blink.cgi?pid=125743134","8E-024")</f>
        <v>8E-024</v>
      </c>
      <c r="X252" t="str">
        <f>HYPERLINK("http://www.ncbi.nlm.nih.gov/protein/125743134","gi|125743134")</f>
        <v>gi|125743134</v>
      </c>
      <c r="Y252">
        <v>114</v>
      </c>
      <c r="Z252">
        <v>58</v>
      </c>
      <c r="AA252">
        <v>64</v>
      </c>
      <c r="AB252">
        <v>94</v>
      </c>
      <c r="AC252">
        <v>92</v>
      </c>
      <c r="AD252">
        <v>3</v>
      </c>
      <c r="AE252">
        <v>0</v>
      </c>
      <c r="AF252">
        <v>6</v>
      </c>
      <c r="AG252">
        <v>19</v>
      </c>
      <c r="AH252">
        <v>1</v>
      </c>
      <c r="AI252">
        <v>1</v>
      </c>
      <c r="AJ252" t="s">
        <v>11</v>
      </c>
      <c r="AL252" t="s">
        <v>1134</v>
      </c>
      <c r="AM252" t="s">
        <v>1461</v>
      </c>
      <c r="AN252" t="s">
        <v>1462</v>
      </c>
      <c r="AO252" s="1" t="str">
        <f>HYPERLINK("http://exon.niaid.nih.gov/transcriptome/T_rubida/S1/links/SWISSP/Triru-contig_129-SWISSP.txt","Stress-associated endoplasmic reticulum protein 2")</f>
        <v>Stress-associated endoplasmic reticulum protein 2</v>
      </c>
      <c r="AP252" t="str">
        <f>HYPERLINK("http://www.uniprot.org/uniprot/Q6TAW2","2E-019")</f>
        <v>2E-019</v>
      </c>
      <c r="AQ252" t="s">
        <v>1463</v>
      </c>
      <c r="AR252">
        <v>95.5</v>
      </c>
      <c r="AS252">
        <v>57</v>
      </c>
      <c r="AT252">
        <v>77</v>
      </c>
      <c r="AU252">
        <v>89</v>
      </c>
      <c r="AV252">
        <v>13</v>
      </c>
      <c r="AW252">
        <v>0</v>
      </c>
      <c r="AX252">
        <v>6</v>
      </c>
      <c r="AY252">
        <v>19</v>
      </c>
      <c r="AZ252">
        <v>1</v>
      </c>
      <c r="BA252">
        <v>1</v>
      </c>
      <c r="BB252" t="s">
        <v>11</v>
      </c>
      <c r="BD252" t="s">
        <v>704</v>
      </c>
      <c r="BE252" t="s">
        <v>807</v>
      </c>
      <c r="BF252" t="s">
        <v>1464</v>
      </c>
      <c r="BG252" t="s">
        <v>1465</v>
      </c>
      <c r="BH252" s="1" t="s">
        <v>1466</v>
      </c>
      <c r="BI252">
        <f>HYPERLINK("http://exon.niaid.nih.gov/transcriptome/T_rubida/S1/links/GO/Triru-contig_129-GO.txt",1E-20)</f>
        <v>9.9999999999999995E-21</v>
      </c>
      <c r="BJ252" s="1" t="str">
        <f>HYPERLINK("http://exon.niaid.nih.gov/transcriptome/T_rubida/S1/links/CDD/Triru-contig_129-CDD.txt","RAMP4")</f>
        <v>RAMP4</v>
      </c>
      <c r="BK252" t="str">
        <f>HYPERLINK("http://www.ncbi.nlm.nih.gov/Structure/cdd/cddsrv.cgi?uid=pfam06624&amp;version=v4.0","7E-029")</f>
        <v>7E-029</v>
      </c>
      <c r="BL252" t="s">
        <v>1467</v>
      </c>
      <c r="BM252" s="1" t="str">
        <f>HYPERLINK("http://exon.niaid.nih.gov/transcriptome/T_rubida/S1/links/KOG/Triru-contig_129-KOG.txt","Predicted membrane protein")</f>
        <v>Predicted membrane protein</v>
      </c>
      <c r="BN252" t="str">
        <f>HYPERLINK("http://www.ncbi.nlm.nih.gov/COG/grace/shokog.cgi?KOG3491","3E-023")</f>
        <v>3E-023</v>
      </c>
      <c r="BO252" t="s">
        <v>737</v>
      </c>
      <c r="BP252" s="1" t="str">
        <f>HYPERLINK("http://exon.niaid.nih.gov/transcriptome/T_rubida/S1/links/PFAM/Triru-contig_129-PFAM.txt","RAMP4")</f>
        <v>RAMP4</v>
      </c>
      <c r="BQ252" t="str">
        <f>HYPERLINK("http://pfam.sanger.ac.uk/family?acc=PF06624","1E-029")</f>
        <v>1E-029</v>
      </c>
      <c r="BR252" s="1" t="str">
        <f>HYPERLINK("http://exon.niaid.nih.gov/transcriptome/T_rubida/S1/links/SMART/Triru-contig_129-SMART.txt","AgrB")</f>
        <v>AgrB</v>
      </c>
      <c r="BS252" t="str">
        <f>HYPERLINK("http://smart.embl-heidelberg.de/smart/do_annotation.pl?DOMAIN=AgrB&amp;BLAST=DUMMY","0.026")</f>
        <v>0.026</v>
      </c>
      <c r="BT252" s="1" t="str">
        <f>HYPERLINK("http://exon.niaid.nih.gov/transcriptome/T_rubida/S1/links/PRK/Triru-contig_129-PRK.txt","hypothetical protein")</f>
        <v>hypothetical protein</v>
      </c>
      <c r="BU252" s="2">
        <v>2.9999999999999997E-4</v>
      </c>
      <c r="BV252" s="1" t="s">
        <v>57</v>
      </c>
      <c r="BW252" t="s">
        <v>57</v>
      </c>
      <c r="BX252" s="1" t="s">
        <v>57</v>
      </c>
      <c r="BY252" t="s">
        <v>57</v>
      </c>
    </row>
    <row r="253" spans="1:77">
      <c r="A253" t="str">
        <f>HYPERLINK("http://exon.niaid.nih.gov/transcriptome/T_rubida/S1/links/Triru/Triru-contig_101.txt","Triru-contig_101")</f>
        <v>Triru-contig_101</v>
      </c>
      <c r="B253">
        <v>5</v>
      </c>
      <c r="C253" t="str">
        <f>HYPERLINK("http://exon.niaid.nih.gov/transcriptome/T_rubida/S1/links/Triru/Triru-5-48-asb-101.txt","Contig-101")</f>
        <v>Contig-101</v>
      </c>
      <c r="D253" t="str">
        <f>HYPERLINK("http://exon.niaid.nih.gov/transcriptome/T_rubida/S1/links/Triru/Triru-5-48-101-CLU.txt","Contig101")</f>
        <v>Contig101</v>
      </c>
      <c r="E253" t="str">
        <f>HYPERLINK("http://exon.niaid.nih.gov/transcriptome/T_rubida/S1/links/Triru/Triru-5-48-101-qual.txt","73.5")</f>
        <v>73.5</v>
      </c>
      <c r="F253" t="s">
        <v>10</v>
      </c>
      <c r="G253">
        <v>59.5</v>
      </c>
      <c r="H253">
        <v>670</v>
      </c>
      <c r="I253" t="s">
        <v>113</v>
      </c>
      <c r="J253">
        <v>667</v>
      </c>
      <c r="K253">
        <v>689</v>
      </c>
      <c r="L253">
        <v>561</v>
      </c>
      <c r="M253" t="s">
        <v>5276</v>
      </c>
      <c r="N253" s="15">
        <v>2</v>
      </c>
      <c r="O253" s="14" t="str">
        <f>HYPERLINK("http://exon.niaid.nih.gov/transcriptome/T_rubida/S1/links/Sigp/TRIRU-CONTIG_101-SigP.txt","Cyt")</f>
        <v>Cyt</v>
      </c>
      <c r="Q253" s="5" t="s">
        <v>4847</v>
      </c>
      <c r="R253" t="s">
        <v>4820</v>
      </c>
      <c r="S253" t="str">
        <f>HYPERLINK("http://exon.niaid.nih.gov/transcriptome/T_rubida/S1/links/NR/Triru-contig_101-NR.txt","NR")</f>
        <v>NR</v>
      </c>
      <c r="T253" s="23">
        <v>5.0000000000000001E-60</v>
      </c>
      <c r="U253">
        <v>98.7</v>
      </c>
      <c r="V253" s="1" t="str">
        <f>HYPERLINK("http://exon.niaid.nih.gov/transcriptome/T_rubida/S1/links/NR/Triru-contig_101-NR.txt","S10e ribosomal protein")</f>
        <v>S10e ribosomal protein</v>
      </c>
      <c r="W253" t="str">
        <f>HYPERLINK("http://www.ncbi.nlm.nih.gov/sutils/blink.cgi?pid=50344474","5E-060")</f>
        <v>5E-060</v>
      </c>
      <c r="X253" t="str">
        <f>HYPERLINK("http://www.ncbi.nlm.nih.gov/protein/50344474","gi|50344474")</f>
        <v>gi|50344474</v>
      </c>
      <c r="Y253">
        <v>235</v>
      </c>
      <c r="Z253">
        <v>156</v>
      </c>
      <c r="AA253">
        <v>159</v>
      </c>
      <c r="AB253">
        <v>74</v>
      </c>
      <c r="AC253">
        <v>99</v>
      </c>
      <c r="AD253">
        <v>40</v>
      </c>
      <c r="AE253">
        <v>2</v>
      </c>
      <c r="AF253">
        <v>1</v>
      </c>
      <c r="AG253">
        <v>1</v>
      </c>
      <c r="AH253">
        <v>2</v>
      </c>
      <c r="AI253">
        <v>2</v>
      </c>
      <c r="AJ253" t="s">
        <v>888</v>
      </c>
      <c r="AL253" t="s">
        <v>1255</v>
      </c>
      <c r="AM253" t="s">
        <v>1256</v>
      </c>
      <c r="AN253" t="s">
        <v>1257</v>
      </c>
      <c r="AO253" s="1" t="str">
        <f>HYPERLINK("http://exon.niaid.nih.gov/transcriptome/T_rubida/S1/links/SWISSP/Triru-contig_101-SWISSP.txt","40S ribosomal protein S10")</f>
        <v>40S ribosomal protein S10</v>
      </c>
      <c r="AP253" t="str">
        <f>HYPERLINK("http://www.uniprot.org/uniprot/Q962R9","2E-056")</f>
        <v>2E-056</v>
      </c>
      <c r="AQ253" t="s">
        <v>1258</v>
      </c>
      <c r="AR253">
        <v>218</v>
      </c>
      <c r="AS253">
        <v>156</v>
      </c>
      <c r="AT253">
        <v>73</v>
      </c>
      <c r="AU253">
        <v>99</v>
      </c>
      <c r="AV253">
        <v>42</v>
      </c>
      <c r="AW253">
        <v>3</v>
      </c>
      <c r="AX253">
        <v>1</v>
      </c>
      <c r="AY253">
        <v>10</v>
      </c>
      <c r="AZ253">
        <v>2</v>
      </c>
      <c r="BA253">
        <v>2</v>
      </c>
      <c r="BB253" t="s">
        <v>888</v>
      </c>
      <c r="BD253" t="s">
        <v>704</v>
      </c>
      <c r="BE253" t="s">
        <v>1246</v>
      </c>
      <c r="BF253" t="s">
        <v>1259</v>
      </c>
      <c r="BG253" t="s">
        <v>1260</v>
      </c>
      <c r="BH253" s="1" t="s">
        <v>1261</v>
      </c>
      <c r="BI253">
        <f>HYPERLINK("http://exon.niaid.nih.gov/transcriptome/T_rubida/S1/links/GO/Triru-contig_101-GO.txt",1E-53)</f>
        <v>1E-53</v>
      </c>
      <c r="BJ253" s="1" t="str">
        <f>HYPERLINK("http://exon.niaid.nih.gov/transcriptome/T_rubida/S1/links/CDD/Triru-contig_101-CDD.txt","S10_plectin")</f>
        <v>S10_plectin</v>
      </c>
      <c r="BK253" t="str">
        <f>HYPERLINK("http://www.ncbi.nlm.nih.gov/Structure/cdd/cddsrv.cgi?uid=pfam03501&amp;version=v4.0","3E-045")</f>
        <v>3E-045</v>
      </c>
      <c r="BL253" t="s">
        <v>1262</v>
      </c>
      <c r="BM253" s="1" t="str">
        <f>HYPERLINK("http://exon.niaid.nih.gov/transcriptome/T_rubida/S1/links/KOG/Triru-contig_101-KOG.txt","40s ribosomal protein s10")</f>
        <v>40s ribosomal protein s10</v>
      </c>
      <c r="BN253" t="str">
        <f>HYPERLINK("http://www.ncbi.nlm.nih.gov/COG/grace/shokog.cgi?KOG3344","2E-048")</f>
        <v>2E-048</v>
      </c>
      <c r="BO253" t="s">
        <v>1185</v>
      </c>
      <c r="BP253" s="1" t="str">
        <f>HYPERLINK("http://exon.niaid.nih.gov/transcriptome/T_rubida/S1/links/PFAM/Triru-contig_101-PFAM.txt","S10_plectin")</f>
        <v>S10_plectin</v>
      </c>
      <c r="BQ253" t="str">
        <f>HYPERLINK("http://pfam.sanger.ac.uk/family?acc=PF03501","5E-046")</f>
        <v>5E-046</v>
      </c>
      <c r="BR253" s="1" t="str">
        <f>HYPERLINK("http://exon.niaid.nih.gov/transcriptome/T_rubida/S1/links/SMART/Triru-contig_101-SMART.txt","TOP2c")</f>
        <v>TOP2c</v>
      </c>
      <c r="BS253" t="str">
        <f>HYPERLINK("http://smart.embl-heidelberg.de/smart/do_annotation.pl?DOMAIN=TOP2c&amp;BLAST=DUMMY","0.064")</f>
        <v>0.064</v>
      </c>
      <c r="BT253" s="1" t="str">
        <f>HYPERLINK("http://exon.niaid.nih.gov/transcriptome/T_rubida/S1/links/PRK/Triru-contig_101-PRK.txt","40S ribosomal protein S10")</f>
        <v>40S ribosomal protein S10</v>
      </c>
      <c r="BU253" s="2">
        <v>2.0000000000000001E-37</v>
      </c>
      <c r="BV253" s="1" t="s">
        <v>57</v>
      </c>
      <c r="BW253" t="s">
        <v>57</v>
      </c>
      <c r="BX253" s="1" t="s">
        <v>57</v>
      </c>
      <c r="BY253" t="s">
        <v>57</v>
      </c>
    </row>
    <row r="254" spans="1:77">
      <c r="A254" t="str">
        <f>HYPERLINK("http://exon.niaid.nih.gov/transcriptome/T_rubida/S1/links/Triru/Triru-contig_128.txt","Triru-contig_128")</f>
        <v>Triru-contig_128</v>
      </c>
      <c r="B254">
        <v>3</v>
      </c>
      <c r="C254" t="str">
        <f>HYPERLINK("http://exon.niaid.nih.gov/transcriptome/T_rubida/S1/links/Triru/Triru-5-48-asb-128.txt","Contig-128")</f>
        <v>Contig-128</v>
      </c>
      <c r="D254" t="str">
        <f>HYPERLINK("http://exon.niaid.nih.gov/transcriptome/T_rubida/S1/links/Triru/Triru-5-48-128-CLU.txt","Contig128")</f>
        <v>Contig128</v>
      </c>
      <c r="E254" t="str">
        <f>HYPERLINK("http://exon.niaid.nih.gov/transcriptome/T_rubida/S1/links/Triru/Triru-5-48-128-qual.txt","76.9")</f>
        <v>76.9</v>
      </c>
      <c r="F254" t="s">
        <v>10</v>
      </c>
      <c r="G254">
        <v>70.2</v>
      </c>
      <c r="H254">
        <v>253</v>
      </c>
      <c r="I254" t="s">
        <v>140</v>
      </c>
      <c r="J254">
        <v>253</v>
      </c>
      <c r="K254">
        <v>272</v>
      </c>
      <c r="L254">
        <v>213</v>
      </c>
      <c r="M254" t="s">
        <v>5277</v>
      </c>
      <c r="N254" s="15">
        <v>2</v>
      </c>
      <c r="Q254" s="5" t="s">
        <v>4873</v>
      </c>
      <c r="R254" t="s">
        <v>4820</v>
      </c>
      <c r="S254" t="str">
        <f>HYPERLINK("http://exon.niaid.nih.gov/transcriptome/T_rubida/S1/links/PFAM/Triru-contig_128-PFAM.txt","PFAM")</f>
        <v>PFAM</v>
      </c>
      <c r="T254" s="23">
        <v>2.0000000000000002E-30</v>
      </c>
      <c r="U254">
        <v>60.9</v>
      </c>
      <c r="V254" s="1" t="str">
        <f>HYPERLINK("http://exon.niaid.nih.gov/transcriptome/T_rubida/S1/links/NR/Triru-contig_128-NR.txt","ribosomal protein S25")</f>
        <v>ribosomal protein S25</v>
      </c>
      <c r="W254" t="str">
        <f>HYPERLINK("http://www.ncbi.nlm.nih.gov/sutils/blink.cgi?pid=307006577","1E-025")</f>
        <v>1E-025</v>
      </c>
      <c r="X254" t="str">
        <f>HYPERLINK("http://www.ncbi.nlm.nih.gov/protein/307006577","gi|307006577")</f>
        <v>gi|307006577</v>
      </c>
      <c r="Y254">
        <v>119</v>
      </c>
      <c r="Z254">
        <v>67</v>
      </c>
      <c r="AA254">
        <v>91</v>
      </c>
      <c r="AB254">
        <v>86</v>
      </c>
      <c r="AC254">
        <v>75</v>
      </c>
      <c r="AD254">
        <v>9</v>
      </c>
      <c r="AE254">
        <v>0</v>
      </c>
      <c r="AF254">
        <v>23</v>
      </c>
      <c r="AG254">
        <v>5</v>
      </c>
      <c r="AH254">
        <v>1</v>
      </c>
      <c r="AI254">
        <v>2</v>
      </c>
      <c r="AJ254" t="s">
        <v>11</v>
      </c>
      <c r="AL254" t="s">
        <v>1453</v>
      </c>
      <c r="AM254" t="s">
        <v>1454</v>
      </c>
      <c r="AN254" t="s">
        <v>1455</v>
      </c>
      <c r="AO254" s="1" t="str">
        <f>HYPERLINK("http://exon.niaid.nih.gov/transcriptome/T_rubida/S1/links/SWISSP/Triru-contig_128-SWISSP.txt","40S ribosomal protein S25")</f>
        <v>40S ribosomal protein S25</v>
      </c>
      <c r="AP254" t="str">
        <f>HYPERLINK("http://www.uniprot.org/uniprot/Q962Q5","2E-023")</f>
        <v>2E-023</v>
      </c>
      <c r="AQ254" t="s">
        <v>1456</v>
      </c>
      <c r="AR254">
        <v>107</v>
      </c>
      <c r="AS254">
        <v>68</v>
      </c>
      <c r="AT254">
        <v>76</v>
      </c>
      <c r="AU254">
        <v>58</v>
      </c>
      <c r="AV254">
        <v>16</v>
      </c>
      <c r="AW254">
        <v>0</v>
      </c>
      <c r="AX254">
        <v>49</v>
      </c>
      <c r="AY254">
        <v>5</v>
      </c>
      <c r="AZ254">
        <v>1</v>
      </c>
      <c r="BA254">
        <v>2</v>
      </c>
      <c r="BB254" t="s">
        <v>11</v>
      </c>
      <c r="BD254" t="s">
        <v>704</v>
      </c>
      <c r="BE254" t="s">
        <v>1246</v>
      </c>
      <c r="BF254" t="s">
        <v>1457</v>
      </c>
      <c r="BG254" t="s">
        <v>1458</v>
      </c>
      <c r="BH254" s="1" t="s">
        <v>1459</v>
      </c>
      <c r="BI254">
        <f>HYPERLINK("http://exon.niaid.nih.gov/transcriptome/T_rubida/S1/links/GO/Triru-contig_128-GO.txt",5E-23)</f>
        <v>5.0000000000000002E-23</v>
      </c>
      <c r="BJ254" s="1" t="str">
        <f>HYPERLINK("http://exon.niaid.nih.gov/transcriptome/T_rubida/S1/links/CDD/Triru-contig_128-CDD.txt","Ribosomal_S25")</f>
        <v>Ribosomal_S25</v>
      </c>
      <c r="BK254" t="str">
        <f>HYPERLINK("http://www.ncbi.nlm.nih.gov/Structure/cdd/cddsrv.cgi?uid=pfam03297&amp;version=v4.0","1E-029")</f>
        <v>1E-029</v>
      </c>
      <c r="BL254" t="s">
        <v>1460</v>
      </c>
      <c r="BM254" s="1" t="str">
        <f>HYPERLINK("http://exon.niaid.nih.gov/transcriptome/T_rubida/S1/links/KOG/Triru-contig_128-KOG.txt","40S ribosomal protein S25")</f>
        <v>40S ribosomal protein S25</v>
      </c>
      <c r="BN254" t="str">
        <f>HYPERLINK("http://www.ncbi.nlm.nih.gov/COG/grace/shokog.cgi?KOG1767","1E-026")</f>
        <v>1E-026</v>
      </c>
      <c r="BO254" t="s">
        <v>1185</v>
      </c>
      <c r="BP254" s="1" t="str">
        <f>HYPERLINK("http://exon.niaid.nih.gov/transcriptome/T_rubida/S1/links/PFAM/Triru-contig_128-PFAM.txt","Ribosomal_S25")</f>
        <v>Ribosomal_S25</v>
      </c>
      <c r="BQ254" t="str">
        <f>HYPERLINK("http://pfam.sanger.ac.uk/family?acc=PF03297","2E-030")</f>
        <v>2E-030</v>
      </c>
      <c r="BR254" s="1" t="str">
        <f>HYPERLINK("http://exon.niaid.nih.gov/transcriptome/T_rubida/S1/links/SMART/Triru-contig_128-SMART.txt","HTH_DTXR")</f>
        <v>HTH_DTXR</v>
      </c>
      <c r="BS254" t="str">
        <f>HYPERLINK("http://smart.embl-heidelberg.de/smart/do_annotation.pl?DOMAIN=HTH_DTXR&amp;BLAST=DUMMY","0.002")</f>
        <v>0.002</v>
      </c>
      <c r="BT254" s="1" t="str">
        <f>HYPERLINK("http://exon.niaid.nih.gov/transcriptome/T_rubida/S1/links/PRK/Triru-contig_128-PRK.txt","30S ribosomal protein S25e")</f>
        <v>30S ribosomal protein S25e</v>
      </c>
      <c r="BU254" s="2">
        <v>9.9999999999999995E-8</v>
      </c>
      <c r="BV254" s="1" t="s">
        <v>57</v>
      </c>
      <c r="BW254" t="s">
        <v>57</v>
      </c>
      <c r="BX254" s="1" t="s">
        <v>57</v>
      </c>
      <c r="BY254" t="s">
        <v>57</v>
      </c>
    </row>
    <row r="255" spans="1:77">
      <c r="A255" t="str">
        <f>HYPERLINK("http://exon.niaid.nih.gov/transcriptome/T_rubida/S1/links/Triru/Triru-contig_611.txt","Triru-contig_611")</f>
        <v>Triru-contig_611</v>
      </c>
      <c r="B255">
        <v>1</v>
      </c>
      <c r="C255" t="str">
        <f>HYPERLINK("http://exon.niaid.nih.gov/transcriptome/T_rubida/S1/links/Triru/Triru-5-48-asb-611.txt","Contig-611")</f>
        <v>Contig-611</v>
      </c>
      <c r="D255" t="str">
        <f>HYPERLINK("http://exon.niaid.nih.gov/transcriptome/T_rubida/S1/links/Triru/Triru-5-48-611-CLU.txt","Contig611")</f>
        <v>Contig611</v>
      </c>
      <c r="E255" t="str">
        <f>HYPERLINK("http://exon.niaid.nih.gov/transcriptome/T_rubida/S1/links/Triru/Triru-5-48-611-qual.txt","57.4")</f>
        <v>57.4</v>
      </c>
      <c r="F255">
        <v>0.9</v>
      </c>
      <c r="G255">
        <v>59.1</v>
      </c>
      <c r="H255">
        <v>211</v>
      </c>
      <c r="I255" t="s">
        <v>623</v>
      </c>
      <c r="J255">
        <v>211</v>
      </c>
      <c r="K255">
        <v>230</v>
      </c>
      <c r="L255">
        <v>180</v>
      </c>
      <c r="M255" t="s">
        <v>5278</v>
      </c>
      <c r="N255" s="15">
        <v>1</v>
      </c>
      <c r="Q255" s="5" t="s">
        <v>5023</v>
      </c>
      <c r="R255" t="s">
        <v>4820</v>
      </c>
      <c r="S255" t="str">
        <f>HYPERLINK("http://exon.niaid.nih.gov/transcriptome/T_rubida/S1/links/NR/Triru-contig_611-NR.txt","NR")</f>
        <v>NR</v>
      </c>
      <c r="T255" s="23">
        <v>4.0000000000000003E-17</v>
      </c>
      <c r="U255">
        <v>25.9</v>
      </c>
      <c r="V255" s="1" t="str">
        <f>HYPERLINK("http://exon.niaid.nih.gov/transcriptome/T_rubida/S1/links/NR/Triru-contig_611-NR.txt","putative S9e ribosomal protein")</f>
        <v>putative S9e ribosomal protein</v>
      </c>
      <c r="W255" t="str">
        <f>HYPERLINK("http://www.ncbi.nlm.nih.gov/sutils/blink.cgi?pid=90819966","4E-017")</f>
        <v>4E-017</v>
      </c>
      <c r="X255" t="str">
        <f>HYPERLINK("http://www.ncbi.nlm.nih.gov/protein/90819966","gi|90819966")</f>
        <v>gi|90819966</v>
      </c>
      <c r="Y255">
        <v>91.7</v>
      </c>
      <c r="Z255">
        <v>49</v>
      </c>
      <c r="AA255">
        <v>193</v>
      </c>
      <c r="AB255">
        <v>88</v>
      </c>
      <c r="AC255">
        <v>26</v>
      </c>
      <c r="AD255">
        <v>6</v>
      </c>
      <c r="AE255">
        <v>0</v>
      </c>
      <c r="AF255">
        <v>144</v>
      </c>
      <c r="AG255">
        <v>31</v>
      </c>
      <c r="AH255">
        <v>1</v>
      </c>
      <c r="AI255">
        <v>1</v>
      </c>
      <c r="AJ255" t="s">
        <v>11</v>
      </c>
      <c r="AL255" t="s">
        <v>1208</v>
      </c>
      <c r="AM255" t="s">
        <v>4564</v>
      </c>
      <c r="AN255" t="s">
        <v>4565</v>
      </c>
      <c r="AO255" s="1" t="str">
        <f>HYPERLINK("http://exon.niaid.nih.gov/transcriptome/T_rubida/S1/links/SWISSP/Triru-contig_611-SWISSP.txt","40S ribosomal protein S9")</f>
        <v>40S ribosomal protein S9</v>
      </c>
      <c r="AP255" t="str">
        <f>HYPERLINK("http://www.uniprot.org/uniprot/P29314","4E-015")</f>
        <v>4E-015</v>
      </c>
      <c r="AQ255" t="s">
        <v>4566</v>
      </c>
      <c r="AR255">
        <v>80.099999999999994</v>
      </c>
      <c r="AS255">
        <v>49</v>
      </c>
      <c r="AT255">
        <v>74</v>
      </c>
      <c r="AU255">
        <v>26</v>
      </c>
      <c r="AV255">
        <v>13</v>
      </c>
      <c r="AW255">
        <v>0</v>
      </c>
      <c r="AX255">
        <v>143</v>
      </c>
      <c r="AY255">
        <v>31</v>
      </c>
      <c r="AZ255">
        <v>1</v>
      </c>
      <c r="BA255">
        <v>1</v>
      </c>
      <c r="BB255" t="s">
        <v>11</v>
      </c>
      <c r="BD255" t="s">
        <v>704</v>
      </c>
      <c r="BE255" t="s">
        <v>1164</v>
      </c>
      <c r="BF255" t="s">
        <v>4567</v>
      </c>
      <c r="BG255" t="s">
        <v>4568</v>
      </c>
      <c r="BH255" s="1" t="s">
        <v>4569</v>
      </c>
      <c r="BI255">
        <f>HYPERLINK("http://exon.niaid.nih.gov/transcriptome/T_rubida/S1/links/GO/Triru-contig_611-GO.txt",0.000000000000003)</f>
        <v>2.9999999999999998E-15</v>
      </c>
      <c r="BJ255" s="1" t="str">
        <f>HYPERLINK("http://exon.niaid.nih.gov/transcriptome/T_rubida/S1/links/CDD/Triru-contig_611-CDD.txt","PLN00189")</f>
        <v>PLN00189</v>
      </c>
      <c r="BK255" t="str">
        <f>HYPERLINK("http://www.ncbi.nlm.nih.gov/Structure/cdd/cddsrv.cgi?uid=PLN00189&amp;version=v4.0","2E-016")</f>
        <v>2E-016</v>
      </c>
      <c r="BL255" t="s">
        <v>4570</v>
      </c>
      <c r="BM255" s="1" t="str">
        <f>HYPERLINK("http://exon.niaid.nih.gov/transcriptome/T_rubida/S1/links/KOG/Triru-contig_611-KOG.txt","Ribosomal protein S4")</f>
        <v>Ribosomal protein S4</v>
      </c>
      <c r="BN255" t="str">
        <f>HYPERLINK("http://www.ncbi.nlm.nih.gov/COG/grace/shokog.cgi?KOG3301","5E-014")</f>
        <v>5E-014</v>
      </c>
      <c r="BO255" t="s">
        <v>1185</v>
      </c>
      <c r="BP255" s="1" t="str">
        <f>HYPERLINK("http://exon.niaid.nih.gov/transcriptome/T_rubida/S1/links/PFAM/Triru-contig_611-PFAM.txt","Lactamase_B_2")</f>
        <v>Lactamase_B_2</v>
      </c>
      <c r="BQ255" t="str">
        <f>HYPERLINK("http://pfam.sanger.ac.uk/family?acc=PF12706","0.29")</f>
        <v>0.29</v>
      </c>
      <c r="BR255" s="1" t="str">
        <f>HYPERLINK("http://exon.niaid.nih.gov/transcriptome/T_rubida/S1/links/SMART/Triru-contig_611-SMART.txt","HSF")</f>
        <v>HSF</v>
      </c>
      <c r="BS255" t="str">
        <f>HYPERLINK("http://smart.embl-heidelberg.de/smart/do_annotation.pl?DOMAIN=HSF&amp;BLAST=DUMMY","0.19")</f>
        <v>0.19</v>
      </c>
      <c r="BT255" s="1" t="str">
        <f>HYPERLINK("http://exon.niaid.nih.gov/transcriptome/T_rubida/S1/links/PRK/Triru-contig_611-PRK.txt","40S ribosomal protein S9")</f>
        <v>40S ribosomal protein S9</v>
      </c>
      <c r="BU255" s="2">
        <v>6.0000000000000001E-17</v>
      </c>
      <c r="BV255" s="1" t="s">
        <v>57</v>
      </c>
      <c r="BW255" t="s">
        <v>57</v>
      </c>
      <c r="BX255" s="1" t="s">
        <v>57</v>
      </c>
      <c r="BY255" t="s">
        <v>57</v>
      </c>
    </row>
    <row r="256" spans="1:77">
      <c r="A256" t="str">
        <f>HYPERLINK("http://exon.niaid.nih.gov/transcriptome/T_rubida/S1/links/Triru/Triru-contig_547.txt","Triru-contig_547")</f>
        <v>Triru-contig_547</v>
      </c>
      <c r="B256">
        <v>1</v>
      </c>
      <c r="C256" t="str">
        <f>HYPERLINK("http://exon.niaid.nih.gov/transcriptome/T_rubida/S1/links/Triru/Triru-5-48-asb-547.txt","Contig-547")</f>
        <v>Contig-547</v>
      </c>
      <c r="D256" t="str">
        <f>HYPERLINK("http://exon.niaid.nih.gov/transcriptome/T_rubida/S1/links/Triru/Triru-5-48-547-CLU.txt","Contig547")</f>
        <v>Contig547</v>
      </c>
      <c r="E256" t="str">
        <f>HYPERLINK("http://exon.niaid.nih.gov/transcriptome/T_rubida/S1/links/Triru/Triru-5-48-547-qual.txt","58.")</f>
        <v>58.</v>
      </c>
      <c r="F256" t="s">
        <v>10</v>
      </c>
      <c r="G256">
        <v>48.7</v>
      </c>
      <c r="H256">
        <v>486</v>
      </c>
      <c r="I256" t="s">
        <v>559</v>
      </c>
      <c r="J256">
        <v>486</v>
      </c>
      <c r="K256">
        <v>505</v>
      </c>
      <c r="L256">
        <v>192</v>
      </c>
      <c r="M256" t="s">
        <v>5279</v>
      </c>
      <c r="N256" s="15">
        <v>2</v>
      </c>
      <c r="O256" s="14" t="str">
        <f>HYPERLINK("http://exon.niaid.nih.gov/transcriptome/T_rubida/S1/links/Sigp/TRIRU-CONTIG_547-SigP.txt","Cyt")</f>
        <v>Cyt</v>
      </c>
      <c r="Q256" s="5" t="s">
        <v>5007</v>
      </c>
      <c r="R256" t="s">
        <v>4820</v>
      </c>
      <c r="S256" t="str">
        <f>HYPERLINK("http://exon.niaid.nih.gov/transcriptome/T_rubida/S1/links/RRNA/Triru-contig_547-RRNA.txt","RRNA")</f>
        <v>RRNA</v>
      </c>
      <c r="T256" s="23">
        <v>3.9999999999999999E-19</v>
      </c>
      <c r="U256">
        <v>3.1</v>
      </c>
      <c r="V256" s="1" t="str">
        <f>HYPERLINK("http://exon.niaid.nih.gov/transcriptome/T_rubida/S1/links/NR/Triru-contig_547-NR.txt","hypothetical protein TcasGA2_TC002334")</f>
        <v>hypothetical protein TcasGA2_TC002334</v>
      </c>
      <c r="W256" t="str">
        <f>HYPERLINK("http://www.ncbi.nlm.nih.gov/sutils/blink.cgi?pid=270017112","3E-016")</f>
        <v>3E-016</v>
      </c>
      <c r="X256" t="str">
        <f>HYPERLINK("http://www.ncbi.nlm.nih.gov/protein/270017112","gi|270017112")</f>
        <v>gi|270017112</v>
      </c>
      <c r="Y256">
        <v>88.6</v>
      </c>
      <c r="Z256">
        <v>70</v>
      </c>
      <c r="AA256">
        <v>75</v>
      </c>
      <c r="AB256">
        <v>69</v>
      </c>
      <c r="AC256">
        <v>95</v>
      </c>
      <c r="AD256">
        <v>22</v>
      </c>
      <c r="AE256">
        <v>2</v>
      </c>
      <c r="AF256">
        <v>4</v>
      </c>
      <c r="AG256">
        <v>35</v>
      </c>
      <c r="AH256">
        <v>1</v>
      </c>
      <c r="AI256">
        <v>2</v>
      </c>
      <c r="AJ256" t="s">
        <v>11</v>
      </c>
      <c r="AK256">
        <v>1.429</v>
      </c>
      <c r="AL256" t="s">
        <v>1483</v>
      </c>
      <c r="AM256" t="s">
        <v>4169</v>
      </c>
      <c r="AN256" t="s">
        <v>4170</v>
      </c>
      <c r="AO256" s="1" t="str">
        <f>HYPERLINK("http://exon.niaid.nih.gov/transcriptome/T_rubida/S1/links/SWISSP/Triru-contig_547-SWISSP.txt","Interleukin-4 receptor subunit alpha")</f>
        <v>Interleukin-4 receptor subunit alpha</v>
      </c>
      <c r="AP256" t="str">
        <f>HYPERLINK("http://www.uniprot.org/uniprot/P24394","13")</f>
        <v>13</v>
      </c>
      <c r="AQ256" t="s">
        <v>4171</v>
      </c>
      <c r="AR256">
        <v>29.3</v>
      </c>
      <c r="AS256">
        <v>29</v>
      </c>
      <c r="AT256">
        <v>46</v>
      </c>
      <c r="AU256">
        <v>4</v>
      </c>
      <c r="AV256">
        <v>16</v>
      </c>
      <c r="AW256">
        <v>0</v>
      </c>
      <c r="AX256">
        <v>381</v>
      </c>
      <c r="AY256">
        <v>358</v>
      </c>
      <c r="AZ256">
        <v>1</v>
      </c>
      <c r="BA256">
        <v>1</v>
      </c>
      <c r="BB256" t="s">
        <v>11</v>
      </c>
      <c r="BD256" t="s">
        <v>704</v>
      </c>
      <c r="BE256" t="s">
        <v>1233</v>
      </c>
      <c r="BF256" t="s">
        <v>4172</v>
      </c>
      <c r="BG256" t="s">
        <v>4173</v>
      </c>
      <c r="BH256" s="1" t="s">
        <v>57</v>
      </c>
      <c r="BI256" t="s">
        <v>57</v>
      </c>
      <c r="BJ256" s="1" t="str">
        <f>HYPERLINK("http://exon.niaid.nih.gov/transcriptome/T_rubida/S1/links/CDD/Triru-contig_547-CDD.txt","PRK06975")</f>
        <v>PRK06975</v>
      </c>
      <c r="BK256" t="str">
        <f>HYPERLINK("http://www.ncbi.nlm.nih.gov/Structure/cdd/cddsrv.cgi?uid=PRK06975&amp;version=v4.0","0.21")</f>
        <v>0.21</v>
      </c>
      <c r="BL256" t="s">
        <v>4174</v>
      </c>
      <c r="BM256" s="1" t="str">
        <f>HYPERLINK("http://exon.niaid.nih.gov/transcriptome/T_rubida/S1/links/KOG/Triru-contig_547-KOG.txt","Uncharacterized conserved protein")</f>
        <v>Uncharacterized conserved protein</v>
      </c>
      <c r="BN256" t="str">
        <f>HYPERLINK("http://www.ncbi.nlm.nih.gov/COG/grace/shokog.cgi?KOG0915","0.21")</f>
        <v>0.21</v>
      </c>
      <c r="BO256" t="s">
        <v>737</v>
      </c>
      <c r="BP256" s="1" t="str">
        <f>HYPERLINK("http://exon.niaid.nih.gov/transcriptome/T_rubida/S1/links/PFAM/Triru-contig_547-PFAM.txt","DUF1633")</f>
        <v>DUF1633</v>
      </c>
      <c r="BQ256" t="str">
        <f>HYPERLINK("http://pfam.sanger.ac.uk/family?acc=PF07794","0.13")</f>
        <v>0.13</v>
      </c>
      <c r="BR256" s="1" t="str">
        <f>HYPERLINK("http://exon.niaid.nih.gov/transcriptome/T_rubida/S1/links/SMART/Triru-contig_547-SMART.txt","DWB")</f>
        <v>DWB</v>
      </c>
      <c r="BS256" t="str">
        <f>HYPERLINK("http://smart.embl-heidelberg.de/smart/do_annotation.pl?DOMAIN=DWB&amp;BLAST=DUMMY","0.21")</f>
        <v>0.21</v>
      </c>
      <c r="BT256" s="1" t="str">
        <f>HYPERLINK("http://exon.niaid.nih.gov/transcriptome/T_rubida/S1/links/PRK/Triru-contig_547-PRK.txt","bifunctional uroporphyrinogen-III synthetase/uroporphyrin-III C-methyltransferase")</f>
        <v>bifunctional uroporphyrinogen-III synthetase/uroporphyrin-III C-methyltransferase</v>
      </c>
      <c r="BU256">
        <v>9.4E-2</v>
      </c>
      <c r="BV256" s="1" t="s">
        <v>57</v>
      </c>
      <c r="BW256" t="s">
        <v>57</v>
      </c>
      <c r="BX256" s="1" t="str">
        <f>HYPERLINK("http://exon.niaid.nih.gov/transcriptome/T_rubida/S1/links/RRNA/Triru-contig_547-RRNA.txt","Saccoglossus kowalevskii 28S ribosomal RNA (LOC100306927), ribosomal RNA")</f>
        <v>Saccoglossus kowalevskii 28S ribosomal RNA (LOC100306927), ribosomal RNA</v>
      </c>
      <c r="BY256" t="str">
        <f>HYPERLINK("http://www.ncbi.nlm.nih.gov/entrez/viewer.fcgi?db=nucleotide&amp;val=259013529","4E-019")</f>
        <v>4E-019</v>
      </c>
    </row>
    <row r="257" spans="1:77">
      <c r="A257" t="str">
        <f>HYPERLINK("http://exon.niaid.nih.gov/transcriptome/T_rubida/S1/links/Triru/Triru-contig_42.txt","Triru-contig_42")</f>
        <v>Triru-contig_42</v>
      </c>
      <c r="B257">
        <v>1</v>
      </c>
      <c r="C257" t="str">
        <f>HYPERLINK("http://exon.niaid.nih.gov/transcriptome/T_rubida/S1/links/Triru/Triru-5-48-asb-42.txt","Contig-42")</f>
        <v>Contig-42</v>
      </c>
      <c r="D257" t="str">
        <f>HYPERLINK("http://exon.niaid.nih.gov/transcriptome/T_rubida/S1/links/Triru/Triru-5-48-42-CLU.txt","Contig42")</f>
        <v>Contig42</v>
      </c>
      <c r="E257" t="str">
        <f>HYPERLINK("http://exon.niaid.nih.gov/transcriptome/T_rubida/S1/links/Triru/Triru-5-48-42-qual.txt","24.9")</f>
        <v>24.9</v>
      </c>
      <c r="F257" t="s">
        <v>10</v>
      </c>
      <c r="G257">
        <v>64.099999999999994</v>
      </c>
      <c r="H257">
        <v>555</v>
      </c>
      <c r="I257" t="s">
        <v>53</v>
      </c>
      <c r="J257">
        <v>555</v>
      </c>
      <c r="K257">
        <v>574</v>
      </c>
      <c r="L257">
        <v>225</v>
      </c>
      <c r="M257" t="s">
        <v>5280</v>
      </c>
      <c r="N257" s="15">
        <v>3</v>
      </c>
      <c r="Q257" s="5" t="s">
        <v>4826</v>
      </c>
      <c r="R257" t="s">
        <v>4820</v>
      </c>
      <c r="S257" t="str">
        <f>HYPERLINK("http://exon.niaid.nih.gov/transcriptome/T_rubida/S1/links/RRNA/Triru-contig_42-RRNA.txt","RRNA")</f>
        <v>RRNA</v>
      </c>
      <c r="T257" s="23">
        <v>2.0000000000000001E-9</v>
      </c>
      <c r="U257">
        <v>4.5</v>
      </c>
      <c r="V257" s="1" t="str">
        <f>HYPERLINK("http://exon.niaid.nih.gov/transcriptome/T_rubida/S1/links/NR/Triru-contig_42-NR.txt","unnamed protein product")</f>
        <v>unnamed protein product</v>
      </c>
      <c r="W257" t="str">
        <f>HYPERLINK("http://www.ncbi.nlm.nih.gov/sutils/blink.cgi?pid=270046164","4E-010")</f>
        <v>4E-010</v>
      </c>
      <c r="X257" t="str">
        <f>HYPERLINK("http://www.ncbi.nlm.nih.gov/protein/270046164","gi|270046164")</f>
        <v>gi|270046164</v>
      </c>
      <c r="Y257">
        <v>68.900000000000006</v>
      </c>
      <c r="Z257">
        <v>80</v>
      </c>
      <c r="AA257">
        <v>177</v>
      </c>
      <c r="AB257">
        <v>45</v>
      </c>
      <c r="AC257">
        <v>46</v>
      </c>
      <c r="AD257">
        <v>44</v>
      </c>
      <c r="AE257">
        <v>8</v>
      </c>
      <c r="AF257">
        <v>88</v>
      </c>
      <c r="AG257">
        <v>234</v>
      </c>
      <c r="AH257">
        <v>1</v>
      </c>
      <c r="AI257">
        <v>3</v>
      </c>
      <c r="AJ257" t="s">
        <v>11</v>
      </c>
      <c r="AL257" t="s">
        <v>700</v>
      </c>
      <c r="AM257" t="s">
        <v>893</v>
      </c>
      <c r="AN257" t="s">
        <v>770</v>
      </c>
      <c r="AO257" s="1" t="str">
        <f>HYPERLINK("http://exon.niaid.nih.gov/transcriptome/T_rubida/S1/links/SWISSP/Triru-contig_42-SWISSP.txt","Procalin")</f>
        <v>Procalin</v>
      </c>
      <c r="AP257" t="str">
        <f>HYPERLINK("http://www.uniprot.org/uniprot/Q9U6R6","0.002")</f>
        <v>0.002</v>
      </c>
      <c r="AQ257" t="s">
        <v>703</v>
      </c>
      <c r="AR257">
        <v>42.4</v>
      </c>
      <c r="AS257">
        <v>80</v>
      </c>
      <c r="AT257">
        <v>28</v>
      </c>
      <c r="AU257">
        <v>48</v>
      </c>
      <c r="AV257">
        <v>58</v>
      </c>
      <c r="AW257">
        <v>6</v>
      </c>
      <c r="AX257">
        <v>86</v>
      </c>
      <c r="AY257">
        <v>246</v>
      </c>
      <c r="AZ257">
        <v>1</v>
      </c>
      <c r="BA257">
        <v>3</v>
      </c>
      <c r="BB257" t="s">
        <v>11</v>
      </c>
      <c r="BC257">
        <v>1.25</v>
      </c>
      <c r="BD257" t="s">
        <v>704</v>
      </c>
      <c r="BE257" t="s">
        <v>705</v>
      </c>
      <c r="BF257" t="s">
        <v>894</v>
      </c>
      <c r="BG257" t="s">
        <v>895</v>
      </c>
      <c r="BH257" s="1" t="s">
        <v>57</v>
      </c>
      <c r="BI257" t="s">
        <v>57</v>
      </c>
      <c r="BJ257" s="1" t="str">
        <f>HYPERLINK("http://exon.niaid.nih.gov/transcriptome/T_rubida/S1/links/CDD/Triru-contig_42-CDD.txt","Triabin")</f>
        <v>Triabin</v>
      </c>
      <c r="BK257" t="str">
        <f>HYPERLINK("http://www.ncbi.nlm.nih.gov/Structure/cdd/cddsrv.cgi?uid=pfam03973&amp;version=v4.0","0.005")</f>
        <v>0.005</v>
      </c>
      <c r="BL257" t="s">
        <v>896</v>
      </c>
      <c r="BM257" s="1" t="str">
        <f>HYPERLINK("http://exon.niaid.nih.gov/transcriptome/T_rubida/S1/links/KOG/Triru-contig_42-KOG.txt","Acyl-CoA reductase")</f>
        <v>Acyl-CoA reductase</v>
      </c>
      <c r="BN257" t="str">
        <f>HYPERLINK("http://www.ncbi.nlm.nih.gov/COG/grace/shokog.cgi?KOG1221","0.81")</f>
        <v>0.81</v>
      </c>
      <c r="BO257" t="s">
        <v>709</v>
      </c>
      <c r="BP257" s="1" t="str">
        <f>HYPERLINK("http://exon.niaid.nih.gov/transcriptome/T_rubida/S1/links/PFAM/Triru-contig_42-PFAM.txt","Triabin")</f>
        <v>Triabin</v>
      </c>
      <c r="BQ257" t="str">
        <f>HYPERLINK("http://pfam.sanger.ac.uk/family?acc=PF03973","0.001")</f>
        <v>0.001</v>
      </c>
      <c r="BR257" s="1" t="str">
        <f>HYPERLINK("http://exon.niaid.nih.gov/transcriptome/T_rubida/S1/links/SMART/Triru-contig_42-SMART.txt","CARP")</f>
        <v>CARP</v>
      </c>
      <c r="BS257" t="str">
        <f>HYPERLINK("http://smart.embl-heidelberg.de/smart/do_annotation.pl?DOMAIN=CARP&amp;BLAST=DUMMY","0.045")</f>
        <v>0.045</v>
      </c>
      <c r="BT257" s="1" t="str">
        <f>HYPERLINK("http://exon.niaid.nih.gov/transcriptome/T_rubida/S1/links/PRK/Triru-contig_42-PRK.txt","NADH dehydrogenase subunit 4L")</f>
        <v>NADH dehydrogenase subunit 4L</v>
      </c>
      <c r="BU257">
        <v>0.42</v>
      </c>
      <c r="BV257" s="1" t="str">
        <f>HYPERLINK("http://exon.niaid.nih.gov/transcriptome/T_rubida/S1/links/MIT-PLA/Triru-contig_42-MIT-PLA.txt","Triatoma dimidiata mitochondrial DNA, complete genome")</f>
        <v>Triatoma dimidiata mitochondrial DNA, complete genome</v>
      </c>
      <c r="BW257" t="str">
        <f>HYPERLINK("http://www.ncbi.nlm.nih.gov/entrez/viewer.fcgi?db=nucleotide&amp;val=11139100","1E-029")</f>
        <v>1E-029</v>
      </c>
      <c r="BX257" s="1" t="str">
        <f>HYPERLINK("http://exon.niaid.nih.gov/transcriptome/T_rubida/S1/links/RRNA/Triru-contig_42-RRNA.txt","Tenebrio molitor mitochondrial partial 16S rRNA gene, isolate Tmo1")</f>
        <v>Tenebrio molitor mitochondrial partial 16S rRNA gene, isolate Tmo1</v>
      </c>
      <c r="BY257" t="str">
        <f>HYPERLINK("http://www.ncbi.nlm.nih.gov/entrez/viewer.fcgi?db=nucleotide&amp;val=56409804","4E-010")</f>
        <v>4E-010</v>
      </c>
    </row>
    <row r="258" spans="1:77">
      <c r="A258" t="str">
        <f>HYPERLINK("http://exon.niaid.nih.gov/transcriptome/T_rubida/S1/links/Triru/Triru-contig_373.txt","Triru-contig_373")</f>
        <v>Triru-contig_373</v>
      </c>
      <c r="B258">
        <v>1</v>
      </c>
      <c r="C258" t="str">
        <f>HYPERLINK("http://exon.niaid.nih.gov/transcriptome/T_rubida/S1/links/Triru/Triru-5-48-asb-373.txt","Contig-373")</f>
        <v>Contig-373</v>
      </c>
      <c r="D258" t="str">
        <f>HYPERLINK("http://exon.niaid.nih.gov/transcriptome/T_rubida/S1/links/Triru/Triru-5-48-373-CLU.txt","Contig373")</f>
        <v>Contig373</v>
      </c>
      <c r="E258" t="str">
        <f>HYPERLINK("http://exon.niaid.nih.gov/transcriptome/T_rubida/S1/links/Triru/Triru-5-48-373-qual.txt","64.1")</f>
        <v>64.1</v>
      </c>
      <c r="F258" t="s">
        <v>10</v>
      </c>
      <c r="G258">
        <v>66.599999999999994</v>
      </c>
      <c r="H258">
        <v>418</v>
      </c>
      <c r="I258" t="s">
        <v>385</v>
      </c>
      <c r="J258">
        <v>418</v>
      </c>
      <c r="K258">
        <v>437</v>
      </c>
      <c r="L258">
        <v>234</v>
      </c>
      <c r="M258" t="s">
        <v>5281</v>
      </c>
      <c r="N258" s="15">
        <v>2</v>
      </c>
      <c r="O258" s="14" t="str">
        <f>HYPERLINK("http://exon.niaid.nih.gov/transcriptome/T_rubida/S1/links/Sigp/TRIRU-CONTIG_373-SigP.txt","Cyt")</f>
        <v>Cyt</v>
      </c>
      <c r="Q258" s="5" t="s">
        <v>4946</v>
      </c>
      <c r="R258" t="s">
        <v>4820</v>
      </c>
      <c r="S258" t="str">
        <f>HYPERLINK("http://exon.niaid.nih.gov/transcriptome/T_rubida/S1/links/GO/Triru-contig_373-GO.txt","GO")</f>
        <v>GO</v>
      </c>
      <c r="T258" s="23">
        <v>6.0000000000000001E-17</v>
      </c>
      <c r="U258">
        <v>48.7</v>
      </c>
      <c r="V258" s="1" t="str">
        <f>HYPERLINK("http://exon.niaid.nih.gov/transcriptome/T_rubida/S1/links/NR/Triru-contig_373-NR.txt","signal recognition particle")</f>
        <v>signal recognition particle</v>
      </c>
      <c r="W258" t="str">
        <f>HYPERLINK("http://www.ncbi.nlm.nih.gov/sutils/blink.cgi?pid=149689198","8E-033")</f>
        <v>8E-033</v>
      </c>
      <c r="X258" t="str">
        <f>HYPERLINK("http://www.ncbi.nlm.nih.gov/protein/149689198","gi|149689198")</f>
        <v>gi|149689198</v>
      </c>
      <c r="Y258">
        <v>143</v>
      </c>
      <c r="Z258">
        <v>74</v>
      </c>
      <c r="AA258">
        <v>148</v>
      </c>
      <c r="AB258">
        <v>89</v>
      </c>
      <c r="AC258">
        <v>51</v>
      </c>
      <c r="AD258">
        <v>8</v>
      </c>
      <c r="AE258">
        <v>0</v>
      </c>
      <c r="AF258">
        <v>74</v>
      </c>
      <c r="AG258">
        <v>11</v>
      </c>
      <c r="AH258">
        <v>1</v>
      </c>
      <c r="AI258">
        <v>2</v>
      </c>
      <c r="AJ258" t="s">
        <v>11</v>
      </c>
      <c r="AL258" t="s">
        <v>1067</v>
      </c>
      <c r="AM258" t="s">
        <v>3003</v>
      </c>
      <c r="AN258" t="s">
        <v>3004</v>
      </c>
      <c r="AO258" s="1" t="str">
        <f>HYPERLINK("http://exon.niaid.nih.gov/transcriptome/T_rubida/S1/links/SWISSP/Triru-contig_373-SWISSP.txt","Signal recognition particle 19 kDa protein")</f>
        <v>Signal recognition particle 19 kDa protein</v>
      </c>
      <c r="AP258" t="str">
        <f>HYPERLINK("http://www.uniprot.org/uniprot/P49963","8E-017")</f>
        <v>8E-017</v>
      </c>
      <c r="AQ258" t="s">
        <v>3005</v>
      </c>
      <c r="AR258">
        <v>85.9</v>
      </c>
      <c r="AS258">
        <v>77</v>
      </c>
      <c r="AT258">
        <v>53</v>
      </c>
      <c r="AU258">
        <v>49</v>
      </c>
      <c r="AV258">
        <v>36</v>
      </c>
      <c r="AW258">
        <v>4</v>
      </c>
      <c r="AX258">
        <v>82</v>
      </c>
      <c r="AY258">
        <v>14</v>
      </c>
      <c r="AZ258">
        <v>1</v>
      </c>
      <c r="BA258">
        <v>2</v>
      </c>
      <c r="BB258" t="s">
        <v>11</v>
      </c>
      <c r="BD258" t="s">
        <v>704</v>
      </c>
      <c r="BE258" t="s">
        <v>1125</v>
      </c>
      <c r="BF258" t="s">
        <v>3006</v>
      </c>
      <c r="BG258" t="s">
        <v>3007</v>
      </c>
      <c r="BH258" s="1" t="s">
        <v>3008</v>
      </c>
      <c r="BI258">
        <f>HYPERLINK("http://exon.niaid.nih.gov/transcriptome/T_rubida/S1/links/GO/Triru-contig_373-GO.txt",0.00000000000000006)</f>
        <v>6.0000000000000001E-17</v>
      </c>
      <c r="BJ258" s="1" t="str">
        <f>HYPERLINK("http://exon.niaid.nih.gov/transcriptome/T_rubida/S1/links/CDD/Triru-contig_373-CDD.txt","SRP19")</f>
        <v>SRP19</v>
      </c>
      <c r="BK258" t="str">
        <f>HYPERLINK("http://www.ncbi.nlm.nih.gov/Structure/cdd/cddsrv.cgi?uid=pfam01922&amp;version=v4.0","1E-004")</f>
        <v>1E-004</v>
      </c>
      <c r="BL258" t="s">
        <v>3009</v>
      </c>
      <c r="BM258" s="1" t="str">
        <f>HYPERLINK("http://exon.niaid.nih.gov/transcriptome/T_rubida/S1/links/KOG/Triru-contig_373-KOG.txt","Signal recognition particle, subunit Srp19")</f>
        <v>Signal recognition particle, subunit Srp19</v>
      </c>
      <c r="BN258" t="str">
        <f>HYPERLINK("http://www.ncbi.nlm.nih.gov/COG/grace/shokog.cgi?KOG3198","2E-013")</f>
        <v>2E-013</v>
      </c>
      <c r="BO258" t="s">
        <v>1082</v>
      </c>
      <c r="BP258" s="1" t="str">
        <f>HYPERLINK("http://exon.niaid.nih.gov/transcriptome/T_rubida/S1/links/PFAM/Triru-contig_373-PFAM.txt","SRP19")</f>
        <v>SRP19</v>
      </c>
      <c r="BQ258" t="str">
        <f>HYPERLINK("http://pfam.sanger.ac.uk/family?acc=PF01922","2E-005")</f>
        <v>2E-005</v>
      </c>
      <c r="BR258" s="1" t="str">
        <f>HYPERLINK("http://exon.niaid.nih.gov/transcriptome/T_rubida/S1/links/SMART/Triru-contig_373-SMART.txt","Alpha_TIF")</f>
        <v>Alpha_TIF</v>
      </c>
      <c r="BS258" t="str">
        <f>HYPERLINK("http://smart.embl-heidelberg.de/smart/do_annotation.pl?DOMAIN=Alpha_TIF&amp;BLAST=DUMMY","0.016")</f>
        <v>0.016</v>
      </c>
      <c r="BT258" s="1" t="str">
        <f>HYPERLINK("http://exon.niaid.nih.gov/transcriptome/T_rubida/S1/links/PRK/Triru-contig_373-PRK.txt","attachment protein.")</f>
        <v>attachment protein.</v>
      </c>
      <c r="BU258">
        <v>2E-3</v>
      </c>
      <c r="BV258" s="1" t="s">
        <v>57</v>
      </c>
      <c r="BW258" t="s">
        <v>57</v>
      </c>
      <c r="BX258" s="1" t="s">
        <v>57</v>
      </c>
      <c r="BY258" t="s">
        <v>57</v>
      </c>
    </row>
    <row r="259" spans="1:77">
      <c r="A259" t="str">
        <f>HYPERLINK("http://exon.niaid.nih.gov/transcriptome/T_rubida/S1/links/Triru/Triru-contig_2.txt","Triru-contig_2")</f>
        <v>Triru-contig_2</v>
      </c>
      <c r="B259">
        <v>24</v>
      </c>
      <c r="C259" t="str">
        <f>HYPERLINK("http://exon.niaid.nih.gov/transcriptome/T_rubida/S1/links/Triru/Triru-5-48-asb-2.txt","Contig-2")</f>
        <v>Contig-2</v>
      </c>
      <c r="D259" t="str">
        <f>HYPERLINK("http://exon.niaid.nih.gov/transcriptome/T_rubida/S1/links/Triru/Triru-5-48-2-CLU.txt","Contig2")</f>
        <v>Contig2</v>
      </c>
      <c r="E259" t="str">
        <f>HYPERLINK("http://exon.niaid.nih.gov/transcriptome/T_rubida/S1/links/Triru/Triru-5-48-2-qual.txt","65.")</f>
        <v>65.</v>
      </c>
      <c r="F259" t="s">
        <v>10</v>
      </c>
      <c r="G259">
        <v>64</v>
      </c>
      <c r="H259">
        <v>540</v>
      </c>
      <c r="I259" t="s">
        <v>13</v>
      </c>
      <c r="J259">
        <v>565</v>
      </c>
      <c r="K259">
        <v>847</v>
      </c>
      <c r="L259">
        <v>429</v>
      </c>
      <c r="M259" t="s">
        <v>5282</v>
      </c>
      <c r="N259" s="15">
        <v>3</v>
      </c>
      <c r="O259" s="14" t="str">
        <f>HYPERLINK("http://exon.niaid.nih.gov/transcriptome/T_rubida/S1/links/Sigp/TRIRU-CONTIG_2-SigP.txt","Cyt")</f>
        <v>Cyt</v>
      </c>
      <c r="Q259" s="5" t="s">
        <v>4819</v>
      </c>
      <c r="R259" t="s">
        <v>4820</v>
      </c>
      <c r="S259" t="str">
        <f>HYPERLINK("http://exon.niaid.nih.gov/transcriptome/T_rubida/S1/links/RRNA/Triru-contig_2-RRNA.txt","RRNA")</f>
        <v>RRNA</v>
      </c>
      <c r="T259" s="23">
        <v>2E-16</v>
      </c>
      <c r="U259">
        <v>14.3</v>
      </c>
      <c r="V259" s="1" t="str">
        <f>HYPERLINK("http://exon.niaid.nih.gov/transcriptome/T_rubida/S1/links/NR/Triru-contig_2-NR.txt","unnamed protein product")</f>
        <v>unnamed protein product</v>
      </c>
      <c r="W259" t="str">
        <f>HYPERLINK("http://www.ncbi.nlm.nih.gov/sutils/blink.cgi?pid=270046164","3E-027")</f>
        <v>3E-027</v>
      </c>
      <c r="X259" t="str">
        <f>HYPERLINK("http://www.ncbi.nlm.nih.gov/protein/270046164","gi|270046164")</f>
        <v>gi|270046164</v>
      </c>
      <c r="Y259">
        <v>127</v>
      </c>
      <c r="Z259">
        <v>145</v>
      </c>
      <c r="AA259">
        <v>177</v>
      </c>
      <c r="AB259">
        <v>45</v>
      </c>
      <c r="AC259">
        <v>82</v>
      </c>
      <c r="AD259">
        <v>80</v>
      </c>
      <c r="AE259">
        <v>8</v>
      </c>
      <c r="AF259">
        <v>31</v>
      </c>
      <c r="AG259">
        <v>39</v>
      </c>
      <c r="AH259">
        <v>1</v>
      </c>
      <c r="AI259">
        <v>3</v>
      </c>
      <c r="AJ259" t="s">
        <v>11</v>
      </c>
      <c r="AL259" t="s">
        <v>700</v>
      </c>
      <c r="AM259" t="s">
        <v>710</v>
      </c>
      <c r="AN259" t="s">
        <v>711</v>
      </c>
      <c r="AO259" s="1" t="str">
        <f>HYPERLINK("http://exon.niaid.nih.gov/transcriptome/T_rubida/S1/links/SWISSP/Triru-contig_2-SWISSP.txt","Procalin")</f>
        <v>Procalin</v>
      </c>
      <c r="AP259" t="str">
        <f>HYPERLINK("http://www.uniprot.org/uniprot/Q9U6R6","9E-016")</f>
        <v>9E-016</v>
      </c>
      <c r="AQ259" t="s">
        <v>703</v>
      </c>
      <c r="AR259">
        <v>84.3</v>
      </c>
      <c r="AS259">
        <v>141</v>
      </c>
      <c r="AT259">
        <v>31</v>
      </c>
      <c r="AU259">
        <v>84</v>
      </c>
      <c r="AV259">
        <v>99</v>
      </c>
      <c r="AW259">
        <v>5</v>
      </c>
      <c r="AX259">
        <v>27</v>
      </c>
      <c r="AY259">
        <v>39</v>
      </c>
      <c r="AZ259">
        <v>1</v>
      </c>
      <c r="BA259">
        <v>3</v>
      </c>
      <c r="BB259" t="s">
        <v>11</v>
      </c>
      <c r="BD259" t="s">
        <v>704</v>
      </c>
      <c r="BE259" t="s">
        <v>705</v>
      </c>
      <c r="BF259" t="s">
        <v>712</v>
      </c>
      <c r="BG259" t="s">
        <v>713</v>
      </c>
      <c r="BH259" s="1" t="s">
        <v>57</v>
      </c>
      <c r="BI259" t="s">
        <v>57</v>
      </c>
      <c r="BJ259" s="1" t="str">
        <f>HYPERLINK("http://exon.niaid.nih.gov/transcriptome/T_rubida/S1/links/CDD/Triru-contig_2-CDD.txt","Triabin")</f>
        <v>Triabin</v>
      </c>
      <c r="BK259" t="str">
        <f>HYPERLINK("http://www.ncbi.nlm.nih.gov/Structure/cdd/cddsrv.cgi?uid=pfam03973&amp;version=v4.0","3E-017")</f>
        <v>3E-017</v>
      </c>
      <c r="BL259" t="s">
        <v>714</v>
      </c>
      <c r="BM259" s="1" t="str">
        <f>HYPERLINK("http://exon.niaid.nih.gov/transcriptome/T_rubida/S1/links/KOG/Triru-contig_2-KOG.txt","Protein required for meiotic chromosome segregation")</f>
        <v>Protein required for meiotic chromosome segregation</v>
      </c>
      <c r="BN259" t="str">
        <f>HYPERLINK("http://www.ncbi.nlm.nih.gov/COG/grace/shokog.cgi?KOG2513","1.7")</f>
        <v>1.7</v>
      </c>
      <c r="BO259" t="s">
        <v>715</v>
      </c>
      <c r="BP259" s="1" t="str">
        <f>HYPERLINK("http://exon.niaid.nih.gov/transcriptome/T_rubida/S1/links/PFAM/Triru-contig_2-PFAM.txt","Triabin")</f>
        <v>Triabin</v>
      </c>
      <c r="BQ259" t="str">
        <f>HYPERLINK("http://pfam.sanger.ac.uk/family?acc=PF03973","5E-018")</f>
        <v>5E-018</v>
      </c>
      <c r="BR259" s="1" t="str">
        <f>HYPERLINK("http://exon.niaid.nih.gov/transcriptome/T_rubida/S1/links/SMART/Triru-contig_2-SMART.txt","CARP")</f>
        <v>CARP</v>
      </c>
      <c r="BS259" t="str">
        <f>HYPERLINK("http://smart.embl-heidelberg.de/smart/do_annotation.pl?DOMAIN=CARP&amp;BLAST=DUMMY","0.034")</f>
        <v>0.034</v>
      </c>
      <c r="BT259" s="1" t="str">
        <f>HYPERLINK("http://exon.niaid.nih.gov/transcriptome/T_rubida/S1/links/PRK/Triru-contig_2-PRK.txt","NADH dehydrogenase subunit 5")</f>
        <v>NADH dehydrogenase subunit 5</v>
      </c>
      <c r="BU259">
        <v>0.41</v>
      </c>
      <c r="BV259" s="1" t="str">
        <f>HYPERLINK("http://exon.niaid.nih.gov/transcriptome/T_rubida/S1/links/MIT-PLA/Triru-contig_2-MIT-PLA.txt","Triatoma dimidiata mitochondrial DNA, complete genome")</f>
        <v>Triatoma dimidiata mitochondrial DNA, complete genome</v>
      </c>
      <c r="BW259" t="str">
        <f>HYPERLINK("http://www.ncbi.nlm.nih.gov/entrez/viewer.fcgi?db=nucleotide&amp;val=11139100","2E-038")</f>
        <v>2E-038</v>
      </c>
      <c r="BX259" s="1" t="str">
        <f>HYPERLINK("http://exon.niaid.nih.gov/transcriptome/T_rubida/S1/links/RRNA/Triru-contig_2-RRNA.txt","Tenebrio molitor mitochondrial partial 16S rRNA gene, isolate Tmo1")</f>
        <v>Tenebrio molitor mitochondrial partial 16S rRNA gene, isolate Tmo1</v>
      </c>
      <c r="BY259" t="str">
        <f>HYPERLINK("http://www.ncbi.nlm.nih.gov/entrez/viewer.fcgi?db=nucleotide&amp;val=56409804","2E-016")</f>
        <v>2E-016</v>
      </c>
    </row>
    <row r="260" spans="1:77">
      <c r="A260" t="str">
        <f>HYPERLINK("http://exon.niaid.nih.gov/transcriptome/T_rubida/S1/links/Triru/Triru-contig_94.txt","Triru-contig_94")</f>
        <v>Triru-contig_94</v>
      </c>
      <c r="B260">
        <v>7</v>
      </c>
      <c r="C260" t="str">
        <f>HYPERLINK("http://exon.niaid.nih.gov/transcriptome/T_rubida/S1/links/Triru/Triru-5-48-asb-94.txt","Contig-94")</f>
        <v>Contig-94</v>
      </c>
      <c r="D260" t="str">
        <f>HYPERLINK("http://exon.niaid.nih.gov/transcriptome/T_rubida/S1/links/Triru/Triru-5-48-94-CLU.txt","Contig94")</f>
        <v>Contig94</v>
      </c>
      <c r="E260" t="str">
        <f>HYPERLINK("http://exon.niaid.nih.gov/transcriptome/T_rubida/S1/links/Triru/Triru-5-48-94-qual.txt","88.")</f>
        <v>88.</v>
      </c>
      <c r="F260" t="s">
        <v>10</v>
      </c>
      <c r="G260">
        <v>63.8</v>
      </c>
      <c r="H260">
        <v>575</v>
      </c>
      <c r="I260" t="s">
        <v>106</v>
      </c>
      <c r="J260">
        <v>601</v>
      </c>
      <c r="K260">
        <v>602</v>
      </c>
      <c r="L260">
        <v>501</v>
      </c>
      <c r="M260" t="s">
        <v>5283</v>
      </c>
      <c r="N260" s="15">
        <v>2</v>
      </c>
      <c r="O260" s="14" t="str">
        <f>HYPERLINK("http://exon.niaid.nih.gov/transcriptome/T_rubida/S1/links/Sigp/TRIRU-CONTIG_94-SigP.txt","Cyt")</f>
        <v>Cyt</v>
      </c>
      <c r="Q260" s="5" t="s">
        <v>4842</v>
      </c>
      <c r="R260" t="s">
        <v>4820</v>
      </c>
      <c r="S260" t="str">
        <f>HYPERLINK("http://exon.niaid.nih.gov/transcriptome/T_rubida/S1/links/KOG/Triru-contig_94-KOG.txt","KOG")</f>
        <v>KOG</v>
      </c>
      <c r="T260" s="23">
        <v>1.9999999999999998E-71</v>
      </c>
      <c r="U260">
        <v>100</v>
      </c>
      <c r="V260" s="1" t="str">
        <f>HYPERLINK("http://exon.niaid.nih.gov/transcriptome/T_rubida/S1/links/NR/Triru-contig_94-NR.txt","putative ubiquitin/ribosomal protein S27Ae fusion protein")</f>
        <v>putative ubiquitin/ribosomal protein S27Ae fusion protein</v>
      </c>
      <c r="W260" t="str">
        <f>HYPERLINK("http://www.ncbi.nlm.nih.gov/sutils/blink.cgi?pid=90819968","8E-081")</f>
        <v>8E-081</v>
      </c>
      <c r="X260" t="str">
        <f>HYPERLINK("http://www.ncbi.nlm.nih.gov/protein/90819968","gi|90819968")</f>
        <v>gi|90819968</v>
      </c>
      <c r="Y260">
        <v>303</v>
      </c>
      <c r="Z260">
        <v>155</v>
      </c>
      <c r="AA260">
        <v>156</v>
      </c>
      <c r="AB260">
        <v>95</v>
      </c>
      <c r="AC260">
        <v>100</v>
      </c>
      <c r="AD260">
        <v>7</v>
      </c>
      <c r="AE260">
        <v>0</v>
      </c>
      <c r="AF260">
        <v>1</v>
      </c>
      <c r="AG260">
        <v>59</v>
      </c>
      <c r="AH260">
        <v>1</v>
      </c>
      <c r="AI260">
        <v>2</v>
      </c>
      <c r="AJ260" t="s">
        <v>11</v>
      </c>
      <c r="AL260" t="s">
        <v>1208</v>
      </c>
      <c r="AM260" t="s">
        <v>1209</v>
      </c>
      <c r="AN260" t="s">
        <v>1210</v>
      </c>
      <c r="AO260" s="1" t="str">
        <f>HYPERLINK("http://exon.niaid.nih.gov/transcriptome/T_rubida/S1/links/SWISSP/Triru-contig_94-SWISSP.txt","Ubiquitin-40S ribosomal protein S27a")</f>
        <v>Ubiquitin-40S ribosomal protein S27a</v>
      </c>
      <c r="AP260" t="str">
        <f>HYPERLINK("http://www.uniprot.org/uniprot/P15357","4E-078")</f>
        <v>4E-078</v>
      </c>
      <c r="AQ260" t="s">
        <v>1211</v>
      </c>
      <c r="AR260">
        <v>290</v>
      </c>
      <c r="AS260">
        <v>155</v>
      </c>
      <c r="AT260">
        <v>91</v>
      </c>
      <c r="AU260">
        <v>100</v>
      </c>
      <c r="AV260">
        <v>14</v>
      </c>
      <c r="AW260">
        <v>0</v>
      </c>
      <c r="AX260">
        <v>1</v>
      </c>
      <c r="AY260">
        <v>59</v>
      </c>
      <c r="AZ260">
        <v>1</v>
      </c>
      <c r="BA260">
        <v>2</v>
      </c>
      <c r="BB260" t="s">
        <v>11</v>
      </c>
      <c r="BD260" t="s">
        <v>704</v>
      </c>
      <c r="BE260" t="s">
        <v>1125</v>
      </c>
      <c r="BF260" t="s">
        <v>1212</v>
      </c>
      <c r="BG260" t="s">
        <v>1213</v>
      </c>
      <c r="BH260" s="1" t="s">
        <v>1214</v>
      </c>
      <c r="BI260">
        <f>HYPERLINK("http://exon.niaid.nih.gov/transcriptome/T_rubida/S1/links/GO/Triru-contig_94-GO.txt",2E-76)</f>
        <v>1.9999999999999999E-76</v>
      </c>
      <c r="BJ260" s="1" t="str">
        <f>HYPERLINK("http://exon.niaid.nih.gov/transcriptome/T_rubida/S1/links/CDD/Triru-contig_94-CDD.txt","Ubiquitin")</f>
        <v>Ubiquitin</v>
      </c>
      <c r="BK260" t="str">
        <f>HYPERLINK("http://www.ncbi.nlm.nih.gov/Structure/cdd/cddsrv.cgi?uid=cd01803&amp;version=v4.0","3E-043")</f>
        <v>3E-043</v>
      </c>
      <c r="BL260" t="s">
        <v>1215</v>
      </c>
      <c r="BM260" s="1" t="str">
        <f>HYPERLINK("http://exon.niaid.nih.gov/transcriptome/T_rubida/S1/links/KOG/Triru-contig_94-KOG.txt","Ubiquitin/40S ribosomal protein S27a fusion")</f>
        <v>Ubiquitin/40S ribosomal protein S27a fusion</v>
      </c>
      <c r="BN260" t="str">
        <f>HYPERLINK("http://www.ncbi.nlm.nih.gov/COG/grace/shokog.cgi?KOG0004","2E-071")</f>
        <v>2E-071</v>
      </c>
      <c r="BO260" t="s">
        <v>1185</v>
      </c>
      <c r="BP260" s="1" t="str">
        <f>HYPERLINK("http://exon.niaid.nih.gov/transcriptome/T_rubida/S1/links/PFAM/Triru-contig_94-PFAM.txt","ubiquitin")</f>
        <v>ubiquitin</v>
      </c>
      <c r="BQ260" t="str">
        <f>HYPERLINK("http://pfam.sanger.ac.uk/family?acc=PF00240","3E-030")</f>
        <v>3E-030</v>
      </c>
      <c r="BR260" s="1" t="str">
        <f>HYPERLINK("http://exon.niaid.nih.gov/transcriptome/T_rubida/S1/links/SMART/Triru-contig_94-SMART.txt","UBQ")</f>
        <v>UBQ</v>
      </c>
      <c r="BS260" t="str">
        <f>HYPERLINK("http://smart.embl-heidelberg.de/smart/do_annotation.pl?DOMAIN=UBQ&amp;BLAST=DUMMY","5E-025")</f>
        <v>5E-025</v>
      </c>
      <c r="BT260" s="1" t="str">
        <f>HYPERLINK("http://exon.niaid.nih.gov/transcriptome/T_rubida/S1/links/PRK/Triru-contig_94-PRK.txt","ubiquitin")</f>
        <v>ubiquitin</v>
      </c>
      <c r="BU260" s="2">
        <v>2.9999999999999999E-22</v>
      </c>
      <c r="BV260" s="1" t="s">
        <v>57</v>
      </c>
      <c r="BW260" t="s">
        <v>57</v>
      </c>
      <c r="BX260" s="1" t="s">
        <v>57</v>
      </c>
      <c r="BY260" t="s">
        <v>57</v>
      </c>
    </row>
    <row r="261" spans="1:77">
      <c r="A261" t="str">
        <f>HYPERLINK("http://exon.niaid.nih.gov/transcriptome/T_rubida/S1/links/Triru/Triru-contig_308.txt","Triru-contig_308")</f>
        <v>Triru-contig_308</v>
      </c>
      <c r="B261">
        <v>1</v>
      </c>
      <c r="C261" t="str">
        <f>HYPERLINK("http://exon.niaid.nih.gov/transcriptome/T_rubida/S1/links/Triru/Triru-5-48-asb-308.txt","Contig-308")</f>
        <v>Contig-308</v>
      </c>
      <c r="D261" t="str">
        <f>HYPERLINK("http://exon.niaid.nih.gov/transcriptome/T_rubida/S1/links/Triru/Triru-5-48-308-CLU.txt","Contig308")</f>
        <v>Contig308</v>
      </c>
      <c r="E261" t="str">
        <f>HYPERLINK("http://exon.niaid.nih.gov/transcriptome/T_rubida/S1/links/Triru/Triru-5-48-308-qual.txt","17.5")</f>
        <v>17.5</v>
      </c>
      <c r="F261">
        <v>0.2</v>
      </c>
      <c r="G261">
        <v>62.5</v>
      </c>
      <c r="H261" t="s">
        <v>57</v>
      </c>
      <c r="I261" t="s">
        <v>320</v>
      </c>
      <c r="J261" t="s">
        <v>57</v>
      </c>
      <c r="K261">
        <v>1197</v>
      </c>
      <c r="L261">
        <v>249</v>
      </c>
      <c r="M261" t="s">
        <v>5284</v>
      </c>
      <c r="N261" s="15">
        <v>2</v>
      </c>
      <c r="O261" s="14" t="str">
        <f>HYPERLINK("http://exon.niaid.nih.gov/transcriptome/T_rubida/S1/links/Sigp/TRIRU-CONTIG_308-SigP.txt","Cyt")</f>
        <v>Cyt</v>
      </c>
      <c r="Q261" s="5" t="s">
        <v>4842</v>
      </c>
      <c r="R261" t="s">
        <v>4820</v>
      </c>
      <c r="S261" t="str">
        <f>HYPERLINK("http://exon.niaid.nih.gov/transcriptome/T_rubida/S1/links/KOG/Triru-contig_308-KOG.txt","KOG")</f>
        <v>KOG</v>
      </c>
      <c r="T261" s="23">
        <v>5.0000000000000004E-31</v>
      </c>
      <c r="U261">
        <v>46.1</v>
      </c>
      <c r="V261" s="1" t="str">
        <f>HYPERLINK("http://exon.niaid.nih.gov/transcriptome/T_rubida/S1/links/NR/Triru-contig_308-NR.txt","polyubiquitin-C")</f>
        <v>polyubiquitin-C</v>
      </c>
      <c r="W261" t="str">
        <f>HYPERLINK("http://www.ncbi.nlm.nih.gov/sutils/blink.cgi?pid=67191208","8E-062")</f>
        <v>8E-062</v>
      </c>
      <c r="X261" t="str">
        <f>HYPERLINK("http://www.ncbi.nlm.nih.gov/protein/67191208","gi|67191208")</f>
        <v>gi|67191208</v>
      </c>
      <c r="Y261">
        <v>242</v>
      </c>
      <c r="Z261">
        <v>684</v>
      </c>
      <c r="AA261">
        <v>685</v>
      </c>
      <c r="AB261">
        <v>49</v>
      </c>
      <c r="AC261">
        <v>100</v>
      </c>
      <c r="AD261">
        <v>156</v>
      </c>
      <c r="AE261">
        <v>4</v>
      </c>
      <c r="AF261">
        <v>1</v>
      </c>
      <c r="AG261">
        <v>282</v>
      </c>
      <c r="AH261">
        <v>9</v>
      </c>
      <c r="AI261">
        <v>3</v>
      </c>
      <c r="AJ261" t="s">
        <v>888</v>
      </c>
      <c r="AK261">
        <v>1.17</v>
      </c>
      <c r="AL261" t="s">
        <v>1233</v>
      </c>
      <c r="AM261" t="s">
        <v>2565</v>
      </c>
      <c r="AN261" t="s">
        <v>2566</v>
      </c>
      <c r="AO261" s="1" t="str">
        <f>HYPERLINK("http://exon.niaid.nih.gov/transcriptome/T_rubida/S1/links/SWISSP/Triru-contig_308-SWISSP.txt","Polyubiquitin-C")</f>
        <v>Polyubiquitin-C</v>
      </c>
      <c r="AP261" t="str">
        <f>HYPERLINK("http://www.uniprot.org/uniprot/P0CG48","3E-063")</f>
        <v>3E-063</v>
      </c>
      <c r="AQ261" t="s">
        <v>2567</v>
      </c>
      <c r="AR261">
        <v>242</v>
      </c>
      <c r="AS261">
        <v>684</v>
      </c>
      <c r="AT261">
        <v>49</v>
      </c>
      <c r="AU261">
        <v>100</v>
      </c>
      <c r="AV261">
        <v>156</v>
      </c>
      <c r="AW261">
        <v>4</v>
      </c>
      <c r="AX261">
        <v>1</v>
      </c>
      <c r="AY261">
        <v>282</v>
      </c>
      <c r="AZ261">
        <v>10</v>
      </c>
      <c r="BA261">
        <v>3</v>
      </c>
      <c r="BB261" t="s">
        <v>888</v>
      </c>
      <c r="BC261">
        <v>1.17</v>
      </c>
      <c r="BD261" t="s">
        <v>704</v>
      </c>
      <c r="BE261" t="s">
        <v>1233</v>
      </c>
      <c r="BF261" t="s">
        <v>2568</v>
      </c>
      <c r="BG261" t="s">
        <v>2569</v>
      </c>
      <c r="BH261" s="1" t="s">
        <v>2570</v>
      </c>
      <c r="BI261">
        <f>HYPERLINK("http://exon.niaid.nih.gov/transcriptome/T_rubida/S1/links/GO/Triru-contig_308-GO.txt",6E-76)</f>
        <v>6.0000000000000005E-76</v>
      </c>
      <c r="BJ261" s="1" t="str">
        <f>HYPERLINK("http://exon.niaid.nih.gov/transcriptome/T_rubida/S1/links/CDD/Triru-contig_308-CDD.txt","Ubiquitin")</f>
        <v>Ubiquitin</v>
      </c>
      <c r="BK261" t="str">
        <f>HYPERLINK("http://www.ncbi.nlm.nih.gov/Structure/cdd/cddsrv.cgi?uid=cd01803&amp;version=v4.0","1E-036")</f>
        <v>1E-036</v>
      </c>
      <c r="BL261" t="s">
        <v>2571</v>
      </c>
      <c r="BM261" s="1" t="str">
        <f>HYPERLINK("http://exon.niaid.nih.gov/transcriptome/T_rubida/S1/links/KOG/Triru-contig_308-KOG.txt","Ubiquitin/40S ribosomal protein S27a fusion")</f>
        <v>Ubiquitin/40S ribosomal protein S27a fusion</v>
      </c>
      <c r="BN261" t="str">
        <f>HYPERLINK("http://www.ncbi.nlm.nih.gov/COG/grace/shokog.cgi?KOG0004","5E-031")</f>
        <v>5E-031</v>
      </c>
      <c r="BO261" t="s">
        <v>1185</v>
      </c>
      <c r="BP261" s="1" t="str">
        <f>HYPERLINK("http://exon.niaid.nih.gov/transcriptome/T_rubida/S1/links/PFAM/Triru-contig_308-PFAM.txt","ubiquitin")</f>
        <v>ubiquitin</v>
      </c>
      <c r="BQ261" t="str">
        <f>HYPERLINK("http://pfam.sanger.ac.uk/family?acc=PF00240","9E-025")</f>
        <v>9E-025</v>
      </c>
      <c r="BR261" s="1" t="str">
        <f>HYPERLINK("http://exon.niaid.nih.gov/transcriptome/T_rubida/S1/links/SMART/Triru-contig_308-SMART.txt","UBQ")</f>
        <v>UBQ</v>
      </c>
      <c r="BS261" t="str">
        <f>HYPERLINK("http://smart.embl-heidelberg.de/smart/do_annotation.pl?DOMAIN=UBQ&amp;BLAST=DUMMY","2E-022")</f>
        <v>2E-022</v>
      </c>
      <c r="BT261" s="1" t="str">
        <f>HYPERLINK("http://exon.niaid.nih.gov/transcriptome/T_rubida/S1/links/PRK/Triru-contig_308-PRK.txt","ubiquitin")</f>
        <v>ubiquitin</v>
      </c>
      <c r="BU261" s="2">
        <v>3.0000000000000001E-17</v>
      </c>
      <c r="BV261" s="1" t="s">
        <v>57</v>
      </c>
      <c r="BW261" t="s">
        <v>57</v>
      </c>
      <c r="BX261" s="1" t="s">
        <v>57</v>
      </c>
      <c r="BY261" t="s">
        <v>57</v>
      </c>
    </row>
    <row r="262" spans="1:77">
      <c r="A262" t="str">
        <f>HYPERLINK("http://exon.niaid.nih.gov/transcriptome/T_rubida/S1/links/Triru/Triru-contig_222.txt","Triru-contig_222")</f>
        <v>Triru-contig_222</v>
      </c>
      <c r="B262">
        <v>1</v>
      </c>
      <c r="C262" t="str">
        <f>HYPERLINK("http://exon.niaid.nih.gov/transcriptome/T_rubida/S1/links/Triru/Triru-5-48-asb-222.txt","Contig-222")</f>
        <v>Contig-222</v>
      </c>
      <c r="D262" t="str">
        <f>HYPERLINK("http://exon.niaid.nih.gov/transcriptome/T_rubida/S1/links/Triru/Triru-5-48-222-CLU.txt","Contig222")</f>
        <v>Contig222</v>
      </c>
      <c r="E262" t="str">
        <f>HYPERLINK("http://exon.niaid.nih.gov/transcriptome/T_rubida/S1/links/Triru/Triru-5-48-222-qual.txt","61.5")</f>
        <v>61.5</v>
      </c>
      <c r="F262" t="s">
        <v>10</v>
      </c>
      <c r="G262">
        <v>71</v>
      </c>
      <c r="H262">
        <v>243</v>
      </c>
      <c r="I262" t="s">
        <v>234</v>
      </c>
      <c r="J262">
        <v>243</v>
      </c>
      <c r="K262">
        <v>262</v>
      </c>
      <c r="L262">
        <v>129</v>
      </c>
      <c r="M262" t="s">
        <v>5285</v>
      </c>
      <c r="N262" s="15">
        <v>1</v>
      </c>
      <c r="Q262" s="5" t="s">
        <v>4842</v>
      </c>
      <c r="R262" t="s">
        <v>4820</v>
      </c>
      <c r="S262" t="str">
        <f>HYPERLINK("http://exon.niaid.nih.gov/transcriptome/T_rubida/S1/links/KOG/Triru-contig_222-KOG.txt","KOG")</f>
        <v>KOG</v>
      </c>
      <c r="T262" s="23">
        <v>9.9999999999999998E-17</v>
      </c>
      <c r="U262">
        <v>24.3</v>
      </c>
      <c r="V262" s="1" t="str">
        <f>HYPERLINK("http://exon.niaid.nih.gov/transcriptome/T_rubida/S1/links/NR/Triru-contig_222-NR.txt","hypothetical protein")</f>
        <v>hypothetical protein</v>
      </c>
      <c r="W262" t="str">
        <f>HYPERLINK("http://www.ncbi.nlm.nih.gov/sutils/blink.cgi?pid=145524134","2E-014")</f>
        <v>2E-014</v>
      </c>
      <c r="X262" t="str">
        <f>HYPERLINK("http://www.ncbi.nlm.nih.gov/protein/145524134","gi|145524134")</f>
        <v>gi|145524134</v>
      </c>
      <c r="Y262">
        <v>82.8</v>
      </c>
      <c r="Z262">
        <v>276</v>
      </c>
      <c r="AA262">
        <v>358</v>
      </c>
      <c r="AB262">
        <v>77</v>
      </c>
      <c r="AC262">
        <v>77</v>
      </c>
      <c r="AD262">
        <v>12</v>
      </c>
      <c r="AE262">
        <v>0</v>
      </c>
      <c r="AF262">
        <v>12</v>
      </c>
      <c r="AG262">
        <v>8</v>
      </c>
      <c r="AH262">
        <v>4</v>
      </c>
      <c r="AI262">
        <v>2</v>
      </c>
      <c r="AJ262" t="s">
        <v>11</v>
      </c>
      <c r="AK262">
        <v>0.36199999999999999</v>
      </c>
      <c r="AL262" t="s">
        <v>1997</v>
      </c>
      <c r="AM262" t="s">
        <v>1998</v>
      </c>
      <c r="AN262" t="s">
        <v>1999</v>
      </c>
      <c r="AO262" s="1" t="str">
        <f>HYPERLINK("http://exon.niaid.nih.gov/transcriptome/T_rubida/S1/links/SWISSP/Triru-contig_222-SWISSP.txt","Polyubiquitin")</f>
        <v>Polyubiquitin</v>
      </c>
      <c r="AP262" t="str">
        <f>HYPERLINK("http://www.uniprot.org/uniprot/P59669","9E-015")</f>
        <v>9E-015</v>
      </c>
      <c r="AQ262" t="s">
        <v>2000</v>
      </c>
      <c r="AR262">
        <v>79</v>
      </c>
      <c r="AS262">
        <v>418</v>
      </c>
      <c r="AT262">
        <v>97</v>
      </c>
      <c r="AU262">
        <v>92</v>
      </c>
      <c r="AV262">
        <v>1</v>
      </c>
      <c r="AW262">
        <v>0</v>
      </c>
      <c r="AX262">
        <v>39</v>
      </c>
      <c r="AY262">
        <v>8</v>
      </c>
      <c r="AZ262">
        <v>6</v>
      </c>
      <c r="BA262">
        <v>2</v>
      </c>
      <c r="BB262" t="s">
        <v>11</v>
      </c>
      <c r="BD262" t="s">
        <v>704</v>
      </c>
      <c r="BE262" t="s">
        <v>2001</v>
      </c>
      <c r="BF262" t="s">
        <v>2002</v>
      </c>
      <c r="BG262" t="s">
        <v>2003</v>
      </c>
      <c r="BH262" s="1" t="s">
        <v>2004</v>
      </c>
      <c r="BI262">
        <f>HYPERLINK("http://exon.niaid.nih.gov/transcriptome/T_rubida/S1/links/GO/Triru-contig_222-GO.txt",0.000000000000006)</f>
        <v>5.9999999999999997E-15</v>
      </c>
      <c r="BJ262" s="1" t="str">
        <f>HYPERLINK("http://exon.niaid.nih.gov/transcriptome/T_rubida/S1/links/CDD/Triru-contig_222-CDD.txt","Ubiquitin")</f>
        <v>Ubiquitin</v>
      </c>
      <c r="BK262" t="str">
        <f>HYPERLINK("http://www.ncbi.nlm.nih.gov/Structure/cdd/cddsrv.cgi?uid=cd01803&amp;version=v4.0","5E-019")</f>
        <v>5E-019</v>
      </c>
      <c r="BL262" t="s">
        <v>2005</v>
      </c>
      <c r="BM262" s="1" t="str">
        <f>HYPERLINK("http://exon.niaid.nih.gov/transcriptome/T_rubida/S1/links/KOG/Triru-contig_222-KOG.txt","Ubiquitin/40S ribosomal protein S27a fusion")</f>
        <v>Ubiquitin/40S ribosomal protein S27a fusion</v>
      </c>
      <c r="BN262" t="str">
        <f>HYPERLINK("http://www.ncbi.nlm.nih.gov/COG/grace/shokog.cgi?KOG0004","1E-016")</f>
        <v>1E-016</v>
      </c>
      <c r="BO262" t="s">
        <v>1185</v>
      </c>
      <c r="BP262" s="1" t="str">
        <f>HYPERLINK("http://exon.niaid.nih.gov/transcriptome/T_rubida/S1/links/PFAM/Triru-contig_222-PFAM.txt","ubiquitin")</f>
        <v>ubiquitin</v>
      </c>
      <c r="BQ262" t="str">
        <f>HYPERLINK("http://pfam.sanger.ac.uk/family?acc=PF00240","3E-014")</f>
        <v>3E-014</v>
      </c>
      <c r="BR262" s="1" t="str">
        <f>HYPERLINK("http://exon.niaid.nih.gov/transcriptome/T_rubida/S1/links/SMART/Triru-contig_222-SMART.txt","UBQ")</f>
        <v>UBQ</v>
      </c>
      <c r="BS262" t="str">
        <f>HYPERLINK("http://smart.embl-heidelberg.de/smart/do_annotation.pl?DOMAIN=UBQ&amp;BLAST=DUMMY","8E-011")</f>
        <v>8E-011</v>
      </c>
      <c r="BT262" s="1" t="str">
        <f>HYPERLINK("http://exon.niaid.nih.gov/transcriptome/T_rubida/S1/links/PRK/Triru-contig_222-PRK.txt","ubiquitin")</f>
        <v>ubiquitin</v>
      </c>
      <c r="BU262" s="2">
        <v>1.0000000000000001E-9</v>
      </c>
      <c r="BV262" s="1" t="s">
        <v>57</v>
      </c>
      <c r="BW262" t="s">
        <v>57</v>
      </c>
      <c r="BX262" s="1" t="s">
        <v>57</v>
      </c>
      <c r="BY262" t="s">
        <v>57</v>
      </c>
    </row>
    <row r="263" spans="1:77">
      <c r="A263" t="str">
        <f>HYPERLINK("http://exon.niaid.nih.gov/transcriptome/T_rubida/S1/links/Triru/Triru-contig_396.txt","Triru-contig_396")</f>
        <v>Triru-contig_396</v>
      </c>
      <c r="B263">
        <v>1</v>
      </c>
      <c r="C263" t="str">
        <f>HYPERLINK("http://exon.niaid.nih.gov/transcriptome/T_rubida/S1/links/Triru/Triru-5-48-asb-396.txt","Contig-396")</f>
        <v>Contig-396</v>
      </c>
      <c r="D263" t="str">
        <f>HYPERLINK("http://exon.niaid.nih.gov/transcriptome/T_rubida/S1/links/Triru/Triru-5-48-396-CLU.txt","Contig396")</f>
        <v>Contig396</v>
      </c>
      <c r="E263" t="str">
        <f>HYPERLINK("http://exon.niaid.nih.gov/transcriptome/T_rubida/S1/links/Triru/Triru-5-48-396-qual.txt","63.3")</f>
        <v>63.3</v>
      </c>
      <c r="F263" t="s">
        <v>10</v>
      </c>
      <c r="G263">
        <v>66.7</v>
      </c>
      <c r="H263">
        <v>483</v>
      </c>
      <c r="I263" t="s">
        <v>408</v>
      </c>
      <c r="J263">
        <v>483</v>
      </c>
      <c r="K263">
        <v>502</v>
      </c>
      <c r="L263">
        <v>360</v>
      </c>
      <c r="M263" t="s">
        <v>5286</v>
      </c>
      <c r="N263" s="15">
        <v>2</v>
      </c>
      <c r="Q263" s="5" t="s">
        <v>4954</v>
      </c>
      <c r="R263" t="s">
        <v>4820</v>
      </c>
      <c r="S263" t="str">
        <f>HYPERLINK("http://exon.niaid.nih.gov/transcriptome/T_rubida/S1/links/KOG/Triru-contig_396-KOG.txt","KOG")</f>
        <v>KOG</v>
      </c>
      <c r="T263" s="23">
        <v>8.0000000000000002E-59</v>
      </c>
      <c r="U263">
        <v>92.9</v>
      </c>
      <c r="V263" s="1" t="str">
        <f>HYPERLINK("http://exon.niaid.nih.gov/transcriptome/T_rubida/S1/links/NR/Triru-contig_396-NR.txt","ribosomal protein L40")</f>
        <v>ribosomal protein L40</v>
      </c>
      <c r="W263" t="str">
        <f>HYPERLINK("http://www.ncbi.nlm.nih.gov/sutils/blink.cgi?pid=17136570","1E-060")</f>
        <v>1E-060</v>
      </c>
      <c r="X263" t="str">
        <f>HYPERLINK("http://www.ncbi.nlm.nih.gov/protein/17136570","gi|17136570")</f>
        <v>gi|17136570</v>
      </c>
      <c r="Y263">
        <v>236</v>
      </c>
      <c r="Z263">
        <v>118</v>
      </c>
      <c r="AA263">
        <v>128</v>
      </c>
      <c r="AB263">
        <v>93</v>
      </c>
      <c r="AC263">
        <v>93</v>
      </c>
      <c r="AD263">
        <v>8</v>
      </c>
      <c r="AE263">
        <v>0</v>
      </c>
      <c r="AF263">
        <v>10</v>
      </c>
      <c r="AG263">
        <v>5</v>
      </c>
      <c r="AH263">
        <v>1</v>
      </c>
      <c r="AI263">
        <v>2</v>
      </c>
      <c r="AJ263" t="s">
        <v>11</v>
      </c>
      <c r="AL263" t="s">
        <v>2946</v>
      </c>
      <c r="AM263" t="s">
        <v>3165</v>
      </c>
      <c r="AN263" t="s">
        <v>3166</v>
      </c>
      <c r="AO263" s="1" t="str">
        <f>HYPERLINK("http://exon.niaid.nih.gov/transcriptome/T_rubida/S1/links/SWISSP/Triru-contig_396-SWISSP.txt","Ubiquitin-60S ribosomal protein L40")</f>
        <v>Ubiquitin-60S ribosomal protein L40</v>
      </c>
      <c r="AP263" t="str">
        <f>HYPERLINK("http://www.uniprot.org/uniprot/P18101","7E-062")</f>
        <v>7E-062</v>
      </c>
      <c r="AQ263" t="s">
        <v>3167</v>
      </c>
      <c r="AR263">
        <v>236</v>
      </c>
      <c r="AS263">
        <v>118</v>
      </c>
      <c r="AT263">
        <v>93</v>
      </c>
      <c r="AU263">
        <v>93</v>
      </c>
      <c r="AV263">
        <v>8</v>
      </c>
      <c r="AW263">
        <v>0</v>
      </c>
      <c r="AX263">
        <v>10</v>
      </c>
      <c r="AY263">
        <v>5</v>
      </c>
      <c r="AZ263">
        <v>1</v>
      </c>
      <c r="BA263">
        <v>2</v>
      </c>
      <c r="BB263" t="s">
        <v>11</v>
      </c>
      <c r="BD263" t="s">
        <v>704</v>
      </c>
      <c r="BE263" t="s">
        <v>1125</v>
      </c>
      <c r="BF263" t="s">
        <v>3168</v>
      </c>
      <c r="BG263" t="s">
        <v>3169</v>
      </c>
      <c r="BH263" s="1" t="s">
        <v>3170</v>
      </c>
      <c r="BI263">
        <f>HYPERLINK("http://exon.niaid.nih.gov/transcriptome/T_rubida/S1/links/GO/Triru-contig_396-GO.txt",6E-62)</f>
        <v>6.0000000000000002E-62</v>
      </c>
      <c r="BJ263" s="1" t="str">
        <f>HYPERLINK("http://exon.niaid.nih.gov/transcriptome/T_rubida/S1/links/CDD/Triru-contig_396-CDD.txt","Ubiquitin")</f>
        <v>Ubiquitin</v>
      </c>
      <c r="BK263" t="str">
        <f>HYPERLINK("http://www.ncbi.nlm.nih.gov/Structure/cdd/cddsrv.cgi?uid=cd01803&amp;version=v4.0","3E-035")</f>
        <v>3E-035</v>
      </c>
      <c r="BL263" t="s">
        <v>3171</v>
      </c>
      <c r="BM263" s="1" t="str">
        <f>HYPERLINK("http://exon.niaid.nih.gov/transcriptome/T_rubida/S1/links/KOG/Triru-contig_396-KOG.txt","Ubiquitin/60s ribosomal protein L40 fusion")</f>
        <v>Ubiquitin/60s ribosomal protein L40 fusion</v>
      </c>
      <c r="BN263" t="str">
        <f>HYPERLINK("http://www.ncbi.nlm.nih.gov/COG/grace/shokog.cgi?KOG0003","8E-059")</f>
        <v>8E-059</v>
      </c>
      <c r="BO263" t="s">
        <v>1185</v>
      </c>
      <c r="BP263" s="1" t="str">
        <f>HYPERLINK("http://exon.niaid.nih.gov/transcriptome/T_rubida/S1/links/PFAM/Triru-contig_396-PFAM.txt","ubiquitin")</f>
        <v>ubiquitin</v>
      </c>
      <c r="BQ263" t="str">
        <f>HYPERLINK("http://pfam.sanger.ac.uk/family?acc=PF00240","1E-027")</f>
        <v>1E-027</v>
      </c>
      <c r="BR263" s="1" t="str">
        <f>HYPERLINK("http://exon.niaid.nih.gov/transcriptome/T_rubida/S1/links/SMART/Triru-contig_396-SMART.txt","UBQ")</f>
        <v>UBQ</v>
      </c>
      <c r="BS263" t="str">
        <f>HYPERLINK("http://smart.embl-heidelberg.de/smart/do_annotation.pl?DOMAIN=UBQ&amp;BLAST=DUMMY","1E-021")</f>
        <v>1E-021</v>
      </c>
      <c r="BT263" s="1" t="str">
        <f>HYPERLINK("http://exon.niaid.nih.gov/transcriptome/T_rubida/S1/links/PRK/Triru-contig_396-PRK.txt","ubiquitin")</f>
        <v>ubiquitin</v>
      </c>
      <c r="BU263" s="2">
        <v>2.0000000000000001E-17</v>
      </c>
      <c r="BV263" s="1" t="s">
        <v>57</v>
      </c>
      <c r="BW263" t="s">
        <v>57</v>
      </c>
      <c r="BX263" s="1" t="s">
        <v>57</v>
      </c>
      <c r="BY263" t="s">
        <v>57</v>
      </c>
    </row>
    <row r="264" spans="1:77">
      <c r="A264" t="str">
        <f>HYPERLINK("http://exon.niaid.nih.gov/transcriptome/T_rubida/S1/links/Triru/Triru-contig_480.txt","Triru-contig_480")</f>
        <v>Triru-contig_480</v>
      </c>
      <c r="B264">
        <v>1</v>
      </c>
      <c r="C264" t="str">
        <f>HYPERLINK("http://exon.niaid.nih.gov/transcriptome/T_rubida/S1/links/Triru/Triru-5-48-asb-480.txt","Contig-480")</f>
        <v>Contig-480</v>
      </c>
      <c r="D264" t="str">
        <f>HYPERLINK("http://exon.niaid.nih.gov/transcriptome/T_rubida/S1/links/Triru/Triru-5-48-480-CLU.txt","Contig480")</f>
        <v>Contig480</v>
      </c>
      <c r="E264" t="str">
        <f>HYPERLINK("http://exon.niaid.nih.gov/transcriptome/T_rubida/S1/links/Triru/Triru-5-48-480-qual.txt","31.")</f>
        <v>31.</v>
      </c>
      <c r="F264" t="s">
        <v>10</v>
      </c>
      <c r="G264">
        <v>66.599999999999994</v>
      </c>
      <c r="H264">
        <v>343</v>
      </c>
      <c r="I264" t="s">
        <v>492</v>
      </c>
      <c r="J264">
        <v>343</v>
      </c>
      <c r="K264">
        <v>362</v>
      </c>
      <c r="L264">
        <v>225</v>
      </c>
      <c r="M264" t="s">
        <v>5287</v>
      </c>
      <c r="N264" s="15">
        <v>2</v>
      </c>
      <c r="O264" s="14" t="str">
        <f>HYPERLINK("http://exon.niaid.nih.gov/transcriptome/T_rubida/S1/links/Sigp/TRIRU-CONTIG_480-SigP.txt","Cyt")</f>
        <v>Cyt</v>
      </c>
      <c r="Q264" s="5" t="s">
        <v>4983</v>
      </c>
      <c r="R264" t="s">
        <v>4820</v>
      </c>
      <c r="S264" t="str">
        <f>HYPERLINK("http://exon.niaid.nih.gov/transcriptome/T_rubida/S1/links/NR/Triru-contig_480-NR.txt","NR")</f>
        <v>NR</v>
      </c>
      <c r="T264" s="23">
        <v>3.9999999999999996E-21</v>
      </c>
      <c r="U264">
        <v>27</v>
      </c>
      <c r="V264" s="1" t="str">
        <f>HYPERLINK("http://exon.niaid.nih.gov/transcriptome/T_rubida/S1/links/NR/Triru-contig_480-NR.txt","similar to ubiquitin-like/S30 ribosomal fusion protein")</f>
        <v>similar to ubiquitin-like/S30 ribosomal fusion protein</v>
      </c>
      <c r="W264" t="str">
        <f>HYPERLINK("http://www.ncbi.nlm.nih.gov/sutils/blink.cgi?pid=115920988","4E-021")</f>
        <v>4E-021</v>
      </c>
      <c r="X264" t="str">
        <f>HYPERLINK("http://www.ncbi.nlm.nih.gov/protein/115920988","gi|115920988")</f>
        <v>gi|115920988</v>
      </c>
      <c r="Y264">
        <v>69.3</v>
      </c>
      <c r="Z264">
        <v>88</v>
      </c>
      <c r="AA264">
        <v>137</v>
      </c>
      <c r="AB264">
        <v>83</v>
      </c>
      <c r="AC264">
        <v>65</v>
      </c>
      <c r="AD264">
        <v>6</v>
      </c>
      <c r="AE264">
        <v>0</v>
      </c>
      <c r="AF264">
        <v>49</v>
      </c>
      <c r="AG264">
        <v>32</v>
      </c>
      <c r="AH264">
        <v>2</v>
      </c>
      <c r="AI264">
        <v>3</v>
      </c>
      <c r="AJ264" t="s">
        <v>888</v>
      </c>
      <c r="AL264" t="s">
        <v>1752</v>
      </c>
      <c r="AM264" t="s">
        <v>3725</v>
      </c>
      <c r="AN264" t="s">
        <v>3726</v>
      </c>
      <c r="AO264" s="1" t="str">
        <f>HYPERLINK("http://exon.niaid.nih.gov/transcriptome/T_rubida/S1/links/SWISSP/Triru-contig_480-SWISSP.txt","40S ribosomal protein S30")</f>
        <v>40S ribosomal protein S30</v>
      </c>
      <c r="AP264" t="str">
        <f>HYPERLINK("http://www.uniprot.org/uniprot/P49689","4E-013")</f>
        <v>4E-013</v>
      </c>
      <c r="AQ264" t="s">
        <v>3727</v>
      </c>
      <c r="AR264">
        <v>51.6</v>
      </c>
      <c r="AS264">
        <v>57</v>
      </c>
      <c r="AT264">
        <v>59</v>
      </c>
      <c r="AU264">
        <v>94</v>
      </c>
      <c r="AV264">
        <v>15</v>
      </c>
      <c r="AW264">
        <v>0</v>
      </c>
      <c r="AX264">
        <v>2</v>
      </c>
      <c r="AY264">
        <v>110</v>
      </c>
      <c r="AZ264">
        <v>2</v>
      </c>
      <c r="BA264">
        <v>3</v>
      </c>
      <c r="BB264" t="s">
        <v>888</v>
      </c>
      <c r="BD264" t="s">
        <v>704</v>
      </c>
      <c r="BE264" t="s">
        <v>906</v>
      </c>
      <c r="BF264" t="s">
        <v>3728</v>
      </c>
      <c r="BG264" t="s">
        <v>3729</v>
      </c>
      <c r="BH264" s="1" t="s">
        <v>3730</v>
      </c>
      <c r="BI264">
        <f>HYPERLINK("http://exon.niaid.nih.gov/transcriptome/T_rubida/S1/links/GO/Triru-contig_480-GO.txt",0.000000000000002)</f>
        <v>2.0000000000000002E-15</v>
      </c>
      <c r="BJ264" s="1" t="str">
        <f>HYPERLINK("http://exon.niaid.nih.gov/transcriptome/T_rubida/S1/links/CDD/Triru-contig_480-CDD.txt","Ribosomal_S30")</f>
        <v>Ribosomal_S30</v>
      </c>
      <c r="BK264" t="str">
        <f>HYPERLINK("http://www.ncbi.nlm.nih.gov/Structure/cdd/cddsrv.cgi?uid=pfam04758&amp;version=v4.0","7E-012")</f>
        <v>7E-012</v>
      </c>
      <c r="BL264" t="s">
        <v>3731</v>
      </c>
      <c r="BM264" s="1" t="str">
        <f>HYPERLINK("http://exon.niaid.nih.gov/transcriptome/T_rubida/S1/links/KOG/Triru-contig_480-KOG.txt","Ubiquitin-like/40S ribosomal S30 protein fusion")</f>
        <v>Ubiquitin-like/40S ribosomal S30 protein fusion</v>
      </c>
      <c r="BN264" t="str">
        <f>HYPERLINK("http://www.ncbi.nlm.nih.gov/COG/grace/shokog.cgi?KOG0009","1E-012")</f>
        <v>1E-012</v>
      </c>
      <c r="BO264" t="s">
        <v>3732</v>
      </c>
      <c r="BP264" s="1" t="str">
        <f>HYPERLINK("http://exon.niaid.nih.gov/transcriptome/T_rubida/S1/links/PFAM/Triru-contig_480-PFAM.txt","Ribosomal_S30")</f>
        <v>Ribosomal_S30</v>
      </c>
      <c r="BQ264" t="str">
        <f>HYPERLINK("http://pfam.sanger.ac.uk/family?acc=PF04758","2E-012")</f>
        <v>2E-012</v>
      </c>
      <c r="BR264" s="1" t="str">
        <f>HYPERLINK("http://exon.niaid.nih.gov/transcriptome/T_rubida/S1/links/SMART/Triru-contig_480-SMART.txt","TLC")</f>
        <v>TLC</v>
      </c>
      <c r="BS264" t="str">
        <f>HYPERLINK("http://smart.embl-heidelberg.de/smart/do_annotation.pl?DOMAIN=TLC&amp;BLAST=DUMMY","0.099")</f>
        <v>0.099</v>
      </c>
      <c r="BT264" s="1" t="str">
        <f>HYPERLINK("http://exon.niaid.nih.gov/transcriptome/T_rubida/S1/links/PRK/Triru-contig_480-PRK.txt","40S ribosomal protein S30")</f>
        <v>40S ribosomal protein S30</v>
      </c>
      <c r="BU264" s="2">
        <v>6.9999999999999994E-5</v>
      </c>
      <c r="BV264" s="1" t="s">
        <v>57</v>
      </c>
      <c r="BW264" t="s">
        <v>57</v>
      </c>
      <c r="BX264" s="1" t="s">
        <v>57</v>
      </c>
      <c r="BY264" t="s">
        <v>57</v>
      </c>
    </row>
    <row r="265" spans="1:77">
      <c r="A265" t="str">
        <f>HYPERLINK("http://exon.niaid.nih.gov/transcriptome/T_rubida/S1/links/Triru/Triru-contig_450.txt","Triru-contig_450")</f>
        <v>Triru-contig_450</v>
      </c>
      <c r="B265">
        <v>1</v>
      </c>
      <c r="C265" t="str">
        <f>HYPERLINK("http://exon.niaid.nih.gov/transcriptome/T_rubida/S1/links/Triru/Triru-5-48-asb-450.txt","Contig-450")</f>
        <v>Contig-450</v>
      </c>
      <c r="D265" t="str">
        <f>HYPERLINK("http://exon.niaid.nih.gov/transcriptome/T_rubida/S1/links/Triru/Triru-5-48-450-CLU.txt","Contig450")</f>
        <v>Contig450</v>
      </c>
      <c r="E265" t="str">
        <f>HYPERLINK("http://exon.niaid.nih.gov/transcriptome/T_rubida/S1/links/Triru/Triru-5-48-450-qual.txt","64.9")</f>
        <v>64.9</v>
      </c>
      <c r="F265" t="s">
        <v>10</v>
      </c>
      <c r="G265">
        <v>61.4</v>
      </c>
      <c r="H265">
        <v>349</v>
      </c>
      <c r="I265" t="s">
        <v>462</v>
      </c>
      <c r="J265">
        <v>349</v>
      </c>
      <c r="K265">
        <v>368</v>
      </c>
      <c r="L265">
        <v>288</v>
      </c>
      <c r="M265" t="s">
        <v>5288</v>
      </c>
      <c r="N265" s="15">
        <v>1</v>
      </c>
      <c r="O265" s="14" t="str">
        <f>HYPERLINK("http://exon.niaid.nih.gov/transcriptome/T_rubida/S1/links/Sigp/TRIRU-CONTIG_450-SigP.txt","Cyt")</f>
        <v>Cyt</v>
      </c>
      <c r="Q265" s="5" t="s">
        <v>4974</v>
      </c>
      <c r="R265" t="s">
        <v>4820</v>
      </c>
      <c r="S265" t="str">
        <f>HYPERLINK("http://exon.niaid.nih.gov/transcriptome/T_rubida/S1/links/GO/Triru-contig_450-GO.txt","GO")</f>
        <v>GO</v>
      </c>
      <c r="T265" s="23">
        <v>3.9999999999999998E-38</v>
      </c>
      <c r="U265">
        <v>35.6</v>
      </c>
      <c r="V265" s="1" t="str">
        <f>HYPERLINK("http://exon.niaid.nih.gov/transcriptome/T_rubida/S1/links/NR/Triru-contig_450-NR.txt","unnamed protein product")</f>
        <v>unnamed protein product</v>
      </c>
      <c r="W265" t="str">
        <f>HYPERLINK("http://www.ncbi.nlm.nih.gov/sutils/blink.cgi?pid=194383570","2E-036")</f>
        <v>2E-036</v>
      </c>
      <c r="X265" t="str">
        <f>HYPERLINK("http://www.ncbi.nlm.nih.gov/protein/194383570","gi|194383570")</f>
        <v>gi|194383570</v>
      </c>
      <c r="Y265">
        <v>155</v>
      </c>
      <c r="Z265">
        <v>82</v>
      </c>
      <c r="AA265">
        <v>188</v>
      </c>
      <c r="AB265">
        <v>85</v>
      </c>
      <c r="AC265">
        <v>44</v>
      </c>
      <c r="AD265">
        <v>12</v>
      </c>
      <c r="AE265">
        <v>0</v>
      </c>
      <c r="AF265">
        <v>97</v>
      </c>
      <c r="AG265">
        <v>4</v>
      </c>
      <c r="AH265">
        <v>1</v>
      </c>
      <c r="AI265">
        <v>1</v>
      </c>
      <c r="AJ265" t="s">
        <v>11</v>
      </c>
      <c r="AL265" t="s">
        <v>1233</v>
      </c>
      <c r="AM265" t="s">
        <v>3530</v>
      </c>
      <c r="AN265" t="s">
        <v>3531</v>
      </c>
      <c r="AO265" s="1" t="str">
        <f>HYPERLINK("http://exon.niaid.nih.gov/transcriptome/T_rubida/S1/links/SWISSP/Triru-contig_450-SWISSP.txt","Eukaryotic translation initiation factor 4E type 2")</f>
        <v>Eukaryotic translation initiation factor 4E type 2</v>
      </c>
      <c r="AP265" t="str">
        <f>HYPERLINK("http://www.uniprot.org/uniprot/Q8BMB3","1E-036")</f>
        <v>1E-036</v>
      </c>
      <c r="AQ265" t="s">
        <v>3532</v>
      </c>
      <c r="AR265">
        <v>151</v>
      </c>
      <c r="AS265">
        <v>80</v>
      </c>
      <c r="AT265">
        <v>85</v>
      </c>
      <c r="AU265">
        <v>33</v>
      </c>
      <c r="AV265">
        <v>12</v>
      </c>
      <c r="AW265">
        <v>0</v>
      </c>
      <c r="AX265">
        <v>142</v>
      </c>
      <c r="AY265">
        <v>4</v>
      </c>
      <c r="AZ265">
        <v>1</v>
      </c>
      <c r="BA265">
        <v>1</v>
      </c>
      <c r="BB265" t="s">
        <v>11</v>
      </c>
      <c r="BD265" t="s">
        <v>704</v>
      </c>
      <c r="BE265" t="s">
        <v>807</v>
      </c>
      <c r="BF265" t="s">
        <v>3533</v>
      </c>
      <c r="BG265" t="s">
        <v>3534</v>
      </c>
      <c r="BH265" s="1" t="s">
        <v>3535</v>
      </c>
      <c r="BI265">
        <f>HYPERLINK("http://exon.niaid.nih.gov/transcriptome/T_rubida/S1/links/GO/Triru-contig_450-GO.txt",4E-38)</f>
        <v>3.9999999999999998E-38</v>
      </c>
      <c r="BJ265" s="1" t="str">
        <f>HYPERLINK("http://exon.niaid.nih.gov/transcriptome/T_rubida/S1/links/CDD/Triru-contig_450-CDD.txt","IF4E")</f>
        <v>IF4E</v>
      </c>
      <c r="BK265" t="str">
        <f>HYPERLINK("http://www.ncbi.nlm.nih.gov/Structure/cdd/cddsrv.cgi?uid=pfam01652&amp;version=v4.0","8E-026")</f>
        <v>8E-026</v>
      </c>
      <c r="BL265" t="s">
        <v>3536</v>
      </c>
      <c r="BM265" s="1" t="str">
        <f>HYPERLINK("http://exon.niaid.nih.gov/transcriptome/T_rubida/S1/links/KOG/Triru-contig_450-KOG.txt","Predicted mRNA cap-binding protein related to eIF-4E")</f>
        <v>Predicted mRNA cap-binding protein related to eIF-4E</v>
      </c>
      <c r="BN265" t="str">
        <f>HYPERLINK("http://www.ncbi.nlm.nih.gov/COG/grace/shokog.cgi?KOG1669","2E-034")</f>
        <v>2E-034</v>
      </c>
      <c r="BO265" t="s">
        <v>1185</v>
      </c>
      <c r="BP265" s="1" t="str">
        <f>HYPERLINK("http://exon.niaid.nih.gov/transcriptome/T_rubida/S1/links/PFAM/Triru-contig_450-PFAM.txt","IF4E")</f>
        <v>IF4E</v>
      </c>
      <c r="BQ265" t="str">
        <f>HYPERLINK("http://pfam.sanger.ac.uk/family?acc=PF01652","2E-026")</f>
        <v>2E-026</v>
      </c>
      <c r="BR265" s="1" t="str">
        <f>HYPERLINK("http://exon.niaid.nih.gov/transcriptome/T_rubida/S1/links/SMART/Triru-contig_450-SMART.txt","PSN")</f>
        <v>PSN</v>
      </c>
      <c r="BS265" t="str">
        <f>HYPERLINK("http://smart.embl-heidelberg.de/smart/do_annotation.pl?DOMAIN=PSN&amp;BLAST=DUMMY","0.14")</f>
        <v>0.14</v>
      </c>
      <c r="BT265" s="1" t="str">
        <f>HYPERLINK("http://exon.niaid.nih.gov/transcriptome/T_rubida/S1/links/PRK/Triru-contig_450-PRK.txt","hypothetical protein")</f>
        <v>hypothetical protein</v>
      </c>
      <c r="BU265">
        <v>0.23</v>
      </c>
      <c r="BV265" s="1" t="s">
        <v>57</v>
      </c>
      <c r="BW265" t="s">
        <v>57</v>
      </c>
      <c r="BX265" s="1" t="s">
        <v>57</v>
      </c>
      <c r="BY265" t="s">
        <v>57</v>
      </c>
    </row>
    <row r="266" spans="1:77">
      <c r="A266" t="str">
        <f>HYPERLINK("http://exon.niaid.nih.gov/transcriptome/T_rubida/S1/links/Triru/Triru-contig_163.txt","Triru-contig_163")</f>
        <v>Triru-contig_163</v>
      </c>
      <c r="B266">
        <v>1</v>
      </c>
      <c r="C266" t="str">
        <f>HYPERLINK("http://exon.niaid.nih.gov/transcriptome/T_rubida/S1/links/Triru/Triru-5-48-asb-163.txt","Contig-163")</f>
        <v>Contig-163</v>
      </c>
      <c r="D266" t="str">
        <f>HYPERLINK("http://exon.niaid.nih.gov/transcriptome/T_rubida/S1/links/Triru/Triru-5-48-163-CLU.txt","Contig163")</f>
        <v>Contig163</v>
      </c>
      <c r="E266" t="str">
        <f>HYPERLINK("http://exon.niaid.nih.gov/transcriptome/T_rubida/S1/links/Triru/Triru-5-48-163-qual.txt","61.1")</f>
        <v>61.1</v>
      </c>
      <c r="F266" t="s">
        <v>10</v>
      </c>
      <c r="G266">
        <v>64.400000000000006</v>
      </c>
      <c r="H266">
        <v>228</v>
      </c>
      <c r="I266" t="s">
        <v>175</v>
      </c>
      <c r="J266">
        <v>228</v>
      </c>
      <c r="K266">
        <v>247</v>
      </c>
      <c r="L266">
        <v>189</v>
      </c>
      <c r="M266" t="s">
        <v>5289</v>
      </c>
      <c r="N266" s="15">
        <v>2</v>
      </c>
      <c r="O266" s="14" t="str">
        <f>HYPERLINK("http://exon.niaid.nih.gov/transcriptome/T_rubida/S1/links/Sigp/TRIRU-CONTIG_163-SigP.txt","Cyt")</f>
        <v>Cyt</v>
      </c>
      <c r="Q266" s="5" t="s">
        <v>4886</v>
      </c>
      <c r="R266" t="s">
        <v>4820</v>
      </c>
      <c r="S266" t="str">
        <f>HYPERLINK("http://exon.niaid.nih.gov/transcriptome/T_rubida/S1/links/GO/Triru-contig_163-GO.txt","GO")</f>
        <v>GO</v>
      </c>
      <c r="T266" s="23">
        <v>1.9999999999999999E-20</v>
      </c>
      <c r="U266">
        <v>56.4</v>
      </c>
      <c r="V266" s="1" t="str">
        <f>HYPERLINK("http://exon.niaid.nih.gov/transcriptome/T_rubida/S1/links/NR/Triru-contig_163-NR.txt","60S ribosomal protein L7a")</f>
        <v>60S ribosomal protein L7a</v>
      </c>
      <c r="W266" t="str">
        <f>HYPERLINK("http://www.ncbi.nlm.nih.gov/sutils/blink.cgi?pid=307182302","3E-020")</f>
        <v>3E-020</v>
      </c>
      <c r="X266" t="str">
        <f>HYPERLINK("http://www.ncbi.nlm.nih.gov/protein/307182302","gi|307182302")</f>
        <v>gi|307182302</v>
      </c>
      <c r="Y266">
        <v>101</v>
      </c>
      <c r="Z266">
        <v>60</v>
      </c>
      <c r="AA266">
        <v>268</v>
      </c>
      <c r="AB266">
        <v>75</v>
      </c>
      <c r="AC266">
        <v>23</v>
      </c>
      <c r="AD266">
        <v>15</v>
      </c>
      <c r="AE266">
        <v>0</v>
      </c>
      <c r="AF266">
        <v>208</v>
      </c>
      <c r="AG266">
        <v>8</v>
      </c>
      <c r="AH266">
        <v>1</v>
      </c>
      <c r="AI266">
        <v>2</v>
      </c>
      <c r="AJ266" t="s">
        <v>11</v>
      </c>
      <c r="AL266" t="s">
        <v>1650</v>
      </c>
      <c r="AM266" t="s">
        <v>1658</v>
      </c>
      <c r="AN266" t="s">
        <v>1659</v>
      </c>
      <c r="AO266" s="1" t="str">
        <f>HYPERLINK("http://exon.niaid.nih.gov/transcriptome/T_rubida/S1/links/SWISSP/Triru-contig_163-SWISSP.txt","60S ribosomal protein L7a")</f>
        <v>60S ribosomal protein L7a</v>
      </c>
      <c r="AP266" t="str">
        <f>HYPERLINK("http://www.uniprot.org/uniprot/P32429","3E-020")</f>
        <v>3E-020</v>
      </c>
      <c r="AQ266" t="s">
        <v>1660</v>
      </c>
      <c r="AR266">
        <v>97.1</v>
      </c>
      <c r="AS266">
        <v>60</v>
      </c>
      <c r="AT266">
        <v>75</v>
      </c>
      <c r="AU266">
        <v>23</v>
      </c>
      <c r="AV266">
        <v>15</v>
      </c>
      <c r="AW266">
        <v>0</v>
      </c>
      <c r="AX266">
        <v>206</v>
      </c>
      <c r="AY266">
        <v>8</v>
      </c>
      <c r="AZ266">
        <v>1</v>
      </c>
      <c r="BA266">
        <v>2</v>
      </c>
      <c r="BB266" t="s">
        <v>11</v>
      </c>
      <c r="BD266" t="s">
        <v>704</v>
      </c>
      <c r="BE266" t="s">
        <v>1196</v>
      </c>
      <c r="BF266" t="s">
        <v>1661</v>
      </c>
      <c r="BG266" t="s">
        <v>1662</v>
      </c>
      <c r="BH266" s="1" t="s">
        <v>1663</v>
      </c>
      <c r="BI266">
        <f>HYPERLINK("http://exon.niaid.nih.gov/transcriptome/T_rubida/S1/links/GO/Triru-contig_163-GO.txt",2E-20)</f>
        <v>1.9999999999999999E-20</v>
      </c>
      <c r="BJ266" s="1" t="str">
        <f>HYPERLINK("http://exon.niaid.nih.gov/transcriptome/T_rubida/S1/links/CDD/Triru-contig_163-CDD.txt","PTZ00365")</f>
        <v>PTZ00365</v>
      </c>
      <c r="BK266" t="str">
        <f>HYPERLINK("http://www.ncbi.nlm.nih.gov/Structure/cdd/cddsrv.cgi?uid=PTZ00365&amp;version=v4.0","5E-009")</f>
        <v>5E-009</v>
      </c>
      <c r="BL266" t="s">
        <v>1664</v>
      </c>
      <c r="BM266" s="1" t="str">
        <f>HYPERLINK("http://exon.niaid.nih.gov/transcriptome/T_rubida/S1/links/KOG/Triru-contig_163-KOG.txt","60S ribosomal protein L7A")</f>
        <v>60S ribosomal protein L7A</v>
      </c>
      <c r="BN266" t="str">
        <f>HYPERLINK("http://www.ncbi.nlm.nih.gov/COG/grace/shokog.cgi?KOG3166","4E-012")</f>
        <v>4E-012</v>
      </c>
      <c r="BO266" t="s">
        <v>1185</v>
      </c>
      <c r="BP266" s="1" t="str">
        <f>HYPERLINK("http://exon.niaid.nih.gov/transcriptome/T_rubida/S1/links/PFAM/Triru-contig_163-PFAM.txt","DUF1780")</f>
        <v>DUF1780</v>
      </c>
      <c r="BQ266" t="str">
        <f>HYPERLINK("http://pfam.sanger.ac.uk/family?acc=PF08682","0.042")</f>
        <v>0.042</v>
      </c>
      <c r="BR266" s="1" t="str">
        <f>HYPERLINK("http://exon.niaid.nih.gov/transcriptome/T_rubida/S1/links/SMART/Triru-contig_163-SMART.txt","PKS_AT")</f>
        <v>PKS_AT</v>
      </c>
      <c r="BS266" t="str">
        <f>HYPERLINK("http://smart.embl-heidelberg.de/smart/do_annotation.pl?DOMAIN=PKS_AT&amp;BLAST=DUMMY","0.090")</f>
        <v>0.090</v>
      </c>
      <c r="BT266" s="1" t="str">
        <f>HYPERLINK("http://exon.niaid.nih.gov/transcriptome/T_rubida/S1/links/PRK/Triru-contig_163-PRK.txt","60S ribosomal protein L7Ae-like")</f>
        <v>60S ribosomal protein L7Ae-like</v>
      </c>
      <c r="BU266" s="2">
        <v>2.0000000000000001E-9</v>
      </c>
      <c r="BV266" s="1" t="s">
        <v>57</v>
      </c>
      <c r="BW266" t="s">
        <v>57</v>
      </c>
      <c r="BX266" s="1" t="s">
        <v>57</v>
      </c>
      <c r="BY266" t="s">
        <v>57</v>
      </c>
    </row>
    <row r="267" spans="1:77" s="3" customFormat="1">
      <c r="A267" s="13" t="s">
        <v>5047</v>
      </c>
      <c r="T267" s="22"/>
    </row>
    <row r="268" spans="1:77">
      <c r="A268" t="str">
        <f>HYPERLINK("http://exon.niaid.nih.gov/transcriptome/T_rubida/S1/links/Triru/Triru-contig_323.txt","Triru-contig_323")</f>
        <v>Triru-contig_323</v>
      </c>
      <c r="B268">
        <v>1</v>
      </c>
      <c r="C268" t="str">
        <f>HYPERLINK("http://exon.niaid.nih.gov/transcriptome/T_rubida/S1/links/Triru/Triru-5-48-asb-323.txt","Contig-323")</f>
        <v>Contig-323</v>
      </c>
      <c r="D268" t="str">
        <f>HYPERLINK("http://exon.niaid.nih.gov/transcriptome/T_rubida/S1/links/Triru/Triru-5-48-323-CLU.txt","Contig323")</f>
        <v>Contig323</v>
      </c>
      <c r="E268" t="str">
        <f>HYPERLINK("http://exon.niaid.nih.gov/transcriptome/T_rubida/S1/links/Triru/Triru-5-48-323-qual.txt","65.2")</f>
        <v>65.2</v>
      </c>
      <c r="F268" t="s">
        <v>10</v>
      </c>
      <c r="G268">
        <v>64.5</v>
      </c>
      <c r="H268" t="s">
        <v>57</v>
      </c>
      <c r="I268" t="s">
        <v>335</v>
      </c>
      <c r="J268" t="s">
        <v>57</v>
      </c>
      <c r="K268">
        <v>428</v>
      </c>
      <c r="L268">
        <v>423</v>
      </c>
      <c r="M268" t="s">
        <v>5290</v>
      </c>
      <c r="N268" s="15">
        <v>1</v>
      </c>
      <c r="O268" s="14" t="str">
        <f>HYPERLINK("http://exon.niaid.nih.gov/transcriptome/T_rubida/S1/links/Sigp/TRIRU-CONTIG_323-SigP.txt","Cyt")</f>
        <v>Cyt</v>
      </c>
      <c r="Q268" s="5" t="s">
        <v>4918</v>
      </c>
      <c r="R268" t="s">
        <v>4867</v>
      </c>
      <c r="S268" t="str">
        <f>HYPERLINK("http://exon.niaid.nih.gov/transcriptome/T_rubida/S1/links/KOG/Triru-contig_323-KOG.txt","KOG")</f>
        <v>KOG</v>
      </c>
      <c r="T268" s="23">
        <v>6.0000000000000003E-36</v>
      </c>
      <c r="U268">
        <v>76.400000000000006</v>
      </c>
      <c r="V268" s="1" t="str">
        <f>HYPERLINK("http://exon.niaid.nih.gov/transcriptome/T_rubida/S1/links/NR/Triru-contig_323-NR.txt","putative calcium-binding protein p22")</f>
        <v>putative calcium-binding protein p22</v>
      </c>
      <c r="W268" t="str">
        <f>HYPERLINK("http://www.ncbi.nlm.nih.gov/sutils/blink.cgi?pid=121543871","1E-056")</f>
        <v>1E-056</v>
      </c>
      <c r="X268" t="str">
        <f>HYPERLINK("http://www.ncbi.nlm.nih.gov/protein/121543871","gi|121543871")</f>
        <v>gi|121543871</v>
      </c>
      <c r="Y268">
        <v>222</v>
      </c>
      <c r="Z268">
        <v>142</v>
      </c>
      <c r="AA268">
        <v>190</v>
      </c>
      <c r="AB268">
        <v>81</v>
      </c>
      <c r="AC268">
        <v>75</v>
      </c>
      <c r="AD268">
        <v>27</v>
      </c>
      <c r="AE268">
        <v>3</v>
      </c>
      <c r="AF268">
        <v>48</v>
      </c>
      <c r="AG268">
        <v>4</v>
      </c>
      <c r="AH268">
        <v>1</v>
      </c>
      <c r="AI268">
        <v>1</v>
      </c>
      <c r="AJ268" t="s">
        <v>11</v>
      </c>
      <c r="AL268" t="s">
        <v>1811</v>
      </c>
      <c r="AM268" t="s">
        <v>2668</v>
      </c>
      <c r="AN268" t="s">
        <v>2669</v>
      </c>
      <c r="AO268" s="1" t="str">
        <f>HYPERLINK("http://exon.niaid.nih.gov/transcriptome/T_rubida/S1/links/SWISSP/Triru-contig_323-SWISSP.txt","Calcium-binding protein p22")</f>
        <v>Calcium-binding protein p22</v>
      </c>
      <c r="AP268" t="str">
        <f>HYPERLINK("http://www.uniprot.org/uniprot/P61023","9E-045")</f>
        <v>9E-045</v>
      </c>
      <c r="AQ268" t="s">
        <v>2480</v>
      </c>
      <c r="AR268">
        <v>178</v>
      </c>
      <c r="AS268">
        <v>147</v>
      </c>
      <c r="AT268">
        <v>64</v>
      </c>
      <c r="AU268">
        <v>76</v>
      </c>
      <c r="AV268">
        <v>52</v>
      </c>
      <c r="AW268">
        <v>8</v>
      </c>
      <c r="AX268">
        <v>48</v>
      </c>
      <c r="AY268">
        <v>4</v>
      </c>
      <c r="AZ268">
        <v>1</v>
      </c>
      <c r="BA268">
        <v>1</v>
      </c>
      <c r="BB268" t="s">
        <v>11</v>
      </c>
      <c r="BD268" t="s">
        <v>704</v>
      </c>
      <c r="BE268" t="s">
        <v>1164</v>
      </c>
      <c r="BF268" t="s">
        <v>2481</v>
      </c>
      <c r="BG268" t="s">
        <v>2482</v>
      </c>
      <c r="BH268" s="1" t="s">
        <v>2483</v>
      </c>
      <c r="BI268">
        <f>HYPERLINK("http://exon.niaid.nih.gov/transcriptome/T_rubida/S1/links/GO/Triru-contig_323-GO.txt",2E-51)</f>
        <v>2E-51</v>
      </c>
      <c r="BJ268" s="1" t="str">
        <f>HYPERLINK("http://exon.niaid.nih.gov/transcriptome/T_rubida/S1/links/CDD/Triru-contig_323-CDD.txt","FRQ1")</f>
        <v>FRQ1</v>
      </c>
      <c r="BK268" t="str">
        <f>HYPERLINK("http://www.ncbi.nlm.nih.gov/Structure/cdd/cddsrv.cgi?uid=COG5126&amp;version=v4.0","5E-012")</f>
        <v>5E-012</v>
      </c>
      <c r="BL268" t="s">
        <v>2670</v>
      </c>
      <c r="BM268" s="1" t="str">
        <f>HYPERLINK("http://exon.niaid.nih.gov/transcriptome/T_rubida/S1/links/KOG/Triru-contig_323-KOG.txt","Ca2+/calmodulin-dependent protein phosphatase (calcineurin subunit B), EF-Hand superfamily protein")</f>
        <v>Ca2+/calmodulin-dependent protein phosphatase (calcineurin subunit B), EF-Hand superfamily protein</v>
      </c>
      <c r="BN268" t="str">
        <f>HYPERLINK("http://www.ncbi.nlm.nih.gov/COG/grace/shokog.cgi?KOG0034","6E-036")</f>
        <v>6E-036</v>
      </c>
      <c r="BO268" t="s">
        <v>728</v>
      </c>
      <c r="BP268" s="1" t="str">
        <f>HYPERLINK("http://exon.niaid.nih.gov/transcriptome/T_rubida/S1/links/PFAM/Triru-contig_323-PFAM.txt","efhand")</f>
        <v>efhand</v>
      </c>
      <c r="BQ268" t="str">
        <f>HYPERLINK("http://pfam.sanger.ac.uk/family?acc=PF00036","0.001")</f>
        <v>0.001</v>
      </c>
      <c r="BR268" s="1" t="str">
        <f>HYPERLINK("http://exon.niaid.nih.gov/transcriptome/T_rubida/S1/links/SMART/Triru-contig_323-SMART.txt","EFh")</f>
        <v>EFh</v>
      </c>
      <c r="BS268" t="str">
        <f>HYPERLINK("http://smart.embl-heidelberg.de/smart/do_annotation.pl?DOMAIN=EFh&amp;BLAST=DUMMY","8E-005")</f>
        <v>8E-005</v>
      </c>
      <c r="BT268" s="1" t="str">
        <f>HYPERLINK("http://exon.niaid.nih.gov/transcriptome/T_rubida/S1/links/PRK/Triru-contig_323-PRK.txt","calmodulin")</f>
        <v>calmodulin</v>
      </c>
      <c r="BU268" s="2">
        <v>1.0000000000000001E-9</v>
      </c>
      <c r="BV268" s="1" t="s">
        <v>57</v>
      </c>
      <c r="BW268" t="s">
        <v>57</v>
      </c>
      <c r="BX268" s="1" t="s">
        <v>57</v>
      </c>
      <c r="BY268" t="s">
        <v>57</v>
      </c>
    </row>
    <row r="269" spans="1:77">
      <c r="A269" t="str">
        <f>HYPERLINK("http://exon.niaid.nih.gov/transcriptome/T_rubida/S1/links/Triru/Triru-contig_296.txt","Triru-contig_296")</f>
        <v>Triru-contig_296</v>
      </c>
      <c r="B269">
        <v>1</v>
      </c>
      <c r="C269" t="str">
        <f>HYPERLINK("http://exon.niaid.nih.gov/transcriptome/T_rubida/S1/links/Triru/Triru-5-48-asb-296.txt","Contig-296")</f>
        <v>Contig-296</v>
      </c>
      <c r="D269" t="str">
        <f>HYPERLINK("http://exon.niaid.nih.gov/transcriptome/T_rubida/S1/links/Triru/Triru-5-48-296-CLU.txt","Contig296")</f>
        <v>Contig296</v>
      </c>
      <c r="E269" t="str">
        <f>HYPERLINK("http://exon.niaid.nih.gov/transcriptome/T_rubida/S1/links/Triru/Triru-5-48-296-qual.txt","53.7")</f>
        <v>53.7</v>
      </c>
      <c r="F269" t="s">
        <v>10</v>
      </c>
      <c r="G269">
        <v>64.3</v>
      </c>
      <c r="H269" t="s">
        <v>57</v>
      </c>
      <c r="I269" t="s">
        <v>308</v>
      </c>
      <c r="J269" t="s">
        <v>57</v>
      </c>
      <c r="K269">
        <v>434</v>
      </c>
      <c r="L269">
        <v>396</v>
      </c>
      <c r="M269" t="s">
        <v>5291</v>
      </c>
      <c r="N269" s="15">
        <v>1</v>
      </c>
      <c r="O269" s="14" t="str">
        <f>HYPERLINK("http://exon.niaid.nih.gov/transcriptome/T_rubida/S1/links/Sigp/TRIRU-CONTIG_296-SigP.txt","Cyt")</f>
        <v>Cyt</v>
      </c>
      <c r="Q269" s="5" t="s">
        <v>4918</v>
      </c>
      <c r="R269" t="s">
        <v>4867</v>
      </c>
      <c r="S269" t="str">
        <f>HYPERLINK("http://exon.niaid.nih.gov/transcriptome/T_rubida/S1/links/KOG/Triru-contig_296-KOG.txt","KOG")</f>
        <v>KOG</v>
      </c>
      <c r="T269" s="23">
        <v>4.0000000000000003E-30</v>
      </c>
      <c r="U269">
        <v>68.900000000000006</v>
      </c>
      <c r="V269" s="1" t="str">
        <f>HYPERLINK("http://exon.niaid.nih.gov/transcriptome/T_rubida/S1/links/NR/Triru-contig_296-NR.txt","putative calcium-binding protein p22")</f>
        <v>putative calcium-binding protein p22</v>
      </c>
      <c r="W269" t="str">
        <f>HYPERLINK("http://www.ncbi.nlm.nih.gov/sutils/blink.cgi?pid=121543871","1E-047")</f>
        <v>1E-047</v>
      </c>
      <c r="X269" t="str">
        <f>HYPERLINK("http://www.ncbi.nlm.nih.gov/protein/121543871","gi|121543871")</f>
        <v>gi|121543871</v>
      </c>
      <c r="Y269">
        <v>192</v>
      </c>
      <c r="Z269">
        <v>127</v>
      </c>
      <c r="AA269">
        <v>190</v>
      </c>
      <c r="AB269">
        <v>78</v>
      </c>
      <c r="AC269">
        <v>67</v>
      </c>
      <c r="AD269">
        <v>27</v>
      </c>
      <c r="AE269">
        <v>3</v>
      </c>
      <c r="AF269">
        <v>63</v>
      </c>
      <c r="AG269">
        <v>55</v>
      </c>
      <c r="AH269">
        <v>1</v>
      </c>
      <c r="AI269">
        <v>1</v>
      </c>
      <c r="AJ269" t="s">
        <v>11</v>
      </c>
      <c r="AL269" t="s">
        <v>1811</v>
      </c>
      <c r="AM269" t="s">
        <v>2478</v>
      </c>
      <c r="AN269" t="s">
        <v>2479</v>
      </c>
      <c r="AO269" s="1" t="str">
        <f>HYPERLINK("http://exon.niaid.nih.gov/transcriptome/T_rubida/S1/links/SWISSP/Triru-contig_296-SWISSP.txt","Calcium-binding protein p22")</f>
        <v>Calcium-binding protein p22</v>
      </c>
      <c r="AP269" t="str">
        <f>HYPERLINK("http://www.uniprot.org/uniprot/P61023","2E-036")</f>
        <v>2E-036</v>
      </c>
      <c r="AQ269" t="s">
        <v>2480</v>
      </c>
      <c r="AR269">
        <v>150</v>
      </c>
      <c r="AS269">
        <v>132</v>
      </c>
      <c r="AT269">
        <v>61</v>
      </c>
      <c r="AU269">
        <v>68</v>
      </c>
      <c r="AV269">
        <v>51</v>
      </c>
      <c r="AW269">
        <v>8</v>
      </c>
      <c r="AX269">
        <v>63</v>
      </c>
      <c r="AY269">
        <v>55</v>
      </c>
      <c r="AZ269">
        <v>1</v>
      </c>
      <c r="BA269">
        <v>1</v>
      </c>
      <c r="BB269" t="s">
        <v>11</v>
      </c>
      <c r="BD269" t="s">
        <v>704</v>
      </c>
      <c r="BE269" t="s">
        <v>1164</v>
      </c>
      <c r="BF269" t="s">
        <v>2481</v>
      </c>
      <c r="BG269" t="s">
        <v>2482</v>
      </c>
      <c r="BH269" s="1" t="s">
        <v>2483</v>
      </c>
      <c r="BI269">
        <f>HYPERLINK("http://exon.niaid.nih.gov/transcriptome/T_rubida/S1/links/GO/Triru-contig_296-GO.txt",1E-43)</f>
        <v>1.0000000000000001E-43</v>
      </c>
      <c r="BJ269" s="1" t="str">
        <f>HYPERLINK("http://exon.niaid.nih.gov/transcriptome/T_rubida/S1/links/CDD/Triru-contig_296-CDD.txt","FRQ1")</f>
        <v>FRQ1</v>
      </c>
      <c r="BK269" t="str">
        <f>HYPERLINK("http://www.ncbi.nlm.nih.gov/Structure/cdd/cddsrv.cgi?uid=COG5126&amp;version=v4.0","7E-011")</f>
        <v>7E-011</v>
      </c>
      <c r="BL269" t="s">
        <v>2484</v>
      </c>
      <c r="BM269" s="1" t="str">
        <f>HYPERLINK("http://exon.niaid.nih.gov/transcriptome/T_rubida/S1/links/KOG/Triru-contig_296-KOG.txt","Ca2+/calmodulin-dependent protein phosphatase (calcineurin subunit B), EF-Hand superfamily protein")</f>
        <v>Ca2+/calmodulin-dependent protein phosphatase (calcineurin subunit B), EF-Hand superfamily protein</v>
      </c>
      <c r="BN269" t="str">
        <f>HYPERLINK("http://www.ncbi.nlm.nih.gov/COG/grace/shokog.cgi?KOG0034","4E-030")</f>
        <v>4E-030</v>
      </c>
      <c r="BO269" t="s">
        <v>728</v>
      </c>
      <c r="BP269" s="1" t="str">
        <f>HYPERLINK("http://exon.niaid.nih.gov/transcriptome/T_rubida/S1/links/PFAM/Triru-contig_296-PFAM.txt","TerB")</f>
        <v>TerB</v>
      </c>
      <c r="BQ269" t="str">
        <f>HYPERLINK("http://pfam.sanger.ac.uk/family?acc=PF05099","0.026")</f>
        <v>0.026</v>
      </c>
      <c r="BR269" s="1" t="str">
        <f>HYPERLINK("http://exon.niaid.nih.gov/transcriptome/T_rubida/S1/links/SMART/Triru-contig_296-SMART.txt","EFh")</f>
        <v>EFh</v>
      </c>
      <c r="BS269" t="str">
        <f>HYPERLINK("http://smart.embl-heidelberg.de/smart/do_annotation.pl?DOMAIN=EFh&amp;BLAST=DUMMY","0.002")</f>
        <v>0.002</v>
      </c>
      <c r="BT269" s="1" t="str">
        <f>HYPERLINK("http://exon.niaid.nih.gov/transcriptome/T_rubida/S1/links/PRK/Triru-contig_296-PRK.txt","calmodulin")</f>
        <v>calmodulin</v>
      </c>
      <c r="BU269" s="2">
        <v>8.9999999999999995E-9</v>
      </c>
      <c r="BV269" s="1" t="s">
        <v>57</v>
      </c>
      <c r="BW269" t="s">
        <v>57</v>
      </c>
      <c r="BX269" s="1" t="s">
        <v>57</v>
      </c>
      <c r="BY269" t="s">
        <v>57</v>
      </c>
    </row>
    <row r="270" spans="1:77">
      <c r="A270" t="str">
        <f>HYPERLINK("http://exon.niaid.nih.gov/transcriptome/T_rubida/S1/links/Triru/Triru-contig_121.txt","Triru-contig_121")</f>
        <v>Triru-contig_121</v>
      </c>
      <c r="B270">
        <v>3</v>
      </c>
      <c r="C270" t="str">
        <f>HYPERLINK("http://exon.niaid.nih.gov/transcriptome/T_rubida/S1/links/Triru/Triru-5-48-asb-121.txt","Contig-121")</f>
        <v>Contig-121</v>
      </c>
      <c r="D270" t="str">
        <f>HYPERLINK("http://exon.niaid.nih.gov/transcriptome/T_rubida/S1/links/Triru/Triru-5-48-121-CLU.txt","Contig121")</f>
        <v>Contig121</v>
      </c>
      <c r="E270" t="str">
        <f>HYPERLINK("http://exon.niaid.nih.gov/transcriptome/T_rubida/S1/links/Triru/Triru-5-48-121-qual.txt","70.1")</f>
        <v>70.1</v>
      </c>
      <c r="F270" t="s">
        <v>10</v>
      </c>
      <c r="G270">
        <v>61.6</v>
      </c>
      <c r="H270">
        <v>946</v>
      </c>
      <c r="I270" t="s">
        <v>133</v>
      </c>
      <c r="J270">
        <v>945</v>
      </c>
      <c r="K270">
        <v>969</v>
      </c>
      <c r="L270">
        <v>903</v>
      </c>
      <c r="M270" t="s">
        <v>5292</v>
      </c>
      <c r="N270" s="15">
        <v>3</v>
      </c>
      <c r="O270" s="14" t="str">
        <f>HYPERLINK("http://exon.niaid.nih.gov/transcriptome/T_rubida/S1/links/Sigp/TRIRU-CONTIG_121-SigP.txt","Cyt")</f>
        <v>Cyt</v>
      </c>
      <c r="Q270" s="5" t="s">
        <v>4866</v>
      </c>
      <c r="R270" t="s">
        <v>4867</v>
      </c>
      <c r="S270" t="str">
        <f>HYPERLINK("http://exon.niaid.nih.gov/transcriptome/T_rubida/S1/links/KOG/Triru-contig_121-KOG.txt","KOG")</f>
        <v>KOG</v>
      </c>
      <c r="T270" s="23">
        <v>0</v>
      </c>
      <c r="U270">
        <v>94</v>
      </c>
      <c r="V270" s="1" t="str">
        <f>HYPERLINK("http://exon.niaid.nih.gov/transcriptome/T_rubida/S1/links/NR/Triru-contig_121-NR.txt","receptor for activated protein kinase C-like")</f>
        <v>receptor for activated protein kinase C-like</v>
      </c>
      <c r="W270" t="str">
        <f>HYPERLINK("http://www.ncbi.nlm.nih.gov/sutils/blink.cgi?pid=114319093","1E-169")</f>
        <v>1E-169</v>
      </c>
      <c r="X270" t="str">
        <f>HYPERLINK("http://www.ncbi.nlm.nih.gov/protein/114319093","gi|114319093")</f>
        <v>gi|114319093</v>
      </c>
      <c r="Y270">
        <v>599</v>
      </c>
      <c r="Z270">
        <v>299</v>
      </c>
      <c r="AA270">
        <v>317</v>
      </c>
      <c r="AB270">
        <v>94</v>
      </c>
      <c r="AC270">
        <v>95</v>
      </c>
      <c r="AD270">
        <v>17</v>
      </c>
      <c r="AE270">
        <v>0</v>
      </c>
      <c r="AF270">
        <v>18</v>
      </c>
      <c r="AG270">
        <v>6</v>
      </c>
      <c r="AH270">
        <v>1</v>
      </c>
      <c r="AI270">
        <v>3</v>
      </c>
      <c r="AJ270" t="s">
        <v>11</v>
      </c>
      <c r="AL270" t="s">
        <v>1189</v>
      </c>
      <c r="AM270" t="s">
        <v>1405</v>
      </c>
      <c r="AN270" t="s">
        <v>1406</v>
      </c>
      <c r="AO270" s="1" t="str">
        <f>HYPERLINK("http://exon.niaid.nih.gov/transcriptome/T_rubida/S1/links/SWISSP/Triru-contig_121-SWISSP.txt","Guanine nucleotide-binding protein subunit beta-like protein")</f>
        <v>Guanine nucleotide-binding protein subunit beta-like protein</v>
      </c>
      <c r="AP270" t="str">
        <f>HYPERLINK("http://www.uniprot.org/uniprot/O18640","1E-152")</f>
        <v>1E-152</v>
      </c>
      <c r="AQ270" t="s">
        <v>1407</v>
      </c>
      <c r="AR270">
        <v>537</v>
      </c>
      <c r="AS270">
        <v>298</v>
      </c>
      <c r="AT270">
        <v>84</v>
      </c>
      <c r="AU270">
        <v>94</v>
      </c>
      <c r="AV270">
        <v>47</v>
      </c>
      <c r="AW270">
        <v>1</v>
      </c>
      <c r="AX270">
        <v>18</v>
      </c>
      <c r="AY270">
        <v>6</v>
      </c>
      <c r="AZ270">
        <v>1</v>
      </c>
      <c r="BA270">
        <v>3</v>
      </c>
      <c r="BB270" t="s">
        <v>11</v>
      </c>
      <c r="BD270" t="s">
        <v>704</v>
      </c>
      <c r="BE270" t="s">
        <v>1125</v>
      </c>
      <c r="BF270" t="s">
        <v>1408</v>
      </c>
      <c r="BG270" t="s">
        <v>1409</v>
      </c>
      <c r="BH270" s="1" t="s">
        <v>1410</v>
      </c>
      <c r="BI270">
        <f>HYPERLINK("http://exon.niaid.nih.gov/transcriptome/T_rubida/S1/links/GO/Triru-contig_121-GO.txt",0)</f>
        <v>0</v>
      </c>
      <c r="BJ270" s="1" t="str">
        <f>HYPERLINK("http://exon.niaid.nih.gov/transcriptome/T_rubida/S1/links/CDD/Triru-contig_121-CDD.txt","WD40")</f>
        <v>WD40</v>
      </c>
      <c r="BK270" t="str">
        <f>HYPERLINK("http://www.ncbi.nlm.nih.gov/Structure/cdd/cddsrv.cgi?uid=cd00200&amp;version=v4.0","2E-074")</f>
        <v>2E-074</v>
      </c>
      <c r="BL270" t="s">
        <v>1411</v>
      </c>
      <c r="BM270" s="1" t="str">
        <f>HYPERLINK("http://exon.niaid.nih.gov/transcriptome/T_rubida/S1/links/KOG/Triru-contig_121-KOG.txt","G protein beta subunit-like protein")</f>
        <v>G protein beta subunit-like protein</v>
      </c>
      <c r="BN270" t="str">
        <f>HYPERLINK("http://www.ncbi.nlm.nih.gov/COG/grace/shokog.cgi?KOG0279","1E-142")</f>
        <v>1E-142</v>
      </c>
      <c r="BO270" t="s">
        <v>728</v>
      </c>
      <c r="BP270" s="1" t="str">
        <f>HYPERLINK("http://exon.niaid.nih.gov/transcriptome/T_rubida/S1/links/PFAM/Triru-contig_121-PFAM.txt","WD40")</f>
        <v>WD40</v>
      </c>
      <c r="BQ270" t="str">
        <f>HYPERLINK("http://pfam.sanger.ac.uk/family?acc=PF00400","1E-008")</f>
        <v>1E-008</v>
      </c>
      <c r="BR270" s="1" t="str">
        <f>HYPERLINK("http://exon.niaid.nih.gov/transcriptome/T_rubida/S1/links/SMART/Triru-contig_121-SMART.txt","WD40")</f>
        <v>WD40</v>
      </c>
      <c r="BS270" t="str">
        <f>HYPERLINK("http://smart.embl-heidelberg.de/smart/do_annotation.pl?DOMAIN=WD40&amp;BLAST=DUMMY","2E-009")</f>
        <v>2E-009</v>
      </c>
      <c r="BT270" s="1" t="str">
        <f>HYPERLINK("http://exon.niaid.nih.gov/transcriptome/T_rubida/S1/links/PRK/Triru-contig_121-PRK.txt","coronin")</f>
        <v>coronin</v>
      </c>
      <c r="BU270" s="2">
        <v>9.9999999999999995E-7</v>
      </c>
      <c r="BV270" s="1" t="s">
        <v>57</v>
      </c>
      <c r="BW270" t="s">
        <v>57</v>
      </c>
      <c r="BX270" s="1" t="s">
        <v>57</v>
      </c>
      <c r="BY270" t="s">
        <v>57</v>
      </c>
    </row>
    <row r="271" spans="1:77">
      <c r="A271" t="str">
        <f>HYPERLINK("http://exon.niaid.nih.gov/transcriptome/T_rubida/S1/links/Triru/Triru-contig_278.txt","Triru-contig_278")</f>
        <v>Triru-contig_278</v>
      </c>
      <c r="B271">
        <v>1</v>
      </c>
      <c r="C271" t="str">
        <f>HYPERLINK("http://exon.niaid.nih.gov/transcriptome/T_rubida/S1/links/Triru/Triru-5-48-asb-278.txt","Contig-278")</f>
        <v>Contig-278</v>
      </c>
      <c r="D271" t="str">
        <f>HYPERLINK("http://exon.niaid.nih.gov/transcriptome/T_rubida/S1/links/Triru/Triru-5-48-278-CLU.txt","Contig278")</f>
        <v>Contig278</v>
      </c>
      <c r="E271" t="str">
        <f>HYPERLINK("http://exon.niaid.nih.gov/transcriptome/T_rubida/S1/links/Triru/Triru-5-48-278-qual.txt","36.7")</f>
        <v>36.7</v>
      </c>
      <c r="F271" t="s">
        <v>10</v>
      </c>
      <c r="G271">
        <v>66.599999999999994</v>
      </c>
      <c r="H271">
        <v>726</v>
      </c>
      <c r="I271" t="s">
        <v>290</v>
      </c>
      <c r="J271">
        <v>726</v>
      </c>
      <c r="K271">
        <v>745</v>
      </c>
      <c r="L271">
        <v>309</v>
      </c>
      <c r="M271" t="s">
        <v>5293</v>
      </c>
      <c r="N271" s="15">
        <v>2</v>
      </c>
      <c r="O271" s="14" t="str">
        <f>HYPERLINK("http://exon.niaid.nih.gov/transcriptome/T_rubida/S1/links/Sigp/TRIRU-CONTIG_278-SigP.txt","SIG")</f>
        <v>SIG</v>
      </c>
      <c r="P271" t="s">
        <v>5058</v>
      </c>
      <c r="Q271" s="5" t="s">
        <v>4912</v>
      </c>
      <c r="R271" t="s">
        <v>4867</v>
      </c>
      <c r="S271" t="str">
        <f>HYPERLINK("http://exon.niaid.nih.gov/transcriptome/T_rubida/S1/links/KOG/Triru-contig_278-KOG.txt","KOG")</f>
        <v>KOG</v>
      </c>
      <c r="T271" s="23">
        <v>6E-37</v>
      </c>
      <c r="U271">
        <v>30</v>
      </c>
      <c r="V271" s="1" t="str">
        <f>HYPERLINK("http://exon.niaid.nih.gov/transcriptome/T_rubida/S1/links/NR/Triru-contig_278-NR.txt","GL18256")</f>
        <v>GL18256</v>
      </c>
      <c r="W271" t="str">
        <f>HYPERLINK("http://www.ncbi.nlm.nih.gov/sutils/blink.cgi?pid=195169971","8E-032")</f>
        <v>8E-032</v>
      </c>
      <c r="X271" t="str">
        <f>HYPERLINK("http://www.ncbi.nlm.nih.gov/protein/195169971","gi|195169971")</f>
        <v>gi|195169971</v>
      </c>
      <c r="Y271">
        <v>141</v>
      </c>
      <c r="Z271">
        <v>98</v>
      </c>
      <c r="AA271">
        <v>338</v>
      </c>
      <c r="AB271">
        <v>71</v>
      </c>
      <c r="AC271">
        <v>29</v>
      </c>
      <c r="AD271">
        <v>29</v>
      </c>
      <c r="AE271">
        <v>0</v>
      </c>
      <c r="AF271">
        <v>240</v>
      </c>
      <c r="AG271">
        <v>11</v>
      </c>
      <c r="AH271">
        <v>1</v>
      </c>
      <c r="AI271">
        <v>2</v>
      </c>
      <c r="AJ271" t="s">
        <v>11</v>
      </c>
      <c r="AL271" t="s">
        <v>1895</v>
      </c>
      <c r="AM271" t="s">
        <v>2353</v>
      </c>
      <c r="AN271" t="s">
        <v>2354</v>
      </c>
      <c r="AO271" s="1" t="str">
        <f>HYPERLINK("http://exon.niaid.nih.gov/transcriptome/T_rubida/S1/links/SWISSP/Triru-contig_278-SWISSP.txt","Growth hormone-inducible transmembrane protein")</f>
        <v>Growth hormone-inducible transmembrane protein</v>
      </c>
      <c r="AP271" t="str">
        <f>HYPERLINK("http://www.uniprot.org/uniprot/Q5XIA8","3E-027")</f>
        <v>3E-027</v>
      </c>
      <c r="AQ271" t="s">
        <v>2355</v>
      </c>
      <c r="AR271">
        <v>122</v>
      </c>
      <c r="AS271">
        <v>93</v>
      </c>
      <c r="AT271">
        <v>57</v>
      </c>
      <c r="AU271">
        <v>27</v>
      </c>
      <c r="AV271">
        <v>40</v>
      </c>
      <c r="AW271">
        <v>0</v>
      </c>
      <c r="AX271">
        <v>252</v>
      </c>
      <c r="AY271">
        <v>29</v>
      </c>
      <c r="AZ271">
        <v>1</v>
      </c>
      <c r="BA271">
        <v>2</v>
      </c>
      <c r="BB271" t="s">
        <v>11</v>
      </c>
      <c r="BD271" t="s">
        <v>704</v>
      </c>
      <c r="BE271" t="s">
        <v>1164</v>
      </c>
      <c r="BF271" t="s">
        <v>2356</v>
      </c>
      <c r="BG271" t="s">
        <v>2357</v>
      </c>
      <c r="BH271" s="1" t="s">
        <v>2358</v>
      </c>
      <c r="BI271">
        <f>HYPERLINK("http://exon.niaid.nih.gov/transcriptome/T_rubida/S1/links/GO/Triru-contig_278-GO.txt",3E-27)</f>
        <v>3.0000000000000001E-27</v>
      </c>
      <c r="BJ271" s="1" t="str">
        <f>HYPERLINK("http://exon.niaid.nih.gov/transcriptome/T_rubida/S1/links/CDD/Triru-contig_278-CDD.txt","BI-1-like")</f>
        <v>BI-1-like</v>
      </c>
      <c r="BK271" t="str">
        <f>HYPERLINK("http://www.ncbi.nlm.nih.gov/Structure/cdd/cddsrv.cgi?uid=cd06181&amp;version=v4.0","1E-017")</f>
        <v>1E-017</v>
      </c>
      <c r="BL271" t="s">
        <v>2359</v>
      </c>
      <c r="BM271" s="1" t="str">
        <f>HYPERLINK("http://exon.niaid.nih.gov/transcriptome/T_rubida/S1/links/KOG/Triru-contig_278-KOG.txt","Growth hormone-induced protein and related proteins")</f>
        <v>Growth hormone-induced protein and related proteins</v>
      </c>
      <c r="BN271" t="str">
        <f>HYPERLINK("http://www.ncbi.nlm.nih.gov/COG/grace/shokog.cgi?KOG1630","6E-037")</f>
        <v>6E-037</v>
      </c>
      <c r="BO271" t="s">
        <v>728</v>
      </c>
      <c r="BP271" s="1" t="str">
        <f>HYPERLINK("http://exon.niaid.nih.gov/transcriptome/T_rubida/S1/links/PFAM/Triru-contig_278-PFAM.txt","Bax1-I")</f>
        <v>Bax1-I</v>
      </c>
      <c r="BQ271" t="str">
        <f>HYPERLINK("http://pfam.sanger.ac.uk/family?acc=PF01027","1E-016")</f>
        <v>1E-016</v>
      </c>
      <c r="BR271" s="1" t="str">
        <f>HYPERLINK("http://exon.niaid.nih.gov/transcriptome/T_rubida/S1/links/SMART/Triru-contig_278-SMART.txt","POLBc")</f>
        <v>POLBc</v>
      </c>
      <c r="BS271" t="str">
        <f>HYPERLINK("http://smart.embl-heidelberg.de/smart/do_annotation.pl?DOMAIN=POLBc&amp;BLAST=DUMMY","0.29")</f>
        <v>0.29</v>
      </c>
      <c r="BT271" s="1" t="str">
        <f>HYPERLINK("http://exon.niaid.nih.gov/transcriptome/T_rubida/S1/links/PRK/Triru-contig_278-PRK.txt","dihydroxy-acid dehydratase")</f>
        <v>dihydroxy-acid dehydratase</v>
      </c>
      <c r="BU271">
        <v>0.19</v>
      </c>
      <c r="BV271" s="1" t="s">
        <v>57</v>
      </c>
      <c r="BW271" t="s">
        <v>57</v>
      </c>
      <c r="BX271" s="1" t="s">
        <v>57</v>
      </c>
      <c r="BY271" t="s">
        <v>57</v>
      </c>
    </row>
    <row r="272" spans="1:77">
      <c r="A272" t="str">
        <f>HYPERLINK("http://exon.niaid.nih.gov/transcriptome/T_rubida/S1/links/Triru/Triru-contig_130.txt","Triru-contig_130")</f>
        <v>Triru-contig_130</v>
      </c>
      <c r="B272">
        <v>3</v>
      </c>
      <c r="C272" t="str">
        <f>HYPERLINK("http://exon.niaid.nih.gov/transcriptome/T_rubida/S1/links/Triru/Triru-5-48-asb-130.txt","Contig-130")</f>
        <v>Contig-130</v>
      </c>
      <c r="D272" t="str">
        <f>HYPERLINK("http://exon.niaid.nih.gov/transcriptome/T_rubida/S1/links/Triru/Triru-5-48-130-CLU.txt","Contig130")</f>
        <v>Contig130</v>
      </c>
      <c r="E272" t="str">
        <f>HYPERLINK("http://exon.niaid.nih.gov/transcriptome/T_rubida/S1/links/Triru/Triru-5-48-130-qual.txt","86.2")</f>
        <v>86.2</v>
      </c>
      <c r="F272" t="s">
        <v>10</v>
      </c>
      <c r="G272">
        <v>66.7</v>
      </c>
      <c r="H272">
        <v>744</v>
      </c>
      <c r="I272" t="s">
        <v>142</v>
      </c>
      <c r="J272">
        <v>750</v>
      </c>
      <c r="K272">
        <v>763</v>
      </c>
      <c r="L272">
        <v>648</v>
      </c>
      <c r="M272" t="s">
        <v>5294</v>
      </c>
      <c r="N272" s="15">
        <v>2</v>
      </c>
      <c r="O272" s="14" t="str">
        <f>HYPERLINK("http://exon.niaid.nih.gov/transcriptome/T_rubida/S1/links/Sigp/TRIRU-CONTIG_130-SigP.txt","SIG")</f>
        <v>SIG</v>
      </c>
      <c r="P272" t="s">
        <v>5058</v>
      </c>
      <c r="Q272" s="5" t="s">
        <v>4875</v>
      </c>
      <c r="R272" t="s">
        <v>4867</v>
      </c>
      <c r="S272" t="str">
        <f>HYPERLINK("http://exon.niaid.nih.gov/transcriptome/T_rubida/S1/links/KOG/Triru-contig_130-KOG.txt","KOG")</f>
        <v>KOG</v>
      </c>
      <c r="T272" s="23">
        <v>8.0000000000000002E-54</v>
      </c>
      <c r="U272">
        <v>46.1</v>
      </c>
      <c r="V272" s="1" t="str">
        <f>HYPERLINK("http://exon.niaid.nih.gov/transcriptome/T_rubida/S1/links/NR/Triru-contig_130-NR.txt","gamma-aminobutyric acid receptor subunit rho-3-like")</f>
        <v>gamma-aminobutyric acid receptor subunit rho-3-like</v>
      </c>
      <c r="W272" t="str">
        <f>HYPERLINK("http://www.ncbi.nlm.nih.gov/sutils/blink.cgi?pid=328698853","2E-070")</f>
        <v>2E-070</v>
      </c>
      <c r="X272" t="str">
        <f>HYPERLINK("http://www.ncbi.nlm.nih.gov/protein/328698853","gi|328698853")</f>
        <v>gi|328698853</v>
      </c>
      <c r="Y272">
        <v>270</v>
      </c>
      <c r="Z272">
        <v>224</v>
      </c>
      <c r="AA272">
        <v>509</v>
      </c>
      <c r="AB272">
        <v>61</v>
      </c>
      <c r="AC272">
        <v>44</v>
      </c>
      <c r="AD272">
        <v>87</v>
      </c>
      <c r="AE272">
        <v>14</v>
      </c>
      <c r="AF272">
        <v>284</v>
      </c>
      <c r="AG272">
        <v>14</v>
      </c>
      <c r="AH272">
        <v>1</v>
      </c>
      <c r="AI272">
        <v>2</v>
      </c>
      <c r="AJ272" t="s">
        <v>11</v>
      </c>
      <c r="AL272" t="s">
        <v>1160</v>
      </c>
      <c r="AM272" t="s">
        <v>1468</v>
      </c>
      <c r="AN272" t="s">
        <v>1469</v>
      </c>
      <c r="AO272" s="1" t="str">
        <f>HYPERLINK("http://exon.niaid.nih.gov/transcriptome/T_rubida/S1/links/SWISSP/Triru-contig_130-SWISSP.txt","Glycine receptor subunit alpha-2")</f>
        <v>Glycine receptor subunit alpha-2</v>
      </c>
      <c r="AP272" t="str">
        <f>HYPERLINK("http://www.uniprot.org/uniprot/P23416","5E-027")</f>
        <v>5E-027</v>
      </c>
      <c r="AQ272" t="s">
        <v>1470</v>
      </c>
      <c r="AR272">
        <v>121</v>
      </c>
      <c r="AS272">
        <v>186</v>
      </c>
      <c r="AT272">
        <v>32</v>
      </c>
      <c r="AU272">
        <v>41</v>
      </c>
      <c r="AV272">
        <v>142</v>
      </c>
      <c r="AW272">
        <v>1</v>
      </c>
      <c r="AX272">
        <v>253</v>
      </c>
      <c r="AY272">
        <v>11</v>
      </c>
      <c r="AZ272">
        <v>1</v>
      </c>
      <c r="BA272">
        <v>2</v>
      </c>
      <c r="BB272" t="s">
        <v>11</v>
      </c>
      <c r="BD272" t="s">
        <v>704</v>
      </c>
      <c r="BE272" t="s">
        <v>1233</v>
      </c>
      <c r="BF272" t="s">
        <v>1471</v>
      </c>
      <c r="BG272" t="s">
        <v>1472</v>
      </c>
      <c r="BH272" s="1" t="s">
        <v>1473</v>
      </c>
      <c r="BI272">
        <f>HYPERLINK("http://exon.niaid.nih.gov/transcriptome/T_rubida/S1/links/GO/Triru-contig_130-GO.txt",1E-53)</f>
        <v>1E-53</v>
      </c>
      <c r="BJ272" s="1" t="str">
        <f>HYPERLINK("http://exon.niaid.nih.gov/transcriptome/T_rubida/S1/links/CDD/Triru-contig_130-CDD.txt","LIC")</f>
        <v>LIC</v>
      </c>
      <c r="BK272" t="str">
        <f>HYPERLINK("http://www.ncbi.nlm.nih.gov/Structure/cdd/cddsrv.cgi?uid=TIGR00860&amp;version=v4.0","3E-036")</f>
        <v>3E-036</v>
      </c>
      <c r="BL272" t="s">
        <v>1474</v>
      </c>
      <c r="BM272" s="1" t="str">
        <f>HYPERLINK("http://exon.niaid.nih.gov/transcriptome/T_rubida/S1/links/KOG/Triru-contig_130-KOG.txt","Ligand-gated ion channel")</f>
        <v>Ligand-gated ion channel</v>
      </c>
      <c r="BN272" t="str">
        <f>HYPERLINK("http://www.ncbi.nlm.nih.gov/COG/grace/shokog.cgi?KOG3644","8E-054")</f>
        <v>8E-054</v>
      </c>
      <c r="BO272" t="s">
        <v>728</v>
      </c>
      <c r="BP272" s="1" t="str">
        <f>HYPERLINK("http://exon.niaid.nih.gov/transcriptome/T_rubida/S1/links/PFAM/Triru-contig_130-PFAM.txt","Neur_chan_memb")</f>
        <v>Neur_chan_memb</v>
      </c>
      <c r="BQ272" t="str">
        <f>HYPERLINK("http://pfam.sanger.ac.uk/family?acc=PF02932","1E-029")</f>
        <v>1E-029</v>
      </c>
      <c r="BR272" s="1" t="str">
        <f>HYPERLINK("http://exon.niaid.nih.gov/transcriptome/T_rubida/S1/links/SMART/Triru-contig_130-SMART.txt","PSN")</f>
        <v>PSN</v>
      </c>
      <c r="BS272" t="str">
        <f>HYPERLINK("http://smart.embl-heidelberg.de/smart/do_annotation.pl?DOMAIN=PSN&amp;BLAST=DUMMY","0.19")</f>
        <v>0.19</v>
      </c>
      <c r="BT272" s="1" t="str">
        <f>HYPERLINK("http://exon.niaid.nih.gov/transcriptome/T_rubida/S1/links/PRK/Triru-contig_130-PRK.txt","NADH dehydrogenase subunit 4")</f>
        <v>NADH dehydrogenase subunit 4</v>
      </c>
      <c r="BU272">
        <v>0.67</v>
      </c>
      <c r="BV272" s="1" t="s">
        <v>57</v>
      </c>
      <c r="BW272" t="s">
        <v>57</v>
      </c>
      <c r="BX272" s="1" t="s">
        <v>57</v>
      </c>
      <c r="BY272" t="s">
        <v>57</v>
      </c>
    </row>
    <row r="273" spans="1:77">
      <c r="A273" t="str">
        <f>HYPERLINK("http://exon.niaid.nih.gov/transcriptome/T_rubida/S1/links/Triru/Triru-contig_571.txt","Triru-contig_571")</f>
        <v>Triru-contig_571</v>
      </c>
      <c r="B273">
        <v>1</v>
      </c>
      <c r="C273" t="str">
        <f>HYPERLINK("http://exon.niaid.nih.gov/transcriptome/T_rubida/S1/links/Triru/Triru-5-48-asb-571.txt","Contig-571")</f>
        <v>Contig-571</v>
      </c>
      <c r="D273" t="str">
        <f>HYPERLINK("http://exon.niaid.nih.gov/transcriptome/T_rubida/S1/links/Triru/Triru-5-48-571-CLU.txt","Contig571")</f>
        <v>Contig571</v>
      </c>
      <c r="E273" t="str">
        <f>HYPERLINK("http://exon.niaid.nih.gov/transcriptome/T_rubida/S1/links/Triru/Triru-5-48-571-qual.txt","42.4")</f>
        <v>42.4</v>
      </c>
      <c r="F273" t="s">
        <v>10</v>
      </c>
      <c r="G273">
        <v>65.900000000000006</v>
      </c>
      <c r="H273">
        <v>1152</v>
      </c>
      <c r="I273" t="s">
        <v>583</v>
      </c>
      <c r="J273">
        <v>1152</v>
      </c>
      <c r="K273">
        <v>1171</v>
      </c>
      <c r="L273">
        <v>972</v>
      </c>
      <c r="M273" t="s">
        <v>5295</v>
      </c>
      <c r="N273" s="15">
        <v>2</v>
      </c>
      <c r="O273" s="14" t="str">
        <f>HYPERLINK("http://exon.niaid.nih.gov/transcriptome/T_rubida/S1/links/Sigp/TRIRU-CONTIG_571-SigP.txt","Cyt")</f>
        <v>Cyt</v>
      </c>
      <c r="Q273" s="5" t="s">
        <v>5014</v>
      </c>
      <c r="R273" t="s">
        <v>4867</v>
      </c>
      <c r="S273" t="str">
        <f>HYPERLINK("http://exon.niaid.nih.gov/transcriptome/T_rubida/S1/links/KOG/Triru-contig_571-KOG.txt","KOG")</f>
        <v>KOG</v>
      </c>
      <c r="T273" s="23">
        <v>4.0000000000000001E-91</v>
      </c>
      <c r="U273">
        <v>36.700000000000003</v>
      </c>
      <c r="V273" s="1" t="str">
        <f>HYPERLINK("http://exon.niaid.nih.gov/transcriptome/T_rubida/S1/links/NR/Triru-contig_571-NR.txt","LOW QUALITY PROTEIN: protein ECT2")</f>
        <v>LOW QUALITY PROTEIN: protein ECT2</v>
      </c>
      <c r="W273" t="str">
        <f>HYPERLINK("http://www.ncbi.nlm.nih.gov/sutils/blink.cgi?pid=328790834","1E-135")</f>
        <v>1E-135</v>
      </c>
      <c r="X273" t="str">
        <f>HYPERLINK("http://www.ncbi.nlm.nih.gov/protein/328790834","gi|328790834")</f>
        <v>gi|328790834</v>
      </c>
      <c r="Y273">
        <v>471</v>
      </c>
      <c r="Z273">
        <v>324</v>
      </c>
      <c r="AA273">
        <v>898</v>
      </c>
      <c r="AB273">
        <v>75</v>
      </c>
      <c r="AC273">
        <v>36</v>
      </c>
      <c r="AD273">
        <v>75</v>
      </c>
      <c r="AE273">
        <v>3</v>
      </c>
      <c r="AF273">
        <v>463</v>
      </c>
      <c r="AG273">
        <v>35</v>
      </c>
      <c r="AH273">
        <v>2</v>
      </c>
      <c r="AI273">
        <v>2</v>
      </c>
      <c r="AJ273" t="s">
        <v>888</v>
      </c>
      <c r="AL273" t="s">
        <v>1153</v>
      </c>
      <c r="AM273" t="s">
        <v>4327</v>
      </c>
      <c r="AN273" t="s">
        <v>4328</v>
      </c>
      <c r="AO273" s="1" t="str">
        <f>HYPERLINK("http://exon.niaid.nih.gov/transcriptome/T_rubida/S1/links/SWISSP/Triru-contig_571-SWISSP.txt","Protein ECT2")</f>
        <v>Protein ECT2</v>
      </c>
      <c r="AP273" t="str">
        <f>HYPERLINK("http://www.uniprot.org/uniprot/Q07139","3E-086")</f>
        <v>3E-086</v>
      </c>
      <c r="AQ273" t="s">
        <v>4329</v>
      </c>
      <c r="AR273">
        <v>319</v>
      </c>
      <c r="AS273">
        <v>294</v>
      </c>
      <c r="AT273">
        <v>50</v>
      </c>
      <c r="AU273">
        <v>40</v>
      </c>
      <c r="AV273">
        <v>147</v>
      </c>
      <c r="AW273">
        <v>0</v>
      </c>
      <c r="AX273">
        <v>337</v>
      </c>
      <c r="AY273">
        <v>35</v>
      </c>
      <c r="AZ273">
        <v>1</v>
      </c>
      <c r="BA273">
        <v>2</v>
      </c>
      <c r="BB273" t="s">
        <v>11</v>
      </c>
      <c r="BD273" t="s">
        <v>704</v>
      </c>
      <c r="BE273" t="s">
        <v>807</v>
      </c>
      <c r="BF273" t="s">
        <v>4330</v>
      </c>
      <c r="BG273" t="s">
        <v>4331</v>
      </c>
      <c r="BH273" s="1" t="s">
        <v>4332</v>
      </c>
      <c r="BI273">
        <f>HYPERLINK("http://exon.niaid.nih.gov/transcriptome/T_rubida/S1/links/GO/Triru-contig_571-GO.txt",7E-91)</f>
        <v>6.9999999999999997E-91</v>
      </c>
      <c r="BJ273" s="1" t="str">
        <f>HYPERLINK("http://exon.niaid.nih.gov/transcriptome/T_rubida/S1/links/CDD/Triru-contig_571-CDD.txt","PH_etc2")</f>
        <v>PH_etc2</v>
      </c>
      <c r="BK273" t="str">
        <f>HYPERLINK("http://www.ncbi.nlm.nih.gov/Structure/cdd/cddsrv.cgi?uid=cd01229&amp;version=v4.0","4E-040")</f>
        <v>4E-040</v>
      </c>
      <c r="BL273" t="s">
        <v>4333</v>
      </c>
      <c r="BM273" s="1" t="str">
        <f>HYPERLINK("http://exon.niaid.nih.gov/transcriptome/T_rubida/S1/links/KOG/Triru-contig_571-KOG.txt","Predicted guanine nucleotide exchange factor (PEBBLE)")</f>
        <v>Predicted guanine nucleotide exchange factor (PEBBLE)</v>
      </c>
      <c r="BN273" t="str">
        <f>HYPERLINK("http://www.ncbi.nlm.nih.gov/COG/grace/shokog.cgi?KOG3524","4E-091")</f>
        <v>4E-091</v>
      </c>
      <c r="BO273" t="s">
        <v>728</v>
      </c>
      <c r="BP273" s="1" t="str">
        <f>HYPERLINK("http://exon.niaid.nih.gov/transcriptome/T_rubida/S1/links/PFAM/Triru-contig_571-PFAM.txt","RhoGEF")</f>
        <v>RhoGEF</v>
      </c>
      <c r="BQ273" t="str">
        <f>HYPERLINK("http://pfam.sanger.ac.uk/family?acc=PF00621","7E-032")</f>
        <v>7E-032</v>
      </c>
      <c r="BR273" s="1" t="str">
        <f>HYPERLINK("http://exon.niaid.nih.gov/transcriptome/T_rubida/S1/links/SMART/Triru-contig_571-SMART.txt","RhoGEF")</f>
        <v>RhoGEF</v>
      </c>
      <c r="BS273" t="str">
        <f>HYPERLINK("http://smart.embl-heidelberg.de/smart/do_annotation.pl?DOMAIN=RhoGEF&amp;BLAST=DUMMY","3E-028")</f>
        <v>3E-028</v>
      </c>
      <c r="BT273" s="1" t="str">
        <f>HYPERLINK("http://exon.niaid.nih.gov/transcriptome/T_rubida/S1/links/PRK/Triru-contig_571-PRK.txt","periplasmic folding chaperone")</f>
        <v>periplasmic folding chaperone</v>
      </c>
      <c r="BU273">
        <v>0.7</v>
      </c>
      <c r="BV273" s="1" t="s">
        <v>57</v>
      </c>
      <c r="BW273" t="s">
        <v>57</v>
      </c>
      <c r="BX273" s="1" t="s">
        <v>57</v>
      </c>
      <c r="BY273" t="s">
        <v>57</v>
      </c>
    </row>
    <row r="274" spans="1:77">
      <c r="A274" t="str">
        <f>HYPERLINK("http://exon.niaid.nih.gov/transcriptome/T_rubida/S1/links/Triru/Triru-contig_517.txt","Triru-contig_517")</f>
        <v>Triru-contig_517</v>
      </c>
      <c r="B274">
        <v>1</v>
      </c>
      <c r="C274" t="str">
        <f>HYPERLINK("http://exon.niaid.nih.gov/transcriptome/T_rubida/S1/links/Triru/Triru-5-48-asb-517.txt","Contig-517")</f>
        <v>Contig-517</v>
      </c>
      <c r="D274" t="str">
        <f>HYPERLINK("http://exon.niaid.nih.gov/transcriptome/T_rubida/S1/links/Triru/Triru-5-48-517-CLU.txt","Contig517")</f>
        <v>Contig517</v>
      </c>
      <c r="E274" t="str">
        <f>HYPERLINK("http://exon.niaid.nih.gov/transcriptome/T_rubida/S1/links/Triru/Triru-5-48-517-qual.txt","64.9")</f>
        <v>64.9</v>
      </c>
      <c r="F274" t="s">
        <v>10</v>
      </c>
      <c r="G274">
        <v>63</v>
      </c>
      <c r="H274">
        <v>489</v>
      </c>
      <c r="I274" t="s">
        <v>529</v>
      </c>
      <c r="J274">
        <v>489</v>
      </c>
      <c r="K274">
        <v>508</v>
      </c>
      <c r="L274">
        <v>294</v>
      </c>
      <c r="M274" t="s">
        <v>5296</v>
      </c>
      <c r="N274" s="15">
        <v>3</v>
      </c>
      <c r="O274" s="14" t="str">
        <f>HYPERLINK("http://exon.niaid.nih.gov/transcriptome/T_rubida/S1/links/Sigp/TRIRU-CONTIG_517-SigP.txt","Cyt")</f>
        <v>Cyt</v>
      </c>
      <c r="Q274" s="5" t="s">
        <v>4996</v>
      </c>
      <c r="R274" t="s">
        <v>4867</v>
      </c>
      <c r="S274" t="str">
        <f>HYPERLINK("http://exon.niaid.nih.gov/transcriptome/T_rubida/S1/links/NR/Triru-contig_517-NR.txt","NR")</f>
        <v>NR</v>
      </c>
      <c r="T274" s="23">
        <v>8.9999999999999997E-45</v>
      </c>
      <c r="U274">
        <v>11.9</v>
      </c>
      <c r="V274" s="1" t="str">
        <f>HYPERLINK("http://exon.niaid.nih.gov/transcriptome/T_rubida/S1/links/NR/Triru-contig_517-NR.txt","hypothetical protein TcasGA2_TC008406")</f>
        <v>hypothetical protein TcasGA2_TC008406</v>
      </c>
      <c r="W274" t="str">
        <f>HYPERLINK("http://www.ncbi.nlm.nih.gov/sutils/blink.cgi?pid=270006237","9E-045")</f>
        <v>9E-045</v>
      </c>
      <c r="X274" t="str">
        <f>HYPERLINK("http://www.ncbi.nlm.nih.gov/protein/270006237","gi|270006237")</f>
        <v>gi|270006237</v>
      </c>
      <c r="Y274">
        <v>183</v>
      </c>
      <c r="Z274">
        <v>93</v>
      </c>
      <c r="AA274">
        <v>354</v>
      </c>
      <c r="AB274">
        <v>91</v>
      </c>
      <c r="AC274">
        <v>27</v>
      </c>
      <c r="AD274">
        <v>8</v>
      </c>
      <c r="AE274">
        <v>0</v>
      </c>
      <c r="AF274">
        <v>261</v>
      </c>
      <c r="AG274">
        <v>15</v>
      </c>
      <c r="AH274">
        <v>1</v>
      </c>
      <c r="AI274">
        <v>3</v>
      </c>
      <c r="AJ274" t="s">
        <v>11</v>
      </c>
      <c r="AL274" t="s">
        <v>1483</v>
      </c>
      <c r="AM274" t="s">
        <v>3978</v>
      </c>
      <c r="AN274" t="s">
        <v>3979</v>
      </c>
      <c r="AO274" s="1" t="str">
        <f>HYPERLINK("http://exon.niaid.nih.gov/transcriptome/T_rubida/S1/links/SWISSP/Triru-contig_517-SWISSP.txt","Serine/threonine-protein phosphatase PP1-beta catalytic subunit")</f>
        <v>Serine/threonine-protein phosphatase PP1-beta catalytic subunit</v>
      </c>
      <c r="AP274" t="str">
        <f>HYPERLINK("http://www.uniprot.org/uniprot/Q5I085","2E-044")</f>
        <v>2E-044</v>
      </c>
      <c r="AQ274" t="s">
        <v>3980</v>
      </c>
      <c r="AR274">
        <v>178</v>
      </c>
      <c r="AS274">
        <v>93</v>
      </c>
      <c r="AT274">
        <v>91</v>
      </c>
      <c r="AU274">
        <v>29</v>
      </c>
      <c r="AV274">
        <v>8</v>
      </c>
      <c r="AW274">
        <v>2</v>
      </c>
      <c r="AX274">
        <v>233</v>
      </c>
      <c r="AY274">
        <v>15</v>
      </c>
      <c r="AZ274">
        <v>1</v>
      </c>
      <c r="BA274">
        <v>3</v>
      </c>
      <c r="BB274" t="s">
        <v>11</v>
      </c>
      <c r="BD274" t="s">
        <v>704</v>
      </c>
      <c r="BE274" t="s">
        <v>1948</v>
      </c>
      <c r="BF274" t="s">
        <v>3981</v>
      </c>
      <c r="BG274" t="s">
        <v>3982</v>
      </c>
      <c r="BH274" s="1" t="s">
        <v>3983</v>
      </c>
      <c r="BI274">
        <f>HYPERLINK("http://exon.niaid.nih.gov/transcriptome/T_rubida/S1/links/GO/Triru-contig_517-GO.txt",1E-44)</f>
        <v>9.9999999999999995E-45</v>
      </c>
      <c r="BJ274" s="1" t="str">
        <f>HYPERLINK("http://exon.niaid.nih.gov/transcriptome/T_rubida/S1/links/CDD/Triru-contig_517-CDD.txt","MPP_PP1_PPKL")</f>
        <v>MPP_PP1_PPKL</v>
      </c>
      <c r="BK274" t="str">
        <f>HYPERLINK("http://www.ncbi.nlm.nih.gov/Structure/cdd/cddsrv.cgi?uid=cd07414&amp;version=v4.0","6E-043")</f>
        <v>6E-043</v>
      </c>
      <c r="BL274" t="s">
        <v>3984</v>
      </c>
      <c r="BM274" s="1" t="str">
        <f>HYPERLINK("http://exon.niaid.nih.gov/transcriptome/T_rubida/S1/links/KOG/Triru-contig_517-KOG.txt","Serine/threonine specific protein phosphatase PP1, catalytic subunit")</f>
        <v>Serine/threonine specific protein phosphatase PP1, catalytic subunit</v>
      </c>
      <c r="BN274" t="str">
        <f>HYPERLINK("http://www.ncbi.nlm.nih.gov/COG/grace/shokog.cgi?KOG0374","9E-033")</f>
        <v>9E-033</v>
      </c>
      <c r="BO274" t="s">
        <v>3985</v>
      </c>
      <c r="BP274" s="1" t="str">
        <f>HYPERLINK("http://exon.niaid.nih.gov/transcriptome/T_rubida/S1/links/PFAM/Triru-contig_517-PFAM.txt","DUF3687")</f>
        <v>DUF3687</v>
      </c>
      <c r="BQ274" t="str">
        <f>HYPERLINK("http://pfam.sanger.ac.uk/family?acc=PF12459","0.050")</f>
        <v>0.050</v>
      </c>
      <c r="BR274" s="1" t="str">
        <f>HYPERLINK("http://exon.niaid.nih.gov/transcriptome/T_rubida/S1/links/SMART/Triru-contig_517-SMART.txt","PP2Ac")</f>
        <v>PP2Ac</v>
      </c>
      <c r="BS274" t="str">
        <f>HYPERLINK("http://smart.embl-heidelberg.de/smart/do_annotation.pl?DOMAIN=PP2Ac&amp;BLAST=DUMMY","8E-028")</f>
        <v>8E-028</v>
      </c>
      <c r="BT274" s="1" t="str">
        <f>HYPERLINK("http://exon.niaid.nih.gov/transcriptome/T_rubida/S1/links/PRK/Triru-contig_517-PRK.txt","serine/threonine-protein phosphatase")</f>
        <v>serine/threonine-protein phosphatase</v>
      </c>
      <c r="BU274" s="2">
        <v>2.0000000000000001E-33</v>
      </c>
      <c r="BV274" s="1" t="s">
        <v>57</v>
      </c>
      <c r="BW274" t="s">
        <v>57</v>
      </c>
      <c r="BX274" s="1" t="s">
        <v>57</v>
      </c>
      <c r="BY274" t="s">
        <v>57</v>
      </c>
    </row>
    <row r="275" spans="1:77">
      <c r="A275" t="str">
        <f>HYPERLINK("http://exon.niaid.nih.gov/transcriptome/T_rubida/S1/links/Triru/Triru-contig_635.txt","Triru-contig_635")</f>
        <v>Triru-contig_635</v>
      </c>
      <c r="B275">
        <v>1</v>
      </c>
      <c r="C275" t="str">
        <f>HYPERLINK("http://exon.niaid.nih.gov/transcriptome/T_rubida/S1/links/Triru/Triru-5-48-asb-635.txt","Contig-635")</f>
        <v>Contig-635</v>
      </c>
      <c r="D275" t="str">
        <f>HYPERLINK("http://exon.niaid.nih.gov/transcriptome/T_rubida/S1/links/Triru/Triru-5-48-635-CLU.txt","Contig635")</f>
        <v>Contig635</v>
      </c>
      <c r="E275" t="str">
        <f>HYPERLINK("http://exon.niaid.nih.gov/transcriptome/T_rubida/S1/links/Triru/Triru-5-48-635-qual.txt","15.1")</f>
        <v>15.1</v>
      </c>
      <c r="F275">
        <v>3.1</v>
      </c>
      <c r="G275">
        <v>44.5</v>
      </c>
      <c r="H275" t="s">
        <v>57</v>
      </c>
      <c r="I275" t="s">
        <v>647</v>
      </c>
      <c r="J275" t="s">
        <v>57</v>
      </c>
      <c r="K275">
        <v>490</v>
      </c>
      <c r="L275">
        <v>333</v>
      </c>
      <c r="M275" t="s">
        <v>5297</v>
      </c>
      <c r="N275" s="15">
        <v>1</v>
      </c>
      <c r="Q275" s="5" t="s">
        <v>5028</v>
      </c>
      <c r="R275" t="s">
        <v>4867</v>
      </c>
      <c r="S275" t="str">
        <f>HYPERLINK("http://exon.niaid.nih.gov/transcriptome/T_rubida/S1/links/KOG/Triru-contig_635-KOG.txt","KOG")</f>
        <v>KOG</v>
      </c>
      <c r="T275" s="23">
        <v>1E-8</v>
      </c>
      <c r="U275">
        <v>8.8000000000000007</v>
      </c>
      <c r="V275" s="1" t="str">
        <f>HYPERLINK("http://exon.niaid.nih.gov/transcriptome/T_rubida/S1/links/NR/Triru-contig_635-NR.txt","hypothetical protein BATDEDRAFT_89642")</f>
        <v>hypothetical protein BATDEDRAFT_89642</v>
      </c>
      <c r="W275" t="str">
        <f>HYPERLINK("http://www.ncbi.nlm.nih.gov/sutils/blink.cgi?pid=328769524","9E-008")</f>
        <v>9E-008</v>
      </c>
      <c r="X275" t="str">
        <f>HYPERLINK("http://www.ncbi.nlm.nih.gov/protein/328769524","gi|328769524")</f>
        <v>gi|328769524</v>
      </c>
      <c r="Y275">
        <v>60.5</v>
      </c>
      <c r="Z275">
        <v>114</v>
      </c>
      <c r="AA275">
        <v>1316</v>
      </c>
      <c r="AB275">
        <v>40</v>
      </c>
      <c r="AC275">
        <v>9</v>
      </c>
      <c r="AD275">
        <v>64</v>
      </c>
      <c r="AE275">
        <v>3</v>
      </c>
      <c r="AF275">
        <v>567</v>
      </c>
      <c r="AG275">
        <v>173</v>
      </c>
      <c r="AH275">
        <v>4</v>
      </c>
      <c r="AI275">
        <v>2</v>
      </c>
      <c r="AJ275" t="s">
        <v>888</v>
      </c>
      <c r="AL275" t="s">
        <v>4693</v>
      </c>
      <c r="AM275" t="s">
        <v>4694</v>
      </c>
      <c r="AN275" t="s">
        <v>4695</v>
      </c>
      <c r="AO275" s="1" t="str">
        <f>HYPERLINK("http://exon.niaid.nih.gov/transcriptome/T_rubida/S1/links/SWISSP/Triru-contig_635-SWISSP.txt","WW domain-binding protein 11")</f>
        <v>WW domain-binding protein 11</v>
      </c>
      <c r="AP275" t="str">
        <f>HYPERLINK("http://www.uniprot.org/uniprot/Q6P0D5","5E-007")</f>
        <v>5E-007</v>
      </c>
      <c r="AQ275" t="s">
        <v>4696</v>
      </c>
      <c r="AR275">
        <v>53.9</v>
      </c>
      <c r="AS275">
        <v>342</v>
      </c>
      <c r="AT275">
        <v>36</v>
      </c>
      <c r="AU275">
        <v>54</v>
      </c>
      <c r="AV275">
        <v>72</v>
      </c>
      <c r="AW275">
        <v>7</v>
      </c>
      <c r="AX275">
        <v>186</v>
      </c>
      <c r="AY275">
        <v>173</v>
      </c>
      <c r="AZ275">
        <v>9</v>
      </c>
      <c r="BA275">
        <v>2</v>
      </c>
      <c r="BB275" t="s">
        <v>888</v>
      </c>
      <c r="BD275" t="s">
        <v>704</v>
      </c>
      <c r="BE275" t="s">
        <v>1556</v>
      </c>
      <c r="BF275" t="s">
        <v>4697</v>
      </c>
      <c r="BG275" t="s">
        <v>4698</v>
      </c>
      <c r="BH275" s="1" t="s">
        <v>4699</v>
      </c>
      <c r="BI275">
        <f>HYPERLINK("http://exon.niaid.nih.gov/transcriptome/T_rubida/S1/links/GO/Triru-contig_635-GO.txt",0.00000003)</f>
        <v>2.9999999999999997E-8</v>
      </c>
      <c r="BJ275" s="1" t="str">
        <f>HYPERLINK("http://exon.niaid.nih.gov/transcriptome/T_rubida/S1/links/CDD/Triru-contig_635-CDD.txt","Drf_FH1")</f>
        <v>Drf_FH1</v>
      </c>
      <c r="BK275" t="str">
        <f>HYPERLINK("http://www.ncbi.nlm.nih.gov/Structure/cdd/cddsrv.cgi?uid=pfam06346&amp;version=v4.0","8E-006")</f>
        <v>8E-006</v>
      </c>
      <c r="BL275" t="s">
        <v>4700</v>
      </c>
      <c r="BM275" s="1" t="str">
        <f>HYPERLINK("http://exon.niaid.nih.gov/transcriptome/T_rubida/S1/links/KOG/Triru-contig_635-KOG.txt","RhoA GTPase effector DIA/Diaphanous")</f>
        <v>RhoA GTPase effector DIA/Diaphanous</v>
      </c>
      <c r="BN275" t="str">
        <f>HYPERLINK("http://www.ncbi.nlm.nih.gov/COG/grace/shokog.cgi?KOG1924","1E-008")</f>
        <v>1E-008</v>
      </c>
      <c r="BO275" t="s">
        <v>923</v>
      </c>
      <c r="BP275" s="1" t="str">
        <f>HYPERLINK("http://exon.niaid.nih.gov/transcriptome/T_rubida/S1/links/PFAM/Triru-contig_635-PFAM.txt","Drf_FH1")</f>
        <v>Drf_FH1</v>
      </c>
      <c r="BQ275" t="str">
        <f>HYPERLINK("http://pfam.sanger.ac.uk/family?acc=PF06346","2E-006")</f>
        <v>2E-006</v>
      </c>
      <c r="BR275" s="1" t="str">
        <f>HYPERLINK("http://exon.niaid.nih.gov/transcriptome/T_rubida/S1/links/SMART/Triru-contig_635-SMART.txt","PRP")</f>
        <v>PRP</v>
      </c>
      <c r="BS275" t="str">
        <f>HYPERLINK("http://smart.embl-heidelberg.de/smart/do_annotation.pl?DOMAIN=PRP&amp;BLAST=DUMMY","1E-004")</f>
        <v>1E-004</v>
      </c>
      <c r="BT275" s="1" t="str">
        <f>HYPERLINK("http://exon.niaid.nih.gov/transcriptome/T_rubida/S1/links/PRK/Triru-contig_635-PRK.txt","E4 protein")</f>
        <v>E4 protein</v>
      </c>
      <c r="BU275" s="2">
        <v>1.0000000000000001E-5</v>
      </c>
      <c r="BV275" s="1" t="s">
        <v>57</v>
      </c>
      <c r="BW275" t="s">
        <v>57</v>
      </c>
      <c r="BX275" s="1" t="s">
        <v>57</v>
      </c>
      <c r="BY275" t="s">
        <v>57</v>
      </c>
    </row>
    <row r="276" spans="1:77">
      <c r="A276" t="str">
        <f>HYPERLINK("http://exon.niaid.nih.gov/transcriptome/T_rubida/S1/links/Triru/Triru-contig_587.txt","Triru-contig_587")</f>
        <v>Triru-contig_587</v>
      </c>
      <c r="B276">
        <v>1</v>
      </c>
      <c r="C276" t="str">
        <f>HYPERLINK("http://exon.niaid.nih.gov/transcriptome/T_rubida/S1/links/Triru/Triru-5-48-asb-587.txt","Contig-587")</f>
        <v>Contig-587</v>
      </c>
      <c r="D276" t="str">
        <f>HYPERLINK("http://exon.niaid.nih.gov/transcriptome/T_rubida/S1/links/Triru/Triru-5-48-587-CLU.txt","Contig587")</f>
        <v>Contig587</v>
      </c>
      <c r="E276" t="str">
        <f>HYPERLINK("http://exon.niaid.nih.gov/transcriptome/T_rubida/S1/links/Triru/Triru-5-48-587-qual.txt","59.8")</f>
        <v>59.8</v>
      </c>
      <c r="F276" t="s">
        <v>10</v>
      </c>
      <c r="G276">
        <v>60.8</v>
      </c>
      <c r="H276">
        <v>650</v>
      </c>
      <c r="I276" t="s">
        <v>599</v>
      </c>
      <c r="J276">
        <v>650</v>
      </c>
      <c r="K276">
        <v>669</v>
      </c>
      <c r="L276">
        <v>618</v>
      </c>
      <c r="M276" t="s">
        <v>5298</v>
      </c>
      <c r="N276" s="15">
        <v>2</v>
      </c>
      <c r="O276" s="14" t="str">
        <f>HYPERLINK("http://exon.niaid.nih.gov/transcriptome/T_rubida/S1/links/Sigp/TRIRU-CONTIG_587-SigP.txt","SIG")</f>
        <v>SIG</v>
      </c>
      <c r="P276" t="s">
        <v>5061</v>
      </c>
      <c r="Q276" s="5" t="s">
        <v>5019</v>
      </c>
      <c r="R276" t="s">
        <v>4867</v>
      </c>
      <c r="S276" t="str">
        <f>HYPERLINK("http://exon.niaid.nih.gov/transcriptome/T_rubida/S1/links/KOG/Triru-contig_587-KOG.txt","KOG")</f>
        <v>KOG</v>
      </c>
      <c r="T276" s="23">
        <v>9.9999999999999994E-30</v>
      </c>
      <c r="U276">
        <v>38.9</v>
      </c>
      <c r="V276" s="1" t="str">
        <f>HYPERLINK("http://exon.niaid.nih.gov/transcriptome/T_rubida/S1/links/NR/Triru-contig_587-NR.txt","similar to UBX domain containing 2")</f>
        <v>similar to UBX domain containing 2</v>
      </c>
      <c r="W276" t="str">
        <f>HYPERLINK("http://www.ncbi.nlm.nih.gov/sutils/blink.cgi?pid=91085705","2E-034")</f>
        <v>2E-034</v>
      </c>
      <c r="X276" t="str">
        <f>HYPERLINK("http://www.ncbi.nlm.nih.gov/protein/91085705","gi|91085705")</f>
        <v>gi|91085705</v>
      </c>
      <c r="Y276">
        <v>149</v>
      </c>
      <c r="Z276">
        <v>190</v>
      </c>
      <c r="AA276">
        <v>460</v>
      </c>
      <c r="AB276">
        <v>41</v>
      </c>
      <c r="AC276">
        <v>42</v>
      </c>
      <c r="AD276">
        <v>118</v>
      </c>
      <c r="AE276">
        <v>2</v>
      </c>
      <c r="AF276">
        <v>270</v>
      </c>
      <c r="AG276">
        <v>23</v>
      </c>
      <c r="AH276">
        <v>1</v>
      </c>
      <c r="AI276">
        <v>2</v>
      </c>
      <c r="AJ276" t="s">
        <v>11</v>
      </c>
      <c r="AL276" t="s">
        <v>1483</v>
      </c>
      <c r="AM276" t="s">
        <v>4426</v>
      </c>
      <c r="AN276" t="s">
        <v>4427</v>
      </c>
      <c r="AO276" s="1" t="str">
        <f>HYPERLINK("http://exon.niaid.nih.gov/transcriptome/T_rubida/S1/links/SWISSP/Triru-contig_587-SWISSP.txt","UBX domain-containing protein 4")</f>
        <v>UBX domain-containing protein 4</v>
      </c>
      <c r="AP276" t="str">
        <f>HYPERLINK("http://www.uniprot.org/uniprot/Q8VCH8","3E-030")</f>
        <v>3E-030</v>
      </c>
      <c r="AQ276" t="s">
        <v>4428</v>
      </c>
      <c r="AR276">
        <v>132</v>
      </c>
      <c r="AS276">
        <v>191</v>
      </c>
      <c r="AT276">
        <v>39</v>
      </c>
      <c r="AU276">
        <v>38</v>
      </c>
      <c r="AV276">
        <v>120</v>
      </c>
      <c r="AW276">
        <v>5</v>
      </c>
      <c r="AX276">
        <v>315</v>
      </c>
      <c r="AY276">
        <v>44</v>
      </c>
      <c r="AZ276">
        <v>1</v>
      </c>
      <c r="BA276">
        <v>2</v>
      </c>
      <c r="BB276" t="s">
        <v>11</v>
      </c>
      <c r="BD276" t="s">
        <v>704</v>
      </c>
      <c r="BE276" t="s">
        <v>807</v>
      </c>
      <c r="BF276" t="s">
        <v>4429</v>
      </c>
      <c r="BG276" t="s">
        <v>4430</v>
      </c>
      <c r="BH276" s="1" t="s">
        <v>4431</v>
      </c>
      <c r="BI276">
        <f>HYPERLINK("http://exon.niaid.nih.gov/transcriptome/T_rubida/S1/links/GO/Triru-contig_587-GO.txt",2E-30)</f>
        <v>2.0000000000000002E-30</v>
      </c>
      <c r="BJ276" s="1" t="str">
        <f>HYPERLINK("http://exon.niaid.nih.gov/transcriptome/T_rubida/S1/links/CDD/Triru-contig_587-CDD.txt","UBX")</f>
        <v>UBX</v>
      </c>
      <c r="BK276" t="str">
        <f>HYPERLINK("http://www.ncbi.nlm.nih.gov/Structure/cdd/cddsrv.cgi?uid=smart00166&amp;version=v4.0","1E-015")</f>
        <v>1E-015</v>
      </c>
      <c r="BL276" t="s">
        <v>4432</v>
      </c>
      <c r="BM276" s="1" t="str">
        <f>HYPERLINK("http://exon.niaid.nih.gov/transcriptome/T_rubida/S1/links/KOG/Triru-contig_587-KOG.txt","Ubiquitin regulatory protein UBXD2, contains UAS and UBX domains")</f>
        <v>Ubiquitin regulatory protein UBXD2, contains UAS and UBX domains</v>
      </c>
      <c r="BN276" t="str">
        <f>HYPERLINK("http://www.ncbi.nlm.nih.gov/COG/grace/shokog.cgi?KOG2507","1E-029")</f>
        <v>1E-029</v>
      </c>
      <c r="BO276" t="s">
        <v>750</v>
      </c>
      <c r="BP276" s="1" t="str">
        <f>HYPERLINK("http://exon.niaid.nih.gov/transcriptome/T_rubida/S1/links/PFAM/Triru-contig_587-PFAM.txt","UBX")</f>
        <v>UBX</v>
      </c>
      <c r="BQ276" t="str">
        <f>HYPERLINK("http://pfam.sanger.ac.uk/family?acc=PF00789","2E-013")</f>
        <v>2E-013</v>
      </c>
      <c r="BR276" s="1" t="str">
        <f>HYPERLINK("http://exon.niaid.nih.gov/transcriptome/T_rubida/S1/links/SMART/Triru-contig_587-SMART.txt","UBX")</f>
        <v>UBX</v>
      </c>
      <c r="BS276" t="str">
        <f>HYPERLINK("http://smart.embl-heidelberg.de/smart/do_annotation.pl?DOMAIN=UBX&amp;BLAST=DUMMY","1E-017")</f>
        <v>1E-017</v>
      </c>
      <c r="BT276" s="1" t="str">
        <f>HYPERLINK("http://exon.niaid.nih.gov/transcriptome/T_rubida/S1/links/PRK/Triru-contig_587-PRK.txt","sulfate/thiosulfate transporter permease subunit")</f>
        <v>sulfate/thiosulfate transporter permease subunit</v>
      </c>
      <c r="BU276">
        <v>0.13</v>
      </c>
      <c r="BV276" s="1" t="s">
        <v>57</v>
      </c>
      <c r="BW276" t="s">
        <v>57</v>
      </c>
      <c r="BX276" s="1" t="s">
        <v>57</v>
      </c>
      <c r="BY276" t="s">
        <v>57</v>
      </c>
    </row>
    <row r="277" spans="1:77">
      <c r="A277" t="str">
        <f>HYPERLINK("http://exon.niaid.nih.gov/transcriptome/T_rubida/S1/links/Triru/Triru-contig_417.txt","Triru-contig_417")</f>
        <v>Triru-contig_417</v>
      </c>
      <c r="B277">
        <v>1</v>
      </c>
      <c r="C277" t="str">
        <f>HYPERLINK("http://exon.niaid.nih.gov/transcriptome/T_rubida/S1/links/Triru/Triru-5-48-asb-417.txt","Contig-417")</f>
        <v>Contig-417</v>
      </c>
      <c r="D277" t="str">
        <f>HYPERLINK("http://exon.niaid.nih.gov/transcriptome/T_rubida/S1/links/Triru/Triru-5-48-417-CLU.txt","Contig417")</f>
        <v>Contig417</v>
      </c>
      <c r="E277" t="str">
        <f>HYPERLINK("http://exon.niaid.nih.gov/transcriptome/T_rubida/S1/links/Triru/Triru-5-48-417-qual.txt","62.9")</f>
        <v>62.9</v>
      </c>
      <c r="F277" t="s">
        <v>10</v>
      </c>
      <c r="G277">
        <v>67.900000000000006</v>
      </c>
      <c r="H277">
        <v>371</v>
      </c>
      <c r="I277" t="s">
        <v>429</v>
      </c>
      <c r="J277">
        <v>371</v>
      </c>
      <c r="K277">
        <v>390</v>
      </c>
      <c r="L277">
        <v>255</v>
      </c>
      <c r="M277" t="s">
        <v>5299</v>
      </c>
      <c r="N277" s="15">
        <v>2</v>
      </c>
      <c r="O277" s="14" t="str">
        <f>HYPERLINK("http://exon.niaid.nih.gov/transcriptome/T_rubida/S1/links/Sigp/TRIRU-CONTIG_417-SigP.txt","Cyt")</f>
        <v>Cyt</v>
      </c>
      <c r="Q277" s="5" t="s">
        <v>4959</v>
      </c>
      <c r="R277" t="s">
        <v>4845</v>
      </c>
      <c r="S277" t="str">
        <f>HYPERLINK("http://exon.niaid.nih.gov/transcriptome/T_rubida/S1/links/NR/Triru-contig_417-NR.txt","NR")</f>
        <v>NR</v>
      </c>
      <c r="T277" s="23">
        <v>8.0000000000000007E-30</v>
      </c>
      <c r="U277">
        <v>44.6</v>
      </c>
      <c r="V277" s="1" t="str">
        <f>HYPERLINK("http://exon.niaid.nih.gov/transcriptome/T_rubida/S1/links/NR/Triru-contig_417-NR.txt","apoptosis-linked protein 2")</f>
        <v>apoptosis-linked protein 2</v>
      </c>
      <c r="W277" t="str">
        <f>HYPERLINK("http://www.ncbi.nlm.nih.gov/sutils/blink.cgi?pid=124365239","8E-030")</f>
        <v>8E-030</v>
      </c>
      <c r="X277" t="str">
        <f>HYPERLINK("http://www.ncbi.nlm.nih.gov/protein/124365239","gi|124365239")</f>
        <v>gi|124365239</v>
      </c>
      <c r="Y277">
        <v>133</v>
      </c>
      <c r="Z277">
        <v>151</v>
      </c>
      <c r="AA277">
        <v>177</v>
      </c>
      <c r="AB277">
        <v>78</v>
      </c>
      <c r="AC277">
        <v>86</v>
      </c>
      <c r="AD277">
        <v>17</v>
      </c>
      <c r="AE277">
        <v>0</v>
      </c>
      <c r="AF277">
        <v>26</v>
      </c>
      <c r="AG277">
        <v>2</v>
      </c>
      <c r="AH277">
        <v>2</v>
      </c>
      <c r="AI277">
        <v>2</v>
      </c>
      <c r="AJ277" t="s">
        <v>11</v>
      </c>
      <c r="AL277" t="s">
        <v>1289</v>
      </c>
      <c r="AM277" t="s">
        <v>3302</v>
      </c>
      <c r="AN277" t="s">
        <v>3303</v>
      </c>
      <c r="AO277" s="1" t="str">
        <f>HYPERLINK("http://exon.niaid.nih.gov/transcriptome/T_rubida/S1/links/SWISSP/Triru-contig_417-SWISSP.txt","Programmed cell death protein 6")</f>
        <v>Programmed cell death protein 6</v>
      </c>
      <c r="AP277" t="str">
        <f>HYPERLINK("http://www.uniprot.org/uniprot/P12815","2E-021")</f>
        <v>2E-021</v>
      </c>
      <c r="AQ277" t="s">
        <v>3304</v>
      </c>
      <c r="AR277">
        <v>100</v>
      </c>
      <c r="AS277">
        <v>149</v>
      </c>
      <c r="AT277">
        <v>59</v>
      </c>
      <c r="AU277">
        <v>79</v>
      </c>
      <c r="AV277">
        <v>34</v>
      </c>
      <c r="AW277">
        <v>0</v>
      </c>
      <c r="AX277">
        <v>41</v>
      </c>
      <c r="AY277">
        <v>2</v>
      </c>
      <c r="AZ277">
        <v>2</v>
      </c>
      <c r="BA277">
        <v>2</v>
      </c>
      <c r="BB277" t="s">
        <v>11</v>
      </c>
      <c r="BD277" t="s">
        <v>704</v>
      </c>
      <c r="BE277" t="s">
        <v>807</v>
      </c>
      <c r="BF277" t="s">
        <v>3305</v>
      </c>
      <c r="BG277" t="s">
        <v>3306</v>
      </c>
      <c r="BH277" s="1" t="s">
        <v>3307</v>
      </c>
      <c r="BI277">
        <f>HYPERLINK("http://exon.niaid.nih.gov/transcriptome/T_rubida/S1/links/GO/Triru-contig_417-GO.txt",1E-22)</f>
        <v>1E-22</v>
      </c>
      <c r="BJ277" s="1" t="str">
        <f>HYPERLINK("http://exon.niaid.nih.gov/transcriptome/T_rubida/S1/links/CDD/Triru-contig_417-CDD.txt","FRQ1")</f>
        <v>FRQ1</v>
      </c>
      <c r="BK277" t="str">
        <f>HYPERLINK("http://www.ncbi.nlm.nih.gov/Structure/cdd/cddsrv.cgi?uid=COG5126&amp;version=v4.0","9E-005")</f>
        <v>9E-005</v>
      </c>
      <c r="BL277" t="s">
        <v>3308</v>
      </c>
      <c r="BM277" s="1" t="str">
        <f>HYPERLINK("http://exon.niaid.nih.gov/transcriptome/T_rubida/S1/links/KOG/Triru-contig_417-KOG.txt","Ca2+-binding protein, EF-Hand protein superfamily")</f>
        <v>Ca2+-binding protein, EF-Hand protein superfamily</v>
      </c>
      <c r="BN277" t="str">
        <f>HYPERLINK("http://www.ncbi.nlm.nih.gov/COG/grace/shokog.cgi?KOG0037","7E-026")</f>
        <v>7E-026</v>
      </c>
      <c r="BO277" t="s">
        <v>728</v>
      </c>
      <c r="BP277" s="1" t="str">
        <f>HYPERLINK("http://exon.niaid.nih.gov/transcriptome/T_rubida/S1/links/PFAM/Triru-contig_417-PFAM.txt","efhand")</f>
        <v>efhand</v>
      </c>
      <c r="BQ277" t="str">
        <f>HYPERLINK("http://pfam.sanger.ac.uk/family?acc=PF00036","0.012")</f>
        <v>0.012</v>
      </c>
      <c r="BR277" s="1" t="str">
        <f>HYPERLINK("http://exon.niaid.nih.gov/transcriptome/T_rubida/S1/links/SMART/Triru-contig_417-SMART.txt","EFh")</f>
        <v>EFh</v>
      </c>
      <c r="BS277" t="str">
        <f>HYPERLINK("http://smart.embl-heidelberg.de/smart/do_annotation.pl?DOMAIN=EFh&amp;BLAST=DUMMY","0.004")</f>
        <v>0.004</v>
      </c>
      <c r="BT277" s="1" t="str">
        <f>HYPERLINK("http://exon.niaid.nih.gov/transcriptome/T_rubida/S1/links/PRK/Triru-contig_417-PRK.txt","centrin")</f>
        <v>centrin</v>
      </c>
      <c r="BU277">
        <v>6.0000000000000001E-3</v>
      </c>
      <c r="BV277" s="1" t="s">
        <v>57</v>
      </c>
      <c r="BW277" t="s">
        <v>57</v>
      </c>
      <c r="BX277" s="1" t="s">
        <v>57</v>
      </c>
      <c r="BY277" t="s">
        <v>57</v>
      </c>
    </row>
    <row r="278" spans="1:77">
      <c r="A278" t="str">
        <f>HYPERLINK("http://exon.niaid.nih.gov/transcriptome/T_rubida/S1/links/Triru/Triru-contig_422.txt","Triru-contig_422")</f>
        <v>Triru-contig_422</v>
      </c>
      <c r="B278">
        <v>1</v>
      </c>
      <c r="C278" t="str">
        <f>HYPERLINK("http://exon.niaid.nih.gov/transcriptome/T_rubida/S1/links/Triru/Triru-5-48-asb-422.txt","Contig-422")</f>
        <v>Contig-422</v>
      </c>
      <c r="D278" t="str">
        <f>HYPERLINK("http://exon.niaid.nih.gov/transcriptome/T_rubida/S1/links/Triru/Triru-5-48-422-CLU.txt","Contig422")</f>
        <v>Contig422</v>
      </c>
      <c r="E278" t="str">
        <f>HYPERLINK("http://exon.niaid.nih.gov/transcriptome/T_rubida/S1/links/Triru/Triru-5-48-422-qual.txt","64.7")</f>
        <v>64.7</v>
      </c>
      <c r="F278" t="s">
        <v>10</v>
      </c>
      <c r="G278">
        <v>65.3</v>
      </c>
      <c r="H278">
        <v>453</v>
      </c>
      <c r="I278" t="s">
        <v>434</v>
      </c>
      <c r="J278">
        <v>453</v>
      </c>
      <c r="K278">
        <v>472</v>
      </c>
      <c r="L278">
        <v>279</v>
      </c>
      <c r="M278" t="s">
        <v>5300</v>
      </c>
      <c r="N278" s="15">
        <v>1</v>
      </c>
      <c r="O278" s="14" t="str">
        <f>HYPERLINK("http://exon.niaid.nih.gov/transcriptome/T_rubida/S1/links/Sigp/TRIRU-CONTIG_422-SigP.txt","Cyt")</f>
        <v>Cyt</v>
      </c>
      <c r="Q278" s="5" t="s">
        <v>4962</v>
      </c>
      <c r="R278" t="s">
        <v>4845</v>
      </c>
      <c r="S278" t="str">
        <f>HYPERLINK("http://exon.niaid.nih.gov/transcriptome/T_rubida/S1/links/GO/Triru-contig_422-GO.txt","GO")</f>
        <v>GO</v>
      </c>
      <c r="T278" s="23">
        <v>2E-46</v>
      </c>
      <c r="U278">
        <v>100</v>
      </c>
      <c r="V278" s="1" t="str">
        <f>HYPERLINK("http://exon.niaid.nih.gov/transcriptome/T_rubida/S1/links/NR/Triru-contig_422-NR.txt","hypothetical protein TcasGA2_TC015765")</f>
        <v>hypothetical protein TcasGA2_TC015765</v>
      </c>
      <c r="W278" t="str">
        <f>HYPERLINK("http://www.ncbi.nlm.nih.gov/sutils/blink.cgi?pid=270009128","2E-045")</f>
        <v>2E-045</v>
      </c>
      <c r="X278" t="str">
        <f>HYPERLINK("http://www.ncbi.nlm.nih.gov/protein/270009128","gi|270009128")</f>
        <v>gi|270009128</v>
      </c>
      <c r="Y278">
        <v>185</v>
      </c>
      <c r="Z278">
        <v>89</v>
      </c>
      <c r="AA278">
        <v>157</v>
      </c>
      <c r="AB278">
        <v>96</v>
      </c>
      <c r="AC278">
        <v>57</v>
      </c>
      <c r="AD278">
        <v>3</v>
      </c>
      <c r="AE278">
        <v>0</v>
      </c>
      <c r="AF278">
        <v>68</v>
      </c>
      <c r="AG278">
        <v>133</v>
      </c>
      <c r="AH278">
        <v>1</v>
      </c>
      <c r="AI278">
        <v>1</v>
      </c>
      <c r="AJ278" t="s">
        <v>11</v>
      </c>
      <c r="AL278" t="s">
        <v>1483</v>
      </c>
      <c r="AM278" t="s">
        <v>3339</v>
      </c>
      <c r="AN278" t="s">
        <v>3340</v>
      </c>
      <c r="AO278" s="1" t="str">
        <f>HYPERLINK("http://exon.niaid.nih.gov/transcriptome/T_rubida/S1/links/SWISSP/Triru-contig_422-SWISSP.txt","Dynein light chain 1, cytoplasmic")</f>
        <v>Dynein light chain 1, cytoplasmic</v>
      </c>
      <c r="AP278" t="str">
        <f>HYPERLINK("http://www.uniprot.org/uniprot/Q24117","3E-046")</f>
        <v>3E-046</v>
      </c>
      <c r="AQ278" t="s">
        <v>3341</v>
      </c>
      <c r="AR278">
        <v>184</v>
      </c>
      <c r="AS278">
        <v>88</v>
      </c>
      <c r="AT278">
        <v>97</v>
      </c>
      <c r="AU278">
        <v>100</v>
      </c>
      <c r="AV278">
        <v>2</v>
      </c>
      <c r="AW278">
        <v>0</v>
      </c>
      <c r="AX278">
        <v>1</v>
      </c>
      <c r="AY278">
        <v>136</v>
      </c>
      <c r="AZ278">
        <v>1</v>
      </c>
      <c r="BA278">
        <v>1</v>
      </c>
      <c r="BB278" t="s">
        <v>11</v>
      </c>
      <c r="BD278" t="s">
        <v>704</v>
      </c>
      <c r="BE278" t="s">
        <v>1125</v>
      </c>
      <c r="BF278" t="s">
        <v>3342</v>
      </c>
      <c r="BG278" t="s">
        <v>3343</v>
      </c>
      <c r="BH278" s="1" t="s">
        <v>3344</v>
      </c>
      <c r="BI278">
        <f>HYPERLINK("http://exon.niaid.nih.gov/transcriptome/T_rubida/S1/links/GO/Triru-contig_422-GO.txt",2E-46)</f>
        <v>2E-46</v>
      </c>
      <c r="BJ278" s="1" t="str">
        <f>HYPERLINK("http://exon.niaid.nih.gov/transcriptome/T_rubida/S1/links/CDD/Triru-contig_422-CDD.txt","PTZ00059")</f>
        <v>PTZ00059</v>
      </c>
      <c r="BK278" t="str">
        <f>HYPERLINK("http://www.ncbi.nlm.nih.gov/Structure/cdd/cddsrv.cgi?uid=PTZ00059&amp;version=v4.0","3E-055")</f>
        <v>3E-055</v>
      </c>
      <c r="BL278" t="s">
        <v>3345</v>
      </c>
      <c r="BM278" s="1" t="str">
        <f>HYPERLINK("http://exon.niaid.nih.gov/transcriptome/T_rubida/S1/links/KOG/Triru-contig_422-KOG.txt","Dynein light chain type 1")</f>
        <v>Dynein light chain type 1</v>
      </c>
      <c r="BN278" t="str">
        <f>HYPERLINK("http://www.ncbi.nlm.nih.gov/COG/grace/shokog.cgi?KOG3430","1E-038")</f>
        <v>1E-038</v>
      </c>
      <c r="BO278" t="s">
        <v>867</v>
      </c>
      <c r="BP278" s="1" t="str">
        <f>HYPERLINK("http://exon.niaid.nih.gov/transcriptome/T_rubida/S1/links/PFAM/Triru-contig_422-PFAM.txt","Dynein_light")</f>
        <v>Dynein_light</v>
      </c>
      <c r="BQ278" t="str">
        <f>HYPERLINK("http://pfam.sanger.ac.uk/family?acc=PF01221","7E-051")</f>
        <v>7E-051</v>
      </c>
      <c r="BR278" s="1" t="str">
        <f>HYPERLINK("http://exon.niaid.nih.gov/transcriptome/T_rubida/S1/links/SMART/Triru-contig_422-SMART.txt","PSN")</f>
        <v>PSN</v>
      </c>
      <c r="BS278" t="str">
        <f>HYPERLINK("http://smart.embl-heidelberg.de/smart/do_annotation.pl?DOMAIN=PSN&amp;BLAST=DUMMY","0.003")</f>
        <v>0.003</v>
      </c>
      <c r="BT278" s="1" t="str">
        <f>HYPERLINK("http://exon.niaid.nih.gov/transcriptome/T_rubida/S1/links/PRK/Triru-contig_422-PRK.txt","dynein light chain")</f>
        <v>dynein light chain</v>
      </c>
      <c r="BU278" s="2">
        <v>9.9999999999999999E-56</v>
      </c>
      <c r="BV278" s="1" t="s">
        <v>57</v>
      </c>
      <c r="BW278" t="s">
        <v>57</v>
      </c>
      <c r="BX278" s="1" t="s">
        <v>57</v>
      </c>
      <c r="BY278" t="s">
        <v>57</v>
      </c>
    </row>
    <row r="279" spans="1:77">
      <c r="A279" t="str">
        <f>HYPERLINK("http://exon.niaid.nih.gov/transcriptome/T_rubida/S1/links/Triru/Triru-contig_537.txt","Triru-contig_537")</f>
        <v>Triru-contig_537</v>
      </c>
      <c r="B279">
        <v>1</v>
      </c>
      <c r="C279" t="str">
        <f>HYPERLINK("http://exon.niaid.nih.gov/transcriptome/T_rubida/S1/links/Triru/Triru-5-48-asb-537.txt","Contig-537")</f>
        <v>Contig-537</v>
      </c>
      <c r="D279" t="str">
        <f>HYPERLINK("http://exon.niaid.nih.gov/transcriptome/T_rubida/S1/links/Triru/Triru-5-48-537-CLU.txt","Contig537")</f>
        <v>Contig537</v>
      </c>
      <c r="E279" t="str">
        <f>HYPERLINK("http://exon.niaid.nih.gov/transcriptome/T_rubida/S1/links/Triru/Triru-5-48-537-qual.txt","64.4")</f>
        <v>64.4</v>
      </c>
      <c r="F279" t="s">
        <v>10</v>
      </c>
      <c r="G279">
        <v>69</v>
      </c>
      <c r="H279">
        <v>401</v>
      </c>
      <c r="I279" t="s">
        <v>549</v>
      </c>
      <c r="J279">
        <v>401</v>
      </c>
      <c r="K279">
        <v>420</v>
      </c>
      <c r="L279">
        <v>327</v>
      </c>
      <c r="M279" t="s">
        <v>5301</v>
      </c>
      <c r="N279" s="15">
        <v>3</v>
      </c>
      <c r="Q279" s="5" t="s">
        <v>5004</v>
      </c>
      <c r="R279" t="s">
        <v>4845</v>
      </c>
      <c r="S279" t="str">
        <f>HYPERLINK("http://exon.niaid.nih.gov/transcriptome/T_rubida/S1/links/KOG/Triru-contig_537-KOG.txt","KOG")</f>
        <v>KOG</v>
      </c>
      <c r="T279" s="23">
        <v>8.9999999999999998E-48</v>
      </c>
      <c r="U279">
        <v>93.9</v>
      </c>
      <c r="V279" s="1" t="str">
        <f>HYPERLINK("http://exon.niaid.nih.gov/transcriptome/T_rubida/S1/links/NR/Triru-contig_537-NR.txt","similar to CG13393 CG13393-PA")</f>
        <v>similar to CG13393 CG13393-PA</v>
      </c>
      <c r="W279" t="str">
        <f>HYPERLINK("http://www.ncbi.nlm.nih.gov/sutils/blink.cgi?pid=91093935","3E-044")</f>
        <v>3E-044</v>
      </c>
      <c r="X279" t="str">
        <f>HYPERLINK("http://www.ncbi.nlm.nih.gov/protein/91093935","gi|91093935")</f>
        <v>gi|91093935</v>
      </c>
      <c r="Y279">
        <v>181</v>
      </c>
      <c r="Z279">
        <v>106</v>
      </c>
      <c r="AA279">
        <v>112</v>
      </c>
      <c r="AB279">
        <v>80</v>
      </c>
      <c r="AC279">
        <v>96</v>
      </c>
      <c r="AD279">
        <v>21</v>
      </c>
      <c r="AE279">
        <v>0</v>
      </c>
      <c r="AF279">
        <v>6</v>
      </c>
      <c r="AG279">
        <v>9</v>
      </c>
      <c r="AH279">
        <v>1</v>
      </c>
      <c r="AI279">
        <v>3</v>
      </c>
      <c r="AJ279" t="s">
        <v>11</v>
      </c>
      <c r="AL279" t="s">
        <v>1483</v>
      </c>
      <c r="AM279" t="s">
        <v>4108</v>
      </c>
      <c r="AN279" t="s">
        <v>4109</v>
      </c>
      <c r="AO279" s="1" t="str">
        <f>HYPERLINK("http://exon.niaid.nih.gov/transcriptome/T_rubida/S1/links/SWISSP/Triru-contig_537-SWISSP.txt","Dolichyl-diphosphooligosaccharide--protein glycosyltransferase subunit DAD1")</f>
        <v>Dolichyl-diphosphooligosaccharide--protein glycosyltransferase subunit DAD1</v>
      </c>
      <c r="AP279" t="str">
        <f>HYPERLINK("http://www.uniprot.org/uniprot/Q9VLM5","7E-044")</f>
        <v>7E-044</v>
      </c>
      <c r="AQ279" t="s">
        <v>4110</v>
      </c>
      <c r="AR279">
        <v>175</v>
      </c>
      <c r="AS279">
        <v>107</v>
      </c>
      <c r="AT279">
        <v>75</v>
      </c>
      <c r="AU279">
        <v>96</v>
      </c>
      <c r="AV279">
        <v>26</v>
      </c>
      <c r="AW279">
        <v>0</v>
      </c>
      <c r="AX279">
        <v>5</v>
      </c>
      <c r="AY279">
        <v>6</v>
      </c>
      <c r="AZ279">
        <v>1</v>
      </c>
      <c r="BA279">
        <v>3</v>
      </c>
      <c r="BB279" t="s">
        <v>11</v>
      </c>
      <c r="BD279" t="s">
        <v>704</v>
      </c>
      <c r="BE279" t="s">
        <v>1125</v>
      </c>
      <c r="BF279" t="s">
        <v>4111</v>
      </c>
      <c r="BG279" t="s">
        <v>4112</v>
      </c>
      <c r="BH279" s="1" t="s">
        <v>4113</v>
      </c>
      <c r="BI279">
        <f>HYPERLINK("http://exon.niaid.nih.gov/transcriptome/T_rubida/S1/links/GO/Triru-contig_537-GO.txt",5E-44)</f>
        <v>5.0000000000000004E-44</v>
      </c>
      <c r="BJ279" s="1" t="str">
        <f>HYPERLINK("http://exon.niaid.nih.gov/transcriptome/T_rubida/S1/links/CDD/Triru-contig_537-CDD.txt","DAD")</f>
        <v>DAD</v>
      </c>
      <c r="BK279" t="str">
        <f>HYPERLINK("http://www.ncbi.nlm.nih.gov/Structure/cdd/cddsrv.cgi?uid=pfam02109&amp;version=v4.0","7E-054")</f>
        <v>7E-054</v>
      </c>
      <c r="BL279" t="s">
        <v>4114</v>
      </c>
      <c r="BM279" s="1" t="str">
        <f>HYPERLINK("http://exon.niaid.nih.gov/transcriptome/T_rubida/S1/links/KOG/Triru-contig_537-KOG.txt","Defender against cell death protein/oligosaccharyltransferase, epsilon subunit")</f>
        <v>Defender against cell death protein/oligosaccharyltransferase, epsilon subunit</v>
      </c>
      <c r="BN279" t="str">
        <f>HYPERLINK("http://www.ncbi.nlm.nih.gov/COG/grace/shokog.cgi?KOG1746","9E-048")</f>
        <v>9E-048</v>
      </c>
      <c r="BO279" t="s">
        <v>1554</v>
      </c>
      <c r="BP279" s="1" t="str">
        <f>HYPERLINK("http://exon.niaid.nih.gov/transcriptome/T_rubida/S1/links/PFAM/Triru-contig_537-PFAM.txt","DAD")</f>
        <v>DAD</v>
      </c>
      <c r="BQ279" t="str">
        <f>HYPERLINK("http://pfam.sanger.ac.uk/family?acc=PF02109","2E-054")</f>
        <v>2E-054</v>
      </c>
      <c r="BR279" s="1" t="str">
        <f>HYPERLINK("http://exon.niaid.nih.gov/transcriptome/T_rubida/S1/links/SMART/Triru-contig_537-SMART.txt","PSN")</f>
        <v>PSN</v>
      </c>
      <c r="BS279" t="str">
        <f>HYPERLINK("http://smart.embl-heidelberg.de/smart/do_annotation.pl?DOMAIN=PSN&amp;BLAST=DUMMY","0.074")</f>
        <v>0.074</v>
      </c>
      <c r="BT279" s="1" t="str">
        <f>HYPERLINK("http://exon.niaid.nih.gov/transcriptome/T_rubida/S1/links/PRK/Triru-contig_537-PRK.txt","hypothetical protein")</f>
        <v>hypothetical protein</v>
      </c>
      <c r="BU279">
        <v>1.6E-2</v>
      </c>
      <c r="BV279" s="1" t="s">
        <v>57</v>
      </c>
      <c r="BW279" t="s">
        <v>57</v>
      </c>
      <c r="BX279" s="1" t="s">
        <v>57</v>
      </c>
      <c r="BY279" t="s">
        <v>57</v>
      </c>
    </row>
    <row r="280" spans="1:77">
      <c r="A280" t="str">
        <f>HYPERLINK("http://exon.niaid.nih.gov/transcriptome/T_rubida/S1/links/Triru/Triru-contig_97.txt","Triru-contig_97")</f>
        <v>Triru-contig_97</v>
      </c>
      <c r="B280">
        <v>5</v>
      </c>
      <c r="C280" t="str">
        <f>HYPERLINK("http://exon.niaid.nih.gov/transcriptome/T_rubida/S1/links/Triru/Triru-5-48-asb-97.txt","Contig-97")</f>
        <v>Contig-97</v>
      </c>
      <c r="D280" t="str">
        <f>HYPERLINK("http://exon.niaid.nih.gov/transcriptome/T_rubida/S1/links/Triru/Triru-5-48-97-CLU.txt","Contig97")</f>
        <v>Contig97</v>
      </c>
      <c r="E280" t="str">
        <f>HYPERLINK("http://exon.niaid.nih.gov/transcriptome/T_rubida/S1/links/Triru/Triru-5-48-97-qual.txt","81.6")</f>
        <v>81.6</v>
      </c>
      <c r="F280" t="s">
        <v>10</v>
      </c>
      <c r="G280">
        <v>58.8</v>
      </c>
      <c r="H280">
        <v>449</v>
      </c>
      <c r="I280" t="s">
        <v>109</v>
      </c>
      <c r="J280">
        <v>470</v>
      </c>
      <c r="K280">
        <v>468</v>
      </c>
      <c r="L280">
        <v>390</v>
      </c>
      <c r="M280" t="s">
        <v>5302</v>
      </c>
      <c r="N280" s="15">
        <v>3</v>
      </c>
      <c r="O280" s="14" t="str">
        <f>HYPERLINK("http://exon.niaid.nih.gov/transcriptome/T_rubida/S1/links/Sigp/TRIRU-CONTIG_97-SigP.txt","Cyt")</f>
        <v>Cyt</v>
      </c>
      <c r="Q280" s="5" t="s">
        <v>4844</v>
      </c>
      <c r="R280" t="s">
        <v>4845</v>
      </c>
      <c r="S280" t="str">
        <f>HYPERLINK("http://exon.niaid.nih.gov/transcriptome/T_rubida/S1/links/GO/Triru-contig_97-GO.txt","GO")</f>
        <v>GO</v>
      </c>
      <c r="T280" s="23">
        <v>3E-9</v>
      </c>
      <c r="U280">
        <v>12.1</v>
      </c>
      <c r="V280" s="1" t="str">
        <f>HYPERLINK("http://exon.niaid.nih.gov/transcriptome/T_rubida/S1/links/NR/Triru-contig_97-NR.txt","predicted protein")</f>
        <v>predicted protein</v>
      </c>
      <c r="W280" t="str">
        <f>HYPERLINK("http://www.ncbi.nlm.nih.gov/sutils/blink.cgi?pid=167999534","1E-008")</f>
        <v>1E-008</v>
      </c>
      <c r="X280" t="str">
        <f>HYPERLINK("http://www.ncbi.nlm.nih.gov/protein/167999534","gi|167999534")</f>
        <v>gi|167999534</v>
      </c>
      <c r="Y280">
        <v>63.5</v>
      </c>
      <c r="Z280">
        <v>120</v>
      </c>
      <c r="AA280">
        <v>357</v>
      </c>
      <c r="AB280">
        <v>36</v>
      </c>
      <c r="AC280">
        <v>34</v>
      </c>
      <c r="AD280">
        <v>70</v>
      </c>
      <c r="AE280">
        <v>1</v>
      </c>
      <c r="AF280">
        <v>192</v>
      </c>
      <c r="AG280">
        <v>42</v>
      </c>
      <c r="AH280">
        <v>2</v>
      </c>
      <c r="AI280">
        <v>3</v>
      </c>
      <c r="AJ280" t="s">
        <v>11</v>
      </c>
      <c r="AL280" t="s">
        <v>1229</v>
      </c>
      <c r="AM280" t="s">
        <v>1230</v>
      </c>
      <c r="AN280" t="s">
        <v>1231</v>
      </c>
      <c r="AO280" s="1" t="str">
        <f>HYPERLINK("http://exon.niaid.nih.gov/transcriptome/T_rubida/S1/links/SWISSP/Triru-contig_97-SWISSP.txt","Neurofilament heavy polypeptide")</f>
        <v>Neurofilament heavy polypeptide</v>
      </c>
      <c r="AP280" t="str">
        <f>HYPERLINK("http://www.uniprot.org/uniprot/P12036","4E-009")</f>
        <v>4E-009</v>
      </c>
      <c r="AQ280" t="s">
        <v>1232</v>
      </c>
      <c r="AR280">
        <v>60.5</v>
      </c>
      <c r="AS280">
        <v>553</v>
      </c>
      <c r="AT280">
        <v>40</v>
      </c>
      <c r="AU280">
        <v>54</v>
      </c>
      <c r="AV280">
        <v>75</v>
      </c>
      <c r="AW280">
        <v>7</v>
      </c>
      <c r="AX280">
        <v>473</v>
      </c>
      <c r="AY280">
        <v>27</v>
      </c>
      <c r="AZ280">
        <v>16</v>
      </c>
      <c r="BA280">
        <v>3</v>
      </c>
      <c r="BB280" t="s">
        <v>11</v>
      </c>
      <c r="BD280" t="s">
        <v>704</v>
      </c>
      <c r="BE280" t="s">
        <v>1233</v>
      </c>
      <c r="BF280" t="s">
        <v>1234</v>
      </c>
      <c r="BG280" t="s">
        <v>1235</v>
      </c>
      <c r="BH280" s="1" t="s">
        <v>1236</v>
      </c>
      <c r="BI280">
        <f>HYPERLINK("http://exon.niaid.nih.gov/transcriptome/T_rubida/S1/links/GO/Triru-contig_97-GO.txt",0.000000003)</f>
        <v>3E-9</v>
      </c>
      <c r="BJ280" s="1" t="str">
        <f>HYPERLINK("http://exon.niaid.nih.gov/transcriptome/T_rubida/S1/links/CDD/Triru-contig_97-CDD.txt","HC2")</f>
        <v>HC2</v>
      </c>
      <c r="BK280" t="str">
        <f>HYPERLINK("http://www.ncbi.nlm.nih.gov/Structure/cdd/cddsrv.cgi?uid=pfam07382&amp;version=v4.0","4E-009")</f>
        <v>4E-009</v>
      </c>
      <c r="BL280" t="s">
        <v>1237</v>
      </c>
      <c r="BM280" s="1" t="str">
        <f>HYPERLINK("http://exon.niaid.nih.gov/transcriptome/T_rubida/S1/links/KOG/Triru-contig_97-KOG.txt","Histone H1")</f>
        <v>Histone H1</v>
      </c>
      <c r="BN280" t="str">
        <f>HYPERLINK("http://www.ncbi.nlm.nih.gov/COG/grace/shokog.cgi?KOG4012","2E-007")</f>
        <v>2E-007</v>
      </c>
      <c r="BO280" t="s">
        <v>1238</v>
      </c>
      <c r="BP280" s="1" t="str">
        <f>HYPERLINK("http://exon.niaid.nih.gov/transcriptome/T_rubida/S1/links/PFAM/Triru-contig_97-PFAM.txt","HC2")</f>
        <v>HC2</v>
      </c>
      <c r="BQ280" t="str">
        <f>HYPERLINK("http://pfam.sanger.ac.uk/family?acc=PF07382","9E-010")</f>
        <v>9E-010</v>
      </c>
      <c r="BR280" s="1" t="str">
        <f>HYPERLINK("http://exon.niaid.nih.gov/transcriptome/T_rubida/S1/links/SMART/Triru-contig_97-SMART.txt","HMG17")</f>
        <v>HMG17</v>
      </c>
      <c r="BS280" t="str">
        <f>HYPERLINK("http://smart.embl-heidelberg.de/smart/do_annotation.pl?DOMAIN=HMG17&amp;BLAST=DUMMY","5E-007")</f>
        <v>5E-007</v>
      </c>
      <c r="BT280" s="1" t="str">
        <f>HYPERLINK("http://exon.niaid.nih.gov/transcriptome/T_rubida/S1/links/PRK/Triru-contig_97-PRK.txt","MAEBL")</f>
        <v>MAEBL</v>
      </c>
      <c r="BU280" s="2">
        <v>1E-8</v>
      </c>
      <c r="BV280" s="1" t="s">
        <v>57</v>
      </c>
      <c r="BW280" t="s">
        <v>57</v>
      </c>
      <c r="BX280" s="1" t="s">
        <v>57</v>
      </c>
      <c r="BY280" t="s">
        <v>57</v>
      </c>
    </row>
    <row r="281" spans="1:77" s="3" customFormat="1">
      <c r="A281" s="13" t="s">
        <v>5049</v>
      </c>
      <c r="T281" s="22"/>
    </row>
    <row r="282" spans="1:77">
      <c r="A282" t="str">
        <f>HYPERLINK("http://exon.niaid.nih.gov/transcriptome/T_rubida/S1/links/Triru/Triru-contig_531.txt","Triru-contig_531")</f>
        <v>Triru-contig_531</v>
      </c>
      <c r="B282">
        <v>1</v>
      </c>
      <c r="C282" t="str">
        <f>HYPERLINK("http://exon.niaid.nih.gov/transcriptome/T_rubida/S1/links/Triru/Triru-5-48-asb-531.txt","Contig-531")</f>
        <v>Contig-531</v>
      </c>
      <c r="D282" t="str">
        <f>HYPERLINK("http://exon.niaid.nih.gov/transcriptome/T_rubida/S1/links/Triru/Triru-5-48-531-CLU.txt","Contig531")</f>
        <v>Contig531</v>
      </c>
      <c r="E282" t="str">
        <f>HYPERLINK("http://exon.niaid.nih.gov/transcriptome/T_rubida/S1/links/Triru/Triru-5-48-531-qual.txt","38.9")</f>
        <v>38.9</v>
      </c>
      <c r="F282" t="s">
        <v>10</v>
      </c>
      <c r="G282">
        <v>61.6</v>
      </c>
      <c r="H282">
        <v>666</v>
      </c>
      <c r="I282" t="s">
        <v>543</v>
      </c>
      <c r="J282">
        <v>666</v>
      </c>
      <c r="K282">
        <v>685</v>
      </c>
      <c r="L282">
        <v>549</v>
      </c>
      <c r="M282" t="s">
        <v>5306</v>
      </c>
      <c r="N282" s="15">
        <v>3</v>
      </c>
      <c r="O282" s="14" t="str">
        <f>HYPERLINK("http://exon.niaid.nih.gov/transcriptome/T_rubida/S1/links/Sigp/TRIRU-CONTIG_531-SigP.txt","Cyt")</f>
        <v>Cyt</v>
      </c>
      <c r="Q282" s="5" t="s">
        <v>5000</v>
      </c>
      <c r="R282" t="s">
        <v>4942</v>
      </c>
      <c r="S282" t="str">
        <f>HYPERLINK("http://exon.niaid.nih.gov/transcriptome/T_rubida/S1/links/GO/Triru-contig_531-GO.txt","GO")</f>
        <v>GO</v>
      </c>
      <c r="T282" s="23">
        <v>6.0000000000000005E-44</v>
      </c>
      <c r="U282">
        <v>76.3</v>
      </c>
      <c r="V282" s="1" t="str">
        <f>HYPERLINK("http://exon.niaid.nih.gov/transcriptome/T_rubida/S1/links/NR/Triru-contig_531-NR.txt","AGAP004990-PA")</f>
        <v>AGAP004990-PA</v>
      </c>
      <c r="W282" t="str">
        <f>HYPERLINK("http://www.ncbi.nlm.nih.gov/sutils/blink.cgi?pid=31212219","5E-049")</f>
        <v>5E-049</v>
      </c>
      <c r="X282" t="str">
        <f>HYPERLINK("http://www.ncbi.nlm.nih.gov/protein/31212219","gi|31212219")</f>
        <v>gi|31212219</v>
      </c>
      <c r="Y282">
        <v>164</v>
      </c>
      <c r="Z282">
        <v>143</v>
      </c>
      <c r="AA282">
        <v>147</v>
      </c>
      <c r="AB282">
        <v>69</v>
      </c>
      <c r="AC282">
        <v>98</v>
      </c>
      <c r="AD282">
        <v>35</v>
      </c>
      <c r="AE282">
        <v>0</v>
      </c>
      <c r="AF282">
        <v>4</v>
      </c>
      <c r="AG282">
        <v>114</v>
      </c>
      <c r="AH282">
        <v>2</v>
      </c>
      <c r="AI282">
        <v>3</v>
      </c>
      <c r="AJ282" t="s">
        <v>888</v>
      </c>
      <c r="AL282" t="s">
        <v>2549</v>
      </c>
      <c r="AM282" t="s">
        <v>4071</v>
      </c>
      <c r="AN282" t="s">
        <v>4072</v>
      </c>
      <c r="AO282" s="1" t="str">
        <f>HYPERLINK("http://exon.niaid.nih.gov/transcriptome/T_rubida/S1/links/SWISSP/Triru-contig_531-SWISSP.txt","Endothelial differentiation-related factor 1 homolog")</f>
        <v>Endothelial differentiation-related factor 1 homolog</v>
      </c>
      <c r="AP282" t="str">
        <f>HYPERLINK("http://www.uniprot.org/uniprot/Q6GPQ6","3E-044")</f>
        <v>3E-044</v>
      </c>
      <c r="AQ282" t="s">
        <v>3200</v>
      </c>
      <c r="AR282">
        <v>151</v>
      </c>
      <c r="AS282">
        <v>143</v>
      </c>
      <c r="AT282">
        <v>61</v>
      </c>
      <c r="AU282">
        <v>98</v>
      </c>
      <c r="AV282">
        <v>43</v>
      </c>
      <c r="AW282">
        <v>0</v>
      </c>
      <c r="AX282">
        <v>4</v>
      </c>
      <c r="AY282">
        <v>114</v>
      </c>
      <c r="AZ282">
        <v>2</v>
      </c>
      <c r="BA282">
        <v>3</v>
      </c>
      <c r="BB282" t="s">
        <v>888</v>
      </c>
      <c r="BD282" t="s">
        <v>704</v>
      </c>
      <c r="BE282" t="s">
        <v>2158</v>
      </c>
      <c r="BF282" t="s">
        <v>4073</v>
      </c>
      <c r="BG282" t="s">
        <v>4074</v>
      </c>
      <c r="BH282" s="1" t="s">
        <v>4075</v>
      </c>
      <c r="BI282">
        <f>HYPERLINK("http://exon.niaid.nih.gov/transcriptome/T_rubida/S1/links/GO/Triru-contig_531-GO.txt",6E-44)</f>
        <v>6.0000000000000005E-44</v>
      </c>
      <c r="BJ282" s="1" t="str">
        <f>HYPERLINK("http://exon.niaid.nih.gov/transcriptome/T_rubida/S1/links/CDD/Triru-contig_531-CDD.txt","MBF1")</f>
        <v>MBF1</v>
      </c>
      <c r="BK282" t="str">
        <f>HYPERLINK("http://www.ncbi.nlm.nih.gov/Structure/cdd/cddsrv.cgi?uid=pfam08523&amp;version=v4.0","1E-024")</f>
        <v>1E-024</v>
      </c>
      <c r="BL282" t="s">
        <v>4076</v>
      </c>
      <c r="BM282" s="1" t="str">
        <f>HYPERLINK("http://exon.niaid.nih.gov/transcriptome/T_rubida/S1/links/KOG/Triru-contig_531-KOG.txt","Transcription factor MBF1")</f>
        <v>Transcription factor MBF1</v>
      </c>
      <c r="BN282" t="str">
        <f>HYPERLINK("http://www.ncbi.nlm.nih.gov/COG/grace/shokog.cgi?KOG3398","2E-040")</f>
        <v>2E-040</v>
      </c>
      <c r="BO282" t="s">
        <v>790</v>
      </c>
      <c r="BP282" s="1" t="str">
        <f>HYPERLINK("http://exon.niaid.nih.gov/transcriptome/T_rubida/S1/links/PFAM/Triru-contig_531-PFAM.txt","MBF1")</f>
        <v>MBF1</v>
      </c>
      <c r="BQ282" t="str">
        <f>HYPERLINK("http://pfam.sanger.ac.uk/family?acc=PF08523","2E-025")</f>
        <v>2E-025</v>
      </c>
      <c r="BR282" s="1" t="str">
        <f>HYPERLINK("http://exon.niaid.nih.gov/transcriptome/T_rubida/S1/links/SMART/Triru-contig_531-SMART.txt","HTH_XRE")</f>
        <v>HTH_XRE</v>
      </c>
      <c r="BS282" t="str">
        <f>HYPERLINK("http://smart.embl-heidelberg.de/smart/do_annotation.pl?DOMAIN=HTH_XRE&amp;BLAST=DUMMY","1E-007")</f>
        <v>1E-007</v>
      </c>
      <c r="BT282" s="1" t="str">
        <f>HYPERLINK("http://exon.niaid.nih.gov/transcriptome/T_rubida/S1/links/PRK/Triru-contig_531-PRK.txt","NADH dehydrogenase subunit 4")</f>
        <v>NADH dehydrogenase subunit 4</v>
      </c>
      <c r="BU282">
        <v>3.0000000000000001E-3</v>
      </c>
      <c r="BV282" s="1" t="s">
        <v>57</v>
      </c>
      <c r="BW282" t="s">
        <v>57</v>
      </c>
      <c r="BX282" s="1" t="s">
        <v>57</v>
      </c>
      <c r="BY282" t="s">
        <v>57</v>
      </c>
    </row>
    <row r="283" spans="1:77">
      <c r="A283" t="str">
        <f>HYPERLINK("http://exon.niaid.nih.gov/transcriptome/T_rubida/S1/links/Triru/Triru-contig_352.txt","Triru-contig_352")</f>
        <v>Triru-contig_352</v>
      </c>
      <c r="B283">
        <v>1</v>
      </c>
      <c r="C283" t="str">
        <f>HYPERLINK("http://exon.niaid.nih.gov/transcriptome/T_rubida/S1/links/Triru/Triru-5-48-asb-352.txt","Contig-352")</f>
        <v>Contig-352</v>
      </c>
      <c r="D283" t="str">
        <f>HYPERLINK("http://exon.niaid.nih.gov/transcriptome/T_rubida/S1/links/Triru/Triru-5-48-352-CLU.txt","Contig352")</f>
        <v>Contig352</v>
      </c>
      <c r="E283" t="str">
        <f>HYPERLINK("http://exon.niaid.nih.gov/transcriptome/T_rubida/S1/links/Triru/Triru-5-48-352-qual.txt","25.6")</f>
        <v>25.6</v>
      </c>
      <c r="F283" t="s">
        <v>10</v>
      </c>
      <c r="G283">
        <v>66.099999999999994</v>
      </c>
      <c r="H283">
        <v>1264</v>
      </c>
      <c r="I283" t="s">
        <v>364</v>
      </c>
      <c r="J283">
        <v>1264</v>
      </c>
      <c r="K283">
        <v>1283</v>
      </c>
      <c r="L283">
        <v>363</v>
      </c>
      <c r="M283" t="s">
        <v>5307</v>
      </c>
      <c r="N283" s="15">
        <v>2</v>
      </c>
      <c r="O283" s="14" t="str">
        <f>HYPERLINK("http://exon.niaid.nih.gov/transcriptome/T_rubida/S1/links/Sigp/TRIRU-CONTIG_352-SigP.txt","Cyt")</f>
        <v>Cyt</v>
      </c>
      <c r="Q283" s="5" t="s">
        <v>4941</v>
      </c>
      <c r="R283" t="s">
        <v>4942</v>
      </c>
      <c r="S283" t="str">
        <f>HYPERLINK("http://exon.niaid.nih.gov/transcriptome/T_rubida/S1/links/GO/Triru-contig_352-GO.txt","GO")</f>
        <v>GO</v>
      </c>
      <c r="T283" s="23">
        <v>1.0000000000000001E-18</v>
      </c>
      <c r="U283">
        <v>14.2</v>
      </c>
      <c r="V283" s="1" t="str">
        <f>HYPERLINK("http://exon.niaid.nih.gov/transcriptome/T_rubida/S1/links/NR/Triru-contig_352-NR.txt","similar to conserved hypothetical protein")</f>
        <v>similar to conserved hypothetical protein</v>
      </c>
      <c r="W283" t="str">
        <f>HYPERLINK("http://www.ncbi.nlm.nih.gov/sutils/blink.cgi?pid=156555370","6E-076")</f>
        <v>6E-076</v>
      </c>
      <c r="X283" t="str">
        <f>HYPERLINK("http://www.ncbi.nlm.nih.gov/protein/156555370","gi|156555370")</f>
        <v>gi|156555370</v>
      </c>
      <c r="Y283">
        <v>289</v>
      </c>
      <c r="Z283">
        <v>167</v>
      </c>
      <c r="AA283">
        <v>1086</v>
      </c>
      <c r="AB283">
        <v>83</v>
      </c>
      <c r="AC283">
        <v>15</v>
      </c>
      <c r="AD283">
        <v>29</v>
      </c>
      <c r="AE283">
        <v>0</v>
      </c>
      <c r="AF283">
        <v>909</v>
      </c>
      <c r="AG283">
        <v>8</v>
      </c>
      <c r="AH283">
        <v>1</v>
      </c>
      <c r="AI283">
        <v>2</v>
      </c>
      <c r="AJ283" t="s">
        <v>11</v>
      </c>
      <c r="AK283">
        <v>0.59899999999999998</v>
      </c>
      <c r="AL283" t="s">
        <v>1330</v>
      </c>
      <c r="AM283" t="s">
        <v>2868</v>
      </c>
      <c r="AN283" t="s">
        <v>2869</v>
      </c>
      <c r="AO283" s="1" t="str">
        <f>HYPERLINK("http://exon.niaid.nih.gov/transcriptome/T_rubida/S1/links/SWISSP/Triru-contig_352-SWISSP.txt","MOG interacting and ectopic P-granules protein 1")</f>
        <v>MOG interacting and ectopic P-granules protein 1</v>
      </c>
      <c r="AP283" t="str">
        <f>HYPERLINK("http://www.uniprot.org/uniprot/Q21502","2E-018")</f>
        <v>2E-018</v>
      </c>
      <c r="AQ283" t="s">
        <v>2870</v>
      </c>
      <c r="AR283">
        <v>94.4</v>
      </c>
      <c r="AS283">
        <v>427</v>
      </c>
      <c r="AT283">
        <v>37</v>
      </c>
      <c r="AU283">
        <v>49</v>
      </c>
      <c r="AV283">
        <v>77</v>
      </c>
      <c r="AW283">
        <v>2</v>
      </c>
      <c r="AX283">
        <v>422</v>
      </c>
      <c r="AY283">
        <v>8</v>
      </c>
      <c r="AZ283">
        <v>2</v>
      </c>
      <c r="BA283">
        <v>2</v>
      </c>
      <c r="BB283" t="s">
        <v>11</v>
      </c>
      <c r="BC283">
        <v>0.23400000000000001</v>
      </c>
      <c r="BD283" t="s">
        <v>704</v>
      </c>
      <c r="BE283" t="s">
        <v>1385</v>
      </c>
      <c r="BF283" t="s">
        <v>2871</v>
      </c>
      <c r="BG283" t="s">
        <v>2872</v>
      </c>
      <c r="BH283" s="1" t="s">
        <v>2873</v>
      </c>
      <c r="BI283">
        <f>HYPERLINK("http://exon.niaid.nih.gov/transcriptome/T_rubida/S1/links/GO/Triru-contig_352-GO.txt",6E-72)</f>
        <v>6.0000000000000003E-72</v>
      </c>
      <c r="BJ283" s="1" t="str">
        <f>HYPERLINK("http://exon.niaid.nih.gov/transcriptome/T_rubida/S1/links/CDD/Triru-contig_352-CDD.txt","ND4")</f>
        <v>ND4</v>
      </c>
      <c r="BK283" t="str">
        <f>HYPERLINK("http://www.ncbi.nlm.nih.gov/Structure/cdd/cddsrv.cgi?uid=MTH00094&amp;version=v4.0","0.047")</f>
        <v>0.047</v>
      </c>
      <c r="BL283" t="s">
        <v>2874</v>
      </c>
      <c r="BM283" s="1" t="str">
        <f>HYPERLINK("http://exon.niaid.nih.gov/transcriptome/T_rubida/S1/links/KOG/Triru-contig_352-KOG.txt","Homeobox transcription factor SIP1")</f>
        <v>Homeobox transcription factor SIP1</v>
      </c>
      <c r="BN283" t="str">
        <f>HYPERLINK("http://www.ncbi.nlm.nih.gov/COG/grace/shokog.cgi?KOG3623","0.006")</f>
        <v>0.006</v>
      </c>
      <c r="BO283" t="s">
        <v>790</v>
      </c>
      <c r="BP283" s="1" t="str">
        <f>HYPERLINK("http://exon.niaid.nih.gov/transcriptome/T_rubida/S1/links/PFAM/Triru-contig_352-PFAM.txt","7TM_GPCR_Sru")</f>
        <v>7TM_GPCR_Sru</v>
      </c>
      <c r="BQ283" t="str">
        <f>HYPERLINK("http://pfam.sanger.ac.uk/family?acc=PF10322","0.044")</f>
        <v>0.044</v>
      </c>
      <c r="BR283" s="1" t="str">
        <f>HYPERLINK("http://exon.niaid.nih.gov/transcriptome/T_rubida/S1/links/SMART/Triru-contig_352-SMART.txt","AgrB")</f>
        <v>AgrB</v>
      </c>
      <c r="BS283" t="str">
        <f>HYPERLINK("http://smart.embl-heidelberg.de/smart/do_annotation.pl?DOMAIN=AgrB&amp;BLAST=DUMMY","0.023")</f>
        <v>0.023</v>
      </c>
      <c r="BT283" s="1" t="str">
        <f>HYPERLINK("http://exon.niaid.nih.gov/transcriptome/T_rubida/S1/links/PRK/Triru-contig_352-PRK.txt","NADH dehydrogenase subunit 4")</f>
        <v>NADH dehydrogenase subunit 4</v>
      </c>
      <c r="BU283">
        <v>0.02</v>
      </c>
      <c r="BV283" s="1" t="s">
        <v>57</v>
      </c>
      <c r="BW283" t="s">
        <v>57</v>
      </c>
      <c r="BX283" s="1" t="s">
        <v>57</v>
      </c>
      <c r="BY283" t="s">
        <v>57</v>
      </c>
    </row>
    <row r="284" spans="1:77">
      <c r="A284" t="str">
        <f>HYPERLINK("http://exon.niaid.nih.gov/transcriptome/T_rubida/S1/links/Triru/Triru-contig_401.txt","Triru-contig_401")</f>
        <v>Triru-contig_401</v>
      </c>
      <c r="B284">
        <v>1</v>
      </c>
      <c r="C284" t="str">
        <f>HYPERLINK("http://exon.niaid.nih.gov/transcriptome/T_rubida/S1/links/Triru/Triru-5-48-asb-401.txt","Contig-401")</f>
        <v>Contig-401</v>
      </c>
      <c r="D284" t="str">
        <f>HYPERLINK("http://exon.niaid.nih.gov/transcriptome/T_rubida/S1/links/Triru/Triru-5-48-401-CLU.txt","Contig401")</f>
        <v>Contig401</v>
      </c>
      <c r="E284" t="str">
        <f>HYPERLINK("http://exon.niaid.nih.gov/transcriptome/T_rubida/S1/links/Triru/Triru-5-48-401-qual.txt","63.9")</f>
        <v>63.9</v>
      </c>
      <c r="F284" t="s">
        <v>10</v>
      </c>
      <c r="G284">
        <v>60.6</v>
      </c>
      <c r="H284">
        <v>354</v>
      </c>
      <c r="I284" t="s">
        <v>413</v>
      </c>
      <c r="J284">
        <v>354</v>
      </c>
      <c r="K284">
        <v>373</v>
      </c>
      <c r="L284">
        <v>225</v>
      </c>
      <c r="M284" t="s">
        <v>5308</v>
      </c>
      <c r="N284" s="15">
        <v>2</v>
      </c>
      <c r="Q284" s="5" t="s">
        <v>4956</v>
      </c>
      <c r="R284" t="s">
        <v>4942</v>
      </c>
      <c r="S284" t="str">
        <f>HYPERLINK("http://exon.niaid.nih.gov/transcriptome/T_rubida/S1/links/KOG/Triru-contig_401-KOG.txt","KOG")</f>
        <v>KOG</v>
      </c>
      <c r="T284" s="23">
        <v>1.9999999999999998E-24</v>
      </c>
      <c r="U284">
        <v>48.1</v>
      </c>
      <c r="V284" s="1" t="str">
        <f>HYPERLINK("http://exon.niaid.nih.gov/transcriptome/T_rubida/S1/links/NR/Triru-contig_401-NR.txt","conserved hypothetical protein")</f>
        <v>conserved hypothetical protein</v>
      </c>
      <c r="W284" t="str">
        <f>HYPERLINK("http://www.ncbi.nlm.nih.gov/sutils/blink.cgi?pid=242007348","2E-026")</f>
        <v>2E-026</v>
      </c>
      <c r="X284" t="str">
        <f>HYPERLINK("http://www.ncbi.nlm.nih.gov/protein/242007348","gi|242007348")</f>
        <v>gi|242007348</v>
      </c>
      <c r="Y284">
        <v>122</v>
      </c>
      <c r="Z284">
        <v>70</v>
      </c>
      <c r="AA284">
        <v>146</v>
      </c>
      <c r="AB284">
        <v>78</v>
      </c>
      <c r="AC284">
        <v>49</v>
      </c>
      <c r="AD284">
        <v>15</v>
      </c>
      <c r="AE284">
        <v>0</v>
      </c>
      <c r="AF284">
        <v>73</v>
      </c>
      <c r="AG284">
        <v>8</v>
      </c>
      <c r="AH284">
        <v>1</v>
      </c>
      <c r="AI284">
        <v>2</v>
      </c>
      <c r="AJ284" t="s">
        <v>11</v>
      </c>
      <c r="AL284" t="s">
        <v>1177</v>
      </c>
      <c r="AM284" t="s">
        <v>3198</v>
      </c>
      <c r="AN284" t="s">
        <v>3199</v>
      </c>
      <c r="AO284" s="1" t="str">
        <f>HYPERLINK("http://exon.niaid.nih.gov/transcriptome/T_rubida/S1/links/SWISSP/Triru-contig_401-SWISSP.txt","Endothelial differentiation-related factor 1 homolog")</f>
        <v>Endothelial differentiation-related factor 1 homolog</v>
      </c>
      <c r="AP284" t="str">
        <f>HYPERLINK("http://www.uniprot.org/uniprot/Q6GPQ6","3E-022")</f>
        <v>3E-022</v>
      </c>
      <c r="AQ284" t="s">
        <v>3200</v>
      </c>
      <c r="AR284">
        <v>103</v>
      </c>
      <c r="AS284">
        <v>72</v>
      </c>
      <c r="AT284">
        <v>63</v>
      </c>
      <c r="AU284">
        <v>50</v>
      </c>
      <c r="AV284">
        <v>27</v>
      </c>
      <c r="AW284">
        <v>0</v>
      </c>
      <c r="AX284">
        <v>75</v>
      </c>
      <c r="AY284">
        <v>8</v>
      </c>
      <c r="AZ284">
        <v>1</v>
      </c>
      <c r="BA284">
        <v>2</v>
      </c>
      <c r="BB284" t="s">
        <v>11</v>
      </c>
      <c r="BD284" t="s">
        <v>704</v>
      </c>
      <c r="BE284" t="s">
        <v>2158</v>
      </c>
      <c r="BF284" t="s">
        <v>3201</v>
      </c>
      <c r="BG284" t="s">
        <v>3202</v>
      </c>
      <c r="BH284" s="1" t="s">
        <v>3203</v>
      </c>
      <c r="BI284">
        <f>HYPERLINK("http://exon.niaid.nih.gov/transcriptome/T_rubida/S1/links/GO/Triru-contig_401-GO.txt",3E-22)</f>
        <v>2.9999999999999999E-22</v>
      </c>
      <c r="BJ284" s="1" t="str">
        <f>HYPERLINK("http://exon.niaid.nih.gov/transcriptome/T_rubida/S1/links/CDD/Triru-contig_401-CDD.txt","COG1813")</f>
        <v>COG1813</v>
      </c>
      <c r="BK284" t="str">
        <f>HYPERLINK("http://www.ncbi.nlm.nih.gov/Structure/cdd/cddsrv.cgi?uid=COG1813&amp;version=v4.0","5E-014")</f>
        <v>5E-014</v>
      </c>
      <c r="BL284" t="s">
        <v>3204</v>
      </c>
      <c r="BM284" s="1" t="str">
        <f>HYPERLINK("http://exon.niaid.nih.gov/transcriptome/T_rubida/S1/links/KOG/Triru-contig_401-KOG.txt","Transcription factor MBF1")</f>
        <v>Transcription factor MBF1</v>
      </c>
      <c r="BN284" t="str">
        <f>HYPERLINK("http://www.ncbi.nlm.nih.gov/COG/grace/shokog.cgi?KOG3398","2E-024")</f>
        <v>2E-024</v>
      </c>
      <c r="BO284" t="s">
        <v>790</v>
      </c>
      <c r="BP284" s="1" t="str">
        <f>HYPERLINK("http://exon.niaid.nih.gov/transcriptome/T_rubida/S1/links/PFAM/Triru-contig_401-PFAM.txt","HTH_3")</f>
        <v>HTH_3</v>
      </c>
      <c r="BQ284" t="str">
        <f>HYPERLINK("http://pfam.sanger.ac.uk/family?acc=PF01381","3E-010")</f>
        <v>3E-010</v>
      </c>
      <c r="BR284" s="1" t="str">
        <f>HYPERLINK("http://exon.niaid.nih.gov/transcriptome/T_rubida/S1/links/SMART/Triru-contig_401-SMART.txt","HTH_XRE")</f>
        <v>HTH_XRE</v>
      </c>
      <c r="BS284" t="str">
        <f>HYPERLINK("http://smart.embl-heidelberg.de/smart/do_annotation.pl?DOMAIN=HTH_XRE&amp;BLAST=DUMMY","2E-011")</f>
        <v>2E-011</v>
      </c>
      <c r="BT284" s="1" t="str">
        <f>HYPERLINK("http://exon.niaid.nih.gov/transcriptome/T_rubida/S1/links/PRK/Triru-contig_401-PRK.txt","transcription factor")</f>
        <v>transcription factor</v>
      </c>
      <c r="BU284" s="2">
        <v>5.9999999999999995E-4</v>
      </c>
      <c r="BV284" s="1" t="s">
        <v>57</v>
      </c>
      <c r="BW284" t="s">
        <v>57</v>
      </c>
      <c r="BX284" s="1" t="s">
        <v>57</v>
      </c>
      <c r="BY284" t="s">
        <v>57</v>
      </c>
    </row>
    <row r="285" spans="1:77" s="3" customFormat="1">
      <c r="A285" s="13" t="s">
        <v>5050</v>
      </c>
      <c r="T285" s="22"/>
    </row>
    <row r="286" spans="1:77">
      <c r="A286" t="str">
        <f>HYPERLINK("http://exon.niaid.nih.gov/transcriptome/T_rubida/S1/links/Triru/Triru-contig_219.txt","Triru-contig_219")</f>
        <v>Triru-contig_219</v>
      </c>
      <c r="B286">
        <v>1</v>
      </c>
      <c r="C286" t="str">
        <f>HYPERLINK("http://exon.niaid.nih.gov/transcriptome/T_rubida/S1/links/Triru/Triru-5-48-asb-219.txt","Contig-219")</f>
        <v>Contig-219</v>
      </c>
      <c r="D286" t="str">
        <f>HYPERLINK("http://exon.niaid.nih.gov/transcriptome/T_rubida/S1/links/Triru/Triru-5-48-219-CLU.txt","Contig219")</f>
        <v>Contig219</v>
      </c>
      <c r="E286" t="str">
        <f>HYPERLINK("http://exon.niaid.nih.gov/transcriptome/T_rubida/S1/links/Triru/Triru-5-48-219-qual.txt","42.7")</f>
        <v>42.7</v>
      </c>
      <c r="F286" t="s">
        <v>10</v>
      </c>
      <c r="G286">
        <v>53.9</v>
      </c>
      <c r="H286">
        <v>664</v>
      </c>
      <c r="I286" t="s">
        <v>231</v>
      </c>
      <c r="J286">
        <v>664</v>
      </c>
      <c r="K286">
        <v>683</v>
      </c>
      <c r="L286">
        <v>474</v>
      </c>
      <c r="M286" t="s">
        <v>5309</v>
      </c>
      <c r="N286" s="15">
        <v>2</v>
      </c>
      <c r="O286" s="14" t="str">
        <f>HYPERLINK("http://exon.niaid.nih.gov/transcriptome/T_rubida/S1/links/Sigp/TRIRU-CONTIG_219-SigP.txt","Cyt")</f>
        <v>Cyt</v>
      </c>
      <c r="Q286" s="5" t="s">
        <v>4895</v>
      </c>
      <c r="R286" t="s">
        <v>4877</v>
      </c>
      <c r="S286" t="str">
        <f>HYPERLINK("http://exon.niaid.nih.gov/transcriptome/T_rubida/S1/links/GO/Triru-contig_219-GO.txt","GO")</f>
        <v>GO</v>
      </c>
      <c r="T286" s="23">
        <v>3E-23</v>
      </c>
      <c r="U286">
        <v>34</v>
      </c>
      <c r="V286" s="1" t="str">
        <f>HYPERLINK("http://exon.niaid.nih.gov/transcriptome/T_rubida/S1/links/NR/Triru-contig_219-NR.txt","similar to 2-hydroxyacid dehydrogenase")</f>
        <v>similar to 2-hydroxyacid dehydrogenase</v>
      </c>
      <c r="W286" t="str">
        <f>HYPERLINK("http://www.ncbi.nlm.nih.gov/sutils/blink.cgi?pid=91090312","6E-044")</f>
        <v>6E-044</v>
      </c>
      <c r="X286" t="str">
        <f>HYPERLINK("http://www.ncbi.nlm.nih.gov/protein/91090312","gi|91090312")</f>
        <v>gi|91090312</v>
      </c>
      <c r="Y286">
        <v>181</v>
      </c>
      <c r="Z286">
        <v>140</v>
      </c>
      <c r="AA286">
        <v>444</v>
      </c>
      <c r="AB286">
        <v>59</v>
      </c>
      <c r="AC286">
        <v>32</v>
      </c>
      <c r="AD286">
        <v>64</v>
      </c>
      <c r="AE286">
        <v>3</v>
      </c>
      <c r="AF286">
        <v>304</v>
      </c>
      <c r="AG286">
        <v>20</v>
      </c>
      <c r="AH286">
        <v>1</v>
      </c>
      <c r="AI286">
        <v>2</v>
      </c>
      <c r="AJ286" t="s">
        <v>11</v>
      </c>
      <c r="AL286" t="s">
        <v>1483</v>
      </c>
      <c r="AM286" t="s">
        <v>1983</v>
      </c>
      <c r="AN286" t="s">
        <v>1984</v>
      </c>
      <c r="AO286" s="1" t="str">
        <f>HYPERLINK("http://exon.niaid.nih.gov/transcriptome/T_rubida/S1/links/SWISSP/Triru-contig_219-SWISSP.txt","C-terminal-binding protein")</f>
        <v>C-terminal-binding protein</v>
      </c>
      <c r="AP286" t="str">
        <f>HYPERLINK("http://www.uniprot.org/uniprot/O46036","3E-023")</f>
        <v>3E-023</v>
      </c>
      <c r="AQ286" t="s">
        <v>1985</v>
      </c>
      <c r="AR286">
        <v>108</v>
      </c>
      <c r="AS286">
        <v>161</v>
      </c>
      <c r="AT286">
        <v>41</v>
      </c>
      <c r="AU286">
        <v>34</v>
      </c>
      <c r="AV286">
        <v>94</v>
      </c>
      <c r="AW286">
        <v>12</v>
      </c>
      <c r="AX286">
        <v>304</v>
      </c>
      <c r="AY286">
        <v>23</v>
      </c>
      <c r="AZ286">
        <v>1</v>
      </c>
      <c r="BA286">
        <v>2</v>
      </c>
      <c r="BB286" t="s">
        <v>11</v>
      </c>
      <c r="BD286" t="s">
        <v>704</v>
      </c>
      <c r="BE286" t="s">
        <v>1125</v>
      </c>
      <c r="BF286" t="s">
        <v>1986</v>
      </c>
      <c r="BG286" t="s">
        <v>1987</v>
      </c>
      <c r="BH286" s="1" t="s">
        <v>1988</v>
      </c>
      <c r="BI286">
        <f>HYPERLINK("http://exon.niaid.nih.gov/transcriptome/T_rubida/S1/links/GO/Triru-contig_219-GO.txt",3E-23)</f>
        <v>3E-23</v>
      </c>
      <c r="BJ286" s="1" t="str">
        <f>HYPERLINK("http://exon.niaid.nih.gov/transcriptome/T_rubida/S1/links/CDD/Triru-contig_219-CDD.txt","2-Hacid_dh")</f>
        <v>2-Hacid_dh</v>
      </c>
      <c r="BK286" t="str">
        <f>HYPERLINK("http://www.ncbi.nlm.nih.gov/Structure/cdd/cddsrv.cgi?uid=pfam00389&amp;version=v4.0","9E-007")</f>
        <v>9E-007</v>
      </c>
      <c r="BL286" t="s">
        <v>1989</v>
      </c>
      <c r="BM286" s="1" t="str">
        <f>HYPERLINK("http://exon.niaid.nih.gov/transcriptome/T_rubida/S1/links/KOG/Triru-contig_219-KOG.txt","Transcription factor CtBP")</f>
        <v>Transcription factor CtBP</v>
      </c>
      <c r="BN286" t="str">
        <f>HYPERLINK("http://www.ncbi.nlm.nih.gov/COG/grace/shokog.cgi?KOG0067","2E-018")</f>
        <v>2E-018</v>
      </c>
      <c r="BO286" t="s">
        <v>790</v>
      </c>
      <c r="BP286" s="1" t="str">
        <f>HYPERLINK("http://exon.niaid.nih.gov/transcriptome/T_rubida/S1/links/PFAM/Triru-contig_219-PFAM.txt","2-Hacid_dh")</f>
        <v>2-Hacid_dh</v>
      </c>
      <c r="BQ286" t="str">
        <f>HYPERLINK("http://pfam.sanger.ac.uk/family?acc=PF00389","2E-007")</f>
        <v>2E-007</v>
      </c>
      <c r="BR286" s="1" t="str">
        <f>HYPERLINK("http://exon.niaid.nih.gov/transcriptome/T_rubida/S1/links/SMART/Triru-contig_219-SMART.txt","Amelogenin")</f>
        <v>Amelogenin</v>
      </c>
      <c r="BS286" t="str">
        <f>HYPERLINK("http://smart.embl-heidelberg.de/smart/do_annotation.pl?DOMAIN=Amelogenin&amp;BLAST=DUMMY","2E-004")</f>
        <v>2E-004</v>
      </c>
      <c r="BT286" s="1" t="str">
        <f>HYPERLINK("http://exon.niaid.nih.gov/transcriptome/T_rubida/S1/links/PRK/Triru-contig_219-PRK.txt","DNA polymerase III subunits gamma and tau")</f>
        <v>DNA polymerase III subunits gamma and tau</v>
      </c>
      <c r="BU286" s="2">
        <v>2.9999999999999997E-4</v>
      </c>
      <c r="BV286" s="1" t="s">
        <v>57</v>
      </c>
      <c r="BW286" t="s">
        <v>57</v>
      </c>
      <c r="BX286" s="1" t="s">
        <v>57</v>
      </c>
      <c r="BY286" t="s">
        <v>57</v>
      </c>
    </row>
    <row r="287" spans="1:77">
      <c r="A287" t="str">
        <f>HYPERLINK("http://exon.niaid.nih.gov/transcriptome/T_rubida/S1/links/Triru/Triru-contig_131.txt","Triru-contig_131")</f>
        <v>Triru-contig_131</v>
      </c>
      <c r="B287">
        <v>2</v>
      </c>
      <c r="C287" t="str">
        <f>HYPERLINK("http://exon.niaid.nih.gov/transcriptome/T_rubida/S1/links/Triru/Triru-5-48-asb-131.txt","Contig-131")</f>
        <v>Contig-131</v>
      </c>
      <c r="D287" t="str">
        <f>HYPERLINK("http://exon.niaid.nih.gov/transcriptome/T_rubida/S1/links/Triru/Triru-5-48-131-CLU.txt","Contig131")</f>
        <v>Contig131</v>
      </c>
      <c r="E287" t="str">
        <f>HYPERLINK("http://exon.niaid.nih.gov/transcriptome/T_rubida/S1/links/Triru/Triru-5-48-131-qual.txt","84.8")</f>
        <v>84.8</v>
      </c>
      <c r="F287" t="s">
        <v>10</v>
      </c>
      <c r="G287">
        <v>61.8</v>
      </c>
      <c r="H287">
        <v>308</v>
      </c>
      <c r="I287" t="s">
        <v>143</v>
      </c>
      <c r="J287">
        <v>308</v>
      </c>
      <c r="K287">
        <v>327</v>
      </c>
      <c r="L287">
        <v>288</v>
      </c>
      <c r="M287" t="s">
        <v>5310</v>
      </c>
      <c r="N287" s="15">
        <v>2</v>
      </c>
      <c r="O287" s="14" t="str">
        <f>HYPERLINK("http://exon.niaid.nih.gov/transcriptome/T_rubida/S1/links/Sigp/TRIRU-CONTIG_131-SigP.txt","Cyt")</f>
        <v>Cyt</v>
      </c>
      <c r="Q287" s="5" t="s">
        <v>4876</v>
      </c>
      <c r="R287" t="s">
        <v>4877</v>
      </c>
      <c r="S287" t="str">
        <f>HYPERLINK("http://exon.niaid.nih.gov/transcriptome/T_rubida/S1/links/KOG/Triru-contig_131-KOG.txt","KOG")</f>
        <v>KOG</v>
      </c>
      <c r="T287" s="23">
        <v>3.9999999999999998E-7</v>
      </c>
      <c r="U287">
        <v>23.8</v>
      </c>
      <c r="V287" s="1" t="str">
        <f>HYPERLINK("http://exon.niaid.nih.gov/transcriptome/T_rubida/S1/links/NR/Triru-contig_131-NR.txt","Alkylated DNA repair protein alkB-like protein 1")</f>
        <v>Alkylated DNA repair protein alkB-like protein 1</v>
      </c>
      <c r="W287" t="str">
        <f>HYPERLINK("http://www.ncbi.nlm.nih.gov/sutils/blink.cgi?pid=307202053","2E-012")</f>
        <v>2E-012</v>
      </c>
      <c r="X287" t="str">
        <f>HYPERLINK("http://www.ncbi.nlm.nih.gov/protein/307202053","gi|307202053")</f>
        <v>gi|307202053</v>
      </c>
      <c r="Y287">
        <v>76.3</v>
      </c>
      <c r="Z287">
        <v>88</v>
      </c>
      <c r="AA287">
        <v>308</v>
      </c>
      <c r="AB287">
        <v>41</v>
      </c>
      <c r="AC287">
        <v>29</v>
      </c>
      <c r="AD287">
        <v>53</v>
      </c>
      <c r="AE287">
        <v>4</v>
      </c>
      <c r="AF287">
        <v>219</v>
      </c>
      <c r="AG287">
        <v>26</v>
      </c>
      <c r="AH287">
        <v>1</v>
      </c>
      <c r="AI287">
        <v>2</v>
      </c>
      <c r="AJ287" t="s">
        <v>11</v>
      </c>
      <c r="AL287" t="s">
        <v>1475</v>
      </c>
      <c r="AM287" t="s">
        <v>1476</v>
      </c>
      <c r="AN287" t="s">
        <v>1477</v>
      </c>
      <c r="AO287" s="1" t="str">
        <f>HYPERLINK("http://exon.niaid.nih.gov/transcriptome/T_rubida/S1/links/SWISSP/Triru-contig_131-SWISSP.txt","Alpha-ketoglutarate-dependent dioxygenase alkB")</f>
        <v>Alpha-ketoglutarate-dependent dioxygenase alkB</v>
      </c>
      <c r="AP287" t="str">
        <f>HYPERLINK("http://www.uniprot.org/uniprot/Q9SA98","4E-008")</f>
        <v>4E-008</v>
      </c>
      <c r="AQ287" t="s">
        <v>1478</v>
      </c>
      <c r="AR287">
        <v>57</v>
      </c>
      <c r="AS287">
        <v>74</v>
      </c>
      <c r="AT287">
        <v>38</v>
      </c>
      <c r="AU287">
        <v>22</v>
      </c>
      <c r="AV287">
        <v>50</v>
      </c>
      <c r="AW287">
        <v>3</v>
      </c>
      <c r="AX287">
        <v>270</v>
      </c>
      <c r="AY287">
        <v>26</v>
      </c>
      <c r="AZ287">
        <v>1</v>
      </c>
      <c r="BA287">
        <v>2</v>
      </c>
      <c r="BB287" t="s">
        <v>11</v>
      </c>
      <c r="BD287" t="s">
        <v>704</v>
      </c>
      <c r="BE287" t="s">
        <v>906</v>
      </c>
      <c r="BF287" t="s">
        <v>1479</v>
      </c>
      <c r="BG287" t="s">
        <v>1480</v>
      </c>
      <c r="BH287" s="1" t="s">
        <v>1481</v>
      </c>
      <c r="BI287">
        <f>HYPERLINK("http://exon.niaid.nih.gov/transcriptome/T_rubida/S1/links/GO/Triru-contig_131-GO.txt",0.000000005)</f>
        <v>5.0000000000000001E-9</v>
      </c>
      <c r="BJ287" s="1" t="str">
        <f>HYPERLINK("http://exon.niaid.nih.gov/transcriptome/T_rubida/S1/links/CDD/Triru-contig_131-CDD.txt","alkb")</f>
        <v>alkb</v>
      </c>
      <c r="BK287" t="str">
        <f>HYPERLINK("http://www.ncbi.nlm.nih.gov/Structure/cdd/cddsrv.cgi?uid=TIGR00568&amp;version=v4.0","8E-005")</f>
        <v>8E-005</v>
      </c>
      <c r="BL287" t="s">
        <v>1482</v>
      </c>
      <c r="BM287" s="1" t="str">
        <f>HYPERLINK("http://exon.niaid.nih.gov/transcriptome/T_rubida/S1/links/KOG/Triru-contig_131-KOG.txt","DNA alkylation damage repair protein")</f>
        <v>DNA alkylation damage repair protein</v>
      </c>
      <c r="BN287" t="str">
        <f>HYPERLINK("http://www.ncbi.nlm.nih.gov/COG/grace/shokog.cgi?KOG2731","4E-007")</f>
        <v>4E-007</v>
      </c>
      <c r="BO287" t="s">
        <v>1002</v>
      </c>
      <c r="BP287" s="1" t="str">
        <f>HYPERLINK("http://exon.niaid.nih.gov/transcriptome/T_rubida/S1/links/PFAM/Triru-contig_131-PFAM.txt","Pox_G7")</f>
        <v>Pox_G7</v>
      </c>
      <c r="BQ287" t="str">
        <f>HYPERLINK("http://pfam.sanger.ac.uk/family?acc=PF05503","0.33")</f>
        <v>0.33</v>
      </c>
      <c r="BR287" s="1" t="str">
        <f>HYPERLINK("http://exon.niaid.nih.gov/transcriptome/T_rubida/S1/links/SMART/Triru-contig_131-SMART.txt","RAS")</f>
        <v>RAS</v>
      </c>
      <c r="BS287" t="str">
        <f>HYPERLINK("http://smart.embl-heidelberg.de/smart/do_annotation.pl?DOMAIN=RAS&amp;BLAST=DUMMY","0.13")</f>
        <v>0.13</v>
      </c>
      <c r="BT287" s="1" t="str">
        <f>HYPERLINK("http://exon.niaid.nih.gov/transcriptome/T_rubida/S1/links/PRK/Triru-contig_131-PRK.txt","alpha-ketoglutarate-dependent dioxygenase AlkB")</f>
        <v>alpha-ketoglutarate-dependent dioxygenase AlkB</v>
      </c>
      <c r="BU287">
        <v>1.0999999999999999E-2</v>
      </c>
      <c r="BV287" s="1" t="s">
        <v>57</v>
      </c>
      <c r="BW287" t="s">
        <v>57</v>
      </c>
      <c r="BX287" s="1" t="s">
        <v>57</v>
      </c>
      <c r="BY287" t="s">
        <v>57</v>
      </c>
    </row>
    <row r="288" spans="1:77">
      <c r="A288" t="str">
        <f>HYPERLINK("http://exon.niaid.nih.gov/transcriptome/T_rubida/S1/links/Triru/Triru-contig_656.txt","Triru-contig_656")</f>
        <v>Triru-contig_656</v>
      </c>
      <c r="B288">
        <v>1</v>
      </c>
      <c r="C288" t="str">
        <f>HYPERLINK("http://exon.niaid.nih.gov/transcriptome/T_rubida/S1/links/Triru/Triru-5-48-asb-656.txt","Contig-656")</f>
        <v>Contig-656</v>
      </c>
      <c r="D288" t="str">
        <f>HYPERLINK("http://exon.niaid.nih.gov/transcriptome/T_rubida/S1/links/Triru/Triru-5-48-656-CLU.txt","Contig656")</f>
        <v>Contig656</v>
      </c>
      <c r="E288" t="str">
        <f>HYPERLINK("http://exon.niaid.nih.gov/transcriptome/T_rubida/S1/links/Triru/Triru-5-48-656-qual.txt","57.8")</f>
        <v>57.8</v>
      </c>
      <c r="F288" t="s">
        <v>10</v>
      </c>
      <c r="G288">
        <v>67.900000000000006</v>
      </c>
      <c r="H288">
        <v>398</v>
      </c>
      <c r="I288" t="s">
        <v>668</v>
      </c>
      <c r="J288">
        <v>398</v>
      </c>
      <c r="K288">
        <v>417</v>
      </c>
      <c r="L288">
        <v>234</v>
      </c>
      <c r="M288" t="s">
        <v>5311</v>
      </c>
      <c r="N288" s="15">
        <v>3</v>
      </c>
      <c r="O288" s="14" t="str">
        <f>HYPERLINK("http://exon.niaid.nih.gov/transcriptome/T_rubida/S1/links/Sigp/TRIRU-CONTIG_656-SigP.txt","Cyt")</f>
        <v>Cyt</v>
      </c>
      <c r="Q288" s="5" t="s">
        <v>5032</v>
      </c>
      <c r="R288" t="s">
        <v>4877</v>
      </c>
      <c r="S288" t="str">
        <f>HYPERLINK("http://exon.niaid.nih.gov/transcriptome/T_rubida/S1/links/KOG/Triru-contig_656-KOG.txt","KOG")</f>
        <v>KOG</v>
      </c>
      <c r="T288" s="23">
        <v>4.0000000000000002E-27</v>
      </c>
      <c r="U288">
        <v>68.2</v>
      </c>
      <c r="V288" s="1" t="str">
        <f>HYPERLINK("http://exon.niaid.nih.gov/transcriptome/T_rubida/S1/links/NR/Triru-contig_656-NR.txt","probable pterin-4-alpha-carbinolamine dehydratase-like")</f>
        <v>probable pterin-4-alpha-carbinolamine dehydratase-like</v>
      </c>
      <c r="W288" t="str">
        <f>HYPERLINK("http://www.ncbi.nlm.nih.gov/sutils/blink.cgi?pid=340722574","6E-025")</f>
        <v>6E-025</v>
      </c>
      <c r="X288" t="str">
        <f>HYPERLINK("http://www.ncbi.nlm.nih.gov/protein/340722574","gi|340722574")</f>
        <v>gi|340722574</v>
      </c>
      <c r="Y288">
        <v>117</v>
      </c>
      <c r="Z288">
        <v>74</v>
      </c>
      <c r="AA288">
        <v>139</v>
      </c>
      <c r="AB288">
        <v>72</v>
      </c>
      <c r="AC288">
        <v>54</v>
      </c>
      <c r="AD288">
        <v>21</v>
      </c>
      <c r="AE288">
        <v>0</v>
      </c>
      <c r="AF288">
        <v>65</v>
      </c>
      <c r="AG288">
        <v>12</v>
      </c>
      <c r="AH288">
        <v>1</v>
      </c>
      <c r="AI288">
        <v>3</v>
      </c>
      <c r="AJ288" t="s">
        <v>11</v>
      </c>
      <c r="AL288" t="s">
        <v>1360</v>
      </c>
      <c r="AM288" t="s">
        <v>4799</v>
      </c>
      <c r="AN288" t="s">
        <v>4800</v>
      </c>
      <c r="AO288" s="1" t="str">
        <f>HYPERLINK("http://exon.niaid.nih.gov/transcriptome/T_rubida/S1/links/SWISSP/Triru-contig_656-SWISSP.txt","Pterin-4-alpha-carbinolamine dehydratase 2")</f>
        <v>Pterin-4-alpha-carbinolamine dehydratase 2</v>
      </c>
      <c r="AP288" t="str">
        <f>HYPERLINK("http://www.uniprot.org/uniprot/Q9CZL5","6E-024")</f>
        <v>6E-024</v>
      </c>
      <c r="AQ288" t="s">
        <v>4801</v>
      </c>
      <c r="AR288">
        <v>109</v>
      </c>
      <c r="AS288">
        <v>70</v>
      </c>
      <c r="AT288">
        <v>73</v>
      </c>
      <c r="AU288">
        <v>52</v>
      </c>
      <c r="AV288">
        <v>19</v>
      </c>
      <c r="AW288">
        <v>0</v>
      </c>
      <c r="AX288">
        <v>64</v>
      </c>
      <c r="AY288">
        <v>12</v>
      </c>
      <c r="AZ288">
        <v>1</v>
      </c>
      <c r="BA288">
        <v>3</v>
      </c>
      <c r="BB288" t="s">
        <v>11</v>
      </c>
      <c r="BD288" t="s">
        <v>704</v>
      </c>
      <c r="BE288" t="s">
        <v>807</v>
      </c>
      <c r="BF288" t="s">
        <v>4802</v>
      </c>
      <c r="BG288" t="s">
        <v>4803</v>
      </c>
      <c r="BH288" s="1" t="s">
        <v>4804</v>
      </c>
      <c r="BI288">
        <f>HYPERLINK("http://exon.niaid.nih.gov/transcriptome/T_rubida/S1/links/GO/Triru-contig_656-GO.txt",2E-24)</f>
        <v>1.9999999999999998E-24</v>
      </c>
      <c r="BJ288" s="1" t="str">
        <f>HYPERLINK("http://exon.niaid.nih.gov/transcriptome/T_rubida/S1/links/CDD/Triru-contig_656-CDD.txt","PCD_DCoH_subfam")</f>
        <v>PCD_DCoH_subfam</v>
      </c>
      <c r="BK288" t="str">
        <f>HYPERLINK("http://www.ncbi.nlm.nih.gov/Structure/cdd/cddsrv.cgi?uid=cd00914&amp;version=v4.0","2E-030")</f>
        <v>2E-030</v>
      </c>
      <c r="BL288" t="s">
        <v>4805</v>
      </c>
      <c r="BM288" s="1" t="str">
        <f>HYPERLINK("http://exon.niaid.nih.gov/transcriptome/T_rubida/S1/links/KOG/Triru-contig_656-KOG.txt","Pterin carbinolamine dehydratase PCBD/dimerization cofactor of HNF1")</f>
        <v>Pterin carbinolamine dehydratase PCBD/dimerization cofactor of HNF1</v>
      </c>
      <c r="BN288" t="str">
        <f>HYPERLINK("http://www.ncbi.nlm.nih.gov/COG/grace/shokog.cgi?KOG4073","4E-027")</f>
        <v>4E-027</v>
      </c>
      <c r="BO288" t="s">
        <v>790</v>
      </c>
      <c r="BP288" s="1" t="str">
        <f>HYPERLINK("http://exon.niaid.nih.gov/transcriptome/T_rubida/S1/links/PFAM/Triru-contig_656-PFAM.txt","Pterin_4a")</f>
        <v>Pterin_4a</v>
      </c>
      <c r="BQ288" t="str">
        <f>HYPERLINK("http://pfam.sanger.ac.uk/family?acc=PF01329","5E-027")</f>
        <v>5E-027</v>
      </c>
      <c r="BR288" s="1" t="str">
        <f>HYPERLINK("http://exon.niaid.nih.gov/transcriptome/T_rubida/S1/links/SMART/Triru-contig_656-SMART.txt","BHL")</f>
        <v>BHL</v>
      </c>
      <c r="BS288" t="str">
        <f>HYPERLINK("http://smart.embl-heidelberg.de/smart/do_annotation.pl?DOMAIN=BHL&amp;BLAST=DUMMY","0.093")</f>
        <v>0.093</v>
      </c>
      <c r="BT288" s="1" t="str">
        <f>HYPERLINK("http://exon.niaid.nih.gov/transcriptome/T_rubida/S1/links/PRK/Triru-contig_656-PRK.txt","pterin-4-alpha-carbinolamine dehydratase")</f>
        <v>pterin-4-alpha-carbinolamine dehydratase</v>
      </c>
      <c r="BU288" s="2">
        <v>3.0000000000000001E-27</v>
      </c>
      <c r="BV288" s="1" t="s">
        <v>57</v>
      </c>
      <c r="BW288" t="s">
        <v>57</v>
      </c>
      <c r="BX288" s="1" t="s">
        <v>57</v>
      </c>
      <c r="BY288" t="s">
        <v>57</v>
      </c>
    </row>
    <row r="289" spans="1:77">
      <c r="A289" t="str">
        <f>HYPERLINK("http://exon.niaid.nih.gov/transcriptome/T_rubida/S1/links/Triru/Triru-contig_382.txt","Triru-contig_382")</f>
        <v>Triru-contig_382</v>
      </c>
      <c r="B289">
        <v>1</v>
      </c>
      <c r="C289" t="str">
        <f>HYPERLINK("http://exon.niaid.nih.gov/transcriptome/T_rubida/S1/links/Triru/Triru-5-48-asb-382.txt","Contig-382")</f>
        <v>Contig-382</v>
      </c>
      <c r="D289" t="str">
        <f>HYPERLINK("http://exon.niaid.nih.gov/transcriptome/T_rubida/S1/links/Triru/Triru-5-48-382-CLU.txt","Contig382")</f>
        <v>Contig382</v>
      </c>
      <c r="E289" t="str">
        <f>HYPERLINK("http://exon.niaid.nih.gov/transcriptome/T_rubida/S1/links/Triru/Triru-5-48-382-qual.txt","64.1")</f>
        <v>64.1</v>
      </c>
      <c r="F289" t="s">
        <v>10</v>
      </c>
      <c r="G289">
        <v>70.400000000000006</v>
      </c>
      <c r="H289">
        <v>636</v>
      </c>
      <c r="I289" t="s">
        <v>394</v>
      </c>
      <c r="J289">
        <v>636</v>
      </c>
      <c r="K289">
        <v>655</v>
      </c>
      <c r="L289">
        <v>354</v>
      </c>
      <c r="M289" t="s">
        <v>5312</v>
      </c>
      <c r="N289" s="15">
        <v>3</v>
      </c>
      <c r="O289" s="14" t="str">
        <f>HYPERLINK("http://exon.niaid.nih.gov/transcriptome/T_rubida/S1/links/Sigp/TRIRU-CONTIG_382-SigP.txt","Cyt")</f>
        <v>Cyt</v>
      </c>
      <c r="Q289" s="5" t="s">
        <v>4950</v>
      </c>
      <c r="R289" t="s">
        <v>4877</v>
      </c>
      <c r="S289" t="str">
        <f>HYPERLINK("http://exon.niaid.nih.gov/transcriptome/T_rubida/S1/links/KOG/Triru-contig_382-KOG.txt","KOG")</f>
        <v>KOG</v>
      </c>
      <c r="T289" s="23">
        <v>9E-47</v>
      </c>
      <c r="U289">
        <v>17</v>
      </c>
      <c r="V289" s="1" t="str">
        <f>HYPERLINK("http://exon.niaid.nih.gov/transcriptome/T_rubida/S1/links/NR/Triru-contig_382-NR.txt","RNA-binding protein 25")</f>
        <v>RNA-binding protein 25</v>
      </c>
      <c r="W289" t="str">
        <f>HYPERLINK("http://www.ncbi.nlm.nih.gov/sutils/blink.cgi?pid=332023857","4E-055")</f>
        <v>4E-055</v>
      </c>
      <c r="X289" t="str">
        <f>HYPERLINK("http://www.ncbi.nlm.nih.gov/protein/332023857","gi|332023857")</f>
        <v>gi|332023857</v>
      </c>
      <c r="Y289">
        <v>218</v>
      </c>
      <c r="Z289">
        <v>117</v>
      </c>
      <c r="AA289">
        <v>918</v>
      </c>
      <c r="AB289">
        <v>88</v>
      </c>
      <c r="AC289">
        <v>13</v>
      </c>
      <c r="AD289">
        <v>13</v>
      </c>
      <c r="AE289">
        <v>0</v>
      </c>
      <c r="AF289">
        <v>801</v>
      </c>
      <c r="AG289">
        <v>3</v>
      </c>
      <c r="AH289">
        <v>1</v>
      </c>
      <c r="AI289">
        <v>3</v>
      </c>
      <c r="AJ289" t="s">
        <v>11</v>
      </c>
      <c r="AL289" t="s">
        <v>2597</v>
      </c>
      <c r="AM289" t="s">
        <v>3065</v>
      </c>
      <c r="AN289" t="s">
        <v>3066</v>
      </c>
      <c r="AO289" s="1" t="str">
        <f>HYPERLINK("http://exon.niaid.nih.gov/transcriptome/T_rubida/S1/links/SWISSP/Triru-contig_382-SWISSP.txt","RNA-binding protein 25")</f>
        <v>RNA-binding protein 25</v>
      </c>
      <c r="AP289" t="str">
        <f>HYPERLINK("http://www.uniprot.org/uniprot/B2RY56","3E-046")</f>
        <v>3E-046</v>
      </c>
      <c r="AQ289" t="s">
        <v>3067</v>
      </c>
      <c r="AR289">
        <v>185</v>
      </c>
      <c r="AS289">
        <v>111</v>
      </c>
      <c r="AT289">
        <v>81</v>
      </c>
      <c r="AU289">
        <v>13</v>
      </c>
      <c r="AV289">
        <v>21</v>
      </c>
      <c r="AW289">
        <v>0</v>
      </c>
      <c r="AX289">
        <v>730</v>
      </c>
      <c r="AY289">
        <v>21</v>
      </c>
      <c r="AZ289">
        <v>1</v>
      </c>
      <c r="BA289">
        <v>3</v>
      </c>
      <c r="BB289" t="s">
        <v>11</v>
      </c>
      <c r="BD289" t="s">
        <v>704</v>
      </c>
      <c r="BE289" t="s">
        <v>807</v>
      </c>
      <c r="BF289" t="s">
        <v>3068</v>
      </c>
      <c r="BG289" t="s">
        <v>3069</v>
      </c>
      <c r="BH289" s="1" t="s">
        <v>3070</v>
      </c>
      <c r="BI289">
        <f>HYPERLINK("http://exon.niaid.nih.gov/transcriptome/T_rubida/S1/links/GO/Triru-contig_382-GO.txt",1E-46)</f>
        <v>1E-46</v>
      </c>
      <c r="BJ289" s="1" t="str">
        <f>HYPERLINK("http://exon.niaid.nih.gov/transcriptome/T_rubida/S1/links/CDD/Triru-contig_382-CDD.txt","PWI")</f>
        <v>PWI</v>
      </c>
      <c r="BK289" t="str">
        <f>HYPERLINK("http://www.ncbi.nlm.nih.gov/Structure/cdd/cddsrv.cgi?uid=smart00311&amp;version=v4.0","1E-024")</f>
        <v>1E-024</v>
      </c>
      <c r="BL289" t="s">
        <v>3071</v>
      </c>
      <c r="BM289" s="1" t="str">
        <f>HYPERLINK("http://exon.niaid.nih.gov/transcriptome/T_rubida/S1/links/KOG/Triru-contig_382-KOG.txt","U1 snRNP complex, subunit SNU71 and related PWI-motif proteins")</f>
        <v>U1 snRNP complex, subunit SNU71 and related PWI-motif proteins</v>
      </c>
      <c r="BN289" t="str">
        <f>HYPERLINK("http://www.ncbi.nlm.nih.gov/COG/grace/shokog.cgi?KOG2253","9E-047")</f>
        <v>9E-047</v>
      </c>
      <c r="BO289" t="s">
        <v>1002</v>
      </c>
      <c r="BP289" s="1" t="str">
        <f>HYPERLINK("http://exon.niaid.nih.gov/transcriptome/T_rubida/S1/links/PFAM/Triru-contig_382-PFAM.txt","PWI")</f>
        <v>PWI</v>
      </c>
      <c r="BQ289" t="str">
        <f>HYPERLINK("http://pfam.sanger.ac.uk/family?acc=PF01480","1E-019")</f>
        <v>1E-019</v>
      </c>
      <c r="BR289" s="1" t="str">
        <f>HYPERLINK("http://exon.niaid.nih.gov/transcriptome/T_rubida/S1/links/SMART/Triru-contig_382-SMART.txt","PWI")</f>
        <v>PWI</v>
      </c>
      <c r="BS289" t="str">
        <f>HYPERLINK("http://smart.embl-heidelberg.de/smart/do_annotation.pl?DOMAIN=PWI&amp;BLAST=DUMMY","1E-026")</f>
        <v>1E-026</v>
      </c>
      <c r="BT289" s="1" t="str">
        <f>HYPERLINK("http://exon.niaid.nih.gov/transcriptome/T_rubida/S1/links/PRK/Triru-contig_382-PRK.txt","N-acetylglucosamine-6-phosphate deacetylase")</f>
        <v>N-acetylglucosamine-6-phosphate deacetylase</v>
      </c>
      <c r="BU289">
        <v>0.13</v>
      </c>
      <c r="BV289" s="1" t="s">
        <v>57</v>
      </c>
      <c r="BW289" t="s">
        <v>57</v>
      </c>
      <c r="BX289" s="1" t="s">
        <v>57</v>
      </c>
      <c r="BY289" t="s">
        <v>57</v>
      </c>
    </row>
    <row r="290" spans="1:77">
      <c r="A290" t="str">
        <f>HYPERLINK("http://exon.niaid.nih.gov/transcriptome/T_rubida/S1/links/Triru/Triru-contig_478.txt","Triru-contig_478")</f>
        <v>Triru-contig_478</v>
      </c>
      <c r="B290">
        <v>1</v>
      </c>
      <c r="C290" t="str">
        <f>HYPERLINK("http://exon.niaid.nih.gov/transcriptome/T_rubida/S1/links/Triru/Triru-5-48-asb-478.txt","Contig-478")</f>
        <v>Contig-478</v>
      </c>
      <c r="D290" t="str">
        <f>HYPERLINK("http://exon.niaid.nih.gov/transcriptome/T_rubida/S1/links/Triru/Triru-5-48-478-CLU.txt","Contig478")</f>
        <v>Contig478</v>
      </c>
      <c r="E290" t="str">
        <f>HYPERLINK("http://exon.niaid.nih.gov/transcriptome/T_rubida/S1/links/Triru/Triru-5-48-478-qual.txt","59.3")</f>
        <v>59.3</v>
      </c>
      <c r="F290">
        <v>0.2</v>
      </c>
      <c r="G290">
        <v>68.5</v>
      </c>
      <c r="H290">
        <v>489</v>
      </c>
      <c r="I290" t="s">
        <v>490</v>
      </c>
      <c r="J290">
        <v>489</v>
      </c>
      <c r="K290">
        <v>508</v>
      </c>
      <c r="L290">
        <v>318</v>
      </c>
      <c r="M290" t="s">
        <v>5313</v>
      </c>
      <c r="N290" s="15">
        <v>2</v>
      </c>
      <c r="O290" s="14" t="str">
        <f>HYPERLINK("http://exon.niaid.nih.gov/transcriptome/T_rubida/S1/links/Sigp/TRIRU-CONTIG_478-SigP.txt","Cyt")</f>
        <v>Cyt</v>
      </c>
      <c r="Q290" s="5" t="s">
        <v>4982</v>
      </c>
      <c r="R290" t="s">
        <v>4877</v>
      </c>
      <c r="S290" t="str">
        <f>HYPERLINK("http://exon.niaid.nih.gov/transcriptome/T_rubida/S1/links/KOG/Triru-contig_478-KOG.txt","KOG")</f>
        <v>KOG</v>
      </c>
      <c r="T290" s="23">
        <v>6.9999999999999997E-33</v>
      </c>
      <c r="U290">
        <v>75.900000000000006</v>
      </c>
      <c r="V290" s="1" t="str">
        <f>HYPERLINK("http://exon.niaid.nih.gov/transcriptome/T_rubida/S1/links/NR/Triru-contig_478-NR.txt","similar to CG3224 CG3224-PA")</f>
        <v>similar to CG3224 CG3224-PA</v>
      </c>
      <c r="W290" t="str">
        <f>HYPERLINK("http://www.ncbi.nlm.nih.gov/sutils/blink.cgi?pid=91080729","6E-036")</f>
        <v>6E-036</v>
      </c>
      <c r="X290" t="str">
        <f>HYPERLINK("http://www.ncbi.nlm.nih.gov/protein/91080729","gi|91080729")</f>
        <v>gi|91080729</v>
      </c>
      <c r="Y290">
        <v>154</v>
      </c>
      <c r="Z290">
        <v>101</v>
      </c>
      <c r="AA290">
        <v>133</v>
      </c>
      <c r="AB290">
        <v>71</v>
      </c>
      <c r="AC290">
        <v>77</v>
      </c>
      <c r="AD290">
        <v>29</v>
      </c>
      <c r="AE290">
        <v>0</v>
      </c>
      <c r="AF290">
        <v>20</v>
      </c>
      <c r="AG290">
        <v>2</v>
      </c>
      <c r="AH290">
        <v>1</v>
      </c>
      <c r="AI290">
        <v>2</v>
      </c>
      <c r="AJ290" t="s">
        <v>11</v>
      </c>
      <c r="AL290" t="s">
        <v>1483</v>
      </c>
      <c r="AM290" t="s">
        <v>3712</v>
      </c>
      <c r="AN290" t="s">
        <v>3713</v>
      </c>
      <c r="AO290" s="1" t="str">
        <f>HYPERLINK("http://exon.niaid.nih.gov/transcriptome/T_rubida/S1/links/SWISSP/Triru-contig_478-SWISSP.txt","Zinc finger protein 593 homolog")</f>
        <v>Zinc finger protein 593 homolog</v>
      </c>
      <c r="AP290" t="str">
        <f>HYPERLINK("http://www.uniprot.org/uniprot/Q9W3Y0","4E-034")</f>
        <v>4E-034</v>
      </c>
      <c r="AQ290" t="s">
        <v>3714</v>
      </c>
      <c r="AR290">
        <v>144</v>
      </c>
      <c r="AS290">
        <v>93</v>
      </c>
      <c r="AT290">
        <v>71</v>
      </c>
      <c r="AU290">
        <v>58</v>
      </c>
      <c r="AV290">
        <v>27</v>
      </c>
      <c r="AW290">
        <v>0</v>
      </c>
      <c r="AX290">
        <v>27</v>
      </c>
      <c r="AY290">
        <v>17</v>
      </c>
      <c r="AZ290">
        <v>1</v>
      </c>
      <c r="BA290">
        <v>2</v>
      </c>
      <c r="BB290" t="s">
        <v>11</v>
      </c>
      <c r="BD290" t="s">
        <v>704</v>
      </c>
      <c r="BE290" t="s">
        <v>1125</v>
      </c>
      <c r="BF290" t="s">
        <v>3715</v>
      </c>
      <c r="BG290" t="s">
        <v>3716</v>
      </c>
      <c r="BH290" s="1" t="s">
        <v>3717</v>
      </c>
      <c r="BI290">
        <f>HYPERLINK("http://exon.niaid.nih.gov/transcriptome/T_rubida/S1/links/GO/Triru-contig_478-GO.txt",3E-34)</f>
        <v>3E-34</v>
      </c>
      <c r="BJ290" s="1" t="str">
        <f>HYPERLINK("http://exon.niaid.nih.gov/transcriptome/T_rubida/S1/links/CDD/Triru-contig_478-CDD.txt","UFD2")</f>
        <v>UFD2</v>
      </c>
      <c r="BK290" t="str">
        <f>HYPERLINK("http://www.ncbi.nlm.nih.gov/Structure/cdd/cddsrv.cgi?uid=COG5112&amp;version=v4.0","2E-018")</f>
        <v>2E-018</v>
      </c>
      <c r="BL290" t="s">
        <v>3718</v>
      </c>
      <c r="BM290" s="1" t="str">
        <f>HYPERLINK("http://exon.niaid.nih.gov/transcriptome/T_rubida/S1/links/KOG/Triru-contig_478-KOG.txt","U1-like Zn-finger-containing protein, probabl erole in RNA processing/splicing")</f>
        <v>U1-like Zn-finger-containing protein, probabl erole in RNA processing/splicing</v>
      </c>
      <c r="BN290" t="str">
        <f>HYPERLINK("http://www.ncbi.nlm.nih.gov/COG/grace/shokog.cgi?KOG3408","7E-033")</f>
        <v>7E-033</v>
      </c>
      <c r="BO290" t="s">
        <v>1002</v>
      </c>
      <c r="BP290" s="1" t="str">
        <f>HYPERLINK("http://exon.niaid.nih.gov/transcriptome/T_rubida/S1/links/PFAM/Triru-contig_478-PFAM.txt","zf-C2H2_jaz")</f>
        <v>zf-C2H2_jaz</v>
      </c>
      <c r="BQ290" t="str">
        <f>HYPERLINK("http://pfam.sanger.ac.uk/family?acc=PF12171","1E-008")</f>
        <v>1E-008</v>
      </c>
      <c r="BR290" s="1" t="str">
        <f>HYPERLINK("http://exon.niaid.nih.gov/transcriptome/T_rubida/S1/links/SMART/Triru-contig_478-SMART.txt","ZnF_U1")</f>
        <v>ZnF_U1</v>
      </c>
      <c r="BS290" t="str">
        <f>HYPERLINK("http://smart.embl-heidelberg.de/smart/do_annotation.pl?DOMAIN=ZnF_U1&amp;BLAST=DUMMY","3E-007")</f>
        <v>3E-007</v>
      </c>
      <c r="BT290" s="1" t="str">
        <f>HYPERLINK("http://exon.niaid.nih.gov/transcriptome/T_rubida/S1/links/PRK/Triru-contig_478-PRK.txt","poly [ADP-ribose] polymerase")</f>
        <v>poly [ADP-ribose] polymerase</v>
      </c>
      <c r="BU290">
        <v>1.4</v>
      </c>
      <c r="BV290" s="1" t="s">
        <v>57</v>
      </c>
      <c r="BW290" t="s">
        <v>57</v>
      </c>
      <c r="BX290" s="1" t="s">
        <v>57</v>
      </c>
      <c r="BY290" t="s">
        <v>57</v>
      </c>
    </row>
    <row r="291" spans="1:77">
      <c r="A291" t="str">
        <f>HYPERLINK("http://exon.niaid.nih.gov/transcriptome/T_rubida/S1/links/Triru/Triru-contig_494.txt","Triru-contig_494")</f>
        <v>Triru-contig_494</v>
      </c>
      <c r="B291">
        <v>1</v>
      </c>
      <c r="C291" t="str">
        <f>HYPERLINK("http://exon.niaid.nih.gov/transcriptome/T_rubida/S1/links/Triru/Triru-5-48-asb-494.txt","Contig-494")</f>
        <v>Contig-494</v>
      </c>
      <c r="D291" t="str">
        <f>HYPERLINK("http://exon.niaid.nih.gov/transcriptome/T_rubida/S1/links/Triru/Triru-5-48-494-CLU.txt","Contig494")</f>
        <v>Contig494</v>
      </c>
      <c r="E291" t="str">
        <f>HYPERLINK("http://exon.niaid.nih.gov/transcriptome/T_rubida/S1/links/Triru/Triru-5-48-494-qual.txt","61.7")</f>
        <v>61.7</v>
      </c>
      <c r="F291" t="s">
        <v>10</v>
      </c>
      <c r="G291">
        <v>71.3</v>
      </c>
      <c r="H291">
        <v>277</v>
      </c>
      <c r="I291" t="s">
        <v>506</v>
      </c>
      <c r="J291">
        <v>277</v>
      </c>
      <c r="K291">
        <v>296</v>
      </c>
      <c r="L291">
        <v>201</v>
      </c>
      <c r="M291" t="s">
        <v>5314</v>
      </c>
      <c r="N291" s="15">
        <v>1</v>
      </c>
      <c r="Q291" s="5" t="s">
        <v>4989</v>
      </c>
      <c r="R291" t="s">
        <v>4877</v>
      </c>
      <c r="S291" t="str">
        <f>HYPERLINK("http://exon.niaid.nih.gov/transcriptome/T_rubida/S1/links/KOG/Triru-contig_494-KOG.txt","KOG")</f>
        <v>KOG</v>
      </c>
      <c r="T291" s="23">
        <v>1.9999999999999998E-24</v>
      </c>
      <c r="U291">
        <v>18.899999999999999</v>
      </c>
      <c r="V291" s="1" t="str">
        <f>HYPERLINK("http://exon.niaid.nih.gov/transcriptome/T_rubida/S1/links/NR/Triru-contig_494-NR.txt","WD repeat protein 57")</f>
        <v>WD repeat protein 57</v>
      </c>
      <c r="W291" t="str">
        <f>HYPERLINK("http://www.ncbi.nlm.nih.gov/sutils/blink.cgi?pid=170032381","1E-024")</f>
        <v>1E-024</v>
      </c>
      <c r="X291" t="str">
        <f>HYPERLINK("http://www.ncbi.nlm.nih.gov/protein/170032381","gi|170032381")</f>
        <v>gi|170032381</v>
      </c>
      <c r="Y291">
        <v>116</v>
      </c>
      <c r="Z291">
        <v>239</v>
      </c>
      <c r="AA291">
        <v>353</v>
      </c>
      <c r="AB291">
        <v>76</v>
      </c>
      <c r="AC291">
        <v>68</v>
      </c>
      <c r="AD291">
        <v>15</v>
      </c>
      <c r="AE291">
        <v>0</v>
      </c>
      <c r="AF291">
        <v>113</v>
      </c>
      <c r="AG291">
        <v>4</v>
      </c>
      <c r="AH291">
        <v>3</v>
      </c>
      <c r="AI291">
        <v>1</v>
      </c>
      <c r="AJ291" t="s">
        <v>11</v>
      </c>
      <c r="AL291" t="s">
        <v>3676</v>
      </c>
      <c r="AM291" t="s">
        <v>3826</v>
      </c>
      <c r="AN291" t="s">
        <v>3827</v>
      </c>
      <c r="AO291" s="1" t="str">
        <f>HYPERLINK("http://exon.niaid.nih.gov/transcriptome/T_rubida/S1/links/SWISSP/Triru-contig_494-SWISSP.txt","U5 small nuclear ribonucleoprotein 40 kDa protein")</f>
        <v>U5 small nuclear ribonucleoprotein 40 kDa protein</v>
      </c>
      <c r="AP291" t="str">
        <f>HYPERLINK("http://www.uniprot.org/uniprot/Q96DI7","5E-023")</f>
        <v>5E-023</v>
      </c>
      <c r="AQ291" t="s">
        <v>3828</v>
      </c>
      <c r="AR291">
        <v>106</v>
      </c>
      <c r="AS291">
        <v>295</v>
      </c>
      <c r="AT291">
        <v>70</v>
      </c>
      <c r="AU291">
        <v>83</v>
      </c>
      <c r="AV291">
        <v>19</v>
      </c>
      <c r="AW291">
        <v>0</v>
      </c>
      <c r="AX291">
        <v>62</v>
      </c>
      <c r="AY291">
        <v>4</v>
      </c>
      <c r="AZ291">
        <v>5</v>
      </c>
      <c r="BA291">
        <v>1</v>
      </c>
      <c r="BB291" t="s">
        <v>11</v>
      </c>
      <c r="BD291" t="s">
        <v>704</v>
      </c>
      <c r="BE291" t="s">
        <v>1233</v>
      </c>
      <c r="BF291" t="s">
        <v>3829</v>
      </c>
      <c r="BG291" t="s">
        <v>3830</v>
      </c>
      <c r="BH291" s="1" t="s">
        <v>3831</v>
      </c>
      <c r="BI291">
        <f>HYPERLINK("http://exon.niaid.nih.gov/transcriptome/T_rubida/S1/links/GO/Triru-contig_494-GO.txt",4E-23)</f>
        <v>3.9999999999999998E-23</v>
      </c>
      <c r="BJ291" s="1" t="str">
        <f>HYPERLINK("http://exon.niaid.nih.gov/transcriptome/T_rubida/S1/links/CDD/Triru-contig_494-CDD.txt","WD40")</f>
        <v>WD40</v>
      </c>
      <c r="BK291" t="str">
        <f>HYPERLINK("http://www.ncbi.nlm.nih.gov/Structure/cdd/cddsrv.cgi?uid=cd00200&amp;version=v4.0","4E-012")</f>
        <v>4E-012</v>
      </c>
      <c r="BL291" t="s">
        <v>3832</v>
      </c>
      <c r="BM291" s="1" t="str">
        <f>HYPERLINK("http://exon.niaid.nih.gov/transcriptome/T_rubida/S1/links/KOG/Triru-contig_494-KOG.txt","U5 snRNP-specific protein-like factor and related proteins")</f>
        <v>U5 snRNP-specific protein-like factor and related proteins</v>
      </c>
      <c r="BN291" t="str">
        <f>HYPERLINK("http://www.ncbi.nlm.nih.gov/COG/grace/shokog.cgi?KOG0265","2E-024")</f>
        <v>2E-024</v>
      </c>
      <c r="BO291" t="s">
        <v>1002</v>
      </c>
      <c r="BP291" s="1" t="str">
        <f>HYPERLINK("http://exon.niaid.nih.gov/transcriptome/T_rubida/S1/links/PFAM/Triru-contig_494-PFAM.txt","WD40")</f>
        <v>WD40</v>
      </c>
      <c r="BQ291" t="str">
        <f>HYPERLINK("http://pfam.sanger.ac.uk/family?acc=PF00400","2E-007")</f>
        <v>2E-007</v>
      </c>
      <c r="BR291" s="1" t="str">
        <f>HYPERLINK("http://exon.niaid.nih.gov/transcriptome/T_rubida/S1/links/SMART/Triru-contig_494-SMART.txt","WD40")</f>
        <v>WD40</v>
      </c>
      <c r="BS291" t="str">
        <f>HYPERLINK("http://smart.embl-heidelberg.de/smart/do_annotation.pl?DOMAIN=WD40&amp;BLAST=DUMMY","8E-009")</f>
        <v>8E-009</v>
      </c>
      <c r="BT291" s="1" t="str">
        <f>HYPERLINK("http://exon.niaid.nih.gov/transcriptome/T_rubida/S1/links/PRK/Triru-contig_494-PRK.txt","coronin")</f>
        <v>coronin</v>
      </c>
      <c r="BU291">
        <v>8.9999999999999993E-3</v>
      </c>
      <c r="BV291" s="1" t="s">
        <v>57</v>
      </c>
      <c r="BW291" t="s">
        <v>57</v>
      </c>
      <c r="BX291" s="1" t="s">
        <v>57</v>
      </c>
      <c r="BY291" t="s">
        <v>57</v>
      </c>
    </row>
    <row r="292" spans="1:77" s="3" customFormat="1">
      <c r="A292" s="13" t="s">
        <v>5051</v>
      </c>
      <c r="T292" s="22"/>
    </row>
    <row r="293" spans="1:77">
      <c r="A293" t="str">
        <f>HYPERLINK("http://exon.niaid.nih.gov/transcriptome/T_rubida/S1/links/Triru/Triru-contig_327.txt","Triru-contig_327")</f>
        <v>Triru-contig_327</v>
      </c>
      <c r="B293">
        <v>1</v>
      </c>
      <c r="C293" t="str">
        <f>HYPERLINK("http://exon.niaid.nih.gov/transcriptome/T_rubida/S1/links/Triru/Triru-5-48-asb-327.txt","Contig-327")</f>
        <v>Contig-327</v>
      </c>
      <c r="D293" t="str">
        <f>HYPERLINK("http://exon.niaid.nih.gov/transcriptome/T_rubida/S1/links/Triru/Triru-5-48-327-CLU.txt","Contig327")</f>
        <v>Contig327</v>
      </c>
      <c r="E293" t="str">
        <f>HYPERLINK("http://exon.niaid.nih.gov/transcriptome/T_rubida/S1/links/Triru/Triru-5-48-327-qual.txt","64.6")</f>
        <v>64.6</v>
      </c>
      <c r="F293" t="s">
        <v>10</v>
      </c>
      <c r="G293">
        <v>71.8</v>
      </c>
      <c r="H293">
        <v>587</v>
      </c>
      <c r="I293" t="s">
        <v>339</v>
      </c>
      <c r="J293">
        <v>587</v>
      </c>
      <c r="K293">
        <v>606</v>
      </c>
      <c r="L293">
        <v>267</v>
      </c>
      <c r="M293" t="s">
        <v>5303</v>
      </c>
      <c r="N293" s="15">
        <v>3</v>
      </c>
      <c r="Q293" s="5" t="s">
        <v>4932</v>
      </c>
      <c r="R293" t="s">
        <v>4885</v>
      </c>
      <c r="S293" t="str">
        <f>HYPERLINK("http://exon.niaid.nih.gov/transcriptome/T_rubida/S1/links/NR/Triru-contig_327-NR.txt","NR")</f>
        <v>NR</v>
      </c>
      <c r="T293" s="23">
        <v>9.9999999999999997E-29</v>
      </c>
      <c r="U293">
        <v>41</v>
      </c>
      <c r="V293" s="1" t="str">
        <f>HYPERLINK("http://exon.niaid.nih.gov/transcriptome/T_rubida/S1/links/NR/Triru-contig_327-NR.txt","ferritin")</f>
        <v>ferritin</v>
      </c>
      <c r="W293" t="str">
        <f>HYPERLINK("http://www.ncbi.nlm.nih.gov/sutils/blink.cgi?pid=289629282","1E-028")</f>
        <v>1E-028</v>
      </c>
      <c r="X293" t="str">
        <f>HYPERLINK("http://www.ncbi.nlm.nih.gov/protein/289629282","gi|289629282")</f>
        <v>gi|289629282</v>
      </c>
      <c r="Y293">
        <v>130</v>
      </c>
      <c r="Z293">
        <v>88</v>
      </c>
      <c r="AA293">
        <v>215</v>
      </c>
      <c r="AB293">
        <v>70</v>
      </c>
      <c r="AC293">
        <v>41</v>
      </c>
      <c r="AD293">
        <v>26</v>
      </c>
      <c r="AE293">
        <v>0</v>
      </c>
      <c r="AF293">
        <v>127</v>
      </c>
      <c r="AG293">
        <v>3</v>
      </c>
      <c r="AH293">
        <v>1</v>
      </c>
      <c r="AI293">
        <v>3</v>
      </c>
      <c r="AJ293" t="s">
        <v>11</v>
      </c>
      <c r="AL293" t="s">
        <v>1330</v>
      </c>
      <c r="AM293" t="s">
        <v>2693</v>
      </c>
      <c r="AN293" t="s">
        <v>2694</v>
      </c>
      <c r="AO293" s="1" t="str">
        <f>HYPERLINK("http://exon.niaid.nih.gov/transcriptome/T_rubida/S1/links/SWISSP/Triru-contig_327-SWISSP.txt","Ferritin subunit")</f>
        <v>Ferritin subunit</v>
      </c>
      <c r="AP293" t="str">
        <f>HYPERLINK("http://www.uniprot.org/uniprot/P41822","7E-018")</f>
        <v>7E-018</v>
      </c>
      <c r="AQ293" t="s">
        <v>2695</v>
      </c>
      <c r="AR293">
        <v>90.5</v>
      </c>
      <c r="AS293">
        <v>77</v>
      </c>
      <c r="AT293">
        <v>58</v>
      </c>
      <c r="AU293">
        <v>37</v>
      </c>
      <c r="AV293">
        <v>34</v>
      </c>
      <c r="AW293">
        <v>0</v>
      </c>
      <c r="AX293">
        <v>129</v>
      </c>
      <c r="AY293">
        <v>3</v>
      </c>
      <c r="AZ293">
        <v>1</v>
      </c>
      <c r="BA293">
        <v>3</v>
      </c>
      <c r="BB293" t="s">
        <v>11</v>
      </c>
      <c r="BD293" t="s">
        <v>704</v>
      </c>
      <c r="BE293" t="s">
        <v>1400</v>
      </c>
      <c r="BF293" t="s">
        <v>2696</v>
      </c>
      <c r="BG293" t="s">
        <v>2697</v>
      </c>
      <c r="BH293" s="1" t="s">
        <v>2698</v>
      </c>
      <c r="BI293">
        <f>HYPERLINK("http://exon.niaid.nih.gov/transcriptome/T_rubida/S1/links/GO/Triru-contig_327-GO.txt",0.0000000000000000001)</f>
        <v>9.9999999999999998E-20</v>
      </c>
      <c r="BJ293" s="1" t="str">
        <f>HYPERLINK("http://exon.niaid.nih.gov/transcriptome/T_rubida/S1/links/CDD/Triru-contig_327-CDD.txt","Euk_Ferritin")</f>
        <v>Euk_Ferritin</v>
      </c>
      <c r="BK293" t="str">
        <f>HYPERLINK("http://www.ncbi.nlm.nih.gov/Structure/cdd/cddsrv.cgi?uid=cd01056&amp;version=v4.0","4E-019")</f>
        <v>4E-019</v>
      </c>
      <c r="BL293" t="s">
        <v>2699</v>
      </c>
      <c r="BM293" s="1" t="str">
        <f>HYPERLINK("http://exon.niaid.nih.gov/transcriptome/T_rubida/S1/links/KOG/Triru-contig_327-KOG.txt","Ferritin")</f>
        <v>Ferritin</v>
      </c>
      <c r="BN293" t="str">
        <f>HYPERLINK("http://www.ncbi.nlm.nih.gov/COG/grace/shokog.cgi?KOG2332","2E-012")</f>
        <v>2E-012</v>
      </c>
      <c r="BO293" t="s">
        <v>849</v>
      </c>
      <c r="BP293" s="1" t="str">
        <f>HYPERLINK("http://exon.niaid.nih.gov/transcriptome/T_rubida/S1/links/PFAM/Triru-contig_327-PFAM.txt","Ferritin")</f>
        <v>Ferritin</v>
      </c>
      <c r="BQ293" t="str">
        <f>HYPERLINK("http://pfam.sanger.ac.uk/family?acc=PF00210","7E-006")</f>
        <v>7E-006</v>
      </c>
      <c r="BR293" s="1" t="str">
        <f>HYPERLINK("http://exon.niaid.nih.gov/transcriptome/T_rubida/S1/links/SMART/Triru-contig_327-SMART.txt","PX")</f>
        <v>PX</v>
      </c>
      <c r="BS293" t="str">
        <f>HYPERLINK("http://smart.embl-heidelberg.de/smart/do_annotation.pl?DOMAIN=PX&amp;BLAST=DUMMY","0.055")</f>
        <v>0.055</v>
      </c>
      <c r="BT293" s="1" t="str">
        <f>HYPERLINK("http://exon.niaid.nih.gov/transcriptome/T_rubida/S1/links/PRK/Triru-contig_327-PRK.txt","putative")</f>
        <v>putative</v>
      </c>
      <c r="BU293">
        <v>0.62</v>
      </c>
      <c r="BV293" s="1" t="s">
        <v>57</v>
      </c>
      <c r="BW293" t="s">
        <v>57</v>
      </c>
      <c r="BX293" s="1" t="s">
        <v>57</v>
      </c>
      <c r="BY293" t="s">
        <v>57</v>
      </c>
    </row>
    <row r="294" spans="1:77">
      <c r="A294" t="str">
        <f>HYPERLINK("http://exon.niaid.nih.gov/transcriptome/T_rubida/S1/links/Triru/Triru-contig_160.txt","Triru-contig_160")</f>
        <v>Triru-contig_160</v>
      </c>
      <c r="B294">
        <v>2</v>
      </c>
      <c r="C294" t="str">
        <f>HYPERLINK("http://exon.niaid.nih.gov/transcriptome/T_rubida/S1/links/Triru/Triru-5-48-asb-160.txt","Contig-160")</f>
        <v>Contig-160</v>
      </c>
      <c r="D294" t="str">
        <f>HYPERLINK("http://exon.niaid.nih.gov/transcriptome/T_rubida/S1/links/Triru/Triru-5-48-160-CLU.txt","Contig160")</f>
        <v>Contig160</v>
      </c>
      <c r="E294" t="str">
        <f>HYPERLINK("http://exon.niaid.nih.gov/transcriptome/T_rubida/S1/links/Triru/Triru-5-48-160-qual.txt","93.4")</f>
        <v>93.4</v>
      </c>
      <c r="F294" t="s">
        <v>10</v>
      </c>
      <c r="G294">
        <v>58.4</v>
      </c>
      <c r="H294">
        <v>534</v>
      </c>
      <c r="I294" t="s">
        <v>172</v>
      </c>
      <c r="J294">
        <v>534</v>
      </c>
      <c r="K294">
        <v>553</v>
      </c>
      <c r="L294">
        <v>480</v>
      </c>
      <c r="M294" t="s">
        <v>5304</v>
      </c>
      <c r="N294" s="15">
        <v>3</v>
      </c>
      <c r="O294" s="14" t="str">
        <f>HYPERLINK("http://exon.niaid.nih.gov/transcriptome/T_rubida/S1/links/Sigp/TRIRU-CONTIG_160-SigP.txt","Cyt")</f>
        <v>Cyt</v>
      </c>
      <c r="Q294" s="5" t="s">
        <v>4884</v>
      </c>
      <c r="R294" t="s">
        <v>4885</v>
      </c>
      <c r="S294" t="str">
        <f>HYPERLINK("http://exon.niaid.nih.gov/transcriptome/T_rubida/S1/links/NR/Triru-contig_160-NR.txt","NR")</f>
        <v>NR</v>
      </c>
      <c r="T294" s="23">
        <v>7.9999999999999997E-38</v>
      </c>
      <c r="U294">
        <v>8</v>
      </c>
      <c r="V294" s="1" t="str">
        <f>HYPERLINK("http://exon.niaid.nih.gov/transcriptome/T_rubida/S1/links/NR/Triru-contig_160-NR.txt","vitellogenin-3")</f>
        <v>vitellogenin-3</v>
      </c>
      <c r="W294" t="str">
        <f>HYPERLINK("http://www.ncbi.nlm.nih.gov/sutils/blink.cgi?pid=6526700","8E-038")</f>
        <v>8E-038</v>
      </c>
      <c r="X294" t="str">
        <f>HYPERLINK("http://www.ncbi.nlm.nih.gov/protein/6526700","gi|6526700")</f>
        <v>gi|6526700</v>
      </c>
      <c r="Y294">
        <v>160</v>
      </c>
      <c r="Z294">
        <v>152</v>
      </c>
      <c r="AA294">
        <v>1903</v>
      </c>
      <c r="AB294">
        <v>45</v>
      </c>
      <c r="AC294">
        <v>8</v>
      </c>
      <c r="AD294">
        <v>85</v>
      </c>
      <c r="AE294">
        <v>0</v>
      </c>
      <c r="AF294">
        <v>1747</v>
      </c>
      <c r="AG294">
        <v>15</v>
      </c>
      <c r="AH294">
        <v>1</v>
      </c>
      <c r="AI294">
        <v>3</v>
      </c>
      <c r="AJ294" t="s">
        <v>11</v>
      </c>
      <c r="AL294" t="s">
        <v>1642</v>
      </c>
      <c r="AM294" t="s">
        <v>1643</v>
      </c>
      <c r="AN294" t="s">
        <v>1644</v>
      </c>
      <c r="AO294" s="1" t="str">
        <f>HYPERLINK("http://exon.niaid.nih.gov/transcriptome/T_rubida/S1/links/SWISSP/Triru-contig_160-SWISSP.txt","Vitellogenin")</f>
        <v>Vitellogenin</v>
      </c>
      <c r="AP294" t="str">
        <f>HYPERLINK("http://www.uniprot.org/uniprot/Q868N5","1E-016")</f>
        <v>1E-016</v>
      </c>
      <c r="AQ294" t="s">
        <v>1645</v>
      </c>
      <c r="AR294">
        <v>85.9</v>
      </c>
      <c r="AS294">
        <v>148</v>
      </c>
      <c r="AT294">
        <v>30</v>
      </c>
      <c r="AU294">
        <v>8</v>
      </c>
      <c r="AV294">
        <v>108</v>
      </c>
      <c r="AW294">
        <v>1</v>
      </c>
      <c r="AX294">
        <v>1620</v>
      </c>
      <c r="AY294">
        <v>9</v>
      </c>
      <c r="AZ294">
        <v>1</v>
      </c>
      <c r="BA294">
        <v>3</v>
      </c>
      <c r="BB294" t="s">
        <v>11</v>
      </c>
      <c r="BD294" t="s">
        <v>704</v>
      </c>
      <c r="BE294" t="s">
        <v>1153</v>
      </c>
      <c r="BF294" t="s">
        <v>1646</v>
      </c>
      <c r="BG294" t="s">
        <v>1647</v>
      </c>
      <c r="BH294" s="1" t="s">
        <v>1648</v>
      </c>
      <c r="BI294">
        <f>HYPERLINK("http://exon.niaid.nih.gov/transcriptome/T_rubida/S1/links/GO/Triru-contig_160-GO.txt",0.000000000002)</f>
        <v>2E-12</v>
      </c>
      <c r="BJ294" s="1" t="str">
        <f>HYPERLINK("http://exon.niaid.nih.gov/transcriptome/T_rubida/S1/links/CDD/Triru-contig_160-CDD.txt","Sed5p")</f>
        <v>Sed5p</v>
      </c>
      <c r="BK294" t="str">
        <f>HYPERLINK("http://www.ncbi.nlm.nih.gov/Structure/cdd/cddsrv.cgi?uid=pfam11416&amp;version=v4.0","0.62")</f>
        <v>0.62</v>
      </c>
      <c r="BL294" t="s">
        <v>1649</v>
      </c>
      <c r="BM294" s="1" t="str">
        <f>HYPERLINK("http://exon.niaid.nih.gov/transcriptome/T_rubida/S1/links/KOG/Triru-contig_160-KOG.txt","Uncharacterized conserved protein")</f>
        <v>Uncharacterized conserved protein</v>
      </c>
      <c r="BN294" t="str">
        <f>HYPERLINK("http://www.ncbi.nlm.nih.gov/COG/grace/shokog.cgi?KOG3032","0.32")</f>
        <v>0.32</v>
      </c>
      <c r="BO294" t="s">
        <v>737</v>
      </c>
      <c r="BP294" s="1" t="str">
        <f>HYPERLINK("http://exon.niaid.nih.gov/transcriptome/T_rubida/S1/links/PFAM/Triru-contig_160-PFAM.txt","Sed5p")</f>
        <v>Sed5p</v>
      </c>
      <c r="BQ294" t="str">
        <f>HYPERLINK("http://pfam.sanger.ac.uk/family?acc=PF11416","0.13")</f>
        <v>0.13</v>
      </c>
      <c r="BR294" s="1" t="str">
        <f>HYPERLINK("http://exon.niaid.nih.gov/transcriptome/T_rubida/S1/links/SMART/Triru-contig_160-SMART.txt","FAS1")</f>
        <v>FAS1</v>
      </c>
      <c r="BS294" t="str">
        <f>HYPERLINK("http://smart.embl-heidelberg.de/smart/do_annotation.pl?DOMAIN=FAS1&amp;BLAST=DUMMY","0.062")</f>
        <v>0.062</v>
      </c>
      <c r="BT294" s="1" t="str">
        <f>HYPERLINK("http://exon.niaid.nih.gov/transcriptome/T_rubida/S1/links/PRK/Triru-contig_160-PRK.txt","cinnamyl-alcohol dehydrogenase.")</f>
        <v>cinnamyl-alcohol dehydrogenase.</v>
      </c>
      <c r="BU294">
        <v>0.48</v>
      </c>
      <c r="BV294" s="1" t="s">
        <v>57</v>
      </c>
      <c r="BW294" t="s">
        <v>57</v>
      </c>
      <c r="BX294" s="1" t="s">
        <v>57</v>
      </c>
      <c r="BY294" t="s">
        <v>57</v>
      </c>
    </row>
    <row r="295" spans="1:77" s="3" customFormat="1">
      <c r="A295" s="13" t="s">
        <v>5052</v>
      </c>
      <c r="T295" s="22"/>
    </row>
    <row r="296" spans="1:77">
      <c r="A296" t="str">
        <f>HYPERLINK("http://exon.niaid.nih.gov/transcriptome/T_rubida/S1/links/Triru/Triru-contig_444.txt","Triru-contig_444")</f>
        <v>Triru-contig_444</v>
      </c>
      <c r="B296">
        <v>1</v>
      </c>
      <c r="C296" t="str">
        <f>HYPERLINK("http://exon.niaid.nih.gov/transcriptome/T_rubida/S1/links/Triru/Triru-5-48-asb-444.txt","Contig-444")</f>
        <v>Contig-444</v>
      </c>
      <c r="D296" t="str">
        <f>HYPERLINK("http://exon.niaid.nih.gov/transcriptome/T_rubida/S1/links/Triru/Triru-5-48-444-CLU.txt","Contig444")</f>
        <v>Contig444</v>
      </c>
      <c r="E296" t="str">
        <f>HYPERLINK("http://exon.niaid.nih.gov/transcriptome/T_rubida/S1/links/Triru/Triru-5-48-444-qual.txt","62.6")</f>
        <v>62.6</v>
      </c>
      <c r="F296" t="s">
        <v>10</v>
      </c>
      <c r="G296">
        <v>68.5</v>
      </c>
      <c r="H296">
        <v>492</v>
      </c>
      <c r="I296" t="s">
        <v>456</v>
      </c>
      <c r="J296">
        <v>492</v>
      </c>
      <c r="K296">
        <v>511</v>
      </c>
      <c r="L296">
        <v>243</v>
      </c>
      <c r="M296" t="s">
        <v>5315</v>
      </c>
      <c r="N296" s="15">
        <v>3</v>
      </c>
      <c r="O296" s="14" t="str">
        <f>HYPERLINK("http://exon.niaid.nih.gov/transcriptome/T_rubida/S1/links/Sigp/TRIRU-CONTIG_444-SigP.txt","Cyt")</f>
        <v>Cyt</v>
      </c>
      <c r="Q296" s="5" t="s">
        <v>4971</v>
      </c>
      <c r="R296" t="s">
        <v>4821</v>
      </c>
      <c r="S296" t="str">
        <f>HYPERLINK("http://exon.niaid.nih.gov/transcriptome/T_rubida/S1/links/NR/Triru-contig_444-NR.txt","NR")</f>
        <v>NR</v>
      </c>
      <c r="T296" s="23">
        <v>9.0000000000000003E-19</v>
      </c>
      <c r="U296">
        <v>17.899999999999999</v>
      </c>
      <c r="V296" s="1" t="str">
        <f>HYPERLINK("http://exon.niaid.nih.gov/transcriptome/T_rubida/S1/links/NR/Triru-contig_444-NR.txt","Arginine/serine-rich coiled-coil protein 2")</f>
        <v>Arginine/serine-rich coiled-coil protein 2</v>
      </c>
      <c r="W296" t="str">
        <f>HYPERLINK("http://www.ncbi.nlm.nih.gov/sutils/blink.cgi?pid=307202429","9E-019")</f>
        <v>9E-019</v>
      </c>
      <c r="X296" t="str">
        <f>HYPERLINK("http://www.ncbi.nlm.nih.gov/protein/307202429","gi|307202429")</f>
        <v>gi|307202429</v>
      </c>
      <c r="Y296">
        <v>97.1</v>
      </c>
      <c r="Z296">
        <v>72</v>
      </c>
      <c r="AA296">
        <v>412</v>
      </c>
      <c r="AB296">
        <v>63</v>
      </c>
      <c r="AC296">
        <v>18</v>
      </c>
      <c r="AD296">
        <v>27</v>
      </c>
      <c r="AE296">
        <v>0</v>
      </c>
      <c r="AF296">
        <v>332</v>
      </c>
      <c r="AG296">
        <v>9</v>
      </c>
      <c r="AH296">
        <v>1</v>
      </c>
      <c r="AI296">
        <v>3</v>
      </c>
      <c r="AJ296" t="s">
        <v>11</v>
      </c>
      <c r="AL296" t="s">
        <v>1475</v>
      </c>
      <c r="AM296" t="s">
        <v>3486</v>
      </c>
      <c r="AN296" t="s">
        <v>3487</v>
      </c>
      <c r="AO296" s="1" t="str">
        <f>HYPERLINK("http://exon.niaid.nih.gov/transcriptome/T_rubida/S1/links/SWISSP/Triru-contig_444-SWISSP.txt","Arginine/serine-rich coiled-coil protein 2")</f>
        <v>Arginine/serine-rich coiled-coil protein 2</v>
      </c>
      <c r="AP296" t="str">
        <f>HYPERLINK("http://www.uniprot.org/uniprot/Q5XHJ5","2E-011")</f>
        <v>2E-011</v>
      </c>
      <c r="AQ296" t="s">
        <v>3488</v>
      </c>
      <c r="AR296">
        <v>68.900000000000006</v>
      </c>
      <c r="AS296">
        <v>72</v>
      </c>
      <c r="AT296">
        <v>46</v>
      </c>
      <c r="AU296">
        <v>18</v>
      </c>
      <c r="AV296">
        <v>41</v>
      </c>
      <c r="AW296">
        <v>2</v>
      </c>
      <c r="AX296">
        <v>328</v>
      </c>
      <c r="AY296">
        <v>6</v>
      </c>
      <c r="AZ296">
        <v>1</v>
      </c>
      <c r="BA296">
        <v>3</v>
      </c>
      <c r="BB296" t="s">
        <v>11</v>
      </c>
      <c r="BD296" t="s">
        <v>704</v>
      </c>
      <c r="BE296" t="s">
        <v>1948</v>
      </c>
      <c r="BF296" t="s">
        <v>3489</v>
      </c>
      <c r="BG296" t="s">
        <v>3490</v>
      </c>
      <c r="BH296" s="1" t="s">
        <v>3491</v>
      </c>
      <c r="BI296">
        <f>HYPERLINK("http://exon.niaid.nih.gov/transcriptome/T_rubida/S1/links/GO/Triru-contig_444-GO.txt",0.00000000003)</f>
        <v>3E-11</v>
      </c>
      <c r="BJ296" s="1" t="str">
        <f>HYPERLINK("http://exon.niaid.nih.gov/transcriptome/T_rubida/S1/links/CDD/Triru-contig_444-CDD.txt","s48_45")</f>
        <v>s48_45</v>
      </c>
      <c r="BK296" t="str">
        <f>HYPERLINK("http://www.ncbi.nlm.nih.gov/Structure/cdd/cddsrv.cgi?uid=pfam07422&amp;version=v4.0","0.038")</f>
        <v>0.038</v>
      </c>
      <c r="BL296" t="s">
        <v>3492</v>
      </c>
      <c r="BM296" s="1" t="str">
        <f>HYPERLINK("http://exon.niaid.nih.gov/transcriptome/T_rubida/S1/links/KOG/Triru-contig_444-KOG.txt","Nuclear matrix protein")</f>
        <v>Nuclear matrix protein</v>
      </c>
      <c r="BN296" t="str">
        <f>HYPERLINK("http://www.ncbi.nlm.nih.gov/COG/grace/shokog.cgi?KOG2491","0.60")</f>
        <v>0.60</v>
      </c>
      <c r="BO296" t="s">
        <v>3493</v>
      </c>
      <c r="BP296" s="1" t="str">
        <f>HYPERLINK("http://exon.niaid.nih.gov/transcriptome/T_rubida/S1/links/PFAM/Triru-contig_444-PFAM.txt","s48_45")</f>
        <v>s48_45</v>
      </c>
      <c r="BQ296" t="str">
        <f>HYPERLINK("http://pfam.sanger.ac.uk/family?acc=PF07422","0.008")</f>
        <v>0.008</v>
      </c>
      <c r="BR296" s="1" t="str">
        <f>HYPERLINK("http://exon.niaid.nih.gov/transcriptome/T_rubida/S1/links/SMART/Triru-contig_444-SMART.txt","KISc")</f>
        <v>KISc</v>
      </c>
      <c r="BS296" t="str">
        <f>HYPERLINK("http://smart.embl-heidelberg.de/smart/do_annotation.pl?DOMAIN=KISc&amp;BLAST=DUMMY","1.0")</f>
        <v>1.0</v>
      </c>
      <c r="BT296" s="1" t="str">
        <f>HYPERLINK("http://exon.niaid.nih.gov/transcriptome/T_rubida/S1/links/PRK/Triru-contig_444-PRK.txt","NADH dehydrogenase subunit 2")</f>
        <v>NADH dehydrogenase subunit 2</v>
      </c>
      <c r="BU296">
        <v>3.3000000000000002E-2</v>
      </c>
      <c r="BV296" s="1" t="s">
        <v>57</v>
      </c>
      <c r="BW296" t="s">
        <v>57</v>
      </c>
      <c r="BX296" s="1" t="s">
        <v>57</v>
      </c>
      <c r="BY296" t="s">
        <v>57</v>
      </c>
    </row>
    <row r="297" spans="1:77">
      <c r="A297" t="str">
        <f>HYPERLINK("http://exon.niaid.nih.gov/transcriptome/T_rubida/S1/links/Triru/Triru-contig_328.txt","Triru-contig_328")</f>
        <v>Triru-contig_328</v>
      </c>
      <c r="B297">
        <v>1</v>
      </c>
      <c r="C297" t="str">
        <f>HYPERLINK("http://exon.niaid.nih.gov/transcriptome/T_rubida/S1/links/Triru/Triru-5-48-asb-328.txt","Contig-328")</f>
        <v>Contig-328</v>
      </c>
      <c r="D297" t="str">
        <f>HYPERLINK("http://exon.niaid.nih.gov/transcriptome/T_rubida/S1/links/Triru/Triru-5-48-328-CLU.txt","Contig328")</f>
        <v>Contig328</v>
      </c>
      <c r="E297" t="str">
        <f>HYPERLINK("http://exon.niaid.nih.gov/transcriptome/T_rubida/S1/links/Triru/Triru-5-48-328-qual.txt","42.4")</f>
        <v>42.4</v>
      </c>
      <c r="F297" t="s">
        <v>10</v>
      </c>
      <c r="G297">
        <v>66.900000000000006</v>
      </c>
      <c r="H297">
        <v>716</v>
      </c>
      <c r="I297" t="s">
        <v>340</v>
      </c>
      <c r="J297">
        <v>716</v>
      </c>
      <c r="K297">
        <v>735</v>
      </c>
      <c r="L297">
        <v>423</v>
      </c>
      <c r="M297" t="s">
        <v>5316</v>
      </c>
      <c r="N297" s="15">
        <v>1</v>
      </c>
      <c r="O297" s="14" t="str">
        <f>HYPERLINK("http://exon.niaid.nih.gov/transcriptome/T_rubida/S1/links/Sigp/TRIRU-CONTIG_328-SigP.txt","Cyt")</f>
        <v>Cyt</v>
      </c>
      <c r="Q297" s="5" t="s">
        <v>4933</v>
      </c>
      <c r="R297" t="s">
        <v>4821</v>
      </c>
      <c r="S297" t="str">
        <f>HYPERLINK("http://exon.niaid.nih.gov/transcriptome/T_rubida/S1/links/NR/Triru-contig_328-NR.txt","NR")</f>
        <v>NR</v>
      </c>
      <c r="T297" s="23">
        <v>3E-34</v>
      </c>
      <c r="U297">
        <v>18.8</v>
      </c>
      <c r="V297" s="1" t="str">
        <f>HYPERLINK("http://exon.niaid.nih.gov/transcriptome/T_rubida/S1/links/NR/Triru-contig_328-NR.txt","Golgin subfamily A member 1")</f>
        <v>Golgin subfamily A member 1</v>
      </c>
      <c r="W297" t="str">
        <f>HYPERLINK("http://www.ncbi.nlm.nih.gov/sutils/blink.cgi?pid=307179910","3E-034")</f>
        <v>3E-034</v>
      </c>
      <c r="X297" t="str">
        <f>HYPERLINK("http://www.ncbi.nlm.nih.gov/protein/307179910","gi|307179910")</f>
        <v>gi|307179910</v>
      </c>
      <c r="Y297">
        <v>149</v>
      </c>
      <c r="Z297">
        <v>132</v>
      </c>
      <c r="AA297">
        <v>720</v>
      </c>
      <c r="AB297">
        <v>60</v>
      </c>
      <c r="AC297">
        <v>18</v>
      </c>
      <c r="AD297">
        <v>54</v>
      </c>
      <c r="AE297">
        <v>8</v>
      </c>
      <c r="AF297">
        <v>576</v>
      </c>
      <c r="AG297">
        <v>22</v>
      </c>
      <c r="AH297">
        <v>1</v>
      </c>
      <c r="AI297">
        <v>1</v>
      </c>
      <c r="AJ297" t="s">
        <v>11</v>
      </c>
      <c r="AL297" t="s">
        <v>1650</v>
      </c>
      <c r="AM297" t="s">
        <v>2700</v>
      </c>
      <c r="AN297" t="s">
        <v>2701</v>
      </c>
      <c r="AO297" s="1" t="str">
        <f>HYPERLINK("http://exon.niaid.nih.gov/transcriptome/T_rubida/S1/links/SWISSP/Triru-contig_328-SWISSP.txt","Golgin subfamily A member 1")</f>
        <v>Golgin subfamily A member 1</v>
      </c>
      <c r="AP297" t="str">
        <f>HYPERLINK("http://www.uniprot.org/uniprot/Q92805","3E-025")</f>
        <v>3E-025</v>
      </c>
      <c r="AQ297" t="s">
        <v>2702</v>
      </c>
      <c r="AR297">
        <v>115</v>
      </c>
      <c r="AS297">
        <v>123</v>
      </c>
      <c r="AT297">
        <v>47</v>
      </c>
      <c r="AU297">
        <v>16</v>
      </c>
      <c r="AV297">
        <v>65</v>
      </c>
      <c r="AW297">
        <v>5</v>
      </c>
      <c r="AX297">
        <v>626</v>
      </c>
      <c r="AY297">
        <v>43</v>
      </c>
      <c r="AZ297">
        <v>1</v>
      </c>
      <c r="BA297">
        <v>1</v>
      </c>
      <c r="BB297" t="s">
        <v>11</v>
      </c>
      <c r="BD297" t="s">
        <v>704</v>
      </c>
      <c r="BE297" t="s">
        <v>1233</v>
      </c>
      <c r="BF297" t="s">
        <v>2703</v>
      </c>
      <c r="BG297" t="s">
        <v>2704</v>
      </c>
      <c r="BH297" s="1" t="s">
        <v>2705</v>
      </c>
      <c r="BI297">
        <f>HYPERLINK("http://exon.niaid.nih.gov/transcriptome/T_rubida/S1/links/GO/Triru-contig_328-GO.txt",7E-27)</f>
        <v>7.0000000000000003E-27</v>
      </c>
      <c r="BJ297" s="1" t="str">
        <f>HYPERLINK("http://exon.niaid.nih.gov/transcriptome/T_rubida/S1/links/CDD/Triru-contig_328-CDD.txt","Grip")</f>
        <v>Grip</v>
      </c>
      <c r="BK297" t="str">
        <f>HYPERLINK("http://www.ncbi.nlm.nih.gov/Structure/cdd/cddsrv.cgi?uid=smart00755&amp;version=v4.0","2E-009")</f>
        <v>2E-009</v>
      </c>
      <c r="BL297" t="s">
        <v>2706</v>
      </c>
      <c r="BM297" s="1" t="str">
        <f>HYPERLINK("http://exon.niaid.nih.gov/transcriptome/T_rubida/S1/links/KOG/Triru-contig_328-KOG.txt","Uncharacterized conserved protein")</f>
        <v>Uncharacterized conserved protein</v>
      </c>
      <c r="BN297" t="str">
        <f>HYPERLINK("http://www.ncbi.nlm.nih.gov/COG/grace/shokog.cgi?KOG0992","4E-016")</f>
        <v>4E-016</v>
      </c>
      <c r="BO297" t="s">
        <v>737</v>
      </c>
      <c r="BP297" s="1" t="str">
        <f>HYPERLINK("http://exon.niaid.nih.gov/transcriptome/T_rubida/S1/links/PFAM/Triru-contig_328-PFAM.txt","GRIP")</f>
        <v>GRIP</v>
      </c>
      <c r="BQ297" t="str">
        <f>HYPERLINK("http://pfam.sanger.ac.uk/family?acc=PF01465","8E-009")</f>
        <v>8E-009</v>
      </c>
      <c r="BR297" s="1" t="str">
        <f>HYPERLINK("http://exon.niaid.nih.gov/transcriptome/T_rubida/S1/links/SMART/Triru-contig_328-SMART.txt","Grip")</f>
        <v>Grip</v>
      </c>
      <c r="BS297" t="str">
        <f>HYPERLINK("http://smart.embl-heidelberg.de/smart/do_annotation.pl?DOMAIN=Grip&amp;BLAST=DUMMY","2E-011")</f>
        <v>2E-011</v>
      </c>
      <c r="BT297" s="1" t="str">
        <f>HYPERLINK("http://exon.niaid.nih.gov/transcriptome/T_rubida/S1/links/PRK/Triru-contig_328-PRK.txt","heat shock protein 90")</f>
        <v>heat shock protein 90</v>
      </c>
      <c r="BU297">
        <v>0.35</v>
      </c>
      <c r="BV297" s="1" t="s">
        <v>57</v>
      </c>
      <c r="BW297" t="s">
        <v>57</v>
      </c>
      <c r="BX297" s="1" t="s">
        <v>57</v>
      </c>
      <c r="BY297" t="s">
        <v>57</v>
      </c>
    </row>
    <row r="298" spans="1:77">
      <c r="A298" t="str">
        <f>HYPERLINK("http://exon.niaid.nih.gov/transcriptome/T_rubida/S1/links/Triru/Triru-contig_266.txt","Triru-contig_266")</f>
        <v>Triru-contig_266</v>
      </c>
      <c r="B298">
        <v>1</v>
      </c>
      <c r="C298" t="str">
        <f>HYPERLINK("http://exon.niaid.nih.gov/transcriptome/T_rubida/S1/links/Triru/Triru-5-48-asb-266.txt","Contig-266")</f>
        <v>Contig-266</v>
      </c>
      <c r="D298" t="str">
        <f>HYPERLINK("http://exon.niaid.nih.gov/transcriptome/T_rubida/S1/links/Triru/Triru-5-48-266-CLU.txt","Contig266")</f>
        <v>Contig266</v>
      </c>
      <c r="E298" t="str">
        <f>HYPERLINK("http://exon.niaid.nih.gov/transcriptome/T_rubida/S1/links/Triru/Triru-5-48-266-qual.txt","52.9")</f>
        <v>52.9</v>
      </c>
      <c r="F298" t="s">
        <v>10</v>
      </c>
      <c r="G298">
        <v>70.5</v>
      </c>
      <c r="H298">
        <v>828</v>
      </c>
      <c r="I298" t="s">
        <v>278</v>
      </c>
      <c r="J298">
        <v>828</v>
      </c>
      <c r="K298">
        <v>847</v>
      </c>
      <c r="L298">
        <v>513</v>
      </c>
      <c r="M298" t="s">
        <v>5317</v>
      </c>
      <c r="N298" s="15">
        <v>2</v>
      </c>
      <c r="O298" s="14" t="str">
        <f>HYPERLINK("http://exon.niaid.nih.gov/transcriptome/T_rubida/S1/links/Sigp/TRIRU-CONTIG_266-SigP.txt","Cyt")</f>
        <v>Cyt</v>
      </c>
      <c r="Q298" s="5" t="s">
        <v>4908</v>
      </c>
      <c r="R298" t="s">
        <v>4821</v>
      </c>
      <c r="S298" t="str">
        <f>HYPERLINK("http://exon.niaid.nih.gov/transcriptome/T_rubida/S1/links/NR/Triru-contig_266-NR.txt","NR")</f>
        <v>NR</v>
      </c>
      <c r="T298" s="23">
        <v>6.0000000000000001E-43</v>
      </c>
      <c r="U298">
        <v>42.9</v>
      </c>
      <c r="V298" s="1" t="str">
        <f>HYPERLINK("http://exon.niaid.nih.gov/transcriptome/T_rubida/S1/links/NR/Triru-contig_266-NR.txt","hypothetical protein AaeL_AAEL008025")</f>
        <v>hypothetical protein AaeL_AAEL008025</v>
      </c>
      <c r="W298" t="str">
        <f>HYPERLINK("http://www.ncbi.nlm.nih.gov/sutils/blink.cgi?pid=157117564","6E-043")</f>
        <v>6E-043</v>
      </c>
      <c r="X298" t="str">
        <f>HYPERLINK("http://www.ncbi.nlm.nih.gov/protein/157117564","gi|157117564")</f>
        <v>gi|157117564</v>
      </c>
      <c r="Y298">
        <v>179</v>
      </c>
      <c r="Z298">
        <v>126</v>
      </c>
      <c r="AA298">
        <v>296</v>
      </c>
      <c r="AB298">
        <v>62</v>
      </c>
      <c r="AC298">
        <v>43</v>
      </c>
      <c r="AD298">
        <v>48</v>
      </c>
      <c r="AE298">
        <v>0</v>
      </c>
      <c r="AF298">
        <v>159</v>
      </c>
      <c r="AG298">
        <v>8</v>
      </c>
      <c r="AH298">
        <v>1</v>
      </c>
      <c r="AI298">
        <v>2</v>
      </c>
      <c r="AJ298" t="s">
        <v>11</v>
      </c>
      <c r="AL298" t="s">
        <v>1400</v>
      </c>
      <c r="AM298" t="s">
        <v>2265</v>
      </c>
      <c r="AN298" t="s">
        <v>2266</v>
      </c>
      <c r="AO298" s="1" t="str">
        <f>HYPERLINK("http://exon.niaid.nih.gov/transcriptome/T_rubida/S1/links/SWISSP/Triru-contig_266-SWISSP.txt","Uncharacterized protein C6orf136")</f>
        <v>Uncharacterized protein C6orf136</v>
      </c>
      <c r="AP298" t="str">
        <f>HYPERLINK("http://www.uniprot.org/uniprot/Q5SQH8","5E-009")</f>
        <v>5E-009</v>
      </c>
      <c r="AQ298" t="s">
        <v>2267</v>
      </c>
      <c r="AR298">
        <v>62</v>
      </c>
      <c r="AS298">
        <v>95</v>
      </c>
      <c r="AT298">
        <v>33</v>
      </c>
      <c r="AU298">
        <v>30</v>
      </c>
      <c r="AV298">
        <v>68</v>
      </c>
      <c r="AW298">
        <v>0</v>
      </c>
      <c r="AX298">
        <v>186</v>
      </c>
      <c r="AY298">
        <v>8</v>
      </c>
      <c r="AZ298">
        <v>1</v>
      </c>
      <c r="BA298">
        <v>2</v>
      </c>
      <c r="BB298" t="s">
        <v>11</v>
      </c>
      <c r="BD298" t="s">
        <v>704</v>
      </c>
      <c r="BE298" t="s">
        <v>1233</v>
      </c>
      <c r="BF298" t="s">
        <v>2268</v>
      </c>
      <c r="BG298" t="s">
        <v>2269</v>
      </c>
      <c r="BH298" s="1" t="s">
        <v>2270</v>
      </c>
      <c r="BI298">
        <f>HYPERLINK("http://exon.niaid.nih.gov/transcriptome/T_rubida/S1/links/GO/Triru-contig_266-GO.txt",0.000000004)</f>
        <v>4.0000000000000002E-9</v>
      </c>
      <c r="BJ298" s="1" t="str">
        <f>HYPERLINK("http://exon.niaid.nih.gov/transcriptome/T_rubida/S1/links/CDD/Triru-contig_266-CDD.txt","DUF2358")</f>
        <v>DUF2358</v>
      </c>
      <c r="BK298" t="str">
        <f>HYPERLINK("http://www.ncbi.nlm.nih.gov/Structure/cdd/cddsrv.cgi?uid=pfam10184&amp;version=v4.0","2E-016")</f>
        <v>2E-016</v>
      </c>
      <c r="BL298" t="s">
        <v>2271</v>
      </c>
      <c r="BM298" s="1" t="str">
        <f>HYPERLINK("http://exon.niaid.nih.gov/transcriptome/T_rubida/S1/links/KOG/Triru-contig_266-KOG.txt","Uncharacterized conserved protein")</f>
        <v>Uncharacterized conserved protein</v>
      </c>
      <c r="BN298" t="str">
        <f>HYPERLINK("http://www.ncbi.nlm.nih.gov/COG/grace/shokog.cgi?KOG4457","1E-031")</f>
        <v>1E-031</v>
      </c>
      <c r="BO298" t="s">
        <v>737</v>
      </c>
      <c r="BP298" s="1" t="str">
        <f>HYPERLINK("http://exon.niaid.nih.gov/transcriptome/T_rubida/S1/links/PFAM/Triru-contig_266-PFAM.txt","DUF2358")</f>
        <v>DUF2358</v>
      </c>
      <c r="BQ298" t="str">
        <f>HYPERLINK("http://pfam.sanger.ac.uk/family?acc=PF10184","3E-017")</f>
        <v>3E-017</v>
      </c>
      <c r="BR298" s="1" t="str">
        <f>HYPERLINK("http://exon.niaid.nih.gov/transcriptome/T_rubida/S1/links/SMART/Triru-contig_266-SMART.txt","RasGEFN")</f>
        <v>RasGEFN</v>
      </c>
      <c r="BS298" t="str">
        <f>HYPERLINK("http://smart.embl-heidelberg.de/smart/do_annotation.pl?DOMAIN=RasGEFN&amp;BLAST=DUMMY","0.060")</f>
        <v>0.060</v>
      </c>
      <c r="BT298" s="1" t="str">
        <f>HYPERLINK("http://exon.niaid.nih.gov/transcriptome/T_rubida/S1/links/PRK/Triru-contig_266-PRK.txt","kelch-like protein")</f>
        <v>kelch-like protein</v>
      </c>
      <c r="BU298">
        <v>0.28000000000000003</v>
      </c>
      <c r="BV298" s="1" t="s">
        <v>57</v>
      </c>
      <c r="BW298" t="s">
        <v>57</v>
      </c>
      <c r="BX298" s="1" t="s">
        <v>57</v>
      </c>
      <c r="BY298" t="s">
        <v>57</v>
      </c>
    </row>
    <row r="299" spans="1:77">
      <c r="A299" t="str">
        <f>HYPERLINK("http://exon.niaid.nih.gov/transcriptome/T_rubida/S1/links/Triru/Triru-contig_503.txt","Triru-contig_503")</f>
        <v>Triru-contig_503</v>
      </c>
      <c r="B299">
        <v>1</v>
      </c>
      <c r="C299" t="str">
        <f>HYPERLINK("http://exon.niaid.nih.gov/transcriptome/T_rubida/S1/links/Triru/Triru-5-48-asb-503.txt","Contig-503")</f>
        <v>Contig-503</v>
      </c>
      <c r="D299" t="str">
        <f>HYPERLINK("http://exon.niaid.nih.gov/transcriptome/T_rubida/S1/links/Triru/Triru-5-48-503-CLU.txt","Contig503")</f>
        <v>Contig503</v>
      </c>
      <c r="E299" t="str">
        <f>HYPERLINK("http://exon.niaid.nih.gov/transcriptome/T_rubida/S1/links/Triru/Triru-5-48-503-qual.txt","65.")</f>
        <v>65.</v>
      </c>
      <c r="F299" t="s">
        <v>10</v>
      </c>
      <c r="G299">
        <v>65.099999999999994</v>
      </c>
      <c r="H299">
        <v>646</v>
      </c>
      <c r="I299" t="s">
        <v>515</v>
      </c>
      <c r="J299">
        <v>646</v>
      </c>
      <c r="K299">
        <v>665</v>
      </c>
      <c r="L299">
        <v>435</v>
      </c>
      <c r="M299" t="s">
        <v>5318</v>
      </c>
      <c r="N299" s="15">
        <v>3</v>
      </c>
      <c r="O299" s="14" t="str">
        <f>HYPERLINK("http://exon.niaid.nih.gov/transcriptome/T_rubida/S1/links/Sigp/TRIRU-CONTIG_503-SigP.txt","BL")</f>
        <v>BL</v>
      </c>
      <c r="P299" t="s">
        <v>5062</v>
      </c>
      <c r="Q299" s="5" t="s">
        <v>4991</v>
      </c>
      <c r="R299" t="s">
        <v>4821</v>
      </c>
      <c r="S299" t="str">
        <f>HYPERLINK("http://exon.niaid.nih.gov/transcriptome/T_rubida/S1/links/NR/Triru-contig_503-NR.txt","NR")</f>
        <v>NR</v>
      </c>
      <c r="T299" s="23">
        <v>3.0000000000000002E-36</v>
      </c>
      <c r="U299">
        <v>21.9</v>
      </c>
      <c r="V299" s="1" t="str">
        <f>HYPERLINK("http://exon.niaid.nih.gov/transcriptome/T_rubida/S1/links/NR/Triru-contig_503-NR.txt","hypothetical protein LOC100169340")</f>
        <v>hypothetical protein LOC100169340</v>
      </c>
      <c r="W299" t="str">
        <f>HYPERLINK("http://www.ncbi.nlm.nih.gov/sutils/blink.cgi?pid=193676548","3E-036")</f>
        <v>3E-036</v>
      </c>
      <c r="X299" t="str">
        <f>HYPERLINK("http://www.ncbi.nlm.nih.gov/protein/193676548","gi|193676548")</f>
        <v>gi|193676548</v>
      </c>
      <c r="Y299">
        <v>155</v>
      </c>
      <c r="Z299">
        <v>147</v>
      </c>
      <c r="AA299">
        <v>678</v>
      </c>
      <c r="AB299">
        <v>55</v>
      </c>
      <c r="AC299">
        <v>22</v>
      </c>
      <c r="AD299">
        <v>67</v>
      </c>
      <c r="AE299">
        <v>4</v>
      </c>
      <c r="AF299">
        <v>531</v>
      </c>
      <c r="AG299">
        <v>3</v>
      </c>
      <c r="AH299">
        <v>1</v>
      </c>
      <c r="AI299">
        <v>3</v>
      </c>
      <c r="AJ299" t="s">
        <v>11</v>
      </c>
      <c r="AL299" t="s">
        <v>1160</v>
      </c>
      <c r="AM299" t="s">
        <v>3881</v>
      </c>
      <c r="AN299" t="s">
        <v>3882</v>
      </c>
      <c r="AO299" s="1" t="str">
        <f>HYPERLINK("http://exon.niaid.nih.gov/transcriptome/T_rubida/S1/links/SWISSP/Triru-contig_503-SWISSP.txt","Chromosomal replication initiator protein DnaA")</f>
        <v>Chromosomal replication initiator protein DnaA</v>
      </c>
      <c r="AP299" t="str">
        <f>HYPERLINK("http://www.uniprot.org/uniprot/C0ZLE1","2.8")</f>
        <v>2.8</v>
      </c>
      <c r="AQ299" t="s">
        <v>3883</v>
      </c>
      <c r="AR299">
        <v>32.299999999999997</v>
      </c>
      <c r="AS299">
        <v>70</v>
      </c>
      <c r="AT299">
        <v>31</v>
      </c>
      <c r="AU299">
        <v>14</v>
      </c>
      <c r="AV299">
        <v>49</v>
      </c>
      <c r="AW299">
        <v>1</v>
      </c>
      <c r="AX299">
        <v>106</v>
      </c>
      <c r="AY299">
        <v>6</v>
      </c>
      <c r="AZ299">
        <v>1</v>
      </c>
      <c r="BA299">
        <v>3</v>
      </c>
      <c r="BB299" t="s">
        <v>11</v>
      </c>
      <c r="BD299" t="s">
        <v>704</v>
      </c>
      <c r="BE299" t="s">
        <v>3884</v>
      </c>
      <c r="BF299" t="s">
        <v>3885</v>
      </c>
      <c r="BG299" t="s">
        <v>3886</v>
      </c>
      <c r="BH299" s="1" t="s">
        <v>3887</v>
      </c>
      <c r="BI299">
        <f>HYPERLINK("http://exon.niaid.nih.gov/transcriptome/T_rubida/S1/links/GO/Triru-contig_503-GO.txt",0.000000000000000004)</f>
        <v>4.0000000000000003E-18</v>
      </c>
      <c r="BJ299" s="1" t="str">
        <f>HYPERLINK("http://exon.niaid.nih.gov/transcriptome/T_rubida/S1/links/CDD/Triru-contig_503-CDD.txt","SCAMP")</f>
        <v>SCAMP</v>
      </c>
      <c r="BK299" t="str">
        <f>HYPERLINK("http://www.ncbi.nlm.nih.gov/Structure/cdd/cddsrv.cgi?uid=pfam04144&amp;version=v4.0","0.028")</f>
        <v>0.028</v>
      </c>
      <c r="BL299" t="s">
        <v>3888</v>
      </c>
      <c r="BM299" s="1" t="str">
        <f>HYPERLINK("http://exon.niaid.nih.gov/transcriptome/T_rubida/S1/links/KOG/Triru-contig_503-KOG.txt","Rhomboid family proteins")</f>
        <v>Rhomboid family proteins</v>
      </c>
      <c r="BN299" t="str">
        <f>HYPERLINK("http://www.ncbi.nlm.nih.gov/COG/grace/shokog.cgi?KOG2289","0.52")</f>
        <v>0.52</v>
      </c>
      <c r="BO299" t="s">
        <v>728</v>
      </c>
      <c r="BP299" s="1" t="str">
        <f>HYPERLINK("http://exon.niaid.nih.gov/transcriptome/T_rubida/S1/links/PFAM/Triru-contig_503-PFAM.txt","SCAMP")</f>
        <v>SCAMP</v>
      </c>
      <c r="BQ299" t="str">
        <f>HYPERLINK("http://pfam.sanger.ac.uk/family?acc=PF04144","0.006")</f>
        <v>0.006</v>
      </c>
      <c r="BR299" s="1" t="str">
        <f>HYPERLINK("http://exon.niaid.nih.gov/transcriptome/T_rubida/S1/links/SMART/Triru-contig_503-SMART.txt","DEXDc3")</f>
        <v>DEXDc3</v>
      </c>
      <c r="BS299" t="str">
        <f>HYPERLINK("http://smart.embl-heidelberg.de/smart/do_annotation.pl?DOMAIN=DEXDc3&amp;BLAST=DUMMY","0.084")</f>
        <v>0.084</v>
      </c>
      <c r="BT299" s="1" t="str">
        <f>HYPERLINK("http://exon.niaid.nih.gov/transcriptome/T_rubida/S1/links/PRK/Triru-contig_503-PRK.txt","NADH dehydrogenase subunit 5")</f>
        <v>NADH dehydrogenase subunit 5</v>
      </c>
      <c r="BU299">
        <v>0.13</v>
      </c>
      <c r="BV299" s="1" t="s">
        <v>57</v>
      </c>
      <c r="BW299" t="s">
        <v>57</v>
      </c>
      <c r="BX299" s="1" t="s">
        <v>57</v>
      </c>
      <c r="BY299" t="s">
        <v>57</v>
      </c>
    </row>
    <row r="300" spans="1:77">
      <c r="A300" t="str">
        <f>HYPERLINK("http://exon.niaid.nih.gov/transcriptome/T_rubida/S1/links/Triru/Triru-contig_516.txt","Triru-contig_516")</f>
        <v>Triru-contig_516</v>
      </c>
      <c r="B300">
        <v>1</v>
      </c>
      <c r="C300" t="str">
        <f>HYPERLINK("http://exon.niaid.nih.gov/transcriptome/T_rubida/S1/links/Triru/Triru-5-48-asb-516.txt","Contig-516")</f>
        <v>Contig-516</v>
      </c>
      <c r="D300" t="str">
        <f>HYPERLINK("http://exon.niaid.nih.gov/transcriptome/T_rubida/S1/links/Triru/Triru-5-48-516-CLU.txt","Contig516")</f>
        <v>Contig516</v>
      </c>
      <c r="E300" t="str">
        <f>HYPERLINK("http://exon.niaid.nih.gov/transcriptome/T_rubida/S1/links/Triru/Triru-5-48-516-qual.txt","64.4")</f>
        <v>64.4</v>
      </c>
      <c r="F300" t="s">
        <v>10</v>
      </c>
      <c r="G300">
        <v>70.900000000000006</v>
      </c>
      <c r="H300">
        <v>500</v>
      </c>
      <c r="I300" t="s">
        <v>528</v>
      </c>
      <c r="J300">
        <v>500</v>
      </c>
      <c r="K300">
        <v>519</v>
      </c>
      <c r="L300">
        <v>228</v>
      </c>
      <c r="M300" t="s">
        <v>5319</v>
      </c>
      <c r="N300" s="15">
        <v>1</v>
      </c>
      <c r="O300" s="14" t="str">
        <f>HYPERLINK("http://exon.niaid.nih.gov/transcriptome/T_rubida/S1/links/Sigp/TRIRU-CONTIG_516-SigP.txt","Cyt")</f>
        <v>Cyt</v>
      </c>
      <c r="Q300" s="5" t="s">
        <v>4995</v>
      </c>
      <c r="R300" t="s">
        <v>4821</v>
      </c>
      <c r="S300" t="str">
        <f>HYPERLINK("http://exon.niaid.nih.gov/transcriptome/T_rubida/S1/links/NR/Triru-contig_516-NR.txt","NR")</f>
        <v>NR</v>
      </c>
      <c r="T300" s="23">
        <v>4.9999999999999999E-17</v>
      </c>
      <c r="U300">
        <v>10.1</v>
      </c>
      <c r="V300" s="1" t="str">
        <f>HYPERLINK("http://exon.niaid.nih.gov/transcriptome/T_rubida/S1/links/NR/Triru-contig_516-NR.txt","hypothetical protein Phum_PHUM431290")</f>
        <v>hypothetical protein Phum_PHUM431290</v>
      </c>
      <c r="W300" t="str">
        <f>HYPERLINK("http://www.ncbi.nlm.nih.gov/sutils/blink.cgi?pid=242017820","5E-017")</f>
        <v>5E-017</v>
      </c>
      <c r="X300" t="str">
        <f>HYPERLINK("http://www.ncbi.nlm.nih.gov/protein/242017820","gi|242017820")</f>
        <v>gi|242017820</v>
      </c>
      <c r="Y300">
        <v>91.3</v>
      </c>
      <c r="Z300">
        <v>68</v>
      </c>
      <c r="AA300">
        <v>681</v>
      </c>
      <c r="AB300">
        <v>65</v>
      </c>
      <c r="AC300">
        <v>10</v>
      </c>
      <c r="AD300">
        <v>24</v>
      </c>
      <c r="AE300">
        <v>2</v>
      </c>
      <c r="AF300">
        <v>613</v>
      </c>
      <c r="AG300">
        <v>28</v>
      </c>
      <c r="AH300">
        <v>1</v>
      </c>
      <c r="AI300">
        <v>1</v>
      </c>
      <c r="AJ300" t="s">
        <v>11</v>
      </c>
      <c r="AL300" t="s">
        <v>1177</v>
      </c>
      <c r="AM300" t="s">
        <v>3972</v>
      </c>
      <c r="AN300" t="s">
        <v>3973</v>
      </c>
      <c r="AO300" s="1" t="str">
        <f>HYPERLINK("http://exon.niaid.nih.gov/transcriptome/T_rubida/S1/links/SWISSP/Triru-contig_516-SWISSP.txt","Rho guanine nucleotide exchange factor gef2")</f>
        <v>Rho guanine nucleotide exchange factor gef2</v>
      </c>
      <c r="AP300" t="str">
        <f>HYPERLINK("http://www.uniprot.org/uniprot/Q09733","3.8")</f>
        <v>3.8</v>
      </c>
      <c r="AQ300" t="s">
        <v>3974</v>
      </c>
      <c r="AR300">
        <v>31.2</v>
      </c>
      <c r="AS300">
        <v>59</v>
      </c>
      <c r="AT300">
        <v>31</v>
      </c>
      <c r="AU300">
        <v>5</v>
      </c>
      <c r="AV300">
        <v>41</v>
      </c>
      <c r="AW300">
        <v>4</v>
      </c>
      <c r="AX300">
        <v>735</v>
      </c>
      <c r="AY300">
        <v>1</v>
      </c>
      <c r="AZ300">
        <v>1</v>
      </c>
      <c r="BA300">
        <v>1</v>
      </c>
      <c r="BB300" t="s">
        <v>11</v>
      </c>
      <c r="BD300" t="s">
        <v>704</v>
      </c>
      <c r="BE300" t="s">
        <v>950</v>
      </c>
      <c r="BF300" t="s">
        <v>3975</v>
      </c>
      <c r="BG300" t="s">
        <v>3976</v>
      </c>
      <c r="BH300" s="1" t="s">
        <v>57</v>
      </c>
      <c r="BI300" t="s">
        <v>57</v>
      </c>
      <c r="BJ300" s="1" t="str">
        <f>HYPERLINK("http://exon.niaid.nih.gov/transcriptome/T_rubida/S1/links/CDD/Triru-contig_516-CDD.txt","TM_PBP1_transp_")</f>
        <v>TM_PBP1_transp_</v>
      </c>
      <c r="BK300" t="str">
        <f>HYPERLINK("http://www.ncbi.nlm.nih.gov/Structure/cdd/cddsrv.cgi?uid=cd06580&amp;version=v4.0","0.62")</f>
        <v>0.62</v>
      </c>
      <c r="BL300" t="s">
        <v>3977</v>
      </c>
      <c r="BM300" s="1" t="str">
        <f>HYPERLINK("http://exon.niaid.nih.gov/transcriptome/T_rubida/S1/links/KOG/Triru-contig_516-KOG.txt","Predicted small molecule transporter")</f>
        <v>Predicted small molecule transporter</v>
      </c>
      <c r="BN300" t="str">
        <f>HYPERLINK("http://www.ncbi.nlm.nih.gov/COG/grace/shokog.cgi?KOG1162","0.13")</f>
        <v>0.13</v>
      </c>
      <c r="BO300" t="s">
        <v>1082</v>
      </c>
      <c r="BP300" s="1" t="str">
        <f>HYPERLINK("http://exon.niaid.nih.gov/transcriptome/T_rubida/S1/links/PFAM/Triru-contig_516-PFAM.txt","DUF673")</f>
        <v>DUF673</v>
      </c>
      <c r="BQ300" t="str">
        <f>HYPERLINK("http://pfam.sanger.ac.uk/family?acc=PF05054","0.23")</f>
        <v>0.23</v>
      </c>
      <c r="BR300" s="1" t="str">
        <f>HYPERLINK("http://exon.niaid.nih.gov/transcriptome/T_rubida/S1/links/SMART/Triru-contig_516-SMART.txt","Aamy")</f>
        <v>Aamy</v>
      </c>
      <c r="BS300" t="str">
        <f>HYPERLINK("http://smart.embl-heidelberg.de/smart/do_annotation.pl?DOMAIN=Aamy&amp;BLAST=DUMMY","0.12")</f>
        <v>0.12</v>
      </c>
      <c r="BT300" s="1" t="str">
        <f>HYPERLINK("http://exon.niaid.nih.gov/transcriptome/T_rubida/S1/links/PRK/Triru-contig_516-PRK.txt","cytochrome c oxidase subunit III")</f>
        <v>cytochrome c oxidase subunit III</v>
      </c>
      <c r="BU300">
        <v>0.32</v>
      </c>
      <c r="BV300" s="1" t="s">
        <v>57</v>
      </c>
      <c r="BW300" t="s">
        <v>57</v>
      </c>
      <c r="BX300" s="1" t="s">
        <v>57</v>
      </c>
      <c r="BY300" t="s">
        <v>57</v>
      </c>
    </row>
    <row r="301" spans="1:77">
      <c r="A301" t="str">
        <f>HYPERLINK("http://exon.niaid.nih.gov/transcriptome/T_rubida/S1/links/Triru/Triru-contig_326.txt","Triru-contig_326")</f>
        <v>Triru-contig_326</v>
      </c>
      <c r="B301">
        <v>1</v>
      </c>
      <c r="C301" t="str">
        <f>HYPERLINK("http://exon.niaid.nih.gov/transcriptome/T_rubida/S1/links/Triru/Triru-5-48-asb-326.txt","Contig-326")</f>
        <v>Contig-326</v>
      </c>
      <c r="D301" t="str">
        <f>HYPERLINK("http://exon.niaid.nih.gov/transcriptome/T_rubida/S1/links/Triru/Triru-5-48-326-CLU.txt","Contig326")</f>
        <v>Contig326</v>
      </c>
      <c r="E301" t="str">
        <f>HYPERLINK("http://exon.niaid.nih.gov/transcriptome/T_rubida/S1/links/Triru/Triru-5-48-326-qual.txt","59.6")</f>
        <v>59.6</v>
      </c>
      <c r="F301" t="s">
        <v>10</v>
      </c>
      <c r="G301">
        <v>43.3</v>
      </c>
      <c r="H301">
        <v>417</v>
      </c>
      <c r="I301" t="s">
        <v>338</v>
      </c>
      <c r="J301">
        <v>417</v>
      </c>
      <c r="K301">
        <v>436</v>
      </c>
      <c r="L301">
        <v>234</v>
      </c>
      <c r="M301" t="s">
        <v>5320</v>
      </c>
      <c r="N301" s="15">
        <v>3</v>
      </c>
      <c r="O301" s="14" t="str">
        <f>HYPERLINK("http://exon.niaid.nih.gov/transcriptome/T_rubida/S1/links/Sigp/TRIRU-CONTIG_326-SigP.txt","Cyt")</f>
        <v>Cyt</v>
      </c>
      <c r="Q301" s="5" t="s">
        <v>4931</v>
      </c>
      <c r="R301" t="s">
        <v>4821</v>
      </c>
      <c r="S301" t="str">
        <f>HYPERLINK("http://exon.niaid.nih.gov/transcriptome/T_rubida/S1/links/NR/Triru-contig_326-NR.txt","NR")</f>
        <v>NR</v>
      </c>
      <c r="T301" s="23">
        <v>1.9999999999999999E-11</v>
      </c>
      <c r="U301">
        <v>21</v>
      </c>
      <c r="V301" s="1" t="str">
        <f>HYPERLINK("http://exon.niaid.nih.gov/transcriptome/T_rubida/S1/links/NR/Triru-contig_326-NR.txt","hypothetical protein")</f>
        <v>hypothetical protein</v>
      </c>
      <c r="W301" t="str">
        <f>HYPERLINK("http://www.ncbi.nlm.nih.gov/sutils/blink.cgi?pid=71407261","2E-011")</f>
        <v>2E-011</v>
      </c>
      <c r="X301" t="str">
        <f>HYPERLINK("http://www.ncbi.nlm.nih.gov/protein/71407261","gi|71407261")</f>
        <v>gi|71407261</v>
      </c>
      <c r="Y301">
        <v>72.8</v>
      </c>
      <c r="Z301">
        <v>73</v>
      </c>
      <c r="AA301">
        <v>376</v>
      </c>
      <c r="AB301">
        <v>49</v>
      </c>
      <c r="AC301">
        <v>20</v>
      </c>
      <c r="AD301">
        <v>40</v>
      </c>
      <c r="AE301">
        <v>3</v>
      </c>
      <c r="AF301">
        <v>303</v>
      </c>
      <c r="AG301">
        <v>9</v>
      </c>
      <c r="AH301">
        <v>1</v>
      </c>
      <c r="AI301">
        <v>3</v>
      </c>
      <c r="AJ301" t="s">
        <v>11</v>
      </c>
      <c r="AL301" t="s">
        <v>1491</v>
      </c>
      <c r="AM301" t="s">
        <v>2686</v>
      </c>
      <c r="AN301" t="s">
        <v>2687</v>
      </c>
      <c r="AO301" s="1" t="str">
        <f>HYPERLINK("http://exon.niaid.nih.gov/transcriptome/T_rubida/S1/links/SWISSP/Triru-contig_326-SWISSP.txt","Uncharacterized protein U88")</f>
        <v>Uncharacterized protein U88</v>
      </c>
      <c r="AP301" t="str">
        <f>HYPERLINK("http://www.uniprot.org/uniprot/Q69566","0.008")</f>
        <v>0.008</v>
      </c>
      <c r="AQ301" t="s">
        <v>2688</v>
      </c>
      <c r="AR301">
        <v>39.299999999999997</v>
      </c>
      <c r="AS301">
        <v>337</v>
      </c>
      <c r="AT301">
        <v>87</v>
      </c>
      <c r="AU301">
        <v>82</v>
      </c>
      <c r="AV301">
        <v>2</v>
      </c>
      <c r="AW301">
        <v>0</v>
      </c>
      <c r="AX301">
        <v>0</v>
      </c>
      <c r="AY301">
        <v>0</v>
      </c>
      <c r="AZ301">
        <v>200</v>
      </c>
      <c r="BA301">
        <v>3</v>
      </c>
      <c r="BB301" t="s">
        <v>888</v>
      </c>
      <c r="BD301" t="s">
        <v>704</v>
      </c>
      <c r="BE301" t="s">
        <v>2689</v>
      </c>
      <c r="BF301" t="s">
        <v>2690</v>
      </c>
      <c r="BG301" t="s">
        <v>2691</v>
      </c>
      <c r="BH301" s="1" t="s">
        <v>57</v>
      </c>
      <c r="BI301" t="s">
        <v>57</v>
      </c>
      <c r="BJ301" s="1" t="str">
        <f>HYPERLINK("http://exon.niaid.nih.gov/transcriptome/T_rubida/S1/links/CDD/Triru-contig_326-CDD.txt","PRK07764")</f>
        <v>PRK07764</v>
      </c>
      <c r="BK301" t="str">
        <f>HYPERLINK("http://www.ncbi.nlm.nih.gov/Structure/cdd/cddsrv.cgi?uid=PRK07764&amp;version=v4.0","0.003")</f>
        <v>0.003</v>
      </c>
      <c r="BL301" t="s">
        <v>2692</v>
      </c>
      <c r="BM301" s="1" t="str">
        <f>HYPERLINK("http://exon.niaid.nih.gov/transcriptome/T_rubida/S1/links/KOG/Triru-contig_326-KOG.txt","Transcription factor Caudal, contains HOX domain")</f>
        <v>Transcription factor Caudal, contains HOX domain</v>
      </c>
      <c r="BN301" t="str">
        <f>HYPERLINK("http://www.ncbi.nlm.nih.gov/COG/grace/shokog.cgi?KOG0848","0.014")</f>
        <v>0.014</v>
      </c>
      <c r="BO301" t="s">
        <v>790</v>
      </c>
      <c r="BP301" s="1" t="str">
        <f>HYPERLINK("http://exon.niaid.nih.gov/transcriptome/T_rubida/S1/links/PFAM/Triru-contig_326-PFAM.txt","Papilloma_E5")</f>
        <v>Papilloma_E5</v>
      </c>
      <c r="BQ301" t="str">
        <f>HYPERLINK("http://pfam.sanger.ac.uk/family?acc=PF03025","0.020")</f>
        <v>0.020</v>
      </c>
      <c r="BR301" s="1" t="str">
        <f>HYPERLINK("http://exon.niaid.nih.gov/transcriptome/T_rubida/S1/links/SMART/Triru-contig_326-SMART.txt","PhnA_Zn_Ribbon")</f>
        <v>PhnA_Zn_Ribbon</v>
      </c>
      <c r="BS301" t="str">
        <f>HYPERLINK("http://smart.embl-heidelberg.de/smart/do_annotation.pl?DOMAIN=PhnA_Zn_Ribbon&amp;BLAST=DUMMY","0.005")</f>
        <v>0.005</v>
      </c>
      <c r="BT301" s="1" t="str">
        <f>HYPERLINK("http://exon.niaid.nih.gov/transcriptome/T_rubida/S1/links/PRK/Triru-contig_326-PRK.txt","DNA polymerase III subunits gamma and tau")</f>
        <v>DNA polymerase III subunits gamma and tau</v>
      </c>
      <c r="BU301">
        <v>1E-3</v>
      </c>
      <c r="BV301" s="1" t="str">
        <f>HYPERLINK("http://exon.niaid.nih.gov/transcriptome/T_rubida/S1/links/MIT-PLA/Triru-contig_326-MIT-PLA.txt","Dasyurus hallucatus mitochondrion, complete genome")</f>
        <v>Dasyurus hallucatus mitochondrion, complete genome</v>
      </c>
      <c r="BW301" t="str">
        <f>HYPERLINK("http://www.ncbi.nlm.nih.gov/entrez/viewer.fcgi?db=nucleotide&amp;val=55416188","1E-010")</f>
        <v>1E-010</v>
      </c>
      <c r="BX301" s="1" t="s">
        <v>57</v>
      </c>
      <c r="BY301" t="s">
        <v>57</v>
      </c>
    </row>
    <row r="302" spans="1:77">
      <c r="A302" t="str">
        <f>HYPERLINK("http://exon.niaid.nih.gov/transcriptome/T_rubida/S1/links/Triru/Triru-contig_442.txt","Triru-contig_442")</f>
        <v>Triru-contig_442</v>
      </c>
      <c r="B302">
        <v>1</v>
      </c>
      <c r="C302" t="str">
        <f>HYPERLINK("http://exon.niaid.nih.gov/transcriptome/T_rubida/S1/links/Triru/Triru-5-48-asb-442.txt","Contig-442")</f>
        <v>Contig-442</v>
      </c>
      <c r="D302" t="str">
        <f>HYPERLINK("http://exon.niaid.nih.gov/transcriptome/T_rubida/S1/links/Triru/Triru-5-48-442-CLU.txt","Contig442")</f>
        <v>Contig442</v>
      </c>
      <c r="E302" t="str">
        <f>HYPERLINK("http://exon.niaid.nih.gov/transcriptome/T_rubida/S1/links/Triru/Triru-5-48-442-qual.txt","37.7")</f>
        <v>37.7</v>
      </c>
      <c r="F302" t="s">
        <v>10</v>
      </c>
      <c r="G302">
        <v>64.400000000000006</v>
      </c>
      <c r="H302">
        <v>413</v>
      </c>
      <c r="I302" t="s">
        <v>454</v>
      </c>
      <c r="J302">
        <v>413</v>
      </c>
      <c r="K302">
        <v>432</v>
      </c>
      <c r="L302">
        <v>189</v>
      </c>
      <c r="M302" t="s">
        <v>5321</v>
      </c>
      <c r="N302" s="15">
        <v>2</v>
      </c>
      <c r="Q302" s="5" t="s">
        <v>4970</v>
      </c>
      <c r="R302" t="s">
        <v>4821</v>
      </c>
      <c r="S302" t="str">
        <f>HYPERLINK("http://exon.niaid.nih.gov/transcriptome/T_rubida/S1/links/NR/Triru-contig_442-NR.txt","NR")</f>
        <v>NR</v>
      </c>
      <c r="T302" s="23">
        <v>1.9999999999999999E-7</v>
      </c>
      <c r="U302">
        <v>6.3</v>
      </c>
      <c r="V302" s="1" t="str">
        <f>HYPERLINK("http://exon.niaid.nih.gov/transcriptome/T_rubida/S1/links/NR/Triru-contig_442-NR.txt","KLTH0B09900p")</f>
        <v>KLTH0B09900p</v>
      </c>
      <c r="W302" t="str">
        <f>HYPERLINK("http://www.ncbi.nlm.nih.gov/sutils/blink.cgi?pid=255711868","2E-007")</f>
        <v>2E-007</v>
      </c>
      <c r="X302" t="str">
        <f>HYPERLINK("http://www.ncbi.nlm.nih.gov/protein/255711868","gi|255711868")</f>
        <v>gi|255711868</v>
      </c>
      <c r="Y302">
        <v>59.3</v>
      </c>
      <c r="Z302">
        <v>39</v>
      </c>
      <c r="AA302">
        <v>596</v>
      </c>
      <c r="AB302">
        <v>71</v>
      </c>
      <c r="AC302">
        <v>7</v>
      </c>
      <c r="AD302">
        <v>11</v>
      </c>
      <c r="AE302">
        <v>0</v>
      </c>
      <c r="AF302">
        <v>554</v>
      </c>
      <c r="AG302">
        <v>4</v>
      </c>
      <c r="AH302">
        <v>4</v>
      </c>
      <c r="AI302">
        <v>1</v>
      </c>
      <c r="AJ302" t="s">
        <v>11</v>
      </c>
      <c r="AL302" t="s">
        <v>3470</v>
      </c>
      <c r="AM302" t="s">
        <v>3471</v>
      </c>
      <c r="AN302" t="s">
        <v>3472</v>
      </c>
      <c r="AO302" s="1" t="str">
        <f>HYPERLINK("http://exon.niaid.nih.gov/transcriptome/T_rubida/S1/links/SWISSP/Triru-contig_442-SWISSP.txt","Probable splicing factor, arginine/serine-rich 4")</f>
        <v>Probable splicing factor, arginine/serine-rich 4</v>
      </c>
      <c r="AP302" t="str">
        <f>HYPERLINK("http://www.uniprot.org/uniprot/Q09511","1E-005")</f>
        <v>1E-005</v>
      </c>
      <c r="AQ302" t="s">
        <v>3473</v>
      </c>
      <c r="AR302">
        <v>48.5</v>
      </c>
      <c r="AS302">
        <v>91</v>
      </c>
      <c r="AT302">
        <v>61</v>
      </c>
      <c r="AU302">
        <v>47</v>
      </c>
      <c r="AV302">
        <v>16</v>
      </c>
      <c r="AW302">
        <v>0</v>
      </c>
      <c r="AX302">
        <v>104</v>
      </c>
      <c r="AY302">
        <v>1</v>
      </c>
      <c r="AZ302">
        <v>5</v>
      </c>
      <c r="BA302">
        <v>1</v>
      </c>
      <c r="BB302" t="s">
        <v>11</v>
      </c>
      <c r="BD302" t="s">
        <v>704</v>
      </c>
      <c r="BE302" t="s">
        <v>1385</v>
      </c>
      <c r="BF302" t="s">
        <v>3474</v>
      </c>
      <c r="BG302" t="s">
        <v>3475</v>
      </c>
      <c r="BH302" s="1" t="s">
        <v>3476</v>
      </c>
      <c r="BI302">
        <f>HYPERLINK("http://exon.niaid.nih.gov/transcriptome/T_rubida/S1/links/GO/Triru-contig_442-GO.txt",0.00001)</f>
        <v>1.0000000000000001E-5</v>
      </c>
      <c r="BJ302" s="1" t="str">
        <f>HYPERLINK("http://exon.niaid.nih.gov/transcriptome/T_rubida/S1/links/CDD/Triru-contig_442-CDD.txt","Hepatitis_core")</f>
        <v>Hepatitis_core</v>
      </c>
      <c r="BK302" t="str">
        <f>HYPERLINK("http://www.ncbi.nlm.nih.gov/Structure/cdd/cddsrv.cgi?uid=pfam00906&amp;version=v4.0","9E-007")</f>
        <v>9E-007</v>
      </c>
      <c r="BL302" t="s">
        <v>3477</v>
      </c>
      <c r="BM302" s="1" t="str">
        <f>HYPERLINK("http://exon.niaid.nih.gov/transcriptome/T_rubida/S1/links/KOG/Triru-contig_442-KOG.txt","Nucleic acid binding protein")</f>
        <v>Nucleic acid binding protein</v>
      </c>
      <c r="BN302" t="str">
        <f>HYPERLINK("http://www.ncbi.nlm.nih.gov/COG/grace/shokog.cgi?KOG3263","1E-006")</f>
        <v>1E-006</v>
      </c>
      <c r="BO302" t="s">
        <v>750</v>
      </c>
      <c r="BP302" s="1" t="str">
        <f>HYPERLINK("http://exon.niaid.nih.gov/transcriptome/T_rubida/S1/links/PFAM/Triru-contig_442-PFAM.txt","Hepatitis_core")</f>
        <v>Hepatitis_core</v>
      </c>
      <c r="BQ302" t="str">
        <f>HYPERLINK("http://pfam.sanger.ac.uk/family?acc=PF00906","2E-007")</f>
        <v>2E-007</v>
      </c>
      <c r="BR302" s="1" t="str">
        <f>HYPERLINK("http://exon.niaid.nih.gov/transcriptome/T_rubida/S1/links/SMART/Triru-contig_442-SMART.txt","DM6")</f>
        <v>DM6</v>
      </c>
      <c r="BS302" t="str">
        <f>HYPERLINK("http://smart.embl-heidelberg.de/smart/do_annotation.pl?DOMAIN=DM6&amp;BLAST=DUMMY","0.047")</f>
        <v>0.047</v>
      </c>
      <c r="BT302" s="1" t="str">
        <f>HYPERLINK("http://exon.niaid.nih.gov/transcriptome/T_rubida/S1/links/PRK/Triru-contig_442-PRK.txt","transcriptional regulator ICP4")</f>
        <v>transcriptional regulator ICP4</v>
      </c>
      <c r="BU302" s="2">
        <v>5.0000000000000001E-4</v>
      </c>
      <c r="BV302" s="1" t="s">
        <v>57</v>
      </c>
      <c r="BW302" t="s">
        <v>57</v>
      </c>
      <c r="BX302" s="1" t="s">
        <v>57</v>
      </c>
      <c r="BY302" t="s">
        <v>57</v>
      </c>
    </row>
    <row r="303" spans="1:77">
      <c r="A303" t="str">
        <f>HYPERLINK("http://exon.niaid.nih.gov/transcriptome/T_rubida/S1/links/Triru/Triru-contig_157.txt","Triru-contig_157")</f>
        <v>Triru-contig_157</v>
      </c>
      <c r="B303">
        <v>1</v>
      </c>
      <c r="C303" t="str">
        <f>HYPERLINK("http://exon.niaid.nih.gov/transcriptome/T_rubida/S1/links/Triru/Triru-5-48-asb-157.txt","Contig-157")</f>
        <v>Contig-157</v>
      </c>
      <c r="D303" t="str">
        <f>HYPERLINK("http://exon.niaid.nih.gov/transcriptome/T_rubida/S1/links/Triru/Triru-5-48-157-CLU.txt","Contig157")</f>
        <v>Contig157</v>
      </c>
      <c r="E303" t="str">
        <f>HYPERLINK("http://exon.niaid.nih.gov/transcriptome/T_rubida/S1/links/Triru/Triru-5-48-157-qual.txt","43.9")</f>
        <v>43.9</v>
      </c>
      <c r="F303" t="s">
        <v>10</v>
      </c>
      <c r="G303">
        <v>66.5</v>
      </c>
      <c r="H303">
        <v>483</v>
      </c>
      <c r="I303" t="s">
        <v>169</v>
      </c>
      <c r="J303">
        <v>483</v>
      </c>
      <c r="K303">
        <v>502</v>
      </c>
      <c r="L303">
        <v>417</v>
      </c>
      <c r="M303" t="s">
        <v>5322</v>
      </c>
      <c r="N303" s="15">
        <v>1</v>
      </c>
      <c r="Q303" s="5" t="s">
        <v>4883</v>
      </c>
      <c r="R303" t="s">
        <v>4821</v>
      </c>
      <c r="S303" t="str">
        <f>HYPERLINK("http://exon.niaid.nih.gov/transcriptome/T_rubida/S1/links/PFAM/Triru-contig_157-PFAM.txt","PFAM")</f>
        <v>PFAM</v>
      </c>
      <c r="T303" s="23">
        <v>6E-11</v>
      </c>
      <c r="U303">
        <v>67.8</v>
      </c>
      <c r="V303" s="1" t="str">
        <f>HYPERLINK("http://exon.niaid.nih.gov/transcriptome/T_rubida/S1/links/NR/Triru-contig_157-NR.txt","hypothetical protein SINV_05020")</f>
        <v>hypothetical protein SINV_05020</v>
      </c>
      <c r="W303" t="str">
        <f>HYPERLINK("http://www.ncbi.nlm.nih.gov/sutils/blink.cgi?pid=322785125","2E-007")</f>
        <v>2E-007</v>
      </c>
      <c r="X303" t="str">
        <f>HYPERLINK("http://www.ncbi.nlm.nih.gov/protein/322785125","gi|322785125")</f>
        <v>gi|322785125</v>
      </c>
      <c r="Y303">
        <v>59.3</v>
      </c>
      <c r="Z303">
        <v>121</v>
      </c>
      <c r="AA303">
        <v>288</v>
      </c>
      <c r="AB303">
        <v>34</v>
      </c>
      <c r="AC303">
        <v>42</v>
      </c>
      <c r="AD303">
        <v>81</v>
      </c>
      <c r="AE303">
        <v>4</v>
      </c>
      <c r="AF303">
        <v>148</v>
      </c>
      <c r="AG303">
        <v>52</v>
      </c>
      <c r="AH303">
        <v>1</v>
      </c>
      <c r="AI303">
        <v>1</v>
      </c>
      <c r="AJ303" t="s">
        <v>11</v>
      </c>
      <c r="AL303" t="s">
        <v>1144</v>
      </c>
      <c r="AM303" t="s">
        <v>1620</v>
      </c>
      <c r="AN303" t="s">
        <v>1621</v>
      </c>
      <c r="AO303" s="1" t="str">
        <f>HYPERLINK("http://exon.niaid.nih.gov/transcriptome/T_rubida/S1/links/SWISSP/Triru-contig_157-SWISSP.txt","Melanoma-associated antigen G1")</f>
        <v>Melanoma-associated antigen G1</v>
      </c>
      <c r="AP303" t="str">
        <f>HYPERLINK("http://www.uniprot.org/uniprot/Q96MG7","7E-006")</f>
        <v>7E-006</v>
      </c>
      <c r="AQ303" t="s">
        <v>1622</v>
      </c>
      <c r="AR303">
        <v>50.1</v>
      </c>
      <c r="AS303">
        <v>140</v>
      </c>
      <c r="AT303">
        <v>29</v>
      </c>
      <c r="AU303">
        <v>46</v>
      </c>
      <c r="AV303">
        <v>101</v>
      </c>
      <c r="AW303">
        <v>6</v>
      </c>
      <c r="AX303">
        <v>149</v>
      </c>
      <c r="AY303">
        <v>52</v>
      </c>
      <c r="AZ303">
        <v>1</v>
      </c>
      <c r="BA303">
        <v>1</v>
      </c>
      <c r="BB303" t="s">
        <v>11</v>
      </c>
      <c r="BD303" t="s">
        <v>704</v>
      </c>
      <c r="BE303" t="s">
        <v>1233</v>
      </c>
      <c r="BF303" t="s">
        <v>1623</v>
      </c>
      <c r="BG303" t="s">
        <v>1624</v>
      </c>
      <c r="BH303" s="1" t="s">
        <v>1625</v>
      </c>
      <c r="BI303">
        <f>HYPERLINK("http://exon.niaid.nih.gov/transcriptome/T_rubida/S1/links/GO/Triru-contig_157-GO.txt",0.000004)</f>
        <v>3.9999999999999998E-6</v>
      </c>
      <c r="BJ303" s="1" t="str">
        <f>HYPERLINK("http://exon.niaid.nih.gov/transcriptome/T_rubida/S1/links/CDD/Triru-contig_157-CDD.txt","MAGE")</f>
        <v>MAGE</v>
      </c>
      <c r="BK303" t="str">
        <f>HYPERLINK("http://www.ncbi.nlm.nih.gov/Structure/cdd/cddsrv.cgi?uid=pfam01454&amp;version=v4.0","3E-010")</f>
        <v>3E-010</v>
      </c>
      <c r="BL303" t="s">
        <v>1626</v>
      </c>
      <c r="BM303" s="1" t="str">
        <f>HYPERLINK("http://exon.niaid.nih.gov/transcriptome/T_rubida/S1/links/KOG/Triru-contig_157-KOG.txt","Uncharacterized conserved protein (tumor-rejection antigen MAGE in humans)")</f>
        <v>Uncharacterized conserved protein (tumor-rejection antigen MAGE in humans)</v>
      </c>
      <c r="BN303" t="str">
        <f>HYPERLINK("http://www.ncbi.nlm.nih.gov/COG/grace/shokog.cgi?KOG4562","8E-010")</f>
        <v>8E-010</v>
      </c>
      <c r="BO303" t="s">
        <v>737</v>
      </c>
      <c r="BP303" s="1" t="str">
        <f>HYPERLINK("http://exon.niaid.nih.gov/transcriptome/T_rubida/S1/links/PFAM/Triru-contig_157-PFAM.txt","MAGE")</f>
        <v>MAGE</v>
      </c>
      <c r="BQ303" t="str">
        <f>HYPERLINK("http://pfam.sanger.ac.uk/family?acc=PF01454","6E-011")</f>
        <v>6E-011</v>
      </c>
      <c r="BR303" s="1" t="str">
        <f>HYPERLINK("http://exon.niaid.nih.gov/transcriptome/T_rubida/S1/links/SMART/Triru-contig_157-SMART.txt","MutL_C")</f>
        <v>MutL_C</v>
      </c>
      <c r="BS303" t="str">
        <f>HYPERLINK("http://smart.embl-heidelberg.de/smart/do_annotation.pl?DOMAIN=MutL_C&amp;BLAST=DUMMY","0.32")</f>
        <v>0.32</v>
      </c>
      <c r="BT303" s="1" t="str">
        <f>HYPERLINK("http://exon.niaid.nih.gov/transcriptome/T_rubida/S1/links/PRK/Triru-contig_157-PRK.txt","serine/threonine-protein kinase 1")</f>
        <v>serine/threonine-protein kinase 1</v>
      </c>
      <c r="BU303">
        <v>2.5999999999999999E-2</v>
      </c>
      <c r="BV303" s="1" t="s">
        <v>57</v>
      </c>
      <c r="BW303" t="s">
        <v>57</v>
      </c>
      <c r="BX303" s="1" t="s">
        <v>57</v>
      </c>
      <c r="BY303" t="s">
        <v>57</v>
      </c>
    </row>
    <row r="304" spans="1:77">
      <c r="A304" t="str">
        <f>HYPERLINK("http://exon.niaid.nih.gov/transcriptome/T_rubida/S1/links/Triru/Triru-contig_530.txt","Triru-contig_530")</f>
        <v>Triru-contig_530</v>
      </c>
      <c r="B304">
        <v>1</v>
      </c>
      <c r="C304" t="str">
        <f>HYPERLINK("http://exon.niaid.nih.gov/transcriptome/T_rubida/S1/links/Triru/Triru-5-48-asb-530.txt","Contig-530")</f>
        <v>Contig-530</v>
      </c>
      <c r="D304" t="str">
        <f>HYPERLINK("http://exon.niaid.nih.gov/transcriptome/T_rubida/S1/links/Triru/Triru-5-48-530-CLU.txt","Contig530")</f>
        <v>Contig530</v>
      </c>
      <c r="E304" t="str">
        <f>HYPERLINK("http://exon.niaid.nih.gov/transcriptome/T_rubida/S1/links/Triru/Triru-5-48-530-qual.txt","60.5")</f>
        <v>60.5</v>
      </c>
      <c r="F304" t="s">
        <v>10</v>
      </c>
      <c r="G304">
        <v>58.1</v>
      </c>
      <c r="H304">
        <v>418</v>
      </c>
      <c r="I304" t="s">
        <v>542</v>
      </c>
      <c r="J304">
        <v>418</v>
      </c>
      <c r="K304">
        <v>437</v>
      </c>
      <c r="L304">
        <v>330</v>
      </c>
      <c r="M304" t="s">
        <v>5325</v>
      </c>
      <c r="N304" s="15">
        <v>2</v>
      </c>
      <c r="O304" s="14" t="str">
        <f>HYPERLINK("http://exon.niaid.nih.gov/transcriptome/T_rubida/S1/links/Sigp/TRIRU-CONTIG_530-SigP.txt","Cyt")</f>
        <v>Cyt</v>
      </c>
      <c r="Q304" s="5" t="s">
        <v>4999</v>
      </c>
      <c r="R304" t="s">
        <v>4821</v>
      </c>
      <c r="S304" t="str">
        <f>HYPERLINK("http://exon.niaid.nih.gov/transcriptome/T_rubida/S1/links/NR/Triru-contig_530-NR.txt","NR")</f>
        <v>NR</v>
      </c>
      <c r="T304" s="23">
        <v>5.0000000000000004E-16</v>
      </c>
      <c r="U304">
        <v>29.3</v>
      </c>
      <c r="V304" s="1" t="str">
        <f>HYPERLINK("http://exon.niaid.nih.gov/transcriptome/T_rubida/S1/links/NR/Triru-contig_530-NR.txt","Plasminogen activator inhibitor 1 RNA-binding protein")</f>
        <v>Plasminogen activator inhibitor 1 RNA-binding protein</v>
      </c>
      <c r="W304" t="str">
        <f>HYPERLINK("http://www.ncbi.nlm.nih.gov/sutils/blink.cgi?pid=332023820","5E-016")</f>
        <v>5E-016</v>
      </c>
      <c r="X304" t="str">
        <f>HYPERLINK("http://www.ncbi.nlm.nih.gov/protein/332023820","gi|332023820")</f>
        <v>gi|332023820</v>
      </c>
      <c r="Y304">
        <v>87.8</v>
      </c>
      <c r="Z304">
        <v>112</v>
      </c>
      <c r="AA304">
        <v>389</v>
      </c>
      <c r="AB304">
        <v>49</v>
      </c>
      <c r="AC304">
        <v>29</v>
      </c>
      <c r="AD304">
        <v>58</v>
      </c>
      <c r="AE304">
        <v>17</v>
      </c>
      <c r="AF304">
        <v>277</v>
      </c>
      <c r="AG304">
        <v>41</v>
      </c>
      <c r="AH304">
        <v>1</v>
      </c>
      <c r="AI304">
        <v>2</v>
      </c>
      <c r="AJ304" t="s">
        <v>11</v>
      </c>
      <c r="AL304" t="s">
        <v>2597</v>
      </c>
      <c r="AM304" t="s">
        <v>4064</v>
      </c>
      <c r="AN304" t="s">
        <v>4065</v>
      </c>
      <c r="AO304" s="1" t="str">
        <f>HYPERLINK("http://exon.niaid.nih.gov/transcriptome/T_rubida/S1/links/SWISSP/Triru-contig_530-SWISSP.txt","Plasminogen activator inhibitor 1 RNA-binding protein")</f>
        <v>Plasminogen activator inhibitor 1 RNA-binding protein</v>
      </c>
      <c r="AP304" t="str">
        <f>HYPERLINK("http://www.uniprot.org/uniprot/Q6AXS5","8E-006")</f>
        <v>8E-006</v>
      </c>
      <c r="AQ304" t="s">
        <v>4066</v>
      </c>
      <c r="AR304">
        <v>49.3</v>
      </c>
      <c r="AS304">
        <v>263</v>
      </c>
      <c r="AT304">
        <v>32</v>
      </c>
      <c r="AU304">
        <v>65</v>
      </c>
      <c r="AV304">
        <v>72</v>
      </c>
      <c r="AW304">
        <v>0</v>
      </c>
      <c r="AX304">
        <v>143</v>
      </c>
      <c r="AY304">
        <v>11</v>
      </c>
      <c r="AZ304">
        <v>2</v>
      </c>
      <c r="BA304">
        <v>2</v>
      </c>
      <c r="BB304" t="s">
        <v>11</v>
      </c>
      <c r="BD304" t="s">
        <v>704</v>
      </c>
      <c r="BE304" t="s">
        <v>1164</v>
      </c>
      <c r="BF304" t="s">
        <v>4067</v>
      </c>
      <c r="BG304" t="s">
        <v>4068</v>
      </c>
      <c r="BH304" s="1" t="s">
        <v>4069</v>
      </c>
      <c r="BI304">
        <f>HYPERLINK("http://exon.niaid.nih.gov/transcriptome/T_rubida/S1/links/GO/Triru-contig_530-GO.txt",0.000000005)</f>
        <v>5.0000000000000001E-9</v>
      </c>
      <c r="BJ304" s="1" t="str">
        <f>HYPERLINK("http://exon.niaid.nih.gov/transcriptome/T_rubida/S1/links/CDD/Triru-contig_530-CDD.txt","PRK04537")</f>
        <v>PRK04537</v>
      </c>
      <c r="BK304" t="str">
        <f>HYPERLINK("http://www.ncbi.nlm.nih.gov/Structure/cdd/cddsrv.cgi?uid=PRK04537&amp;version=v4.0","2E-004")</f>
        <v>2E-004</v>
      </c>
      <c r="BL304" t="s">
        <v>4070</v>
      </c>
      <c r="BM304" s="1" t="str">
        <f>HYPERLINK("http://exon.niaid.nih.gov/transcriptome/T_rubida/S1/links/KOG/Triru-contig_530-KOG.txt","Predicted RNA-binding protein")</f>
        <v>Predicted RNA-binding protein</v>
      </c>
      <c r="BN304" t="str">
        <f>HYPERLINK("http://www.ncbi.nlm.nih.gov/COG/grace/shokog.cgi?KOG2945","1E-007")</f>
        <v>1E-007</v>
      </c>
      <c r="BO304" t="s">
        <v>750</v>
      </c>
      <c r="BP304" s="1" t="str">
        <f>HYPERLINK("http://exon.niaid.nih.gov/transcriptome/T_rubida/S1/links/PFAM/Triru-contig_530-PFAM.txt","Peptidase_M50")</f>
        <v>Peptidase_M50</v>
      </c>
      <c r="BQ304" t="str">
        <f>HYPERLINK("http://pfam.sanger.ac.uk/family?acc=PF02163","0.006")</f>
        <v>0.006</v>
      </c>
      <c r="BR304" s="1" t="str">
        <f>HYPERLINK("http://exon.niaid.nih.gov/transcriptome/T_rubida/S1/links/SMART/Triru-contig_530-SMART.txt","alkPPc")</f>
        <v>alkPPc</v>
      </c>
      <c r="BS304" t="str">
        <f>HYPERLINK("http://smart.embl-heidelberg.de/smart/do_annotation.pl?DOMAIN=alkPPc&amp;BLAST=DUMMY","0.006")</f>
        <v>0.006</v>
      </c>
      <c r="BT304" s="1" t="str">
        <f>HYPERLINK("http://exon.niaid.nih.gov/transcriptome/T_rubida/S1/links/PRK/Triru-contig_530-PRK.txt","ATP-dependent RNA helicase RhlB")</f>
        <v>ATP-dependent RNA helicase RhlB</v>
      </c>
      <c r="BU304" s="2">
        <v>9.0000000000000006E-5</v>
      </c>
      <c r="BV304" s="1" t="s">
        <v>57</v>
      </c>
      <c r="BW304" t="s">
        <v>57</v>
      </c>
      <c r="BX304" s="1" t="s">
        <v>57</v>
      </c>
      <c r="BY304" t="s">
        <v>57</v>
      </c>
    </row>
    <row r="305" spans="1:77">
      <c r="A305" t="str">
        <f>HYPERLINK("http://exon.niaid.nih.gov/transcriptome/T_rubida/S1/links/Triru/Triru-contig_613.txt","Triru-contig_613")</f>
        <v>Triru-contig_613</v>
      </c>
      <c r="B305">
        <v>1</v>
      </c>
      <c r="C305" t="str">
        <f>HYPERLINK("http://exon.niaid.nih.gov/transcriptome/T_rubida/S1/links/Triru/Triru-5-48-asb-613.txt","Contig-613")</f>
        <v>Contig-613</v>
      </c>
      <c r="D305" t="str">
        <f>HYPERLINK("http://exon.niaid.nih.gov/transcriptome/T_rubida/S1/links/Triru/Triru-5-48-613-CLU.txt","Contig613")</f>
        <v>Contig613</v>
      </c>
      <c r="E305" t="str">
        <f>HYPERLINK("http://exon.niaid.nih.gov/transcriptome/T_rubida/S1/links/Triru/Triru-5-48-613-qual.txt","54.6")</f>
        <v>54.6</v>
      </c>
      <c r="F305">
        <v>1</v>
      </c>
      <c r="G305">
        <v>64</v>
      </c>
      <c r="H305">
        <v>181</v>
      </c>
      <c r="I305" t="s">
        <v>625</v>
      </c>
      <c r="J305">
        <v>181</v>
      </c>
      <c r="K305">
        <v>200</v>
      </c>
      <c r="L305">
        <v>162</v>
      </c>
      <c r="M305" t="s">
        <v>5326</v>
      </c>
      <c r="N305" s="15">
        <v>3</v>
      </c>
      <c r="Q305" s="5" t="s">
        <v>5025</v>
      </c>
      <c r="R305" t="s">
        <v>4821</v>
      </c>
      <c r="S305" t="str">
        <f>HYPERLINK("http://exon.niaid.nih.gov/transcriptome/T_rubida/S1/links/PFAM/Triru-contig_613-PFAM.txt","PFAM")</f>
        <v>PFAM</v>
      </c>
      <c r="T305" s="23">
        <v>3.9999999999999999E-12</v>
      </c>
      <c r="U305">
        <v>22.3</v>
      </c>
      <c r="V305" s="1" t="str">
        <f>HYPERLINK("http://exon.niaid.nih.gov/transcriptome/T_rubida/S1/links/NR/Triru-contig_613-NR.txt","hypothetical protein DAPPUDRAFT_304910")</f>
        <v>hypothetical protein DAPPUDRAFT_304910</v>
      </c>
      <c r="W305" t="str">
        <f>HYPERLINK("http://www.ncbi.nlm.nih.gov/sutils/blink.cgi?pid=321468248","3E-004")</f>
        <v>3E-004</v>
      </c>
      <c r="X305" t="str">
        <f>HYPERLINK("http://www.ncbi.nlm.nih.gov/protein/321468248","gi|321468248")</f>
        <v>gi|321468248</v>
      </c>
      <c r="Y305">
        <v>48.9</v>
      </c>
      <c r="Z305">
        <v>45</v>
      </c>
      <c r="AA305">
        <v>364</v>
      </c>
      <c r="AB305">
        <v>50</v>
      </c>
      <c r="AC305">
        <v>13</v>
      </c>
      <c r="AD305">
        <v>23</v>
      </c>
      <c r="AE305">
        <v>0</v>
      </c>
      <c r="AF305">
        <v>296</v>
      </c>
      <c r="AG305">
        <v>36</v>
      </c>
      <c r="AH305">
        <v>1</v>
      </c>
      <c r="AI305">
        <v>3</v>
      </c>
      <c r="AJ305" t="s">
        <v>11</v>
      </c>
      <c r="AL305" t="s">
        <v>1866</v>
      </c>
      <c r="AM305" t="s">
        <v>4578</v>
      </c>
      <c r="AN305" t="s">
        <v>4579</v>
      </c>
      <c r="AO305" s="1" t="str">
        <f>HYPERLINK("http://exon.niaid.nih.gov/transcriptome/T_rubida/S1/links/SWISSP/Triru-contig_613-SWISSP.txt","Surfeit locus protein 6 homolog")</f>
        <v>Surfeit locus protein 6 homolog</v>
      </c>
      <c r="AP305" t="str">
        <f>HYPERLINK("http://www.uniprot.org/uniprot/Q9VDS6","2E-004")</f>
        <v>2E-004</v>
      </c>
      <c r="AQ305" t="s">
        <v>4580</v>
      </c>
      <c r="AR305">
        <v>44.7</v>
      </c>
      <c r="AS305">
        <v>45</v>
      </c>
      <c r="AT305">
        <v>45</v>
      </c>
      <c r="AU305">
        <v>14</v>
      </c>
      <c r="AV305">
        <v>25</v>
      </c>
      <c r="AW305">
        <v>0</v>
      </c>
      <c r="AX305">
        <v>254</v>
      </c>
      <c r="AY305">
        <v>36</v>
      </c>
      <c r="AZ305">
        <v>1</v>
      </c>
      <c r="BA305">
        <v>3</v>
      </c>
      <c r="BB305" t="s">
        <v>11</v>
      </c>
      <c r="BD305" t="s">
        <v>704</v>
      </c>
      <c r="BE305" t="s">
        <v>1125</v>
      </c>
      <c r="BF305" t="s">
        <v>4581</v>
      </c>
      <c r="BG305" t="s">
        <v>4582</v>
      </c>
      <c r="BH305" s="1" t="s">
        <v>57</v>
      </c>
      <c r="BI305" t="s">
        <v>57</v>
      </c>
      <c r="BJ305" s="1" t="str">
        <f>HYPERLINK("http://exon.niaid.nih.gov/transcriptome/T_rubida/S1/links/CDD/Triru-contig_613-CDD.txt","SURF6")</f>
        <v>SURF6</v>
      </c>
      <c r="BK305" t="str">
        <f>HYPERLINK("http://www.ncbi.nlm.nih.gov/Structure/cdd/cddsrv.cgi?uid=pfam04935&amp;version=v4.0","2E-011")</f>
        <v>2E-011</v>
      </c>
      <c r="BL305" t="s">
        <v>4583</v>
      </c>
      <c r="BM305" s="1" t="str">
        <f>HYPERLINK("http://exon.niaid.nih.gov/transcriptome/T_rubida/S1/links/KOG/Triru-contig_613-KOG.txt","Uncharacterized conserved protein")</f>
        <v>Uncharacterized conserved protein</v>
      </c>
      <c r="BN305" t="str">
        <f>HYPERLINK("http://www.ncbi.nlm.nih.gov/COG/grace/shokog.cgi?KOG2885","4E-008")</f>
        <v>4E-008</v>
      </c>
      <c r="BO305" t="s">
        <v>737</v>
      </c>
      <c r="BP305" s="1" t="str">
        <f>HYPERLINK("http://exon.niaid.nih.gov/transcriptome/T_rubida/S1/links/PFAM/Triru-contig_613-PFAM.txt","SURF6")</f>
        <v>SURF6</v>
      </c>
      <c r="BQ305" t="str">
        <f>HYPERLINK("http://pfam.sanger.ac.uk/family?acc=PF04935","4E-012")</f>
        <v>4E-012</v>
      </c>
      <c r="BR305" s="1" t="str">
        <f>HYPERLINK("http://exon.niaid.nih.gov/transcriptome/T_rubida/S1/links/SMART/Triru-contig_613-SMART.txt","CLb")</f>
        <v>CLb</v>
      </c>
      <c r="BS305" t="str">
        <f>HYPERLINK("http://smart.embl-heidelberg.de/smart/do_annotation.pl?DOMAIN=CLb&amp;BLAST=DUMMY","0.016")</f>
        <v>0.016</v>
      </c>
      <c r="BT305" s="1" t="str">
        <f>HYPERLINK("http://exon.niaid.nih.gov/transcriptome/T_rubida/S1/links/PRK/Triru-contig_613-PRK.txt","ATP synthase F0 subunit 6")</f>
        <v>ATP synthase F0 subunit 6</v>
      </c>
      <c r="BU305" s="2">
        <v>5.0000000000000001E-4</v>
      </c>
      <c r="BV305" s="1" t="s">
        <v>57</v>
      </c>
      <c r="BW305" t="s">
        <v>57</v>
      </c>
      <c r="BX305" s="1" t="s">
        <v>57</v>
      </c>
      <c r="BY305" t="s">
        <v>57</v>
      </c>
    </row>
    <row r="306" spans="1:77">
      <c r="A306" t="str">
        <f>HYPERLINK("http://exon.niaid.nih.gov/transcriptome/T_rubida/S1/links/Triru/Triru-contig_185.txt","Triru-contig_185")</f>
        <v>Triru-contig_185</v>
      </c>
      <c r="B306">
        <v>1</v>
      </c>
      <c r="C306" t="str">
        <f>HYPERLINK("http://exon.niaid.nih.gov/transcriptome/T_rubida/S1/links/Triru/Triru-5-48-asb-185.txt","Contig-185")</f>
        <v>Contig-185</v>
      </c>
      <c r="D306" t="str">
        <f>HYPERLINK("http://exon.niaid.nih.gov/transcriptome/T_rubida/S1/links/Triru/Triru-5-48-185-CLU.txt","Contig185")</f>
        <v>Contig185</v>
      </c>
      <c r="E306" t="str">
        <f>HYPERLINK("http://exon.niaid.nih.gov/transcriptome/T_rubida/S1/links/Triru/Triru-5-48-185-qual.txt","64.8")</f>
        <v>64.8</v>
      </c>
      <c r="F306" t="s">
        <v>10</v>
      </c>
      <c r="G306">
        <v>68.599999999999994</v>
      </c>
      <c r="H306">
        <v>293</v>
      </c>
      <c r="I306" t="s">
        <v>197</v>
      </c>
      <c r="J306">
        <v>293</v>
      </c>
      <c r="K306">
        <v>312</v>
      </c>
      <c r="L306">
        <v>222</v>
      </c>
      <c r="M306" t="s">
        <v>5327</v>
      </c>
      <c r="N306" s="15">
        <v>3</v>
      </c>
      <c r="O306" s="14" t="str">
        <f>HYPERLINK("http://exon.niaid.nih.gov/transcriptome/T_rubida/S1/links/Sigp/TRIRU-CONTIG_185-SigP.txt","SIG")</f>
        <v>SIG</v>
      </c>
      <c r="P306" t="s">
        <v>5059</v>
      </c>
      <c r="Q306" s="5" t="s">
        <v>4890</v>
      </c>
      <c r="R306" t="s">
        <v>4821</v>
      </c>
      <c r="S306" t="str">
        <f>HYPERLINK("http://exon.niaid.nih.gov/transcriptome/T_rubida/S1/links/NR/Triru-contig_185-NR.txt","NR")</f>
        <v>NR</v>
      </c>
      <c r="T306" s="23">
        <v>4.9999999999999999E-29</v>
      </c>
      <c r="U306">
        <v>37.4</v>
      </c>
      <c r="V306" s="1" t="str">
        <f>HYPERLINK("http://exon.niaid.nih.gov/transcriptome/T_rubida/S1/links/NR/Triru-contig_185-NR.txt","TM2 domain-containing protein 1-like")</f>
        <v>TM2 domain-containing protein 1-like</v>
      </c>
      <c r="W306" t="str">
        <f>HYPERLINK("http://www.ncbi.nlm.nih.gov/sutils/blink.cgi?pid=242247445","5E-029")</f>
        <v>5E-029</v>
      </c>
      <c r="X306" t="str">
        <f>HYPERLINK("http://www.ncbi.nlm.nih.gov/protein/242247445","gi|242247445")</f>
        <v>gi|242247445</v>
      </c>
      <c r="Y306">
        <v>130</v>
      </c>
      <c r="Z306">
        <v>72</v>
      </c>
      <c r="AA306">
        <v>195</v>
      </c>
      <c r="AB306">
        <v>79</v>
      </c>
      <c r="AC306">
        <v>37</v>
      </c>
      <c r="AD306">
        <v>15</v>
      </c>
      <c r="AE306">
        <v>0</v>
      </c>
      <c r="AF306">
        <v>116</v>
      </c>
      <c r="AG306">
        <v>6</v>
      </c>
      <c r="AH306">
        <v>1</v>
      </c>
      <c r="AI306">
        <v>3</v>
      </c>
      <c r="AJ306" t="s">
        <v>11</v>
      </c>
      <c r="AL306" t="s">
        <v>1160</v>
      </c>
      <c r="AM306" t="s">
        <v>1783</v>
      </c>
      <c r="AN306" t="s">
        <v>1784</v>
      </c>
      <c r="AO306" s="1" t="str">
        <f>HYPERLINK("http://exon.niaid.nih.gov/transcriptome/T_rubida/S1/links/SWISSP/Triru-contig_185-SWISSP.txt","TM2 domain-containing protein CG10795")</f>
        <v>TM2 domain-containing protein CG10795</v>
      </c>
      <c r="AP306" t="str">
        <f>HYPERLINK("http://www.uniprot.org/uniprot/Q9W2H1","9E-026")</f>
        <v>9E-026</v>
      </c>
      <c r="AQ306" t="s">
        <v>1785</v>
      </c>
      <c r="AR306">
        <v>115</v>
      </c>
      <c r="AS306">
        <v>72</v>
      </c>
      <c r="AT306">
        <v>76</v>
      </c>
      <c r="AU306">
        <v>41</v>
      </c>
      <c r="AV306">
        <v>17</v>
      </c>
      <c r="AW306">
        <v>0</v>
      </c>
      <c r="AX306">
        <v>106</v>
      </c>
      <c r="AY306">
        <v>6</v>
      </c>
      <c r="AZ306">
        <v>1</v>
      </c>
      <c r="BA306">
        <v>3</v>
      </c>
      <c r="BB306" t="s">
        <v>11</v>
      </c>
      <c r="BD306" t="s">
        <v>704</v>
      </c>
      <c r="BE306" t="s">
        <v>1125</v>
      </c>
      <c r="BF306" t="s">
        <v>1786</v>
      </c>
      <c r="BG306" t="s">
        <v>1787</v>
      </c>
      <c r="BH306" s="1" t="s">
        <v>1788</v>
      </c>
      <c r="BI306">
        <f>HYPERLINK("http://exon.niaid.nih.gov/transcriptome/T_rubida/S1/links/GO/Triru-contig_185-GO.txt",6E-26)</f>
        <v>6.0000000000000002E-26</v>
      </c>
      <c r="BJ306" s="1" t="str">
        <f>HYPERLINK("http://exon.niaid.nih.gov/transcriptome/T_rubida/S1/links/CDD/Triru-contig_185-CDD.txt","TM2")</f>
        <v>TM2</v>
      </c>
      <c r="BK306" t="str">
        <f>HYPERLINK("http://www.ncbi.nlm.nih.gov/Structure/cdd/cddsrv.cgi?uid=pfam05154&amp;version=v4.0","1E-006")</f>
        <v>1E-006</v>
      </c>
      <c r="BL306" t="s">
        <v>1789</v>
      </c>
      <c r="BM306" s="1" t="str">
        <f>HYPERLINK("http://exon.niaid.nih.gov/transcriptome/T_rubida/S1/links/KOG/Triru-contig_185-KOG.txt","Predicted GTP-binding protein")</f>
        <v>Predicted GTP-binding protein</v>
      </c>
      <c r="BN306" t="str">
        <f>HYPERLINK("http://www.ncbi.nlm.nih.gov/COG/grace/shokog.cgi?KOG4272","4E-019")</f>
        <v>4E-019</v>
      </c>
      <c r="BO306" t="s">
        <v>750</v>
      </c>
      <c r="BP306" s="1" t="str">
        <f>HYPERLINK("http://exon.niaid.nih.gov/transcriptome/T_rubida/S1/links/PFAM/Triru-contig_185-PFAM.txt","TM2")</f>
        <v>TM2</v>
      </c>
      <c r="BQ306" t="str">
        <f>HYPERLINK("http://pfam.sanger.ac.uk/family?acc=PF05154","3E-007")</f>
        <v>3E-007</v>
      </c>
      <c r="BR306" s="1" t="str">
        <f>HYPERLINK("http://exon.niaid.nih.gov/transcriptome/T_rubida/S1/links/SMART/Triru-contig_185-SMART.txt","TLC")</f>
        <v>TLC</v>
      </c>
      <c r="BS306" t="str">
        <f>HYPERLINK("http://smart.embl-heidelberg.de/smart/do_annotation.pl?DOMAIN=TLC&amp;BLAST=DUMMY","0.064")</f>
        <v>0.064</v>
      </c>
      <c r="BT306" s="1" t="str">
        <f>HYPERLINK("http://exon.niaid.nih.gov/transcriptome/T_rubida/S1/links/PRK/Triru-contig_185-PRK.txt","TM2 domain-containing protein.")</f>
        <v>TM2 domain-containing protein.</v>
      </c>
      <c r="BU306" s="2">
        <v>2.0000000000000002E-5</v>
      </c>
      <c r="BV306" s="1" t="s">
        <v>57</v>
      </c>
      <c r="BW306" t="s">
        <v>57</v>
      </c>
      <c r="BX306" s="1" t="s">
        <v>57</v>
      </c>
      <c r="BY306" t="s">
        <v>57</v>
      </c>
    </row>
    <row r="307" spans="1:77">
      <c r="A307" t="str">
        <f>HYPERLINK("http://exon.niaid.nih.gov/transcriptome/T_rubida/S1/links/Triru/Triru-contig_194.txt","Triru-contig_194")</f>
        <v>Triru-contig_194</v>
      </c>
      <c r="B307">
        <v>1</v>
      </c>
      <c r="C307" t="str">
        <f>HYPERLINK("http://exon.niaid.nih.gov/transcriptome/T_rubida/S1/links/Triru/Triru-5-48-asb-194.txt","Contig-194")</f>
        <v>Contig-194</v>
      </c>
      <c r="D307" t="str">
        <f>HYPERLINK("http://exon.niaid.nih.gov/transcriptome/T_rubida/S1/links/Triru/Triru-5-48-194-CLU.txt","Contig194")</f>
        <v>Contig194</v>
      </c>
      <c r="E307" t="str">
        <f>HYPERLINK("http://exon.niaid.nih.gov/transcriptome/T_rubida/S1/links/Triru/Triru-5-48-194-qual.txt","22.1")</f>
        <v>22.1</v>
      </c>
      <c r="F307" t="s">
        <v>10</v>
      </c>
      <c r="G307">
        <v>76.900000000000006</v>
      </c>
      <c r="H307">
        <v>189</v>
      </c>
      <c r="I307" t="s">
        <v>206</v>
      </c>
      <c r="J307">
        <v>189</v>
      </c>
      <c r="K307">
        <v>208</v>
      </c>
      <c r="L307">
        <v>87</v>
      </c>
      <c r="M307" t="s">
        <v>5328</v>
      </c>
      <c r="N307" s="15">
        <v>1</v>
      </c>
      <c r="Q307" s="5" t="s">
        <v>4894</v>
      </c>
      <c r="R307" t="s">
        <v>4821</v>
      </c>
      <c r="S307" t="str">
        <f>HYPERLINK("http://exon.niaid.nih.gov/transcriptome/T_rubida/S1/links/MIT-PLA/Triru-contig_194-MIT-PLA.txt","MIT-PLA")</f>
        <v>MIT-PLA</v>
      </c>
      <c r="T307" s="23">
        <v>1.0000000000000001E-30</v>
      </c>
      <c r="U307">
        <v>1</v>
      </c>
      <c r="V307" s="1" t="str">
        <f>HYPERLINK("http://exon.niaid.nih.gov/transcriptome/T_rubida/S1/links/NR/Triru-contig_194-NR.txt","predicted protein")</f>
        <v>predicted protein</v>
      </c>
      <c r="W307" t="str">
        <f>HYPERLINK("http://www.ncbi.nlm.nih.gov/sutils/blink.cgi?pid=237741199","2.3")</f>
        <v>2.3</v>
      </c>
      <c r="X307" t="str">
        <f>HYPERLINK("http://www.ncbi.nlm.nih.gov/protein/237741199","gi|237741199")</f>
        <v>gi|237741199</v>
      </c>
      <c r="Y307">
        <v>35.799999999999997</v>
      </c>
      <c r="Z307">
        <v>45</v>
      </c>
      <c r="AA307">
        <v>115</v>
      </c>
      <c r="AB307">
        <v>34</v>
      </c>
      <c r="AC307">
        <v>40</v>
      </c>
      <c r="AD307">
        <v>30</v>
      </c>
      <c r="AE307">
        <v>0</v>
      </c>
      <c r="AF307">
        <v>35</v>
      </c>
      <c r="AG307">
        <v>7</v>
      </c>
      <c r="AH307">
        <v>1</v>
      </c>
      <c r="AI307">
        <v>1</v>
      </c>
      <c r="AJ307" t="s">
        <v>11</v>
      </c>
      <c r="AK307">
        <v>2.222</v>
      </c>
      <c r="AL307" t="s">
        <v>1838</v>
      </c>
      <c r="AM307" t="s">
        <v>1839</v>
      </c>
      <c r="AN307" t="s">
        <v>1840</v>
      </c>
      <c r="AO307" s="1" t="str">
        <f>HYPERLINK("http://exon.niaid.nih.gov/transcriptome/T_rubida/S1/links/SWISSP/Triru-contig_194-SWISSP.txt","Taste receptor type 2 member 123")</f>
        <v>Taste receptor type 2 member 123</v>
      </c>
      <c r="AP307" t="str">
        <f>HYPERLINK("http://www.uniprot.org/uniprot/Q9JKF0","8.1")</f>
        <v>8.1</v>
      </c>
      <c r="AQ307" t="s">
        <v>1841</v>
      </c>
      <c r="AR307">
        <v>29.3</v>
      </c>
      <c r="AS307">
        <v>34</v>
      </c>
      <c r="AT307">
        <v>37</v>
      </c>
      <c r="AU307">
        <v>11</v>
      </c>
      <c r="AV307">
        <v>22</v>
      </c>
      <c r="AW307">
        <v>1</v>
      </c>
      <c r="AX307">
        <v>122</v>
      </c>
      <c r="AY307">
        <v>67</v>
      </c>
      <c r="AZ307">
        <v>1</v>
      </c>
      <c r="BA307">
        <v>1</v>
      </c>
      <c r="BB307" t="s">
        <v>11</v>
      </c>
      <c r="BC307">
        <v>2.9409999999999998</v>
      </c>
      <c r="BD307" t="s">
        <v>704</v>
      </c>
      <c r="BE307" t="s">
        <v>1164</v>
      </c>
      <c r="BF307" t="s">
        <v>1842</v>
      </c>
      <c r="BG307" t="s">
        <v>1843</v>
      </c>
      <c r="BH307" s="1" t="s">
        <v>57</v>
      </c>
      <c r="BI307" t="s">
        <v>57</v>
      </c>
      <c r="BJ307" s="1" t="str">
        <f>HYPERLINK("http://exon.niaid.nih.gov/transcriptome/T_rubida/S1/links/CDD/Triru-contig_194-CDD.txt","UPF0259")</f>
        <v>UPF0259</v>
      </c>
      <c r="BK307" t="str">
        <f>HYPERLINK("http://www.ncbi.nlm.nih.gov/Structure/cdd/cddsrv.cgi?uid=pfam06790&amp;version=v4.0","0.010")</f>
        <v>0.010</v>
      </c>
      <c r="BL307" t="s">
        <v>1844</v>
      </c>
      <c r="BM307" s="1" t="str">
        <f>HYPERLINK("http://exon.niaid.nih.gov/transcriptome/T_rubida/S1/links/KOG/Triru-contig_194-KOG.txt","Farnesyl cysteine-carboxyl methyltransferase")</f>
        <v>Farnesyl cysteine-carboxyl methyltransferase</v>
      </c>
      <c r="BN307" t="str">
        <f>HYPERLINK("http://www.ncbi.nlm.nih.gov/COG/grace/shokog.cgi?KOG2628","0.22")</f>
        <v>0.22</v>
      </c>
      <c r="BO307" t="s">
        <v>954</v>
      </c>
      <c r="BP307" s="1" t="str">
        <f>HYPERLINK("http://exon.niaid.nih.gov/transcriptome/T_rubida/S1/links/PFAM/Triru-contig_194-PFAM.txt","UPF0259")</f>
        <v>UPF0259</v>
      </c>
      <c r="BQ307" t="str">
        <f>HYPERLINK("http://pfam.sanger.ac.uk/family?acc=PF06790","0.002")</f>
        <v>0.002</v>
      </c>
      <c r="BR307" s="1" t="str">
        <f>HYPERLINK("http://exon.niaid.nih.gov/transcriptome/T_rubida/S1/links/SMART/Triru-contig_194-SMART.txt","AgrB")</f>
        <v>AgrB</v>
      </c>
      <c r="BS307" t="str">
        <f>HYPERLINK("http://smart.embl-heidelberg.de/smart/do_annotation.pl?DOMAIN=AgrB&amp;BLAST=DUMMY","0.16")</f>
        <v>0.16</v>
      </c>
      <c r="BT307" s="1" t="str">
        <f>HYPERLINK("http://exon.niaid.nih.gov/transcriptome/T_rubida/S1/links/PRK/Triru-contig_194-PRK.txt","membrane protein insertase")</f>
        <v>membrane protein insertase</v>
      </c>
      <c r="BU307">
        <v>1.7000000000000001E-2</v>
      </c>
      <c r="BV307" s="1" t="str">
        <f>HYPERLINK("http://exon.niaid.nih.gov/transcriptome/T_rubida/S1/links/MIT-PLA/Triru-contig_194-MIT-PLA.txt","Triatoma dimidiata mitochondrial DNA, complete genome")</f>
        <v>Triatoma dimidiata mitochondrial DNA, complete genome</v>
      </c>
      <c r="BW307" t="str">
        <f>HYPERLINK("http://www.ncbi.nlm.nih.gov/entrez/viewer.fcgi?db=nucleotide&amp;val=11139100","1E-030")</f>
        <v>1E-030</v>
      </c>
      <c r="BX307" s="1" t="s">
        <v>57</v>
      </c>
      <c r="BY307" t="s">
        <v>57</v>
      </c>
    </row>
    <row r="308" spans="1:77">
      <c r="A308" t="str">
        <f>HYPERLINK("http://exon.niaid.nih.gov/transcriptome/T_rubida/S1/links/Triru/Triru-contig_438.txt","Triru-contig_438")</f>
        <v>Triru-contig_438</v>
      </c>
      <c r="B308">
        <v>1</v>
      </c>
      <c r="C308" t="str">
        <f>HYPERLINK("http://exon.niaid.nih.gov/transcriptome/T_rubida/S1/links/Triru/Triru-5-48-asb-438.txt","Contig-438")</f>
        <v>Contig-438</v>
      </c>
      <c r="D308" t="str">
        <f>HYPERLINK("http://exon.niaid.nih.gov/transcriptome/T_rubida/S1/links/Triru/Triru-5-48-438-CLU.txt","Contig438")</f>
        <v>Contig438</v>
      </c>
      <c r="E308" t="str">
        <f>HYPERLINK("http://exon.niaid.nih.gov/transcriptome/T_rubida/S1/links/Triru/Triru-5-48-438-qual.txt","62.5")</f>
        <v>62.5</v>
      </c>
      <c r="F308" t="s">
        <v>10</v>
      </c>
      <c r="G308">
        <v>66.400000000000006</v>
      </c>
      <c r="H308">
        <v>553</v>
      </c>
      <c r="I308" t="s">
        <v>450</v>
      </c>
      <c r="J308">
        <v>553</v>
      </c>
      <c r="K308">
        <v>572</v>
      </c>
      <c r="L308">
        <v>207</v>
      </c>
      <c r="M308" t="s">
        <v>5329</v>
      </c>
      <c r="N308" s="15">
        <v>3</v>
      </c>
      <c r="O308" s="14" t="str">
        <f>HYPERLINK("http://exon.niaid.nih.gov/transcriptome/T_rubida/S1/links/Sigp/TRIRU-CONTIG_438-SigP.txt","Cyt")</f>
        <v>Cyt</v>
      </c>
      <c r="Q308" s="5" t="s">
        <v>4966</v>
      </c>
      <c r="R308" t="s">
        <v>4821</v>
      </c>
      <c r="S308" t="str">
        <f>HYPERLINK("http://exon.niaid.nih.gov/transcriptome/T_rubida/S1/links/KOG/Triru-contig_438-KOG.txt","KOG")</f>
        <v>KOG</v>
      </c>
      <c r="T308" s="23">
        <v>5.0000000000000003E-38</v>
      </c>
      <c r="U308">
        <v>27.9</v>
      </c>
      <c r="V308" s="1" t="str">
        <f>HYPERLINK("http://exon.niaid.nih.gov/transcriptome/T_rubida/S1/links/NR/Triru-contig_438-NR.txt","UPF0511 protein C2orf56-like protein, mitochondrial")</f>
        <v>UPF0511 protein C2orf56-like protein, mitochondrial</v>
      </c>
      <c r="W308" t="str">
        <f>HYPERLINK("http://www.ncbi.nlm.nih.gov/sutils/blink.cgi?pid=307189530","3E-034")</f>
        <v>3E-034</v>
      </c>
      <c r="X308" t="str">
        <f>HYPERLINK("http://www.ncbi.nlm.nih.gov/protein/307189530","gi|307189530")</f>
        <v>gi|307189530</v>
      </c>
      <c r="Y308">
        <v>139</v>
      </c>
      <c r="Z308">
        <v>132</v>
      </c>
      <c r="AA308">
        <v>421</v>
      </c>
      <c r="AB308">
        <v>56</v>
      </c>
      <c r="AC308">
        <v>32</v>
      </c>
      <c r="AD308">
        <v>51</v>
      </c>
      <c r="AE308">
        <v>2</v>
      </c>
      <c r="AF308">
        <v>285</v>
      </c>
      <c r="AG308">
        <v>15</v>
      </c>
      <c r="AH308">
        <v>2</v>
      </c>
      <c r="AI308">
        <v>3</v>
      </c>
      <c r="AJ308" t="s">
        <v>888</v>
      </c>
      <c r="AK308">
        <v>0.75800000000000001</v>
      </c>
      <c r="AL308" t="s">
        <v>1650</v>
      </c>
      <c r="AM308" t="s">
        <v>3442</v>
      </c>
      <c r="AN308" t="s">
        <v>3443</v>
      </c>
      <c r="AO308" s="1" t="str">
        <f>HYPERLINK("http://exon.niaid.nih.gov/transcriptome/T_rubida/S1/links/SWISSP/Triru-contig_438-SWISSP.txt","Protein midA homolog, mitochondrial")</f>
        <v>Protein midA homolog, mitochondrial</v>
      </c>
      <c r="AP308" t="str">
        <f>HYPERLINK("http://www.uniprot.org/uniprot/Q7L592","3E-031")</f>
        <v>3E-031</v>
      </c>
      <c r="AQ308" t="s">
        <v>3444</v>
      </c>
      <c r="AR308">
        <v>134</v>
      </c>
      <c r="AS308">
        <v>113</v>
      </c>
      <c r="AT308">
        <v>58</v>
      </c>
      <c r="AU308">
        <v>26</v>
      </c>
      <c r="AV308">
        <v>47</v>
      </c>
      <c r="AW308">
        <v>0</v>
      </c>
      <c r="AX308">
        <v>293</v>
      </c>
      <c r="AY308">
        <v>15</v>
      </c>
      <c r="AZ308">
        <v>1</v>
      </c>
      <c r="BA308">
        <v>3</v>
      </c>
      <c r="BB308" t="s">
        <v>11</v>
      </c>
      <c r="BC308">
        <v>0.88500000000000001</v>
      </c>
      <c r="BD308" t="s">
        <v>704</v>
      </c>
      <c r="BE308" t="s">
        <v>1233</v>
      </c>
      <c r="BF308" t="s">
        <v>3445</v>
      </c>
      <c r="BG308" t="s">
        <v>3446</v>
      </c>
      <c r="BH308" s="1" t="s">
        <v>3447</v>
      </c>
      <c r="BI308">
        <f>HYPERLINK("http://exon.niaid.nih.gov/transcriptome/T_rubida/S1/links/GO/Triru-contig_438-GO.txt",2E-31)</f>
        <v>2.0000000000000002E-31</v>
      </c>
      <c r="BJ308" s="1" t="str">
        <f>HYPERLINK("http://exon.niaid.nih.gov/transcriptome/T_rubida/S1/links/CDD/Triru-contig_438-CDD.txt","COG1565")</f>
        <v>COG1565</v>
      </c>
      <c r="BK308" t="str">
        <f>HYPERLINK("http://www.ncbi.nlm.nih.gov/Structure/cdd/cddsrv.cgi?uid=COG1565&amp;version=v4.0","1E-015")</f>
        <v>1E-015</v>
      </c>
      <c r="BL308" t="s">
        <v>3448</v>
      </c>
      <c r="BM308" s="1" t="str">
        <f>HYPERLINK("http://exon.niaid.nih.gov/transcriptome/T_rubida/S1/links/KOG/Triru-contig_438-KOG.txt","Uncharacterized conserved protein")</f>
        <v>Uncharacterized conserved protein</v>
      </c>
      <c r="BN308" t="str">
        <f>HYPERLINK("http://www.ncbi.nlm.nih.gov/COG/grace/shokog.cgi?KOG2901","5E-038")</f>
        <v>5E-038</v>
      </c>
      <c r="BO308" t="s">
        <v>737</v>
      </c>
      <c r="BP308" s="1" t="str">
        <f>HYPERLINK("http://exon.niaid.nih.gov/transcriptome/T_rubida/S1/links/PFAM/Triru-contig_438-PFAM.txt","DUF185")</f>
        <v>DUF185</v>
      </c>
      <c r="BQ308" t="str">
        <f>HYPERLINK("http://pfam.sanger.ac.uk/family?acc=PF02636","1E-013")</f>
        <v>1E-013</v>
      </c>
      <c r="BR308" s="1" t="str">
        <f>HYPERLINK("http://exon.niaid.nih.gov/transcriptome/T_rubida/S1/links/SMART/Triru-contig_438-SMART.txt","HTH_MERR")</f>
        <v>HTH_MERR</v>
      </c>
      <c r="BS308" t="str">
        <f>HYPERLINK("http://smart.embl-heidelberg.de/smart/do_annotation.pl?DOMAIN=HTH_MERR&amp;BLAST=DUMMY","0.23")</f>
        <v>0.23</v>
      </c>
      <c r="BT308" s="1" t="str">
        <f>HYPERLINK("http://exon.niaid.nih.gov/transcriptome/T_rubida/S1/links/PRK/Triru-contig_438-PRK.txt","2-deoxy-D-gluconate 3-dehydrogenase")</f>
        <v>2-deoxy-D-gluconate 3-dehydrogenase</v>
      </c>
      <c r="BU308">
        <v>0.62</v>
      </c>
      <c r="BV308" s="1" t="s">
        <v>57</v>
      </c>
      <c r="BW308" t="s">
        <v>57</v>
      </c>
      <c r="BX308" s="1" t="s">
        <v>57</v>
      </c>
      <c r="BY308" t="s">
        <v>57</v>
      </c>
    </row>
    <row r="309" spans="1:77">
      <c r="A309" t="str">
        <f>HYPERLINK("http://exon.niaid.nih.gov/transcriptome/T_rubida/S1/links/Triru/Triru-contig_310.txt","Triru-contig_310")</f>
        <v>Triru-contig_310</v>
      </c>
      <c r="B309">
        <v>1</v>
      </c>
      <c r="C309" t="str">
        <f>HYPERLINK("http://exon.niaid.nih.gov/transcriptome/T_rubida/S1/links/Triru/Triru-5-48-asb-310.txt","Contig-310")</f>
        <v>Contig-310</v>
      </c>
      <c r="D309" t="str">
        <f>HYPERLINK("http://exon.niaid.nih.gov/transcriptome/T_rubida/S1/links/Triru/Triru-5-48-310-CLU.txt","Contig310")</f>
        <v>Contig310</v>
      </c>
      <c r="E309" t="str">
        <f>HYPERLINK("http://exon.niaid.nih.gov/transcriptome/T_rubida/S1/links/Triru/Triru-5-48-310-qual.txt","62.6")</f>
        <v>62.6</v>
      </c>
      <c r="F309" t="s">
        <v>10</v>
      </c>
      <c r="G309">
        <v>68.599999999999994</v>
      </c>
      <c r="H309">
        <v>236</v>
      </c>
      <c r="I309" t="s">
        <v>322</v>
      </c>
      <c r="J309">
        <v>236</v>
      </c>
      <c r="K309">
        <v>255</v>
      </c>
      <c r="L309">
        <v>213</v>
      </c>
      <c r="M309" t="s">
        <v>5330</v>
      </c>
      <c r="N309" s="15">
        <v>1</v>
      </c>
      <c r="Q309" s="5" t="s">
        <v>4925</v>
      </c>
      <c r="R309" t="s">
        <v>4821</v>
      </c>
      <c r="S309" t="str">
        <f>HYPERLINK("http://exon.niaid.nih.gov/transcriptome/T_rubida/S1/links/KOG/Triru-contig_310-KOG.txt","KOG")</f>
        <v>KOG</v>
      </c>
      <c r="T309" s="23">
        <v>3.0000000000000001E-6</v>
      </c>
      <c r="U309">
        <v>6.6</v>
      </c>
      <c r="V309" s="1" t="str">
        <f>HYPERLINK("http://exon.niaid.nih.gov/transcriptome/T_rubida/S1/links/NR/Triru-contig_310-NR.txt","hypothetical protein SINV_00623")</f>
        <v>hypothetical protein SINV_00623</v>
      </c>
      <c r="W309" t="str">
        <f>HYPERLINK("http://www.ncbi.nlm.nih.gov/sutils/blink.cgi?pid=322795179","0.011")</f>
        <v>0.011</v>
      </c>
      <c r="X309" t="str">
        <f>HYPERLINK("http://www.ncbi.nlm.nih.gov/protein/322795179","gi|322795179")</f>
        <v>gi|322795179</v>
      </c>
      <c r="Y309">
        <v>43.5</v>
      </c>
      <c r="Z309">
        <v>26</v>
      </c>
      <c r="AA309">
        <v>406</v>
      </c>
      <c r="AB309">
        <v>66</v>
      </c>
      <c r="AC309">
        <v>7</v>
      </c>
      <c r="AD309">
        <v>9</v>
      </c>
      <c r="AE309">
        <v>0</v>
      </c>
      <c r="AF309">
        <v>251</v>
      </c>
      <c r="AG309">
        <v>11</v>
      </c>
      <c r="AH309">
        <v>1</v>
      </c>
      <c r="AI309">
        <v>2</v>
      </c>
      <c r="AJ309" t="s">
        <v>11</v>
      </c>
      <c r="AL309" t="s">
        <v>1144</v>
      </c>
      <c r="AM309" t="s">
        <v>2579</v>
      </c>
      <c r="AN309" t="s">
        <v>2580</v>
      </c>
      <c r="AO309" s="1" t="str">
        <f>HYPERLINK("http://exon.niaid.nih.gov/transcriptome/T_rubida/S1/links/SWISSP/Triru-contig_310-SWISSP.txt","WD repeat and FYVE domain-containing protein 2")</f>
        <v>WD repeat and FYVE domain-containing protein 2</v>
      </c>
      <c r="AP309" t="str">
        <f>HYPERLINK("http://www.uniprot.org/uniprot/Q8BUB4","0.72")</f>
        <v>0.72</v>
      </c>
      <c r="AQ309" t="s">
        <v>2581</v>
      </c>
      <c r="AR309">
        <v>32.700000000000003</v>
      </c>
      <c r="AS309">
        <v>67</v>
      </c>
      <c r="AT309">
        <v>59</v>
      </c>
      <c r="AU309">
        <v>17</v>
      </c>
      <c r="AV309">
        <v>11</v>
      </c>
      <c r="AW309">
        <v>0</v>
      </c>
      <c r="AX309">
        <v>202</v>
      </c>
      <c r="AY309">
        <v>11</v>
      </c>
      <c r="AZ309">
        <v>2</v>
      </c>
      <c r="BA309">
        <v>2</v>
      </c>
      <c r="BB309" t="s">
        <v>11</v>
      </c>
      <c r="BD309" t="s">
        <v>704</v>
      </c>
      <c r="BE309" t="s">
        <v>807</v>
      </c>
      <c r="BF309" t="s">
        <v>2582</v>
      </c>
      <c r="BG309" t="s">
        <v>2583</v>
      </c>
      <c r="BH309" s="1" t="s">
        <v>57</v>
      </c>
      <c r="BI309" t="s">
        <v>57</v>
      </c>
      <c r="BJ309" s="1" t="str">
        <f>HYPERLINK("http://exon.niaid.nih.gov/transcriptome/T_rubida/S1/links/CDD/Triru-contig_310-CDD.txt","DNA_ligase_A_N")</f>
        <v>DNA_ligase_A_N</v>
      </c>
      <c r="BK309" t="str">
        <f>HYPERLINK("http://www.ncbi.nlm.nih.gov/Structure/cdd/cddsrv.cgi?uid=pfam04675&amp;version=v4.0","0.45")</f>
        <v>0.45</v>
      </c>
      <c r="BL309" t="s">
        <v>2584</v>
      </c>
      <c r="BM309" s="1" t="str">
        <f>HYPERLINK("http://exon.niaid.nih.gov/transcriptome/T_rubida/S1/links/KOG/Triru-contig_310-KOG.txt","Uncharacterized conserved protein, contains WD40 repeats and FYVE domains")</f>
        <v>Uncharacterized conserved protein, contains WD40 repeats and FYVE domains</v>
      </c>
      <c r="BN309" t="str">
        <f>HYPERLINK("http://www.ncbi.nlm.nih.gov/COG/grace/shokog.cgi?KOG1409","3E-006")</f>
        <v>3E-006</v>
      </c>
      <c r="BO309" t="s">
        <v>737</v>
      </c>
      <c r="BP309" s="1" t="str">
        <f>HYPERLINK("http://exon.niaid.nih.gov/transcriptome/T_rubida/S1/links/PFAM/Triru-contig_310-PFAM.txt","DNA_ligase_A_N")</f>
        <v>DNA_ligase_A_N</v>
      </c>
      <c r="BQ309" t="str">
        <f>HYPERLINK("http://pfam.sanger.ac.uk/family?acc=PF04675","0.095")</f>
        <v>0.095</v>
      </c>
      <c r="BR309" s="1" t="str">
        <f>HYPERLINK("http://exon.niaid.nih.gov/transcriptome/T_rubida/S1/links/SMART/Triru-contig_310-SMART.txt","WD40")</f>
        <v>WD40</v>
      </c>
      <c r="BS309" t="str">
        <f>HYPERLINK("http://smart.embl-heidelberg.de/smart/do_annotation.pl?DOMAIN=WD40&amp;BLAST=DUMMY","0.007")</f>
        <v>0.007</v>
      </c>
      <c r="BT309" s="1" t="str">
        <f>HYPERLINK("http://exon.niaid.nih.gov/transcriptome/T_rubida/S1/links/PRK/Triru-contig_310-PRK.txt","ATP-dependent protease ATP-binding subunit ClpX")</f>
        <v>ATP-dependent protease ATP-binding subunit ClpX</v>
      </c>
      <c r="BU309">
        <v>0.34</v>
      </c>
      <c r="BV309" s="1" t="s">
        <v>57</v>
      </c>
      <c r="BW309" t="s">
        <v>57</v>
      </c>
      <c r="BX309" s="1" t="s">
        <v>57</v>
      </c>
      <c r="BY309" t="s">
        <v>57</v>
      </c>
    </row>
    <row r="310" spans="1:77">
      <c r="A310" t="str">
        <f>HYPERLINK("http://exon.niaid.nih.gov/transcriptome/T_rubida/S1/links/Triru/Triru-contig_284.txt","Triru-contig_284")</f>
        <v>Triru-contig_284</v>
      </c>
      <c r="B310">
        <v>1</v>
      </c>
      <c r="C310" t="str">
        <f>HYPERLINK("http://exon.niaid.nih.gov/transcriptome/T_rubida/S1/links/Triru/Triru-5-48-asb-284.txt","Contig-284")</f>
        <v>Contig-284</v>
      </c>
      <c r="D310" t="str">
        <f>HYPERLINK("http://exon.niaid.nih.gov/transcriptome/T_rubida/S1/links/Triru/Triru-5-48-284-CLU.txt","Contig284")</f>
        <v>Contig284</v>
      </c>
      <c r="E310" t="str">
        <f>HYPERLINK("http://exon.niaid.nih.gov/transcriptome/T_rubida/S1/links/Triru/Triru-5-48-284-qual.txt","27.2")</f>
        <v>27.2</v>
      </c>
      <c r="F310">
        <v>0.1</v>
      </c>
      <c r="G310">
        <v>70.5</v>
      </c>
      <c r="H310">
        <v>1106</v>
      </c>
      <c r="I310" t="s">
        <v>296</v>
      </c>
      <c r="J310">
        <v>1106</v>
      </c>
      <c r="K310">
        <v>1125</v>
      </c>
      <c r="L310">
        <v>255</v>
      </c>
      <c r="M310" t="s">
        <v>5110</v>
      </c>
      <c r="N310" s="15">
        <v>2</v>
      </c>
      <c r="O310" s="14" t="str">
        <f>HYPERLINK("http://exon.niaid.nih.gov/transcriptome/T_rubida/S1/links/Sigp/TRIRU-CONTIG_284-SigP.txt","Cyt")</f>
        <v>Cyt</v>
      </c>
      <c r="Q310" s="5" t="s">
        <v>4915</v>
      </c>
      <c r="R310" t="s">
        <v>4821</v>
      </c>
      <c r="S310" t="str">
        <f>HYPERLINK("http://exon.niaid.nih.gov/transcriptome/T_rubida/S1/links/KOG/Triru-contig_284-KOG.txt","KOG")</f>
        <v>KOG</v>
      </c>
      <c r="T310" s="23">
        <v>1.9999999999999999E-11</v>
      </c>
      <c r="U310">
        <v>26.5</v>
      </c>
      <c r="V310" s="1" t="str">
        <f>HYPERLINK("http://exon.niaid.nih.gov/transcriptome/T_rubida/S1/links/NR/Triru-contig_284-NR.txt","Stromal cell-derived factor 2")</f>
        <v>Stromal cell-derived factor 2</v>
      </c>
      <c r="W310" t="str">
        <f>HYPERLINK("http://www.ncbi.nlm.nih.gov/sutils/blink.cgi?pid=307213084","5E-010")</f>
        <v>5E-010</v>
      </c>
      <c r="X310" t="str">
        <f>HYPERLINK("http://www.ncbi.nlm.nih.gov/protein/307213084","gi|307213084")</f>
        <v>gi|307213084</v>
      </c>
      <c r="Y310">
        <v>70.5</v>
      </c>
      <c r="Z310">
        <v>56</v>
      </c>
      <c r="AA310">
        <v>179</v>
      </c>
      <c r="AB310">
        <v>56</v>
      </c>
      <c r="AC310">
        <v>32</v>
      </c>
      <c r="AD310">
        <v>25</v>
      </c>
      <c r="AE310">
        <v>1</v>
      </c>
      <c r="AF310">
        <v>112</v>
      </c>
      <c r="AG310">
        <v>35</v>
      </c>
      <c r="AH310">
        <v>1</v>
      </c>
      <c r="AI310">
        <v>2</v>
      </c>
      <c r="AJ310" t="s">
        <v>11</v>
      </c>
      <c r="AK310">
        <v>1.786</v>
      </c>
      <c r="AL310" t="s">
        <v>1475</v>
      </c>
      <c r="AM310" t="s">
        <v>2393</v>
      </c>
      <c r="AN310" t="s">
        <v>2394</v>
      </c>
      <c r="AO310" s="1" t="str">
        <f>HYPERLINK("http://exon.niaid.nih.gov/transcriptome/T_rubida/S1/links/SWISSP/Triru-contig_284-SWISSP.txt","Stromal cell-derived factor 2-like protein 1")</f>
        <v>Stromal cell-derived factor 2-like protein 1</v>
      </c>
      <c r="AP310" t="str">
        <f>HYPERLINK("http://www.uniprot.org/uniprot/Q9HCN8","4E-005")</f>
        <v>4E-005</v>
      </c>
      <c r="AQ310" t="s">
        <v>2395</v>
      </c>
      <c r="AR310">
        <v>49.7</v>
      </c>
      <c r="AS310">
        <v>51</v>
      </c>
      <c r="AT310">
        <v>51</v>
      </c>
      <c r="AU310">
        <v>24</v>
      </c>
      <c r="AV310">
        <v>25</v>
      </c>
      <c r="AW310">
        <v>1</v>
      </c>
      <c r="AX310">
        <v>160</v>
      </c>
      <c r="AY310">
        <v>47</v>
      </c>
      <c r="AZ310">
        <v>1</v>
      </c>
      <c r="BA310">
        <v>2</v>
      </c>
      <c r="BB310" t="s">
        <v>11</v>
      </c>
      <c r="BD310" t="s">
        <v>704</v>
      </c>
      <c r="BE310" t="s">
        <v>1233</v>
      </c>
      <c r="BF310" t="s">
        <v>2396</v>
      </c>
      <c r="BG310" t="s">
        <v>2397</v>
      </c>
      <c r="BH310" s="1" t="s">
        <v>2398</v>
      </c>
      <c r="BI310">
        <f>HYPERLINK("http://exon.niaid.nih.gov/transcriptome/T_rubida/S1/links/GO/Triru-contig_284-GO.txt",0.00000005)</f>
        <v>4.9999999999999998E-8</v>
      </c>
      <c r="BJ310" s="1" t="str">
        <f>HYPERLINK("http://exon.niaid.nih.gov/transcriptome/T_rubida/S1/links/CDD/Triru-contig_284-CDD.txt","7TM_GPCR_Srz")</f>
        <v>7TM_GPCR_Srz</v>
      </c>
      <c r="BK310" t="str">
        <f>HYPERLINK("http://www.ncbi.nlm.nih.gov/Structure/cdd/cddsrv.cgi?uid=pfam10325&amp;version=v4.0","0.003")</f>
        <v>0.003</v>
      </c>
      <c r="BL310" t="s">
        <v>2399</v>
      </c>
      <c r="BM310" s="1" t="str">
        <f>HYPERLINK("http://exon.niaid.nih.gov/transcriptome/T_rubida/S1/links/KOG/Triru-contig_284-KOG.txt","Uncharacterized secreted protein SDF2 (Stromal cell-derived factor 2), contains MIR domains")</f>
        <v>Uncharacterized secreted protein SDF2 (Stromal cell-derived factor 2), contains MIR domains</v>
      </c>
      <c r="BN310" t="str">
        <f>HYPERLINK("http://www.ncbi.nlm.nih.gov/COG/grace/shokog.cgi?KOG3358","2E-011")</f>
        <v>2E-011</v>
      </c>
      <c r="BO310" t="s">
        <v>750</v>
      </c>
      <c r="BP310" s="1" t="str">
        <f>HYPERLINK("http://exon.niaid.nih.gov/transcriptome/T_rubida/S1/links/PFAM/Triru-contig_284-PFAM.txt","7TM_GPCR_Srz")</f>
        <v>7TM_GPCR_Srz</v>
      </c>
      <c r="BQ310" t="str">
        <f>HYPERLINK("http://pfam.sanger.ac.uk/family?acc=PF10325","6E-004")</f>
        <v>6E-004</v>
      </c>
      <c r="BR310" s="1" t="str">
        <f>HYPERLINK("http://exon.niaid.nih.gov/transcriptome/T_rubida/S1/links/SMART/Triru-contig_284-SMART.txt","MIR")</f>
        <v>MIR</v>
      </c>
      <c r="BS310" t="str">
        <f>HYPERLINK("http://smart.embl-heidelberg.de/smart/do_annotation.pl?DOMAIN=MIR&amp;BLAST=DUMMY","9E-005")</f>
        <v>9E-005</v>
      </c>
      <c r="BT310" s="1" t="str">
        <f>HYPERLINK("http://exon.niaid.nih.gov/transcriptome/T_rubida/S1/links/PRK/Triru-contig_284-PRK.txt","ankyrin repeat protein")</f>
        <v>ankyrin repeat protein</v>
      </c>
      <c r="BU310">
        <v>5.0000000000000001E-3</v>
      </c>
      <c r="BV310" s="1" t="s">
        <v>57</v>
      </c>
      <c r="BW310" t="s">
        <v>57</v>
      </c>
      <c r="BX310" s="1" t="s">
        <v>57</v>
      </c>
      <c r="BY310" t="s">
        <v>57</v>
      </c>
    </row>
    <row r="311" spans="1:77" s="3" customFormat="1">
      <c r="A311" s="13" t="s">
        <v>5033</v>
      </c>
      <c r="T311" s="22"/>
    </row>
    <row r="312" spans="1:77">
      <c r="A312" t="str">
        <f>HYPERLINK("http://exon.niaid.nih.gov/transcriptome/T_rubida/S1/links/Triru/Triru-contig_133.txt","Triru-contig_133")</f>
        <v>Triru-contig_133</v>
      </c>
      <c r="B312">
        <v>2</v>
      </c>
      <c r="C312" t="str">
        <f>HYPERLINK("http://exon.niaid.nih.gov/transcriptome/T_rubida/S1/links/Triru/Triru-5-48-asb-133.txt","Contig-133")</f>
        <v>Contig-133</v>
      </c>
      <c r="D312" t="str">
        <f>HYPERLINK("http://exon.niaid.nih.gov/transcriptome/T_rubida/S1/links/Triru/Triru-5-48-133-CLU.txt","Contig133")</f>
        <v>Contig133</v>
      </c>
      <c r="E312" t="str">
        <f>HYPERLINK("http://exon.niaid.nih.gov/transcriptome/T_rubida/S1/links/Triru/Triru-5-48-133-qual.txt","57.7")</f>
        <v>57.7</v>
      </c>
      <c r="F312" t="s">
        <v>10</v>
      </c>
      <c r="G312">
        <v>52.8</v>
      </c>
      <c r="H312" t="s">
        <v>57</v>
      </c>
      <c r="I312" t="s">
        <v>145</v>
      </c>
      <c r="J312">
        <v>872</v>
      </c>
      <c r="K312">
        <v>786</v>
      </c>
      <c r="L312">
        <v>453</v>
      </c>
      <c r="M312" t="s">
        <v>5688</v>
      </c>
      <c r="N312" s="15">
        <v>3</v>
      </c>
      <c r="O312" s="14" t="str">
        <f>HYPERLINK("http://exon.niaid.nih.gov/transcriptome/T_rubida/S1/links/Sigp/TRIRU-CONTIG_133-SigP.txt","Cyt")</f>
        <v>Cyt</v>
      </c>
      <c r="Q312" s="5" t="s">
        <v>4827</v>
      </c>
      <c r="R312" t="s">
        <v>5739</v>
      </c>
      <c r="V312" s="1" t="str">
        <f>HYPERLINK("http://exon.niaid.nih.gov/transcriptome/T_rubida/S1/links/NR/Triru-contig_133-NR.txt","GTPase activating protein of Rab-like GTPase, putative")</f>
        <v>GTPase activating protein of Rab-like GTPase, putative</v>
      </c>
      <c r="W312" t="str">
        <f>HYPERLINK("http://www.ncbi.nlm.nih.gov/sutils/blink.cgi?pid=322823295","7E-013")</f>
        <v>7E-013</v>
      </c>
      <c r="X312" t="str">
        <f>HYPERLINK("http://www.ncbi.nlm.nih.gov/protein/322823295","gi|322823295")</f>
        <v>gi|322823295</v>
      </c>
      <c r="Y312">
        <v>79</v>
      </c>
      <c r="Z312">
        <v>172</v>
      </c>
      <c r="AA312">
        <v>395</v>
      </c>
      <c r="AB312">
        <v>39</v>
      </c>
      <c r="AC312">
        <v>44</v>
      </c>
      <c r="AD312">
        <v>92</v>
      </c>
      <c r="AE312">
        <v>5</v>
      </c>
      <c r="AF312">
        <v>166</v>
      </c>
      <c r="AG312">
        <v>12</v>
      </c>
      <c r="AH312">
        <v>2</v>
      </c>
      <c r="AI312">
        <v>3</v>
      </c>
      <c r="AJ312" t="s">
        <v>888</v>
      </c>
      <c r="AL312" t="s">
        <v>1491</v>
      </c>
      <c r="AM312" t="s">
        <v>1492</v>
      </c>
      <c r="AN312" t="s">
        <v>1493</v>
      </c>
      <c r="AO312" s="1" t="str">
        <f>HYPERLINK("http://exon.niaid.nih.gov/transcriptome/T_rubida/S1/links/SWISSP/Triru-contig_133-SWISSP.txt","Probable RNA helicase SDE3")</f>
        <v>Probable RNA helicase SDE3</v>
      </c>
      <c r="AP312" t="str">
        <f>HYPERLINK("http://www.uniprot.org/uniprot/Q8GYD9","14")</f>
        <v>14</v>
      </c>
      <c r="AQ312" t="s">
        <v>1494</v>
      </c>
      <c r="AR312">
        <v>30.4</v>
      </c>
      <c r="AS312">
        <v>36</v>
      </c>
      <c r="AT312">
        <v>36</v>
      </c>
      <c r="AU312">
        <v>4</v>
      </c>
      <c r="AV312">
        <v>28</v>
      </c>
      <c r="AW312">
        <v>0</v>
      </c>
      <c r="AX312">
        <v>492</v>
      </c>
      <c r="AY312">
        <v>338</v>
      </c>
      <c r="AZ312">
        <v>1</v>
      </c>
      <c r="BA312">
        <v>2</v>
      </c>
      <c r="BB312" t="s">
        <v>11</v>
      </c>
      <c r="BC312">
        <v>2.778</v>
      </c>
      <c r="BD312" t="s">
        <v>704</v>
      </c>
      <c r="BE312" t="s">
        <v>906</v>
      </c>
      <c r="BF312" t="s">
        <v>1495</v>
      </c>
      <c r="BG312" t="s">
        <v>1496</v>
      </c>
      <c r="BH312" s="1" t="s">
        <v>57</v>
      </c>
      <c r="BI312" t="s">
        <v>57</v>
      </c>
      <c r="BJ312" s="1" t="str">
        <f>HYPERLINK("http://exon.niaid.nih.gov/transcriptome/T_rubida/S1/links/CDD/Triru-contig_133-CDD.txt","TBC")</f>
        <v>TBC</v>
      </c>
      <c r="BK312" t="str">
        <f>HYPERLINK("http://www.ncbi.nlm.nih.gov/Structure/cdd/cddsrv.cgi?uid=pfam00566&amp;version=v4.0","0.006")</f>
        <v>0.006</v>
      </c>
      <c r="BL312" t="s">
        <v>1497</v>
      </c>
      <c r="BM312" s="1" t="str">
        <f>HYPERLINK("http://exon.niaid.nih.gov/transcriptome/T_rubida/S1/links/KOG/Triru-contig_133-KOG.txt","GTPase-activating protein")</f>
        <v>GTPase-activating protein</v>
      </c>
      <c r="BN312" t="str">
        <f>HYPERLINK("http://www.ncbi.nlm.nih.gov/COG/grace/shokog.cgi?KOG4567","0.006")</f>
        <v>0.006</v>
      </c>
      <c r="BO312" t="s">
        <v>750</v>
      </c>
      <c r="BP312" s="1" t="str">
        <f>HYPERLINK("http://exon.niaid.nih.gov/transcriptome/T_rubida/S1/links/PFAM/Triru-contig_133-PFAM.txt","TBC")</f>
        <v>TBC</v>
      </c>
      <c r="BQ312" t="str">
        <f>HYPERLINK("http://pfam.sanger.ac.uk/family?acc=PF00566","0.001")</f>
        <v>0.001</v>
      </c>
      <c r="BR312" s="1" t="str">
        <f>HYPERLINK("http://exon.niaid.nih.gov/transcriptome/T_rubida/S1/links/SMART/Triru-contig_133-SMART.txt","HELICc3")</f>
        <v>HELICc3</v>
      </c>
      <c r="BS312" t="str">
        <f>HYPERLINK("http://smart.embl-heidelberg.de/smart/do_annotation.pl?DOMAIN=HELICc3&amp;BLAST=DUMMY","0.033")</f>
        <v>0.033</v>
      </c>
      <c r="BT312" s="1" t="str">
        <f>HYPERLINK("http://exon.niaid.nih.gov/transcriptome/T_rubida/S1/links/PRK/Triru-contig_133-PRK.txt","2-aminoethylphosphonate--pyruvate transaminase")</f>
        <v>2-aminoethylphosphonate--pyruvate transaminase</v>
      </c>
      <c r="BU312">
        <v>0.18</v>
      </c>
      <c r="BV312" s="1" t="s">
        <v>57</v>
      </c>
      <c r="BW312" t="s">
        <v>57</v>
      </c>
      <c r="BX312" s="1" t="s">
        <v>57</v>
      </c>
      <c r="BY312" t="s">
        <v>57</v>
      </c>
    </row>
    <row r="313" spans="1:77">
      <c r="A313" t="str">
        <f>HYPERLINK("http://exon.niaid.nih.gov/transcriptome/T_rubida/S1/links/Triru/Triru-contig_577.txt","Triru-contig_577")</f>
        <v>Triru-contig_577</v>
      </c>
      <c r="B313">
        <v>1</v>
      </c>
      <c r="C313" t="str">
        <f>HYPERLINK("http://exon.niaid.nih.gov/transcriptome/T_rubida/S1/links/Triru/Triru-5-48-asb-577.txt","Contig-577")</f>
        <v>Contig-577</v>
      </c>
      <c r="D313" t="str">
        <f>HYPERLINK("http://exon.niaid.nih.gov/transcriptome/T_rubida/S1/links/Triru/Triru-5-48-577-CLU.txt","Contig577")</f>
        <v>Contig577</v>
      </c>
      <c r="E313" t="str">
        <f>HYPERLINK("http://exon.niaid.nih.gov/transcriptome/T_rubida/S1/links/Triru/Triru-5-48-577-qual.txt","26.2")</f>
        <v>26.2</v>
      </c>
      <c r="F313" t="s">
        <v>10</v>
      </c>
      <c r="G313">
        <v>55.3</v>
      </c>
      <c r="H313">
        <v>451</v>
      </c>
      <c r="I313" t="s">
        <v>589</v>
      </c>
      <c r="J313">
        <v>451</v>
      </c>
      <c r="K313">
        <v>470</v>
      </c>
      <c r="L313">
        <v>294</v>
      </c>
      <c r="M313" t="s">
        <v>5708</v>
      </c>
      <c r="N313" s="15">
        <v>3</v>
      </c>
      <c r="O313" s="14" t="str">
        <f>HYPERLINK("http://exon.niaid.nih.gov/transcriptome/T_rubida/S1/links/Sigp/TRIRU-CONTIG_577-SigP.txt","Cyt")</f>
        <v>Cyt</v>
      </c>
      <c r="Q313" s="5" t="s">
        <v>5017</v>
      </c>
      <c r="R313" t="s">
        <v>5739</v>
      </c>
      <c r="S313" t="str">
        <f>HYPERLINK("http://exon.niaid.nih.gov/transcriptome/T_rubida/S1/links/NR/Triru-contig_577-NR.txt","NR")</f>
        <v>NR</v>
      </c>
      <c r="T313" s="23">
        <v>6.0000000000000004E-60</v>
      </c>
      <c r="U313">
        <v>68</v>
      </c>
      <c r="V313" s="1" t="str">
        <f>HYPERLINK("http://exon.niaid.nih.gov/transcriptome/T_rubida/S1/links/NR/Triru-contig_577-NR.txt","eukaryotic initiation factor 5a")</f>
        <v>eukaryotic initiation factor 5a</v>
      </c>
      <c r="W313" t="str">
        <f>HYPERLINK("http://www.ncbi.nlm.nih.gov/sutils/blink.cgi?pid=71659667","5E-061")</f>
        <v>5E-061</v>
      </c>
      <c r="X313" t="str">
        <f>HYPERLINK("http://www.ncbi.nlm.nih.gov/protein/71659667","gi|71659667")</f>
        <v>gi|71659667</v>
      </c>
      <c r="Y313">
        <v>202</v>
      </c>
      <c r="Z313">
        <v>140</v>
      </c>
      <c r="AA313">
        <v>167</v>
      </c>
      <c r="AB313">
        <v>90</v>
      </c>
      <c r="AC313">
        <v>84</v>
      </c>
      <c r="AD313">
        <v>11</v>
      </c>
      <c r="AE313">
        <v>0</v>
      </c>
      <c r="AF313">
        <v>27</v>
      </c>
      <c r="AG313">
        <v>2</v>
      </c>
      <c r="AH313">
        <v>2</v>
      </c>
      <c r="AI313">
        <v>3</v>
      </c>
      <c r="AJ313" t="s">
        <v>888</v>
      </c>
      <c r="AK313">
        <v>1.429</v>
      </c>
      <c r="AL313" t="s">
        <v>1491</v>
      </c>
      <c r="AM313" t="s">
        <v>4368</v>
      </c>
      <c r="AN313" t="s">
        <v>4369</v>
      </c>
      <c r="AO313" s="1" t="str">
        <f>HYPERLINK("http://exon.niaid.nih.gov/transcriptome/T_rubida/S1/links/SWISSP/Triru-contig_577-SWISSP.txt","Eukaryotic translation initiation factor 5A-2")</f>
        <v>Eukaryotic translation initiation factor 5A-2</v>
      </c>
      <c r="AP313" t="str">
        <f>HYPERLINK("http://www.uniprot.org/uniprot/P19211","2E-025")</f>
        <v>2E-025</v>
      </c>
      <c r="AQ313" t="s">
        <v>4370</v>
      </c>
      <c r="AR313">
        <v>93.6</v>
      </c>
      <c r="AS313">
        <v>128</v>
      </c>
      <c r="AT313">
        <v>44</v>
      </c>
      <c r="AU313">
        <v>82</v>
      </c>
      <c r="AV313">
        <v>61</v>
      </c>
      <c r="AW313">
        <v>0</v>
      </c>
      <c r="AX313">
        <v>25</v>
      </c>
      <c r="AY313">
        <v>2</v>
      </c>
      <c r="AZ313">
        <v>2</v>
      </c>
      <c r="BA313">
        <v>3</v>
      </c>
      <c r="BB313" t="s">
        <v>888</v>
      </c>
      <c r="BC313">
        <v>1.5629999999999999</v>
      </c>
      <c r="BD313" t="s">
        <v>704</v>
      </c>
      <c r="BE313" t="s">
        <v>1487</v>
      </c>
      <c r="BF313" t="s">
        <v>4371</v>
      </c>
      <c r="BG313" t="s">
        <v>4372</v>
      </c>
      <c r="BH313" s="1" t="s">
        <v>4373</v>
      </c>
      <c r="BI313">
        <f>HYPERLINK("http://exon.niaid.nih.gov/transcriptome/T_rubida/S1/links/GO/Triru-contig_577-GO.txt",2E-25)</f>
        <v>2.0000000000000001E-25</v>
      </c>
      <c r="BJ313" s="1" t="str">
        <f>HYPERLINK("http://exon.niaid.nih.gov/transcriptome/T_rubida/S1/links/CDD/Triru-contig_577-CDD.txt","PTZ00328")</f>
        <v>PTZ00328</v>
      </c>
      <c r="BK313" t="str">
        <f>HYPERLINK("http://www.ncbi.nlm.nih.gov/Structure/cdd/cddsrv.cgi?uid=PTZ00328&amp;version=v4.0","2E-056")</f>
        <v>2E-056</v>
      </c>
      <c r="BL313" t="s">
        <v>4374</v>
      </c>
      <c r="BM313" s="1" t="str">
        <f>HYPERLINK("http://exon.niaid.nih.gov/transcriptome/T_rubida/S1/links/KOG/Triru-contig_577-KOG.txt","Translation initiation factor 5A (eIF-5A)")</f>
        <v>Translation initiation factor 5A (eIF-5A)</v>
      </c>
      <c r="BN313" t="str">
        <f>HYPERLINK("http://www.ncbi.nlm.nih.gov/COG/grace/shokog.cgi?KOG3271","3E-024")</f>
        <v>3E-024</v>
      </c>
      <c r="BO313" t="s">
        <v>1185</v>
      </c>
      <c r="BP313" s="1" t="str">
        <f>HYPERLINK("http://exon.niaid.nih.gov/transcriptome/T_rubida/S1/links/PFAM/Triru-contig_577-PFAM.txt","eIF-5a")</f>
        <v>eIF-5a</v>
      </c>
      <c r="BQ313" t="str">
        <f>HYPERLINK("http://pfam.sanger.ac.uk/family?acc=PF01287","3E-018")</f>
        <v>3E-018</v>
      </c>
      <c r="BR313" s="1" t="str">
        <f>HYPERLINK("http://exon.niaid.nih.gov/transcriptome/T_rubida/S1/links/SMART/Triru-contig_577-SMART.txt","LYZ1")</f>
        <v>LYZ1</v>
      </c>
      <c r="BS313" t="str">
        <f>HYPERLINK("http://smart.embl-heidelberg.de/smart/do_annotation.pl?DOMAIN=LYZ1&amp;BLAST=DUMMY","0.30")</f>
        <v>0.30</v>
      </c>
      <c r="BT313" s="1" t="str">
        <f>HYPERLINK("http://exon.niaid.nih.gov/transcriptome/T_rubida/S1/links/PRK/Triru-contig_577-PRK.txt","eukaryotic initiation factor 5a")</f>
        <v>eukaryotic initiation factor 5a</v>
      </c>
      <c r="BU313" s="2">
        <v>7.9999999999999996E-57</v>
      </c>
      <c r="BV313" s="1" t="s">
        <v>57</v>
      </c>
      <c r="BW313" t="s">
        <v>57</v>
      </c>
      <c r="BX313" s="1" t="s">
        <v>57</v>
      </c>
      <c r="BY313" t="s">
        <v>57</v>
      </c>
    </row>
    <row r="314" spans="1:77">
      <c r="A314" t="str">
        <f>HYPERLINK("http://exon.niaid.nih.gov/transcriptome/T_rubida/S1/links/Triru/Triru-contig_576.txt","Triru-contig_576")</f>
        <v>Triru-contig_576</v>
      </c>
      <c r="B314">
        <v>1</v>
      </c>
      <c r="C314" t="str">
        <f>HYPERLINK("http://exon.niaid.nih.gov/transcriptome/T_rubida/S1/links/Triru/Triru-5-48-asb-576.txt","Contig-576")</f>
        <v>Contig-576</v>
      </c>
      <c r="D314" t="str">
        <f>HYPERLINK("http://exon.niaid.nih.gov/transcriptome/T_rubida/S1/links/Triru/Triru-5-48-576-CLU.txt","Contig576")</f>
        <v>Contig576</v>
      </c>
      <c r="E314" t="str">
        <f>HYPERLINK("http://exon.niaid.nih.gov/transcriptome/T_rubida/S1/links/Triru/Triru-5-48-576-qual.txt","61.5")</f>
        <v>61.5</v>
      </c>
      <c r="F314" t="s">
        <v>10</v>
      </c>
      <c r="G314">
        <v>47.1</v>
      </c>
      <c r="H314">
        <v>514</v>
      </c>
      <c r="I314" t="s">
        <v>588</v>
      </c>
      <c r="J314">
        <v>514</v>
      </c>
      <c r="K314">
        <v>533</v>
      </c>
      <c r="L314">
        <v>408</v>
      </c>
      <c r="M314" t="s">
        <v>5709</v>
      </c>
      <c r="N314" s="15">
        <v>2</v>
      </c>
      <c r="O314" s="14" t="str">
        <f>HYPERLINK("http://exon.niaid.nih.gov/transcriptome/T_rubida/S1/links/Sigp/TRIRU-CONTIG_576-SigP.txt","Cyt")</f>
        <v>Cyt</v>
      </c>
      <c r="Q314" s="5" t="s">
        <v>4936</v>
      </c>
      <c r="R314" t="s">
        <v>5739</v>
      </c>
      <c r="S314" t="str">
        <f>HYPERLINK("http://exon.niaid.nih.gov/transcriptome/T_rubida/S1/links/NR/Triru-contig_576-NR.txt","NR")</f>
        <v>NR</v>
      </c>
      <c r="T314" s="23">
        <v>3.0000000000000001E-59</v>
      </c>
      <c r="U314">
        <v>26.2</v>
      </c>
      <c r="V314" s="1" t="str">
        <f>HYPERLINK("http://exon.niaid.nih.gov/transcriptome/T_rubida/S1/links/NR/Triru-contig_576-NR.txt","ribosomal protein L3, putative")</f>
        <v>ribosomal protein L3, putative</v>
      </c>
      <c r="W314" t="str">
        <f>HYPERLINK("http://www.ncbi.nlm.nih.gov/sutils/blink.cgi?pid=261327490","3E-059")</f>
        <v>3E-059</v>
      </c>
      <c r="X314" t="str">
        <f>HYPERLINK("http://www.ncbi.nlm.nih.gov/protein/261327490","gi|261327490")</f>
        <v>gi|261327490</v>
      </c>
      <c r="Y314">
        <v>231</v>
      </c>
      <c r="Z314">
        <v>124</v>
      </c>
      <c r="AA314">
        <v>480</v>
      </c>
      <c r="AB314">
        <v>92</v>
      </c>
      <c r="AC314">
        <v>26</v>
      </c>
      <c r="AD314">
        <v>9</v>
      </c>
      <c r="AE314">
        <v>0</v>
      </c>
      <c r="AF314">
        <v>356</v>
      </c>
      <c r="AG314">
        <v>32</v>
      </c>
      <c r="AH314">
        <v>1</v>
      </c>
      <c r="AI314">
        <v>2</v>
      </c>
      <c r="AJ314" t="s">
        <v>11</v>
      </c>
      <c r="AL314" t="s">
        <v>1888</v>
      </c>
      <c r="AM314" t="s">
        <v>4361</v>
      </c>
      <c r="AN314" t="s">
        <v>4362</v>
      </c>
      <c r="AO314" s="1" t="str">
        <f>HYPERLINK("http://exon.niaid.nih.gov/transcriptome/T_rubida/S1/links/SWISSP/Triru-contig_576-SWISSP.txt","60S ribosomal protein L3")</f>
        <v>60S ribosomal protein L3</v>
      </c>
      <c r="AP314" t="str">
        <f>HYPERLINK("http://www.uniprot.org/uniprot/Q4R5Q0","7E-029")</f>
        <v>7E-029</v>
      </c>
      <c r="AQ314" t="s">
        <v>4363</v>
      </c>
      <c r="AR314">
        <v>126</v>
      </c>
      <c r="AS314">
        <v>94</v>
      </c>
      <c r="AT314">
        <v>63</v>
      </c>
      <c r="AU314">
        <v>24</v>
      </c>
      <c r="AV314">
        <v>35</v>
      </c>
      <c r="AW314">
        <v>0</v>
      </c>
      <c r="AX314">
        <v>307</v>
      </c>
      <c r="AY314">
        <v>32</v>
      </c>
      <c r="AZ314">
        <v>1</v>
      </c>
      <c r="BA314">
        <v>2</v>
      </c>
      <c r="BB314" t="s">
        <v>11</v>
      </c>
      <c r="BD314" t="s">
        <v>704</v>
      </c>
      <c r="BE314" t="s">
        <v>1148</v>
      </c>
      <c r="BF314" t="s">
        <v>4364</v>
      </c>
      <c r="BG314" t="s">
        <v>4365</v>
      </c>
      <c r="BH314" s="1" t="s">
        <v>4366</v>
      </c>
      <c r="BI314">
        <f>HYPERLINK("http://exon.niaid.nih.gov/transcriptome/T_rubida/S1/links/GO/Triru-contig_576-GO.txt",6E-29)</f>
        <v>6.0000000000000005E-29</v>
      </c>
      <c r="BJ314" s="1" t="str">
        <f>HYPERLINK("http://exon.niaid.nih.gov/transcriptome/T_rubida/S1/links/CDD/Triru-contig_576-CDD.txt","PTZ00103")</f>
        <v>PTZ00103</v>
      </c>
      <c r="BK314" t="str">
        <f>HYPERLINK("http://www.ncbi.nlm.nih.gov/Structure/cdd/cddsrv.cgi?uid=PTZ00103&amp;version=v4.0","1E-048")</f>
        <v>1E-048</v>
      </c>
      <c r="BL314" t="s">
        <v>4367</v>
      </c>
      <c r="BM314" s="1" t="str">
        <f>HYPERLINK("http://exon.niaid.nih.gov/transcriptome/T_rubida/S1/links/KOG/Triru-contig_576-KOG.txt","60S ribosomal protein L3 and related proteins")</f>
        <v>60S ribosomal protein L3 and related proteins</v>
      </c>
      <c r="BN314" t="str">
        <f>HYPERLINK("http://www.ncbi.nlm.nih.gov/COG/grace/shokog.cgi?KOG0746","1E-032")</f>
        <v>1E-032</v>
      </c>
      <c r="BO314" t="s">
        <v>1185</v>
      </c>
      <c r="BP314" s="1" t="str">
        <f>HYPERLINK("http://exon.niaid.nih.gov/transcriptome/T_rubida/S1/links/PFAM/Triru-contig_576-PFAM.txt","MdcG")</f>
        <v>MdcG</v>
      </c>
      <c r="BQ314" t="str">
        <f>HYPERLINK("http://pfam.sanger.ac.uk/family?acc=PF10620","3E-005")</f>
        <v>3E-005</v>
      </c>
      <c r="BR314" s="1" t="str">
        <f>HYPERLINK("http://exon.niaid.nih.gov/transcriptome/T_rubida/S1/links/SMART/Triru-contig_576-SMART.txt","DISIN")</f>
        <v>DISIN</v>
      </c>
      <c r="BS314" t="str">
        <f>HYPERLINK("http://smart.embl-heidelberg.de/smart/do_annotation.pl?DOMAIN=DISIN&amp;BLAST=DUMMY","0.062")</f>
        <v>0.062</v>
      </c>
      <c r="BT314" s="1" t="str">
        <f>HYPERLINK("http://exon.niaid.nih.gov/transcriptome/T_rubida/S1/links/PRK/Triru-contig_576-PRK.txt","60S ribosomal protein L3")</f>
        <v>60S ribosomal protein L3</v>
      </c>
      <c r="BU314" s="2">
        <v>3.9999999999999997E-49</v>
      </c>
      <c r="BV314" s="1" t="s">
        <v>57</v>
      </c>
      <c r="BW314" t="s">
        <v>57</v>
      </c>
      <c r="BX314" s="1" t="s">
        <v>57</v>
      </c>
      <c r="BY314" t="s">
        <v>57</v>
      </c>
    </row>
    <row r="315" spans="1:77">
      <c r="A315" t="str">
        <f>HYPERLINK("http://exon.niaid.nih.gov/transcriptome/T_rubida/S1/links/Triru/Triru-contig_380.txt","Triru-contig_380")</f>
        <v>Triru-contig_380</v>
      </c>
      <c r="B315">
        <v>1</v>
      </c>
      <c r="C315" t="str">
        <f>HYPERLINK("http://exon.niaid.nih.gov/transcriptome/T_rubida/S1/links/Triru/Triru-5-48-asb-380.txt","Contig-380")</f>
        <v>Contig-380</v>
      </c>
      <c r="D315" t="str">
        <f>HYPERLINK("http://exon.niaid.nih.gov/transcriptome/T_rubida/S1/links/Triru/Triru-5-48-380-CLU.txt","Contig380")</f>
        <v>Contig380</v>
      </c>
      <c r="E315" t="str">
        <f>HYPERLINK("http://exon.niaid.nih.gov/transcriptome/T_rubida/S1/links/Triru/Triru-5-48-380-qual.txt","61.9")</f>
        <v>61.9</v>
      </c>
      <c r="F315" t="s">
        <v>10</v>
      </c>
      <c r="G315">
        <v>41.3</v>
      </c>
      <c r="H315">
        <v>448</v>
      </c>
      <c r="I315" t="s">
        <v>392</v>
      </c>
      <c r="J315">
        <v>448</v>
      </c>
      <c r="K315">
        <v>467</v>
      </c>
      <c r="L315">
        <v>396</v>
      </c>
      <c r="M315" t="s">
        <v>5710</v>
      </c>
      <c r="N315" s="15">
        <v>1</v>
      </c>
      <c r="O315" s="14" t="str">
        <f>HYPERLINK("http://exon.niaid.nih.gov/transcriptome/T_rubida/S1/links/Sigp/TRIRU-CONTIG_380-SigP.txt","Cyt")</f>
        <v>Cyt</v>
      </c>
      <c r="Q315" s="5" t="s">
        <v>4949</v>
      </c>
      <c r="R315" t="s">
        <v>5739</v>
      </c>
      <c r="S315" t="str">
        <f>HYPERLINK("http://exon.niaid.nih.gov/transcriptome/T_rubida/S1/links/NR/Triru-contig_380-NR.txt","NR")</f>
        <v>NR</v>
      </c>
      <c r="T315" s="23">
        <v>9.9999999999999997E-48</v>
      </c>
      <c r="U315">
        <v>25.6</v>
      </c>
      <c r="V315" s="1" t="str">
        <f>HYPERLINK("http://exon.niaid.nih.gov/transcriptome/T_rubida/S1/links/NR/Triru-contig_380-NR.txt","hypothetical protein TCSYLVIO_3558")</f>
        <v>hypothetical protein TCSYLVIO_3558</v>
      </c>
      <c r="W315" t="str">
        <f>HYPERLINK("http://www.ncbi.nlm.nih.gov/sutils/blink.cgi?pid=322824896","1E-047")</f>
        <v>1E-047</v>
      </c>
      <c r="X315" t="str">
        <f>HYPERLINK("http://www.ncbi.nlm.nih.gov/protein/322824896","gi|322824896")</f>
        <v>gi|322824896</v>
      </c>
      <c r="Y315">
        <v>192</v>
      </c>
      <c r="Z315">
        <v>120</v>
      </c>
      <c r="AA315">
        <v>472</v>
      </c>
      <c r="AB315">
        <v>74</v>
      </c>
      <c r="AC315">
        <v>26</v>
      </c>
      <c r="AD315">
        <v>31</v>
      </c>
      <c r="AE315">
        <v>0</v>
      </c>
      <c r="AF315">
        <v>352</v>
      </c>
      <c r="AG315">
        <v>34</v>
      </c>
      <c r="AH315">
        <v>1</v>
      </c>
      <c r="AI315">
        <v>1</v>
      </c>
      <c r="AJ315" t="s">
        <v>11</v>
      </c>
      <c r="AL315" t="s">
        <v>1491</v>
      </c>
      <c r="AM315" t="s">
        <v>3052</v>
      </c>
      <c r="AN315" t="s">
        <v>2687</v>
      </c>
      <c r="AO315" s="1" t="str">
        <f>HYPERLINK("http://exon.niaid.nih.gov/transcriptome/T_rubida/S1/links/SWISSP/Triru-contig_380-SWISSP.txt","JmjC domain-containing protein E")</f>
        <v>JmjC domain-containing protein E</v>
      </c>
      <c r="AP315" t="str">
        <f>HYPERLINK("http://www.uniprot.org/uniprot/Q54CS7","5E-006")</f>
        <v>5E-006</v>
      </c>
      <c r="AQ315" t="s">
        <v>3053</v>
      </c>
      <c r="AR315">
        <v>50.4</v>
      </c>
      <c r="AS315">
        <v>74</v>
      </c>
      <c r="AT315">
        <v>29</v>
      </c>
      <c r="AU315">
        <v>21</v>
      </c>
      <c r="AV315">
        <v>66</v>
      </c>
      <c r="AW315">
        <v>0</v>
      </c>
      <c r="AX315">
        <v>253</v>
      </c>
      <c r="AY315">
        <v>70</v>
      </c>
      <c r="AZ315">
        <v>1</v>
      </c>
      <c r="BA315">
        <v>1</v>
      </c>
      <c r="BB315" t="s">
        <v>11</v>
      </c>
      <c r="BD315" t="s">
        <v>704</v>
      </c>
      <c r="BE315" t="s">
        <v>918</v>
      </c>
      <c r="BF315" t="s">
        <v>3054</v>
      </c>
      <c r="BG315" t="s">
        <v>3055</v>
      </c>
      <c r="BH315" s="1" t="s">
        <v>3056</v>
      </c>
      <c r="BI315">
        <f>HYPERLINK("http://exon.niaid.nih.gov/transcriptome/T_rubida/S1/links/GO/Triru-contig_380-GO.txt",0.000004)</f>
        <v>3.9999999999999998E-6</v>
      </c>
      <c r="BJ315" s="1" t="str">
        <f>HYPERLINK("http://exon.niaid.nih.gov/transcriptome/T_rubida/S1/links/CDD/Triru-contig_380-CDD.txt","PHA03378")</f>
        <v>PHA03378</v>
      </c>
      <c r="BK315" t="str">
        <f>HYPERLINK("http://www.ncbi.nlm.nih.gov/Structure/cdd/cddsrv.cgi?uid=PHA03378&amp;version=v4.0","4E-005")</f>
        <v>4E-005</v>
      </c>
      <c r="BL315" t="s">
        <v>3057</v>
      </c>
      <c r="BM315" s="1" t="str">
        <f>HYPERLINK("http://exon.niaid.nih.gov/transcriptome/T_rubida/S1/links/KOG/Triru-contig_380-KOG.txt","WASP-interacting protein VRP1/WIP, contains WH2 domain")</f>
        <v>WASP-interacting protein VRP1/WIP, contains WH2 domain</v>
      </c>
      <c r="BN315" t="str">
        <f>HYPERLINK("http://www.ncbi.nlm.nih.gov/COG/grace/shokog.cgi?KOG4462","6E-004")</f>
        <v>6E-004</v>
      </c>
      <c r="BO315" t="s">
        <v>867</v>
      </c>
      <c r="BP315" s="1" t="str">
        <f>HYPERLINK("http://exon.niaid.nih.gov/transcriptome/T_rubida/S1/links/PFAM/Triru-contig_380-PFAM.txt","DUF2486")</f>
        <v>DUF2486</v>
      </c>
      <c r="BQ315" t="str">
        <f>HYPERLINK("http://pfam.sanger.ac.uk/family?acc=PF10667","9E-005")</f>
        <v>9E-005</v>
      </c>
      <c r="BR315" s="1" t="str">
        <f>HYPERLINK("http://exon.niaid.nih.gov/transcriptome/T_rubida/S1/links/SMART/Triru-contig_380-SMART.txt","AAI")</f>
        <v>AAI</v>
      </c>
      <c r="BS315" t="str">
        <f>HYPERLINK("http://smart.embl-heidelberg.de/smart/do_annotation.pl?DOMAIN=AAI&amp;BLAST=DUMMY","0.012")</f>
        <v>0.012</v>
      </c>
      <c r="BT315" s="1" t="str">
        <f>HYPERLINK("http://exon.niaid.nih.gov/transcriptome/T_rubida/S1/links/PRK/Triru-contig_380-PRK.txt","EBNA-3B")</f>
        <v>EBNA-3B</v>
      </c>
      <c r="BU315" s="2">
        <v>2.0000000000000002E-5</v>
      </c>
      <c r="BV315" s="1" t="s">
        <v>57</v>
      </c>
      <c r="BW315" t="s">
        <v>57</v>
      </c>
      <c r="BX315" s="1" t="s">
        <v>57</v>
      </c>
      <c r="BY315" t="s">
        <v>57</v>
      </c>
    </row>
    <row r="316" spans="1:77">
      <c r="A316" t="str">
        <f>HYPERLINK("http://exon.niaid.nih.gov/transcriptome/T_rubida/S1/links/Triru/Triru-contig_369.txt","Triru-contig_369")</f>
        <v>Triru-contig_369</v>
      </c>
      <c r="B316">
        <v>1</v>
      </c>
      <c r="C316" t="str">
        <f>HYPERLINK("http://exon.niaid.nih.gov/transcriptome/T_rubida/S1/links/Triru/Triru-5-48-asb-369.txt","Contig-369")</f>
        <v>Contig-369</v>
      </c>
      <c r="D316" t="str">
        <f>HYPERLINK("http://exon.niaid.nih.gov/transcriptome/T_rubida/S1/links/Triru/Triru-5-48-369-CLU.txt","Contig369")</f>
        <v>Contig369</v>
      </c>
      <c r="E316" t="str">
        <f>HYPERLINK("http://exon.niaid.nih.gov/transcriptome/T_rubida/S1/links/Triru/Triru-5-48-369-qual.txt","64.7")</f>
        <v>64.7</v>
      </c>
      <c r="F316" t="s">
        <v>10</v>
      </c>
      <c r="G316">
        <v>35.700000000000003</v>
      </c>
      <c r="H316">
        <v>591</v>
      </c>
      <c r="I316" t="s">
        <v>381</v>
      </c>
      <c r="J316">
        <v>591</v>
      </c>
      <c r="K316">
        <v>610</v>
      </c>
      <c r="L316">
        <v>483</v>
      </c>
      <c r="M316" t="s">
        <v>5711</v>
      </c>
      <c r="N316" s="15">
        <v>3</v>
      </c>
      <c r="O316" s="14" t="str">
        <f>HYPERLINK("http://exon.niaid.nih.gov/transcriptome/T_rubida/S1/links/Sigp/TRIRU-CONTIG_369-SigP.txt","Cyt")</f>
        <v>Cyt</v>
      </c>
      <c r="Q316" s="5" t="s">
        <v>4931</v>
      </c>
      <c r="R316" t="s">
        <v>5739</v>
      </c>
      <c r="S316" t="str">
        <f>HYPERLINK("http://exon.niaid.nih.gov/transcriptome/T_rubida/S1/links/NR/Triru-contig_369-NR.txt","NR")</f>
        <v>NR</v>
      </c>
      <c r="T316" s="23">
        <v>3.0000000000000002E-47</v>
      </c>
      <c r="U316">
        <v>56.3</v>
      </c>
      <c r="V316" s="1" t="str">
        <f>HYPERLINK("http://exon.niaid.nih.gov/transcriptome/T_rubida/S1/links/NR/Triru-contig_369-NR.txt","hypothetical protein")</f>
        <v>hypothetical protein</v>
      </c>
      <c r="W316" t="str">
        <f>HYPERLINK("http://www.ncbi.nlm.nih.gov/sutils/blink.cgi?pid=71657910","3E-047")</f>
        <v>3E-047</v>
      </c>
      <c r="X316" t="str">
        <f>HYPERLINK("http://www.ncbi.nlm.nih.gov/protein/71657910","gi|71657910")</f>
        <v>gi|71657910</v>
      </c>
      <c r="Y316">
        <v>192</v>
      </c>
      <c r="Z316">
        <v>158</v>
      </c>
      <c r="AA316">
        <v>282</v>
      </c>
      <c r="AB316">
        <v>67</v>
      </c>
      <c r="AC316">
        <v>56</v>
      </c>
      <c r="AD316">
        <v>52</v>
      </c>
      <c r="AE316">
        <v>1</v>
      </c>
      <c r="AF316">
        <v>122</v>
      </c>
      <c r="AG316">
        <v>6</v>
      </c>
      <c r="AH316">
        <v>1</v>
      </c>
      <c r="AI316">
        <v>3</v>
      </c>
      <c r="AJ316" t="s">
        <v>11</v>
      </c>
      <c r="AL316" t="s">
        <v>1491</v>
      </c>
      <c r="AM316" t="s">
        <v>2973</v>
      </c>
      <c r="AN316" t="s">
        <v>2974</v>
      </c>
      <c r="AO316" s="1" t="str">
        <f>HYPERLINK("http://exon.niaid.nih.gov/transcriptome/T_rubida/S1/links/SWISSP/Triru-contig_369-SWISSP.txt","Epstein-Barr nuclear antigen 1")</f>
        <v>Epstein-Barr nuclear antigen 1</v>
      </c>
      <c r="AP316" t="str">
        <f>HYPERLINK("http://www.uniprot.org/uniprot/Q3KSS4","2E-004")</f>
        <v>2E-004</v>
      </c>
      <c r="AQ316" t="s">
        <v>2975</v>
      </c>
      <c r="AR316">
        <v>45.8</v>
      </c>
      <c r="AS316">
        <v>316</v>
      </c>
      <c r="AT316">
        <v>31</v>
      </c>
      <c r="AU316">
        <v>49</v>
      </c>
      <c r="AV316">
        <v>119</v>
      </c>
      <c r="AW316">
        <v>5</v>
      </c>
      <c r="AX316">
        <v>76</v>
      </c>
      <c r="AY316">
        <v>2</v>
      </c>
      <c r="AZ316">
        <v>5</v>
      </c>
      <c r="BA316">
        <v>2</v>
      </c>
      <c r="BB316" t="s">
        <v>11</v>
      </c>
      <c r="BC316">
        <v>1.899</v>
      </c>
      <c r="BD316" t="s">
        <v>704</v>
      </c>
      <c r="BE316" t="s">
        <v>2976</v>
      </c>
      <c r="BF316" t="s">
        <v>2977</v>
      </c>
      <c r="BG316" t="s">
        <v>2978</v>
      </c>
      <c r="BH316" s="1" t="s">
        <v>57</v>
      </c>
      <c r="BI316" t="s">
        <v>57</v>
      </c>
      <c r="BJ316" s="1" t="str">
        <f>HYPERLINK("http://exon.niaid.nih.gov/transcriptome/T_rubida/S1/links/CDD/Triru-contig_369-CDD.txt","PHA03247")</f>
        <v>PHA03247</v>
      </c>
      <c r="BK316" t="str">
        <f>HYPERLINK("http://www.ncbi.nlm.nih.gov/Structure/cdd/cddsrv.cgi?uid=PHA03247&amp;version=v4.0","7E-009")</f>
        <v>7E-009</v>
      </c>
      <c r="BL316" t="s">
        <v>2979</v>
      </c>
      <c r="BM316" s="1" t="str">
        <f>HYPERLINK("http://exon.niaid.nih.gov/transcriptome/T_rubida/S1/links/KOG/Triru-contig_369-KOG.txt","Actin regulatory protein (Wiskott-Aldrich syndrome protein)")</f>
        <v>Actin regulatory protein (Wiskott-Aldrich syndrome protein)</v>
      </c>
      <c r="BN316" t="str">
        <f>HYPERLINK("http://www.ncbi.nlm.nih.gov/COG/grace/shokog.cgi?KOG3671","3E-006")</f>
        <v>3E-006</v>
      </c>
      <c r="BO316" t="s">
        <v>923</v>
      </c>
      <c r="BP316" s="1" t="str">
        <f>HYPERLINK("http://exon.niaid.nih.gov/transcriptome/T_rubida/S1/links/PFAM/Triru-contig_369-PFAM.txt","DUF2486")</f>
        <v>DUF2486</v>
      </c>
      <c r="BQ316" t="str">
        <f>HYPERLINK("http://pfam.sanger.ac.uk/family?acc=PF10667","7E-007")</f>
        <v>7E-007</v>
      </c>
      <c r="BR316" s="1" t="str">
        <f>HYPERLINK("http://exon.niaid.nih.gov/transcriptome/T_rubida/S1/links/SMART/Triru-contig_369-SMART.txt","DM6")</f>
        <v>DM6</v>
      </c>
      <c r="BS316" t="str">
        <f>HYPERLINK("http://smart.embl-heidelberg.de/smart/do_annotation.pl?DOMAIN=DM6&amp;BLAST=DUMMY","5E-004")</f>
        <v>5E-004</v>
      </c>
      <c r="BT316" s="1" t="str">
        <f>HYPERLINK("http://exon.niaid.nih.gov/transcriptome/T_rubida/S1/links/PRK/Triru-contig_369-PRK.txt","large tegument protein UL36")</f>
        <v>large tegument protein UL36</v>
      </c>
      <c r="BU316" s="2">
        <v>3E-9</v>
      </c>
      <c r="BV316" s="1" t="s">
        <v>57</v>
      </c>
      <c r="BW316" t="s">
        <v>57</v>
      </c>
      <c r="BX316" s="1" t="s">
        <v>57</v>
      </c>
      <c r="BY316" t="s">
        <v>57</v>
      </c>
    </row>
    <row r="317" spans="1:77">
      <c r="A317" t="str">
        <f>HYPERLINK("http://exon.niaid.nih.gov/transcriptome/T_rubida/S1/links/Triru/Triru-contig_302.txt","Triru-contig_302")</f>
        <v>Triru-contig_302</v>
      </c>
      <c r="B317">
        <v>1</v>
      </c>
      <c r="C317" t="str">
        <f>HYPERLINK("http://exon.niaid.nih.gov/transcriptome/T_rubida/S1/links/Triru/Triru-5-48-asb-302.txt","Contig-302")</f>
        <v>Contig-302</v>
      </c>
      <c r="D317" t="str">
        <f>HYPERLINK("http://exon.niaid.nih.gov/transcriptome/T_rubida/S1/links/Triru/Triru-5-48-302-CLU.txt","Contig302")</f>
        <v>Contig302</v>
      </c>
      <c r="E317" t="str">
        <f>HYPERLINK("http://exon.niaid.nih.gov/transcriptome/T_rubida/S1/links/Triru/Triru-5-48-302-qual.txt","65.1")</f>
        <v>65.1</v>
      </c>
      <c r="F317" t="s">
        <v>10</v>
      </c>
      <c r="G317">
        <v>45.2</v>
      </c>
      <c r="H317">
        <v>423</v>
      </c>
      <c r="I317" t="s">
        <v>314</v>
      </c>
      <c r="J317">
        <v>423</v>
      </c>
      <c r="K317">
        <v>442</v>
      </c>
      <c r="L317">
        <v>267</v>
      </c>
      <c r="M317" t="s">
        <v>5712</v>
      </c>
      <c r="N317" s="15">
        <v>1</v>
      </c>
      <c r="O317" s="14" t="str">
        <f>HYPERLINK("http://exon.niaid.nih.gov/transcriptome/T_rubida/S1/links/Sigp/TRIRU-CONTIG_302-SigP.txt","Cyt")</f>
        <v>Cyt</v>
      </c>
      <c r="Q317" s="5" t="s">
        <v>4920</v>
      </c>
      <c r="R317" t="s">
        <v>5739</v>
      </c>
      <c r="S317" t="str">
        <f>HYPERLINK("http://exon.niaid.nih.gov/transcriptome/T_rubida/S1/links/NR/Triru-contig_302-NR.txt","NR")</f>
        <v>NR</v>
      </c>
      <c r="T317" s="23">
        <v>3.0000000000000002E-40</v>
      </c>
      <c r="U317">
        <v>75.2</v>
      </c>
      <c r="V317" s="1" t="str">
        <f>HYPERLINK("http://exon.niaid.nih.gov/transcriptome/T_rubida/S1/links/NR/Triru-contig_302-NR.txt","ribosomal protein S20")</f>
        <v>ribosomal protein S20</v>
      </c>
      <c r="W317" t="str">
        <f>HYPERLINK("http://www.ncbi.nlm.nih.gov/sutils/blink.cgi?pid=71402828","3E-040")</f>
        <v>3E-040</v>
      </c>
      <c r="X317" t="str">
        <f>HYPERLINK("http://www.ncbi.nlm.nih.gov/protein/71402828","gi|71402828")</f>
        <v>gi|71402828</v>
      </c>
      <c r="Y317">
        <v>168</v>
      </c>
      <c r="Z317">
        <v>87</v>
      </c>
      <c r="AA317">
        <v>117</v>
      </c>
      <c r="AB317">
        <v>90</v>
      </c>
      <c r="AC317">
        <v>75</v>
      </c>
      <c r="AD317">
        <v>8</v>
      </c>
      <c r="AE317">
        <v>0</v>
      </c>
      <c r="AF317">
        <v>30</v>
      </c>
      <c r="AG317">
        <v>4</v>
      </c>
      <c r="AH317">
        <v>1</v>
      </c>
      <c r="AI317">
        <v>1</v>
      </c>
      <c r="AJ317" t="s">
        <v>11</v>
      </c>
      <c r="AL317" t="s">
        <v>1491</v>
      </c>
      <c r="AM317" t="s">
        <v>2522</v>
      </c>
      <c r="AN317" t="s">
        <v>2523</v>
      </c>
      <c r="AO317" s="1" t="str">
        <f>HYPERLINK("http://exon.niaid.nih.gov/transcriptome/T_rubida/S1/links/SWISSP/Triru-contig_302-SWISSP.txt","40S ribosomal protein S20")</f>
        <v>40S ribosomal protein S20</v>
      </c>
      <c r="AP317" t="str">
        <f>HYPERLINK("http://www.uniprot.org/uniprot/P55828","2E-022")</f>
        <v>2E-022</v>
      </c>
      <c r="AQ317" t="s">
        <v>2524</v>
      </c>
      <c r="AR317">
        <v>104</v>
      </c>
      <c r="AS317">
        <v>83</v>
      </c>
      <c r="AT317">
        <v>51</v>
      </c>
      <c r="AU317">
        <v>70</v>
      </c>
      <c r="AV317">
        <v>41</v>
      </c>
      <c r="AW317">
        <v>0</v>
      </c>
      <c r="AX317">
        <v>35</v>
      </c>
      <c r="AY317">
        <v>4</v>
      </c>
      <c r="AZ317">
        <v>1</v>
      </c>
      <c r="BA317">
        <v>1</v>
      </c>
      <c r="BB317" t="s">
        <v>11</v>
      </c>
      <c r="BD317" t="s">
        <v>704</v>
      </c>
      <c r="BE317" t="s">
        <v>1125</v>
      </c>
      <c r="BF317" t="s">
        <v>2525</v>
      </c>
      <c r="BG317" t="s">
        <v>2526</v>
      </c>
      <c r="BH317" s="1" t="s">
        <v>2527</v>
      </c>
      <c r="BI317">
        <f>HYPERLINK("http://exon.niaid.nih.gov/transcriptome/T_rubida/S1/links/GO/Triru-contig_302-GO.txt",2E-22)</f>
        <v>2.0000000000000001E-22</v>
      </c>
      <c r="BJ317" s="1" t="str">
        <f>HYPERLINK("http://exon.niaid.nih.gov/transcriptome/T_rubida/S1/links/CDD/Triru-contig_302-CDD.txt","PTZ00039")</f>
        <v>PTZ00039</v>
      </c>
      <c r="BK317" t="str">
        <f>HYPERLINK("http://www.ncbi.nlm.nih.gov/Structure/cdd/cddsrv.cgi?uid=PTZ00039&amp;version=v4.0","1E-028")</f>
        <v>1E-028</v>
      </c>
      <c r="BL317" t="s">
        <v>2528</v>
      </c>
      <c r="BM317" s="1" t="str">
        <f>HYPERLINK("http://exon.niaid.nih.gov/transcriptome/T_rubida/S1/links/KOG/Triru-contig_302-KOG.txt","40S ribosomal protein S20")</f>
        <v>40S ribosomal protein S20</v>
      </c>
      <c r="BN317" t="str">
        <f>HYPERLINK("http://www.ncbi.nlm.nih.gov/COG/grace/shokog.cgi?KOG0900","7E-022")</f>
        <v>7E-022</v>
      </c>
      <c r="BO317" t="s">
        <v>1185</v>
      </c>
      <c r="BP317" s="1" t="str">
        <f>HYPERLINK("http://exon.niaid.nih.gov/transcriptome/T_rubida/S1/links/PFAM/Triru-contig_302-PFAM.txt","Ribosomal_S10")</f>
        <v>Ribosomal_S10</v>
      </c>
      <c r="BQ317" t="str">
        <f>HYPERLINK("http://pfam.sanger.ac.uk/family?acc=PF00338","4E-019")</f>
        <v>4E-019</v>
      </c>
      <c r="BR317" s="1" t="str">
        <f>HYPERLINK("http://exon.niaid.nih.gov/transcriptome/T_rubida/S1/links/SMART/Triru-contig_302-SMART.txt","TFIIE")</f>
        <v>TFIIE</v>
      </c>
      <c r="BS317" t="str">
        <f>HYPERLINK("http://smart.embl-heidelberg.de/smart/do_annotation.pl?DOMAIN=TFIIE&amp;BLAST=DUMMY","0.064")</f>
        <v>0.064</v>
      </c>
      <c r="BT317" s="1" t="str">
        <f>HYPERLINK("http://exon.niaid.nih.gov/transcriptome/T_rubida/S1/links/PRK/Triru-contig_302-PRK.txt","40S ribosomal protein S20")</f>
        <v>40S ribosomal protein S20</v>
      </c>
      <c r="BU317" s="2">
        <v>6.0000000000000005E-29</v>
      </c>
      <c r="BV317" s="1" t="s">
        <v>57</v>
      </c>
      <c r="BW317" t="s">
        <v>57</v>
      </c>
      <c r="BX317" s="1" t="s">
        <v>57</v>
      </c>
      <c r="BY317" t="s">
        <v>57</v>
      </c>
    </row>
    <row r="318" spans="1:77">
      <c r="A318" t="str">
        <f>HYPERLINK("http://exon.niaid.nih.gov/transcriptome/T_rubida/S1/links/Triru/Triru-contig_360.txt","Triru-contig_360")</f>
        <v>Triru-contig_360</v>
      </c>
      <c r="B318">
        <v>1</v>
      </c>
      <c r="C318" t="str">
        <f>HYPERLINK("http://exon.niaid.nih.gov/transcriptome/T_rubida/S1/links/Triru/Triru-5-48-asb-360.txt","Contig-360")</f>
        <v>Contig-360</v>
      </c>
      <c r="D318" t="str">
        <f>HYPERLINK("http://exon.niaid.nih.gov/transcriptome/T_rubida/S1/links/Triru/Triru-5-48-360-CLU.txt","Contig360")</f>
        <v>Contig360</v>
      </c>
      <c r="E318" t="str">
        <f>HYPERLINK("http://exon.niaid.nih.gov/transcriptome/T_rubida/S1/links/Triru/Triru-5-48-360-qual.txt","54.5")</f>
        <v>54.5</v>
      </c>
      <c r="F318" t="s">
        <v>10</v>
      </c>
      <c r="G318">
        <v>51</v>
      </c>
      <c r="H318">
        <v>819</v>
      </c>
      <c r="I318" t="s">
        <v>372</v>
      </c>
      <c r="J318">
        <v>819</v>
      </c>
      <c r="K318">
        <v>838</v>
      </c>
      <c r="L318">
        <v>393</v>
      </c>
      <c r="M318" t="s">
        <v>5713</v>
      </c>
      <c r="N318" s="15">
        <v>3</v>
      </c>
      <c r="O318" s="14" t="str">
        <f>HYPERLINK("http://exon.niaid.nih.gov/transcriptome/T_rubida/S1/links/Sigp/TRIRU-CONTIG_360-SigP.txt","Cyt")</f>
        <v>Cyt</v>
      </c>
      <c r="Q318" s="5" t="s">
        <v>4931</v>
      </c>
      <c r="R318" t="s">
        <v>5739</v>
      </c>
      <c r="S318" t="str">
        <f>HYPERLINK("http://exon.niaid.nih.gov/transcriptome/T_rubida/S1/links/NR/Triru-contig_360-NR.txt","NR")</f>
        <v>NR</v>
      </c>
      <c r="T318" s="23">
        <v>2.9999999999999999E-38</v>
      </c>
      <c r="U318">
        <v>57</v>
      </c>
      <c r="V318" s="1" t="str">
        <f>HYPERLINK("http://exon.niaid.nih.gov/transcriptome/T_rubida/S1/links/NR/Triru-contig_360-NR.txt","hypothetical protein")</f>
        <v>hypothetical protein</v>
      </c>
      <c r="W318" t="str">
        <f>HYPERLINK("http://www.ncbi.nlm.nih.gov/sutils/blink.cgi?pid=71656952","3E-038")</f>
        <v>3E-038</v>
      </c>
      <c r="X318" t="str">
        <f>HYPERLINK("http://www.ncbi.nlm.nih.gov/protein/71656952","gi|71656952")</f>
        <v>gi|71656952</v>
      </c>
      <c r="Y318">
        <v>163</v>
      </c>
      <c r="Z318">
        <v>124</v>
      </c>
      <c r="AA318">
        <v>217</v>
      </c>
      <c r="AB318">
        <v>68</v>
      </c>
      <c r="AC318">
        <v>58</v>
      </c>
      <c r="AD318">
        <v>40</v>
      </c>
      <c r="AE318">
        <v>1</v>
      </c>
      <c r="AF318">
        <v>91</v>
      </c>
      <c r="AG318">
        <v>18</v>
      </c>
      <c r="AH318">
        <v>1</v>
      </c>
      <c r="AI318">
        <v>3</v>
      </c>
      <c r="AJ318" t="s">
        <v>11</v>
      </c>
      <c r="AL318" t="s">
        <v>1491</v>
      </c>
      <c r="AM318" t="s">
        <v>2912</v>
      </c>
      <c r="AN318" t="s">
        <v>2687</v>
      </c>
      <c r="AO318" s="1" t="str">
        <f>HYPERLINK("http://exon.niaid.nih.gov/transcriptome/T_rubida/S1/links/SWISSP/Triru-contig_360-SWISSP.txt","Midasin")</f>
        <v>Midasin</v>
      </c>
      <c r="AP318" t="str">
        <f>HYPERLINK("http://www.uniprot.org/uniprot/Q12019","0.50")</f>
        <v>0.50</v>
      </c>
      <c r="AQ318" t="s">
        <v>2913</v>
      </c>
      <c r="AR318">
        <v>35.4</v>
      </c>
      <c r="AS318">
        <v>75</v>
      </c>
      <c r="AT318">
        <v>32</v>
      </c>
      <c r="AU318">
        <v>2</v>
      </c>
      <c r="AV318">
        <v>54</v>
      </c>
      <c r="AW318">
        <v>1</v>
      </c>
      <c r="AX318">
        <v>4497</v>
      </c>
      <c r="AY318">
        <v>153</v>
      </c>
      <c r="AZ318">
        <v>1</v>
      </c>
      <c r="BA318">
        <v>3</v>
      </c>
      <c r="BB318" t="s">
        <v>11</v>
      </c>
      <c r="BD318" t="s">
        <v>704</v>
      </c>
      <c r="BE318" t="s">
        <v>1487</v>
      </c>
      <c r="BF318" t="s">
        <v>2914</v>
      </c>
      <c r="BG318" t="s">
        <v>2915</v>
      </c>
      <c r="BH318" s="1" t="s">
        <v>57</v>
      </c>
      <c r="BI318" t="s">
        <v>57</v>
      </c>
      <c r="BJ318" s="1" t="str">
        <f>HYPERLINK("http://exon.niaid.nih.gov/transcriptome/T_rubida/S1/links/CDD/Triru-contig_360-CDD.txt","PLN02245")</f>
        <v>PLN02245</v>
      </c>
      <c r="BK318" t="str">
        <f>HYPERLINK("http://www.ncbi.nlm.nih.gov/Structure/cdd/cddsrv.cgi?uid=PLN02245&amp;version=v4.0","0.15")</f>
        <v>0.15</v>
      </c>
      <c r="BL318" t="s">
        <v>2916</v>
      </c>
      <c r="BM318" s="1" t="str">
        <f>HYPERLINK("http://exon.niaid.nih.gov/transcriptome/T_rubida/S1/links/KOG/Triru-contig_360-KOG.txt","Tyrosine kinase negative regulator CBL")</f>
        <v>Tyrosine kinase negative regulator CBL</v>
      </c>
      <c r="BN318" t="str">
        <f>HYPERLINK("http://www.ncbi.nlm.nih.gov/COG/grace/shokog.cgi?KOG1785","0.096")</f>
        <v>0.096</v>
      </c>
      <c r="BO318" t="s">
        <v>2309</v>
      </c>
      <c r="BP318" s="1" t="str">
        <f>HYPERLINK("http://exon.niaid.nih.gov/transcriptome/T_rubida/S1/links/PFAM/Triru-contig_360-PFAM.txt","Mig-14")</f>
        <v>Mig-14</v>
      </c>
      <c r="BQ318" t="str">
        <f>HYPERLINK("http://pfam.sanger.ac.uk/family?acc=PF07395","0.11")</f>
        <v>0.11</v>
      </c>
      <c r="BR318" s="1" t="str">
        <f>HYPERLINK("http://exon.niaid.nih.gov/transcriptome/T_rubida/S1/links/SMART/Triru-contig_360-SMART.txt","Tubulin")</f>
        <v>Tubulin</v>
      </c>
      <c r="BS318" t="str">
        <f>HYPERLINK("http://smart.embl-heidelberg.de/smart/do_annotation.pl?DOMAIN=Tubulin&amp;BLAST=DUMMY","0.23")</f>
        <v>0.23</v>
      </c>
      <c r="BT318" s="1" t="str">
        <f>HYPERLINK("http://exon.niaid.nih.gov/transcriptome/T_rubida/S1/links/PRK/Triru-contig_360-PRK.txt","ATP phosphoribosyl transferase.")</f>
        <v>ATP phosphoribosyl transferase.</v>
      </c>
      <c r="BU318">
        <v>6.7000000000000004E-2</v>
      </c>
      <c r="BV318" s="1" t="s">
        <v>57</v>
      </c>
      <c r="BW318" t="s">
        <v>57</v>
      </c>
      <c r="BX318" s="1" t="s">
        <v>57</v>
      </c>
      <c r="BY318" t="s">
        <v>57</v>
      </c>
    </row>
    <row r="319" spans="1:77">
      <c r="A319" t="str">
        <f>HYPERLINK("http://exon.niaid.nih.gov/transcriptome/T_rubida/S1/links/Triru/Triru-contig_543.txt","Triru-contig_543")</f>
        <v>Triru-contig_543</v>
      </c>
      <c r="B319">
        <v>1</v>
      </c>
      <c r="C319" t="str">
        <f>HYPERLINK("http://exon.niaid.nih.gov/transcriptome/T_rubida/S1/links/Triru/Triru-5-48-asb-543.txt","Contig-543")</f>
        <v>Contig-543</v>
      </c>
      <c r="D319" t="str">
        <f>HYPERLINK("http://exon.niaid.nih.gov/transcriptome/T_rubida/S1/links/Triru/Triru-5-48-543-CLU.txt","Contig543")</f>
        <v>Contig543</v>
      </c>
      <c r="E319" t="str">
        <f>HYPERLINK("http://exon.niaid.nih.gov/transcriptome/T_rubida/S1/links/Triru/Triru-5-48-543-qual.txt","38.9")</f>
        <v>38.9</v>
      </c>
      <c r="F319" t="s">
        <v>10</v>
      </c>
      <c r="G319">
        <v>52.4</v>
      </c>
      <c r="H319">
        <v>445</v>
      </c>
      <c r="I319" t="s">
        <v>555</v>
      </c>
      <c r="J319">
        <v>445</v>
      </c>
      <c r="K319">
        <v>464</v>
      </c>
      <c r="L319">
        <v>297</v>
      </c>
      <c r="M319" t="s">
        <v>5714</v>
      </c>
      <c r="N319" s="15">
        <v>2</v>
      </c>
      <c r="O319" s="14" t="str">
        <f>HYPERLINK("http://exon.niaid.nih.gov/transcriptome/T_rubida/S1/links/Sigp/TRIRU-CONTIG_543-SigP.txt","Cyt")</f>
        <v>Cyt</v>
      </c>
      <c r="Q319" s="5" t="s">
        <v>4931</v>
      </c>
      <c r="R319" t="s">
        <v>5739</v>
      </c>
      <c r="S319" t="str">
        <f>HYPERLINK("http://exon.niaid.nih.gov/transcriptome/T_rubida/S1/links/NR/Triru-contig_543-NR.txt","NR")</f>
        <v>NR</v>
      </c>
      <c r="T319" s="23">
        <v>9.9999999999999994E-37</v>
      </c>
      <c r="U319">
        <v>9.3000000000000007</v>
      </c>
      <c r="V319" s="1" t="str">
        <f>HYPERLINK("http://exon.niaid.nih.gov/transcriptome/T_rubida/S1/links/NR/Triru-contig_543-NR.txt","hypothetical protein")</f>
        <v>hypothetical protein</v>
      </c>
      <c r="W319" t="str">
        <f>HYPERLINK("http://www.ncbi.nlm.nih.gov/sutils/blink.cgi?pid=71651032","1E-036")</f>
        <v>1E-036</v>
      </c>
      <c r="X319" t="str">
        <f>HYPERLINK("http://www.ncbi.nlm.nih.gov/protein/71651032","gi|71651032")</f>
        <v>gi|71651032</v>
      </c>
      <c r="Y319">
        <v>111</v>
      </c>
      <c r="Z319">
        <v>132</v>
      </c>
      <c r="AA319">
        <v>929</v>
      </c>
      <c r="AB319">
        <v>66</v>
      </c>
      <c r="AC319">
        <v>14</v>
      </c>
      <c r="AD319">
        <v>29</v>
      </c>
      <c r="AE319">
        <v>0</v>
      </c>
      <c r="AF319">
        <v>797</v>
      </c>
      <c r="AG319">
        <v>7</v>
      </c>
      <c r="AH319">
        <v>2</v>
      </c>
      <c r="AI319">
        <v>2</v>
      </c>
      <c r="AJ319" t="s">
        <v>888</v>
      </c>
      <c r="AL319" t="s">
        <v>1491</v>
      </c>
      <c r="AM319" t="s">
        <v>4147</v>
      </c>
      <c r="AN319" t="s">
        <v>4148</v>
      </c>
      <c r="AO319" s="1" t="str">
        <f>HYPERLINK("http://exon.niaid.nih.gov/transcriptome/T_rubida/S1/links/SWISSP/Triru-contig_543-SWISSP.txt","Autophagy-related protein 11")</f>
        <v>Autophagy-related protein 11</v>
      </c>
      <c r="AP319" t="str">
        <f>HYPERLINK("http://www.uniprot.org/uniprot/Q4WY31","4.8")</f>
        <v>4.8</v>
      </c>
      <c r="AQ319" t="s">
        <v>4149</v>
      </c>
      <c r="AR319">
        <v>30.4</v>
      </c>
      <c r="AS319">
        <v>56</v>
      </c>
      <c r="AT319">
        <v>28</v>
      </c>
      <c r="AU319">
        <v>5</v>
      </c>
      <c r="AV319">
        <v>41</v>
      </c>
      <c r="AW319">
        <v>0</v>
      </c>
      <c r="AX319">
        <v>546</v>
      </c>
      <c r="AY319">
        <v>176</v>
      </c>
      <c r="AZ319">
        <v>1</v>
      </c>
      <c r="BA319">
        <v>2</v>
      </c>
      <c r="BB319" t="s">
        <v>11</v>
      </c>
      <c r="BD319" t="s">
        <v>704</v>
      </c>
      <c r="BE319" t="s">
        <v>2240</v>
      </c>
      <c r="BF319" t="s">
        <v>4150</v>
      </c>
      <c r="BG319" t="s">
        <v>4151</v>
      </c>
      <c r="BH319" s="1" t="s">
        <v>57</v>
      </c>
      <c r="BI319" t="s">
        <v>57</v>
      </c>
      <c r="BJ319" s="1" t="str">
        <f>HYPERLINK("http://exon.niaid.nih.gov/transcriptome/T_rubida/S1/links/CDD/Triru-contig_543-CDD.txt","BADH")</f>
        <v>BADH</v>
      </c>
      <c r="BK319" t="str">
        <f>HYPERLINK("http://www.ncbi.nlm.nih.gov/Structure/cdd/cddsrv.cgi?uid=TIGR01804&amp;version=v4.0","0.066")</f>
        <v>0.066</v>
      </c>
      <c r="BL319" t="s">
        <v>4152</v>
      </c>
      <c r="BM319" s="1" t="str">
        <f>HYPERLINK("http://exon.niaid.nih.gov/transcriptome/T_rubida/S1/links/KOG/Triru-contig_543-KOG.txt","Uncharacterized conserved protein")</f>
        <v>Uncharacterized conserved protein</v>
      </c>
      <c r="BN319" t="str">
        <f>HYPERLINK("http://www.ncbi.nlm.nih.gov/COG/grace/shokog.cgi?KOG0798","0.35")</f>
        <v>0.35</v>
      </c>
      <c r="BO319" t="s">
        <v>715</v>
      </c>
      <c r="BP319" s="1" t="str">
        <f>HYPERLINK("http://exon.niaid.nih.gov/transcriptome/T_rubida/S1/links/PFAM/Triru-contig_543-PFAM.txt","Fmp27")</f>
        <v>Fmp27</v>
      </c>
      <c r="BQ319" t="str">
        <f>HYPERLINK("http://pfam.sanger.ac.uk/family?acc=PF10344","0.042")</f>
        <v>0.042</v>
      </c>
      <c r="BR319" s="1" t="str">
        <f>HYPERLINK("http://exon.niaid.nih.gov/transcriptome/T_rubida/S1/links/SMART/Triru-contig_543-SMART.txt","HTH_CRP")</f>
        <v>HTH_CRP</v>
      </c>
      <c r="BS319" t="str">
        <f>HYPERLINK("http://smart.embl-heidelberg.de/smart/do_annotation.pl?DOMAIN=HTH_CRP&amp;BLAST=DUMMY","0.086")</f>
        <v>0.086</v>
      </c>
      <c r="BT319" s="1" t="str">
        <f>HYPERLINK("http://exon.niaid.nih.gov/transcriptome/T_rubida/S1/links/PRK/Triru-contig_543-PRK.txt","5-aminolevulinate synthase")</f>
        <v>5-aminolevulinate synthase</v>
      </c>
      <c r="BU319">
        <v>0.48</v>
      </c>
      <c r="BV319" s="1" t="s">
        <v>57</v>
      </c>
      <c r="BW319" t="s">
        <v>57</v>
      </c>
      <c r="BX319" s="1" t="s">
        <v>57</v>
      </c>
      <c r="BY319" t="s">
        <v>57</v>
      </c>
    </row>
    <row r="320" spans="1:77">
      <c r="A320" t="str">
        <f>HYPERLINK("http://exon.niaid.nih.gov/transcriptome/T_rubida/S1/links/Triru/Triru-contig_545.txt","Triru-contig_545")</f>
        <v>Triru-contig_545</v>
      </c>
      <c r="B320">
        <v>1</v>
      </c>
      <c r="C320" t="str">
        <f>HYPERLINK("http://exon.niaid.nih.gov/transcriptome/T_rubida/S1/links/Triru/Triru-5-48-asb-545.txt","Contig-545")</f>
        <v>Contig-545</v>
      </c>
      <c r="D320" t="str">
        <f>HYPERLINK("http://exon.niaid.nih.gov/transcriptome/T_rubida/S1/links/Triru/Triru-5-48-545-CLU.txt","Contig545")</f>
        <v>Contig545</v>
      </c>
      <c r="E320" t="str">
        <f>HYPERLINK("http://exon.niaid.nih.gov/transcriptome/T_rubida/S1/links/Triru/Triru-5-48-545-qual.txt","64.9")</f>
        <v>64.9</v>
      </c>
      <c r="F320" t="s">
        <v>10</v>
      </c>
      <c r="G320">
        <v>52.3</v>
      </c>
      <c r="H320">
        <v>444</v>
      </c>
      <c r="I320" t="s">
        <v>557</v>
      </c>
      <c r="J320">
        <v>444</v>
      </c>
      <c r="K320">
        <v>463</v>
      </c>
      <c r="L320">
        <v>297</v>
      </c>
      <c r="M320" t="s">
        <v>5714</v>
      </c>
      <c r="N320" s="15">
        <v>1</v>
      </c>
      <c r="O320" s="14" t="str">
        <f>HYPERLINK("http://exon.niaid.nih.gov/transcriptome/T_rubida/S1/links/Sigp/TRIRU-CONTIG_545-SigP.txt","Cyt")</f>
        <v>Cyt</v>
      </c>
      <c r="Q320" s="5" t="s">
        <v>5006</v>
      </c>
      <c r="R320" t="s">
        <v>5739</v>
      </c>
      <c r="S320" t="str">
        <f>HYPERLINK("http://exon.niaid.nih.gov/transcriptome/T_rubida/S1/links/NR/Triru-contig_545-NR.txt","NR")</f>
        <v>NR</v>
      </c>
      <c r="T320" s="23">
        <v>5E-36</v>
      </c>
      <c r="U320">
        <v>9.3000000000000007</v>
      </c>
      <c r="V320" s="1" t="str">
        <f>HYPERLINK("http://exon.niaid.nih.gov/transcriptome/T_rubida/S1/links/NR/Triru-contig_545-NR.txt","hypothetical protein TCSYLVIO_6485")</f>
        <v>hypothetical protein TCSYLVIO_6485</v>
      </c>
      <c r="W320" t="str">
        <f>HYPERLINK("http://www.ncbi.nlm.nih.gov/sutils/blink.cgi?pid=322820798","5E-036")</f>
        <v>5E-036</v>
      </c>
      <c r="X320" t="str">
        <f>HYPERLINK("http://www.ncbi.nlm.nih.gov/protein/322820798","gi|322820798")</f>
        <v>gi|322820798</v>
      </c>
      <c r="Y320">
        <v>112</v>
      </c>
      <c r="Z320">
        <v>130</v>
      </c>
      <c r="AA320">
        <v>927</v>
      </c>
      <c r="AB320">
        <v>66</v>
      </c>
      <c r="AC320">
        <v>14</v>
      </c>
      <c r="AD320">
        <v>29</v>
      </c>
      <c r="AE320">
        <v>0</v>
      </c>
      <c r="AF320">
        <v>797</v>
      </c>
      <c r="AG320">
        <v>12</v>
      </c>
      <c r="AH320">
        <v>2</v>
      </c>
      <c r="AI320">
        <v>1</v>
      </c>
      <c r="AJ320" t="s">
        <v>888</v>
      </c>
      <c r="AL320" t="s">
        <v>1491</v>
      </c>
      <c r="AM320" t="s">
        <v>4159</v>
      </c>
      <c r="AN320" t="s">
        <v>4148</v>
      </c>
      <c r="AO320" s="1" t="str">
        <f>HYPERLINK("http://exon.niaid.nih.gov/transcriptome/T_rubida/S1/links/SWISSP/Triru-contig_545-SWISSP.txt","Phosphoribosylformylglycinamidine synthase 2")</f>
        <v>Phosphoribosylformylglycinamidine synthase 2</v>
      </c>
      <c r="AP320" t="str">
        <f>HYPERLINK("http://www.uniprot.org/uniprot/Q8F6I3","2.8")</f>
        <v>2.8</v>
      </c>
      <c r="AQ320" t="s">
        <v>4160</v>
      </c>
      <c r="AR320">
        <v>31.2</v>
      </c>
      <c r="AS320">
        <v>47</v>
      </c>
      <c r="AT320">
        <v>39</v>
      </c>
      <c r="AU320">
        <v>6</v>
      </c>
      <c r="AV320">
        <v>31</v>
      </c>
      <c r="AW320">
        <v>0</v>
      </c>
      <c r="AX320">
        <v>288</v>
      </c>
      <c r="AY320">
        <v>6</v>
      </c>
      <c r="AZ320">
        <v>1</v>
      </c>
      <c r="BA320">
        <v>3</v>
      </c>
      <c r="BB320" t="s">
        <v>11</v>
      </c>
      <c r="BD320" t="s">
        <v>704</v>
      </c>
      <c r="BE320" t="s">
        <v>4161</v>
      </c>
      <c r="BF320" t="s">
        <v>4162</v>
      </c>
      <c r="BG320" t="s">
        <v>4163</v>
      </c>
      <c r="BH320" s="1" t="s">
        <v>57</v>
      </c>
      <c r="BI320" t="s">
        <v>57</v>
      </c>
      <c r="BJ320" s="1" t="str">
        <f>HYPERLINK("http://exon.niaid.nih.gov/transcriptome/T_rubida/S1/links/CDD/Triru-contig_545-CDD.txt","BADH")</f>
        <v>BADH</v>
      </c>
      <c r="BK320" t="str">
        <f>HYPERLINK("http://www.ncbi.nlm.nih.gov/Structure/cdd/cddsrv.cgi?uid=TIGR01804&amp;version=v4.0","0.066")</f>
        <v>0.066</v>
      </c>
      <c r="BL320" t="s">
        <v>4152</v>
      </c>
      <c r="BM320" s="1" t="str">
        <f>HYPERLINK("http://exon.niaid.nih.gov/transcriptome/T_rubida/S1/links/KOG/Triru-contig_545-KOG.txt","Uncharacterized conserved protein")</f>
        <v>Uncharacterized conserved protein</v>
      </c>
      <c r="BN320" t="str">
        <f>HYPERLINK("http://www.ncbi.nlm.nih.gov/COG/grace/shokog.cgi?KOG0798","0.35")</f>
        <v>0.35</v>
      </c>
      <c r="BO320" t="s">
        <v>715</v>
      </c>
      <c r="BP320" s="1" t="str">
        <f>HYPERLINK("http://exon.niaid.nih.gov/transcriptome/T_rubida/S1/links/PFAM/Triru-contig_545-PFAM.txt","Fmp27")</f>
        <v>Fmp27</v>
      </c>
      <c r="BQ320" t="str">
        <f>HYPERLINK("http://pfam.sanger.ac.uk/family?acc=PF10344","0.041")</f>
        <v>0.041</v>
      </c>
      <c r="BR320" s="1" t="str">
        <f>HYPERLINK("http://exon.niaid.nih.gov/transcriptome/T_rubida/S1/links/SMART/Triru-contig_545-SMART.txt","HTH_CRP")</f>
        <v>HTH_CRP</v>
      </c>
      <c r="BS320" t="str">
        <f>HYPERLINK("http://smart.embl-heidelberg.de/smart/do_annotation.pl?DOMAIN=HTH_CRP&amp;BLAST=DUMMY","0.086")</f>
        <v>0.086</v>
      </c>
      <c r="BT320" s="1" t="str">
        <f>HYPERLINK("http://exon.niaid.nih.gov/transcriptome/T_rubida/S1/links/PRK/Triru-contig_545-PRK.txt","5-aminolevulinate synthase")</f>
        <v>5-aminolevulinate synthase</v>
      </c>
      <c r="BU320">
        <v>0.48</v>
      </c>
      <c r="BV320" s="1" t="s">
        <v>57</v>
      </c>
      <c r="BW320" t="s">
        <v>57</v>
      </c>
      <c r="BX320" s="1" t="s">
        <v>57</v>
      </c>
      <c r="BY320" t="s">
        <v>57</v>
      </c>
    </row>
    <row r="321" spans="1:77">
      <c r="A321" t="str">
        <f>HYPERLINK("http://exon.niaid.nih.gov/transcriptome/T_rubida/S1/links/Triru/Triru-contig_419.txt","Triru-contig_419")</f>
        <v>Triru-contig_419</v>
      </c>
      <c r="B321">
        <v>1</v>
      </c>
      <c r="C321" t="str">
        <f>HYPERLINK("http://exon.niaid.nih.gov/transcriptome/T_rubida/S1/links/Triru/Triru-5-48-asb-419.txt","Contig-419")</f>
        <v>Contig-419</v>
      </c>
      <c r="D321" t="str">
        <f>HYPERLINK("http://exon.niaid.nih.gov/transcriptome/T_rubida/S1/links/Triru/Triru-5-48-419-CLU.txt","Contig419")</f>
        <v>Contig419</v>
      </c>
      <c r="E321" t="str">
        <f>HYPERLINK("http://exon.niaid.nih.gov/transcriptome/T_rubida/S1/links/Triru/Triru-5-48-419-qual.txt","61.2")</f>
        <v>61.2</v>
      </c>
      <c r="F321" t="s">
        <v>10</v>
      </c>
      <c r="G321">
        <v>42.4</v>
      </c>
      <c r="H321">
        <v>361</v>
      </c>
      <c r="I321" t="s">
        <v>431</v>
      </c>
      <c r="J321">
        <v>361</v>
      </c>
      <c r="K321">
        <v>380</v>
      </c>
      <c r="L321">
        <v>297</v>
      </c>
      <c r="M321" t="s">
        <v>5715</v>
      </c>
      <c r="N321" s="15">
        <v>1</v>
      </c>
      <c r="Q321" s="5" t="s">
        <v>4961</v>
      </c>
      <c r="R321" t="s">
        <v>5739</v>
      </c>
      <c r="S321" t="str">
        <f>HYPERLINK("http://exon.niaid.nih.gov/transcriptome/T_rubida/S1/links/KOG/Triru-contig_419-KOG.txt","KOG")</f>
        <v>KOG</v>
      </c>
      <c r="T321" s="23">
        <v>2E-14</v>
      </c>
      <c r="U321">
        <v>26.7</v>
      </c>
      <c r="V321" s="1" t="str">
        <f>HYPERLINK("http://exon.niaid.nih.gov/transcriptome/T_rubida/S1/links/NR/Triru-contig_419-NR.txt","glucosamine-6-phosphate isomerase, putative")</f>
        <v>glucosamine-6-phosphate isomerase, putative</v>
      </c>
      <c r="W321" t="str">
        <f>HYPERLINK("http://www.ncbi.nlm.nih.gov/sutils/blink.cgi?pid=322822192","6E-030")</f>
        <v>6E-030</v>
      </c>
      <c r="X321" t="str">
        <f>HYPERLINK("http://www.ncbi.nlm.nih.gov/protein/322822192","gi|322822192")</f>
        <v>gi|322822192</v>
      </c>
      <c r="Y321">
        <v>134</v>
      </c>
      <c r="Z321">
        <v>88</v>
      </c>
      <c r="AA321">
        <v>279</v>
      </c>
      <c r="AB321">
        <v>76</v>
      </c>
      <c r="AC321">
        <v>32</v>
      </c>
      <c r="AD321">
        <v>21</v>
      </c>
      <c r="AE321">
        <v>0</v>
      </c>
      <c r="AF321">
        <v>191</v>
      </c>
      <c r="AG321">
        <v>31</v>
      </c>
      <c r="AH321">
        <v>1</v>
      </c>
      <c r="AI321">
        <v>1</v>
      </c>
      <c r="AJ321" t="s">
        <v>11</v>
      </c>
      <c r="AL321" t="s">
        <v>1491</v>
      </c>
      <c r="AM321" t="s">
        <v>3316</v>
      </c>
      <c r="AN321" t="s">
        <v>3317</v>
      </c>
      <c r="AO321" s="1" t="str">
        <f>HYPERLINK("http://exon.niaid.nih.gov/transcriptome/T_rubida/S1/links/SWISSP/Triru-contig_419-SWISSP.txt","Glucosamine-6-phosphate deaminase")</f>
        <v>Glucosamine-6-phosphate deaminase</v>
      </c>
      <c r="AP321" t="str">
        <f>HYPERLINK("http://www.uniprot.org/uniprot/C6C0A2","4E-012")</f>
        <v>4E-012</v>
      </c>
      <c r="AQ321" t="s">
        <v>3318</v>
      </c>
      <c r="AR321">
        <v>70.099999999999994</v>
      </c>
      <c r="AS321">
        <v>64</v>
      </c>
      <c r="AT321">
        <v>50</v>
      </c>
      <c r="AU321">
        <v>25</v>
      </c>
      <c r="AV321">
        <v>32</v>
      </c>
      <c r="AW321">
        <v>0</v>
      </c>
      <c r="AX321">
        <v>190</v>
      </c>
      <c r="AY321">
        <v>34</v>
      </c>
      <c r="AZ321">
        <v>1</v>
      </c>
      <c r="BA321">
        <v>1</v>
      </c>
      <c r="BB321" t="s">
        <v>11</v>
      </c>
      <c r="BD321" t="s">
        <v>704</v>
      </c>
      <c r="BE321" t="s">
        <v>3319</v>
      </c>
      <c r="BF321" t="s">
        <v>3320</v>
      </c>
      <c r="BG321" t="s">
        <v>3321</v>
      </c>
      <c r="BH321" s="1" t="s">
        <v>3322</v>
      </c>
      <c r="BI321">
        <f>HYPERLINK("http://exon.niaid.nih.gov/transcriptome/T_rubida/S1/links/GO/Triru-contig_419-GO.txt",0.000000000004)</f>
        <v>3.9999999999999999E-12</v>
      </c>
      <c r="BJ321" s="1" t="str">
        <f>HYPERLINK("http://exon.niaid.nih.gov/transcriptome/T_rubida/S1/links/CDD/Triru-contig_419-CDD.txt","PTZ00285")</f>
        <v>PTZ00285</v>
      </c>
      <c r="BK321" t="str">
        <f>HYPERLINK("http://www.ncbi.nlm.nih.gov/Structure/cdd/cddsrv.cgi?uid=PTZ00285&amp;version=v4.0","1E-020")</f>
        <v>1E-020</v>
      </c>
      <c r="BL321" t="s">
        <v>3323</v>
      </c>
      <c r="BM321" s="1" t="str">
        <f>HYPERLINK("http://exon.niaid.nih.gov/transcriptome/T_rubida/S1/links/KOG/Triru-contig_419-KOG.txt","Glucosamine-6-phosphate isomerase")</f>
        <v>Glucosamine-6-phosphate isomerase</v>
      </c>
      <c r="BN321" t="str">
        <f>HYPERLINK("http://www.ncbi.nlm.nih.gov/COG/grace/shokog.cgi?KOG3148","2E-014")</f>
        <v>2E-014</v>
      </c>
      <c r="BO321" t="s">
        <v>946</v>
      </c>
      <c r="BP321" s="1" t="str">
        <f>HYPERLINK("http://exon.niaid.nih.gov/transcriptome/T_rubida/S1/links/PFAM/Triru-contig_419-PFAM.txt","Atrophin-1")</f>
        <v>Atrophin-1</v>
      </c>
      <c r="BQ321" t="str">
        <f>HYPERLINK("http://pfam.sanger.ac.uk/family?acc=PF03154","0.005")</f>
        <v>0.005</v>
      </c>
      <c r="BR321" s="1" t="str">
        <f>HYPERLINK("http://exon.niaid.nih.gov/transcriptome/T_rubida/S1/links/SMART/Triru-contig_419-SMART.txt","XPGN")</f>
        <v>XPGN</v>
      </c>
      <c r="BS321" t="str">
        <f>HYPERLINK("http://smart.embl-heidelberg.de/smart/do_annotation.pl?DOMAIN=XPGN&amp;BLAST=DUMMY","0.14")</f>
        <v>0.14</v>
      </c>
      <c r="BT321" s="1" t="str">
        <f>HYPERLINK("http://exon.niaid.nih.gov/transcriptome/T_rubida/S1/links/PRK/Triru-contig_419-PRK.txt","glucosamine-6-phosphate isomerase")</f>
        <v>glucosamine-6-phosphate isomerase</v>
      </c>
      <c r="BU321" s="2">
        <v>7.0000000000000007E-21</v>
      </c>
      <c r="BV321" s="1" t="s">
        <v>57</v>
      </c>
      <c r="BW321" t="s">
        <v>57</v>
      </c>
      <c r="BX321" s="1" t="s">
        <v>57</v>
      </c>
      <c r="BY321" t="s">
        <v>57</v>
      </c>
    </row>
    <row r="322" spans="1:77">
      <c r="A322" t="str">
        <f>HYPERLINK("http://exon.niaid.nih.gov/transcriptome/T_rubida/S1/links/Triru/Triru-contig_608.txt","Triru-contig_608")</f>
        <v>Triru-contig_608</v>
      </c>
      <c r="B322">
        <v>1</v>
      </c>
      <c r="C322" t="str">
        <f>HYPERLINK("http://exon.niaid.nih.gov/transcriptome/T_rubida/S1/links/Triru/Triru-5-48-asb-608.txt","Contig-608")</f>
        <v>Contig-608</v>
      </c>
      <c r="D322" t="str">
        <f>HYPERLINK("http://exon.niaid.nih.gov/transcriptome/T_rubida/S1/links/Triru/Triru-5-48-608-CLU.txt","Contig608")</f>
        <v>Contig608</v>
      </c>
      <c r="E322" t="str">
        <f>HYPERLINK("http://exon.niaid.nih.gov/transcriptome/T_rubida/S1/links/Triru/Triru-5-48-608-qual.txt","58.")</f>
        <v>58.</v>
      </c>
      <c r="F322" t="s">
        <v>10</v>
      </c>
      <c r="G322">
        <v>49.2</v>
      </c>
      <c r="H322">
        <v>343</v>
      </c>
      <c r="I322" t="s">
        <v>620</v>
      </c>
      <c r="J322">
        <v>343</v>
      </c>
      <c r="K322">
        <v>362</v>
      </c>
      <c r="L322">
        <v>264</v>
      </c>
      <c r="M322" t="s">
        <v>5716</v>
      </c>
      <c r="N322" s="15">
        <v>1</v>
      </c>
      <c r="O322" s="14" t="str">
        <f>HYPERLINK("http://exon.niaid.nih.gov/transcriptome/T_rubida/S1/links/Sigp/TRIRU-CONTIG_608-SigP.txt","Cyt")</f>
        <v>Cyt</v>
      </c>
      <c r="Q322" s="5" t="s">
        <v>5022</v>
      </c>
      <c r="R322" t="s">
        <v>5739</v>
      </c>
      <c r="S322" t="str">
        <f>HYPERLINK("http://exon.niaid.nih.gov/transcriptome/T_rubida/S1/links/NR/Triru-contig_608-NR.txt","NR")</f>
        <v>NR</v>
      </c>
      <c r="T322" s="23">
        <v>4.9999999999999999E-29</v>
      </c>
      <c r="U322">
        <v>13</v>
      </c>
      <c r="V322" s="1" t="str">
        <f>HYPERLINK("http://exon.niaid.nih.gov/transcriptome/T_rubida/S1/links/NR/Triru-contig_608-NR.txt","hypothetical protein TCSYLVIO_3291")</f>
        <v>hypothetical protein TCSYLVIO_3291</v>
      </c>
      <c r="W322" t="str">
        <f>HYPERLINK("http://www.ncbi.nlm.nih.gov/sutils/blink.cgi?pid=322825469","5E-029")</f>
        <v>5E-029</v>
      </c>
      <c r="X322" t="str">
        <f>HYPERLINK("http://www.ncbi.nlm.nih.gov/protein/322825469","gi|322825469")</f>
        <v>gi|322825469</v>
      </c>
      <c r="Y322">
        <v>130</v>
      </c>
      <c r="Z322">
        <v>83</v>
      </c>
      <c r="AA322">
        <v>641</v>
      </c>
      <c r="AB322">
        <v>77</v>
      </c>
      <c r="AC322">
        <v>13</v>
      </c>
      <c r="AD322">
        <v>19</v>
      </c>
      <c r="AE322">
        <v>0</v>
      </c>
      <c r="AF322">
        <v>556</v>
      </c>
      <c r="AG322">
        <v>7</v>
      </c>
      <c r="AH322">
        <v>1</v>
      </c>
      <c r="AI322">
        <v>1</v>
      </c>
      <c r="AJ322" t="s">
        <v>11</v>
      </c>
      <c r="AL322" t="s">
        <v>1491</v>
      </c>
      <c r="AM322" t="s">
        <v>4544</v>
      </c>
      <c r="AN322" t="s">
        <v>4545</v>
      </c>
      <c r="AO322" s="1" t="str">
        <f>HYPERLINK("http://exon.niaid.nih.gov/transcriptome/T_rubida/S1/links/SWISSP/Triru-contig_608-SWISSP.txt","Minor capsid protein 6")</f>
        <v>Minor capsid protein 6</v>
      </c>
      <c r="AP322" t="str">
        <f>HYPERLINK("http://www.uniprot.org/uniprot/P35988","6.2")</f>
        <v>6.2</v>
      </c>
      <c r="AQ322" t="s">
        <v>4546</v>
      </c>
      <c r="AR322">
        <v>29.6</v>
      </c>
      <c r="AS322">
        <v>61</v>
      </c>
      <c r="AT322">
        <v>34</v>
      </c>
      <c r="AU322">
        <v>23</v>
      </c>
      <c r="AV322">
        <v>46</v>
      </c>
      <c r="AW322">
        <v>3</v>
      </c>
      <c r="AX322">
        <v>204</v>
      </c>
      <c r="AY322">
        <v>142</v>
      </c>
      <c r="AZ322">
        <v>1</v>
      </c>
      <c r="BA322">
        <v>1</v>
      </c>
      <c r="BB322" t="s">
        <v>11</v>
      </c>
      <c r="BC322">
        <v>1.639</v>
      </c>
      <c r="BD322" t="s">
        <v>704</v>
      </c>
      <c r="BE322" t="s">
        <v>4547</v>
      </c>
      <c r="BF322" t="s">
        <v>4548</v>
      </c>
      <c r="BG322" t="s">
        <v>4549</v>
      </c>
      <c r="BH322" s="1" t="s">
        <v>57</v>
      </c>
      <c r="BI322" t="s">
        <v>57</v>
      </c>
      <c r="BJ322" s="1" t="str">
        <f>HYPERLINK("http://exon.niaid.nih.gov/transcriptome/T_rubida/S1/links/CDD/Triru-contig_608-CDD.txt","actino_creatin")</f>
        <v>actino_creatin</v>
      </c>
      <c r="BK322" t="str">
        <f>HYPERLINK("http://www.ncbi.nlm.nih.gov/Structure/cdd/cddsrv.cgi?uid=TIGR03964&amp;version=v4.0","0.17")</f>
        <v>0.17</v>
      </c>
      <c r="BL322" t="s">
        <v>4550</v>
      </c>
      <c r="BM322" s="1" t="str">
        <f>HYPERLINK("http://exon.niaid.nih.gov/transcriptome/T_rubida/S1/links/KOG/Triru-contig_608-KOG.txt","Mitogen-activated protein kinase (MAPK) kinase MKK7/JNKK2")</f>
        <v>Mitogen-activated protein kinase (MAPK) kinase MKK7/JNKK2</v>
      </c>
      <c r="BN322" t="str">
        <f>HYPERLINK("http://www.ncbi.nlm.nih.gov/COG/grace/shokog.cgi?KOG0983","0.12")</f>
        <v>0.12</v>
      </c>
      <c r="BO322" t="s">
        <v>728</v>
      </c>
      <c r="BP322" s="1" t="str">
        <f>HYPERLINK("http://exon.niaid.nih.gov/transcriptome/T_rubida/S1/links/PFAM/Triru-contig_608-PFAM.txt","Cytochrom_B558a")</f>
        <v>Cytochrom_B558a</v>
      </c>
      <c r="BQ322" t="str">
        <f>HYPERLINK("http://pfam.sanger.ac.uk/family?acc=PF05038","0.22")</f>
        <v>0.22</v>
      </c>
      <c r="BR322" s="1" t="str">
        <f>HYPERLINK("http://exon.niaid.nih.gov/transcriptome/T_rubida/S1/links/SMART/Triru-contig_608-SMART.txt","RPOLCX")</f>
        <v>RPOLCX</v>
      </c>
      <c r="BS322" t="str">
        <f>HYPERLINK("http://smart.embl-heidelberg.de/smart/do_annotation.pl?DOMAIN=RPOLCX&amp;BLAST=DUMMY","0.22")</f>
        <v>0.22</v>
      </c>
      <c r="BT322" s="1" t="str">
        <f>HYPERLINK("http://exon.niaid.nih.gov/transcriptome/T_rubida/S1/links/PRK/Triru-contig_608-PRK.txt","putative bifunctional allantoicase/OHCU decarboxylase")</f>
        <v>putative bifunctional allantoicase/OHCU decarboxylase</v>
      </c>
      <c r="BU322">
        <v>0.19</v>
      </c>
      <c r="BV322" s="1" t="s">
        <v>57</v>
      </c>
      <c r="BW322" t="s">
        <v>57</v>
      </c>
      <c r="BX322" s="1" t="s">
        <v>57</v>
      </c>
      <c r="BY322" t="s">
        <v>57</v>
      </c>
    </row>
    <row r="323" spans="1:77">
      <c r="A323" t="str">
        <f>HYPERLINK("http://exon.niaid.nih.gov/transcriptome/T_rubida/S1/links/Triru/Triru-contig_563.txt","Triru-contig_563")</f>
        <v>Triru-contig_563</v>
      </c>
      <c r="B323">
        <v>1</v>
      </c>
      <c r="C323" t="str">
        <f>HYPERLINK("http://exon.niaid.nih.gov/transcriptome/T_rubida/S1/links/Triru/Triru-5-48-asb-563.txt","Contig-563")</f>
        <v>Contig-563</v>
      </c>
      <c r="D323" t="str">
        <f>HYPERLINK("http://exon.niaid.nih.gov/transcriptome/T_rubida/S1/links/Triru/Triru-5-48-563-CLU.txt","Contig563")</f>
        <v>Contig563</v>
      </c>
      <c r="E323" t="str">
        <f>HYPERLINK("http://exon.niaid.nih.gov/transcriptome/T_rubida/S1/links/Triru/Triru-5-48-563-qual.txt","46.8")</f>
        <v>46.8</v>
      </c>
      <c r="F323" t="s">
        <v>10</v>
      </c>
      <c r="G323">
        <v>48.8</v>
      </c>
      <c r="H323">
        <v>399</v>
      </c>
      <c r="I323" t="s">
        <v>575</v>
      </c>
      <c r="J323">
        <v>399</v>
      </c>
      <c r="K323">
        <v>418</v>
      </c>
      <c r="L323">
        <v>342</v>
      </c>
      <c r="M323" t="s">
        <v>5717</v>
      </c>
      <c r="N323" s="15">
        <v>2</v>
      </c>
      <c r="O323" s="14" t="str">
        <f>HYPERLINK("http://exon.niaid.nih.gov/transcriptome/T_rubida/S1/links/Sigp/TRIRU-CONTIG_563-SigP.txt","Cyt")</f>
        <v>Cyt</v>
      </c>
      <c r="Q323" s="5" t="s">
        <v>4931</v>
      </c>
      <c r="R323" t="s">
        <v>5739</v>
      </c>
      <c r="S323" t="str">
        <f>HYPERLINK("http://exon.niaid.nih.gov/transcriptome/T_rubida/S1/links/NR/Triru-contig_563-NR.txt","NR")</f>
        <v>NR</v>
      </c>
      <c r="T323" s="23">
        <v>3E-23</v>
      </c>
      <c r="U323">
        <v>47.1</v>
      </c>
      <c r="V323" s="1" t="str">
        <f>HYPERLINK("http://exon.niaid.nih.gov/transcriptome/T_rubida/S1/links/NR/Triru-contig_563-NR.txt","hypothetical protein")</f>
        <v>hypothetical protein</v>
      </c>
      <c r="W323" t="str">
        <f>HYPERLINK("http://www.ncbi.nlm.nih.gov/sutils/blink.cgi?pid=71404493","3E-023")</f>
        <v>3E-023</v>
      </c>
      <c r="X323" t="str">
        <f>HYPERLINK("http://www.ncbi.nlm.nih.gov/protein/71404493","gi|71404493")</f>
        <v>gi|71404493</v>
      </c>
      <c r="Y323">
        <v>112</v>
      </c>
      <c r="Z323">
        <v>97</v>
      </c>
      <c r="AA323">
        <v>208</v>
      </c>
      <c r="AB323">
        <v>58</v>
      </c>
      <c r="AC323">
        <v>47</v>
      </c>
      <c r="AD323">
        <v>41</v>
      </c>
      <c r="AE323">
        <v>0</v>
      </c>
      <c r="AF323">
        <v>111</v>
      </c>
      <c r="AG323">
        <v>7</v>
      </c>
      <c r="AH323">
        <v>1</v>
      </c>
      <c r="AI323">
        <v>1</v>
      </c>
      <c r="AJ323" t="s">
        <v>11</v>
      </c>
      <c r="AL323" t="s">
        <v>1491</v>
      </c>
      <c r="AM323" t="s">
        <v>4274</v>
      </c>
      <c r="AN323" t="s">
        <v>2687</v>
      </c>
      <c r="AO323" s="1" t="str">
        <f>HYPERLINK("http://exon.niaid.nih.gov/transcriptome/T_rubida/S1/links/SWISSP/Triru-contig_563-SWISSP.txt","Peptidyl-prolyl cis-trans isomerase FKBP5")</f>
        <v>Peptidyl-prolyl cis-trans isomerase FKBP5</v>
      </c>
      <c r="AP323" t="str">
        <f>HYPERLINK("http://www.uniprot.org/uniprot/Q13451","0.73")</f>
        <v>0.73</v>
      </c>
      <c r="AQ323" t="s">
        <v>4275</v>
      </c>
      <c r="AR323">
        <v>32.700000000000003</v>
      </c>
      <c r="AS323">
        <v>103</v>
      </c>
      <c r="AT323">
        <v>27</v>
      </c>
      <c r="AU323">
        <v>23</v>
      </c>
      <c r="AV323">
        <v>83</v>
      </c>
      <c r="AW323">
        <v>10</v>
      </c>
      <c r="AX323">
        <v>324</v>
      </c>
      <c r="AY323">
        <v>7</v>
      </c>
      <c r="AZ323">
        <v>1</v>
      </c>
      <c r="BA323">
        <v>1</v>
      </c>
      <c r="BB323" t="s">
        <v>11</v>
      </c>
      <c r="BD323" t="s">
        <v>704</v>
      </c>
      <c r="BE323" t="s">
        <v>1233</v>
      </c>
      <c r="BF323" t="s">
        <v>4276</v>
      </c>
      <c r="BG323" t="s">
        <v>4277</v>
      </c>
      <c r="BH323" s="1" t="s">
        <v>57</v>
      </c>
      <c r="BI323" t="s">
        <v>57</v>
      </c>
      <c r="BJ323" s="1" t="str">
        <f>HYPERLINK("http://exon.niaid.nih.gov/transcriptome/T_rubida/S1/links/CDD/Triru-contig_563-CDD.txt","PLN02894")</f>
        <v>PLN02894</v>
      </c>
      <c r="BK323" t="str">
        <f>HYPERLINK("http://www.ncbi.nlm.nih.gov/Structure/cdd/cddsrv.cgi?uid=PLN02894&amp;version=v4.0","0.054")</f>
        <v>0.054</v>
      </c>
      <c r="BL323" t="s">
        <v>4278</v>
      </c>
      <c r="BM323" s="1" t="str">
        <f>HYPERLINK("http://exon.niaid.nih.gov/transcriptome/T_rubida/S1/links/KOG/Triru-contig_563-KOG.txt","Predicted DNA-binding transcription factor, interacts with stathmin")</f>
        <v>Predicted DNA-binding transcription factor, interacts with stathmin</v>
      </c>
      <c r="BN323" t="str">
        <f>HYPERLINK("http://www.ncbi.nlm.nih.gov/COG/grace/shokog.cgi?KOG4572","0.001")</f>
        <v>0.001</v>
      </c>
      <c r="BO323" t="s">
        <v>4279</v>
      </c>
      <c r="BP323" s="1" t="str">
        <f>HYPERLINK("http://exon.niaid.nih.gov/transcriptome/T_rubida/S1/links/PFAM/Triru-contig_563-PFAM.txt","Rhomboid_SP")</f>
        <v>Rhomboid_SP</v>
      </c>
      <c r="BQ323" t="str">
        <f>HYPERLINK("http://pfam.sanger.ac.uk/family?acc=PF12595","0.017")</f>
        <v>0.017</v>
      </c>
      <c r="BR323" s="1" t="str">
        <f>HYPERLINK("http://exon.niaid.nih.gov/transcriptome/T_rubida/S1/links/SMART/Triru-contig_563-SMART.txt","IRF")</f>
        <v>IRF</v>
      </c>
      <c r="BS323" t="str">
        <f>HYPERLINK("http://smart.embl-heidelberg.de/smart/do_annotation.pl?DOMAIN=IRF&amp;BLAST=DUMMY","0.073")</f>
        <v>0.073</v>
      </c>
      <c r="BT323" s="1" t="str">
        <f>HYPERLINK("http://exon.niaid.nih.gov/transcriptome/T_rubida/S1/links/PRK/Triru-contig_563-PRK.txt","alpha/beta fold family protein.")</f>
        <v>alpha/beta fold family protein.</v>
      </c>
      <c r="BU323">
        <v>2.5000000000000001E-2</v>
      </c>
      <c r="BV323" s="1" t="s">
        <v>57</v>
      </c>
      <c r="BW323" t="s">
        <v>57</v>
      </c>
      <c r="BX323" s="1" t="s">
        <v>57</v>
      </c>
      <c r="BY323" t="s">
        <v>57</v>
      </c>
    </row>
    <row r="324" spans="1:77" s="3" customFormat="1">
      <c r="A324" s="13" t="s">
        <v>5048</v>
      </c>
      <c r="T324" s="22"/>
    </row>
    <row r="325" spans="1:77">
      <c r="A325" t="str">
        <f>HYPERLINK("http://exon.niaid.nih.gov/transcriptome/T_rubida/S1/links/Triru/Triru-contig_307.txt","Triru-contig_307")</f>
        <v>Triru-contig_307</v>
      </c>
      <c r="B325">
        <v>1</v>
      </c>
      <c r="C325" t="str">
        <f>HYPERLINK("http://exon.niaid.nih.gov/transcriptome/T_rubida/S1/links/Triru/Triru-5-48-asb-307.txt","Contig-307")</f>
        <v>Contig-307</v>
      </c>
      <c r="D325" t="str">
        <f>HYPERLINK("http://exon.niaid.nih.gov/transcriptome/T_rubida/S1/links/Triru/Triru-5-48-307-CLU.txt","Contig307")</f>
        <v>Contig307</v>
      </c>
      <c r="E325" t="str">
        <f>HYPERLINK("http://exon.niaid.nih.gov/transcriptome/T_rubida/S1/links/Triru/Triru-5-48-307-qual.txt","31.5")</f>
        <v>31.5</v>
      </c>
      <c r="F325" t="s">
        <v>10</v>
      </c>
      <c r="G325">
        <v>61.8</v>
      </c>
      <c r="H325">
        <v>1176</v>
      </c>
      <c r="I325" t="s">
        <v>319</v>
      </c>
      <c r="J325">
        <v>1176</v>
      </c>
      <c r="K325">
        <v>1195</v>
      </c>
      <c r="L325">
        <v>192</v>
      </c>
      <c r="M325" t="s">
        <v>5305</v>
      </c>
      <c r="N325" s="15">
        <v>3</v>
      </c>
      <c r="O325" s="14" t="str">
        <f>HYPERLINK("http://exon.niaid.nih.gov/transcriptome/T_rubida/S1/links/Sigp/TRIRU-CONTIG_307-SigP.txt","BL")</f>
        <v>BL</v>
      </c>
      <c r="P325" t="s">
        <v>5057</v>
      </c>
      <c r="Q325" s="5" t="s">
        <v>4922</v>
      </c>
      <c r="R325" t="s">
        <v>4923</v>
      </c>
      <c r="S325" t="str">
        <f>HYPERLINK("http://exon.niaid.nih.gov/transcriptome/T_rubida/S1/links/CDD/Triru-contig_307-CDD.txt","CDD")</f>
        <v>CDD</v>
      </c>
      <c r="T325" s="23">
        <v>2.0000000000000001E-10</v>
      </c>
      <c r="U325">
        <v>47.6</v>
      </c>
      <c r="V325" s="1" t="str">
        <f>HYPERLINK("http://exon.niaid.nih.gov/transcriptome/T_rubida/S1/links/NR/Triru-contig_307-NR.txt","SMC6 protein")</f>
        <v>SMC6 protein</v>
      </c>
      <c r="W325" t="str">
        <f>HYPERLINK("http://www.ncbi.nlm.nih.gov/sutils/blink.cgi?pid=308163233","18")</f>
        <v>18</v>
      </c>
      <c r="X325" t="str">
        <f>HYPERLINK("http://www.ncbi.nlm.nih.gov/protein/308163233","gi|308163233")</f>
        <v>gi|308163233</v>
      </c>
      <c r="Y325">
        <v>35.4</v>
      </c>
      <c r="Z325">
        <v>28</v>
      </c>
      <c r="AA325">
        <v>1303</v>
      </c>
      <c r="AB325">
        <v>54</v>
      </c>
      <c r="AC325">
        <v>2</v>
      </c>
      <c r="AD325">
        <v>14</v>
      </c>
      <c r="AE325">
        <v>0</v>
      </c>
      <c r="AF325">
        <v>127</v>
      </c>
      <c r="AG325">
        <v>222</v>
      </c>
      <c r="AH325">
        <v>1</v>
      </c>
      <c r="AI325">
        <v>3</v>
      </c>
      <c r="AJ325" t="s">
        <v>11</v>
      </c>
      <c r="AK325">
        <v>3.5710000000000002</v>
      </c>
      <c r="AL325" t="s">
        <v>2557</v>
      </c>
      <c r="AM325" t="s">
        <v>2558</v>
      </c>
      <c r="AN325" t="s">
        <v>2559</v>
      </c>
      <c r="AO325" s="1" t="str">
        <f>HYPERLINK("http://exon.niaid.nih.gov/transcriptome/T_rubida/S1/links/SWISSP/Triru-contig_307-SWISSP.txt","Protein rad9")</f>
        <v>Protein rad9</v>
      </c>
      <c r="AP325" t="str">
        <f>HYPERLINK("http://www.uniprot.org/uniprot/Q00333","16")</f>
        <v>16</v>
      </c>
      <c r="AQ325" t="s">
        <v>2560</v>
      </c>
      <c r="AR325">
        <v>31.2</v>
      </c>
      <c r="AS325">
        <v>38</v>
      </c>
      <c r="AT325">
        <v>35</v>
      </c>
      <c r="AU325">
        <v>2</v>
      </c>
      <c r="AV325">
        <v>25</v>
      </c>
      <c r="AW325">
        <v>0</v>
      </c>
      <c r="AX325">
        <v>250</v>
      </c>
      <c r="AY325">
        <v>816</v>
      </c>
      <c r="AZ325">
        <v>1</v>
      </c>
      <c r="BA325">
        <v>3</v>
      </c>
      <c r="BB325" t="s">
        <v>11</v>
      </c>
      <c r="BC325">
        <v>2.6320000000000001</v>
      </c>
      <c r="BD325" t="s">
        <v>704</v>
      </c>
      <c r="BE325" t="s">
        <v>2561</v>
      </c>
      <c r="BF325" t="s">
        <v>2562</v>
      </c>
      <c r="BG325" t="s">
        <v>2563</v>
      </c>
      <c r="BH325" s="1" t="s">
        <v>57</v>
      </c>
      <c r="BI325" t="s">
        <v>57</v>
      </c>
      <c r="BJ325" s="1" t="str">
        <f>HYPERLINK("http://exon.niaid.nih.gov/transcriptome/T_rubida/S1/links/CDD/Triru-contig_307-CDD.txt","Rnase_HI_RT_non")</f>
        <v>Rnase_HI_RT_non</v>
      </c>
      <c r="BK325" t="str">
        <f>HYPERLINK("http://www.ncbi.nlm.nih.gov/Structure/cdd/cddsrv.cgi?uid=cd09276&amp;version=v4.0","2E-010")</f>
        <v>2E-010</v>
      </c>
      <c r="BL325" t="s">
        <v>2564</v>
      </c>
      <c r="BM325" s="1" t="str">
        <f>HYPERLINK("http://exon.niaid.nih.gov/transcriptome/T_rubida/S1/links/KOG/Triru-contig_307-KOG.txt","Ribonuclease H")</f>
        <v>Ribonuclease H</v>
      </c>
      <c r="BN325" t="str">
        <f>HYPERLINK("http://www.ncbi.nlm.nih.gov/COG/grace/shokog.cgi?KOG3752","0.63")</f>
        <v>0.63</v>
      </c>
      <c r="BO325" t="s">
        <v>785</v>
      </c>
      <c r="BP325" s="1" t="str">
        <f>HYPERLINK("http://exon.niaid.nih.gov/transcriptome/T_rubida/S1/links/PFAM/Triru-contig_307-PFAM.txt","RNase_H")</f>
        <v>RNase_H</v>
      </c>
      <c r="BQ325" t="str">
        <f>HYPERLINK("http://pfam.sanger.ac.uk/family?acc=PF00075","7E-006")</f>
        <v>7E-006</v>
      </c>
      <c r="BR325" s="1" t="str">
        <f>HYPERLINK("http://exon.niaid.nih.gov/transcriptome/T_rubida/S1/links/SMART/Triru-contig_307-SMART.txt","TLC")</f>
        <v>TLC</v>
      </c>
      <c r="BS325" t="str">
        <f>HYPERLINK("http://smart.embl-heidelberg.de/smart/do_annotation.pl?DOMAIN=TLC&amp;BLAST=DUMMY","0.16")</f>
        <v>0.16</v>
      </c>
      <c r="BT325" s="1" t="str">
        <f>HYPERLINK("http://exon.niaid.nih.gov/transcriptome/T_rubida/S1/links/PRK/Triru-contig_307-PRK.txt","acid-resistance membrane protein")</f>
        <v>acid-resistance membrane protein</v>
      </c>
      <c r="BU325">
        <v>0.21</v>
      </c>
      <c r="BV325" s="1" t="s">
        <v>57</v>
      </c>
      <c r="BW325" t="s">
        <v>57</v>
      </c>
      <c r="BX325" s="1" t="s">
        <v>57</v>
      </c>
      <c r="BY325" t="s">
        <v>57</v>
      </c>
    </row>
    <row r="326" spans="1:77" s="3" customFormat="1">
      <c r="A326" s="13" t="s">
        <v>5053</v>
      </c>
      <c r="T326" s="22"/>
    </row>
    <row r="327" spans="1:77">
      <c r="A327" t="str">
        <f>HYPERLINK("http://exon.niaid.nih.gov/transcriptome/T_rubida/S1/links/Triru/Triru-contig_127.txt","Triru-contig_127")</f>
        <v>Triru-contig_127</v>
      </c>
      <c r="B327">
        <v>3</v>
      </c>
      <c r="C327" t="str">
        <f>HYPERLINK("http://exon.niaid.nih.gov/transcriptome/T_rubida/S1/links/Triru/Triru-5-48-asb-127.txt","Contig-127")</f>
        <v>Contig-127</v>
      </c>
      <c r="D327" t="str">
        <f>HYPERLINK("http://exon.niaid.nih.gov/transcriptome/T_rubida/S1/links/Triru/Triru-5-48-127-CLU.txt","Contig127")</f>
        <v>Contig127</v>
      </c>
      <c r="E327" t="str">
        <f>HYPERLINK("http://exon.niaid.nih.gov/transcriptome/T_rubida/S1/links/Triru/Triru-5-48-127-qual.txt","80.7")</f>
        <v>80.7</v>
      </c>
      <c r="F327">
        <v>0.5</v>
      </c>
      <c r="G327">
        <v>68.2</v>
      </c>
      <c r="H327">
        <v>535</v>
      </c>
      <c r="I327" t="s">
        <v>139</v>
      </c>
      <c r="J327">
        <v>568</v>
      </c>
      <c r="K327">
        <v>559</v>
      </c>
      <c r="L327">
        <v>333</v>
      </c>
      <c r="M327" t="s">
        <v>5653</v>
      </c>
      <c r="N327" s="15">
        <v>1</v>
      </c>
      <c r="O327" s="14" t="str">
        <f>HYPERLINK("http://exon.niaid.nih.gov/transcriptome/T_rubida/S1/links/Sigp/TRIRU-CONTIG_127-SigP.txt","Cyt")</f>
        <v>Cyt</v>
      </c>
      <c r="Q327" s="5" t="s">
        <v>4827</v>
      </c>
      <c r="R327" t="s">
        <v>4828</v>
      </c>
      <c r="V327" s="1" t="str">
        <f>HYPERLINK("http://exon.niaid.nih.gov/transcriptome/T_rubida/S1/links/NR/Triru-contig_127-NR.txt","hypothetical protein SINV_04851")</f>
        <v>hypothetical protein SINV_04851</v>
      </c>
      <c r="W327" t="str">
        <f>HYPERLINK("http://www.ncbi.nlm.nih.gov/sutils/blink.cgi?pid=322779031","8E-010")</f>
        <v>8E-010</v>
      </c>
      <c r="X327" t="str">
        <f>HYPERLINK("http://www.ncbi.nlm.nih.gov/protein/322779031","gi|322779031")</f>
        <v>gi|322779031</v>
      </c>
      <c r="Y327">
        <v>67.8</v>
      </c>
      <c r="Z327">
        <v>101</v>
      </c>
      <c r="AA327">
        <v>136</v>
      </c>
      <c r="AB327">
        <v>40</v>
      </c>
      <c r="AC327">
        <v>75</v>
      </c>
      <c r="AD327">
        <v>62</v>
      </c>
      <c r="AE327">
        <v>4</v>
      </c>
      <c r="AF327">
        <v>30</v>
      </c>
      <c r="AG327">
        <v>16</v>
      </c>
      <c r="AH327">
        <v>1</v>
      </c>
      <c r="AI327">
        <v>1</v>
      </c>
      <c r="AJ327" t="s">
        <v>11</v>
      </c>
      <c r="AL327" t="s">
        <v>1144</v>
      </c>
      <c r="AM327" t="s">
        <v>1447</v>
      </c>
      <c r="AN327" t="s">
        <v>1448</v>
      </c>
      <c r="AO327" s="1" t="str">
        <f>HYPERLINK("http://exon.niaid.nih.gov/transcriptome/T_rubida/S1/links/SWISSP/Triru-contig_127-SWISSP.txt","MATH and LRR domain-containing protein PFE0570w")</f>
        <v>MATH and LRR domain-containing protein PFE0570w</v>
      </c>
      <c r="AP327" t="str">
        <f>HYPERLINK("http://www.uniprot.org/uniprot/Q8I3Z1","0.022")</f>
        <v>0.022</v>
      </c>
      <c r="AQ327" t="s">
        <v>1449</v>
      </c>
      <c r="AR327">
        <v>38.9</v>
      </c>
      <c r="AS327">
        <v>29</v>
      </c>
      <c r="AT327">
        <v>53</v>
      </c>
      <c r="AV327">
        <v>14</v>
      </c>
      <c r="AW327">
        <v>0</v>
      </c>
      <c r="AX327">
        <v>3736</v>
      </c>
      <c r="AY327">
        <v>284</v>
      </c>
      <c r="AZ327">
        <v>1</v>
      </c>
      <c r="BA327">
        <v>2</v>
      </c>
      <c r="BB327" t="s">
        <v>11</v>
      </c>
      <c r="BD327" t="s">
        <v>704</v>
      </c>
      <c r="BE327" t="s">
        <v>1356</v>
      </c>
      <c r="BF327" t="s">
        <v>1450</v>
      </c>
      <c r="BG327" t="s">
        <v>1451</v>
      </c>
      <c r="BH327" s="1" t="s">
        <v>57</v>
      </c>
      <c r="BI327" t="s">
        <v>57</v>
      </c>
      <c r="BJ327" s="1" t="str">
        <f>HYPERLINK("http://exon.niaid.nih.gov/transcriptome/T_rubida/S1/links/CDD/Triru-contig_127-CDD.txt","PHA02653")</f>
        <v>PHA02653</v>
      </c>
      <c r="BK327" t="str">
        <f>HYPERLINK("http://www.ncbi.nlm.nih.gov/Structure/cdd/cddsrv.cgi?uid=PHA02653&amp;version=v4.0","0.16")</f>
        <v>0.16</v>
      </c>
      <c r="BL327" t="s">
        <v>1452</v>
      </c>
      <c r="BM327" s="1" t="str">
        <f>HYPERLINK("http://exon.niaid.nih.gov/transcriptome/T_rubida/S1/links/KOG/Triru-contig_127-KOG.txt","PAB-dependent poly(A) ribonuclease, subunit PAN2")</f>
        <v>PAB-dependent poly(A) ribonuclease, subunit PAN2</v>
      </c>
      <c r="BN327" t="str">
        <f>HYPERLINK("http://www.ncbi.nlm.nih.gov/COG/grace/shokog.cgi?KOG1275","0.009")</f>
        <v>0.009</v>
      </c>
      <c r="BO327" t="s">
        <v>785</v>
      </c>
      <c r="BP327" s="1" t="str">
        <f>HYPERLINK("http://exon.niaid.nih.gov/transcriptome/T_rubida/S1/links/PFAM/Triru-contig_127-PFAM.txt","RINT1_TIP1")</f>
        <v>RINT1_TIP1</v>
      </c>
      <c r="BQ327" t="str">
        <f>HYPERLINK("http://pfam.sanger.ac.uk/family?acc=PF04437","0.18")</f>
        <v>0.18</v>
      </c>
      <c r="BR327" s="1" t="str">
        <f>HYPERLINK("http://exon.niaid.nih.gov/transcriptome/T_rubida/S1/links/SMART/Triru-contig_127-SMART.txt","TBC")</f>
        <v>TBC</v>
      </c>
      <c r="BS327" t="str">
        <f>HYPERLINK("http://smart.embl-heidelberg.de/smart/do_annotation.pl?DOMAIN=TBC&amp;BLAST=DUMMY","0.11")</f>
        <v>0.11</v>
      </c>
      <c r="BT327" s="1" t="str">
        <f>HYPERLINK("http://exon.niaid.nih.gov/transcriptome/T_rubida/S1/links/PRK/Triru-contig_127-PRK.txt","RNA helicase NPH-II")</f>
        <v>RNA helicase NPH-II</v>
      </c>
      <c r="BU327">
        <v>7.0000000000000007E-2</v>
      </c>
      <c r="BV327" s="1" t="s">
        <v>57</v>
      </c>
      <c r="BW327" t="s">
        <v>57</v>
      </c>
      <c r="BX327" s="1" t="s">
        <v>57</v>
      </c>
      <c r="BY327" t="s">
        <v>57</v>
      </c>
    </row>
    <row r="328" spans="1:77">
      <c r="A328" t="str">
        <f>HYPERLINK("http://exon.niaid.nih.gov/transcriptome/T_rubida/S1/links/Triru/Triru-contig_329.txt","Triru-contig_329")</f>
        <v>Triru-contig_329</v>
      </c>
      <c r="B328">
        <v>1</v>
      </c>
      <c r="C328" t="str">
        <f>HYPERLINK("http://exon.niaid.nih.gov/transcriptome/T_rubida/S1/links/Triru/Triru-5-48-asb-329.txt","Contig-329")</f>
        <v>Contig-329</v>
      </c>
      <c r="D328" t="str">
        <f>HYPERLINK("http://exon.niaid.nih.gov/transcriptome/T_rubida/S1/links/Triru/Triru-5-48-329-CLU.txt","Contig329")</f>
        <v>Contig329</v>
      </c>
      <c r="E328" t="str">
        <f>HYPERLINK("http://exon.niaid.nih.gov/transcriptome/T_rubida/S1/links/Triru/Triru-5-48-329-qual.txt","59.9")</f>
        <v>59.9</v>
      </c>
      <c r="F328" t="s">
        <v>10</v>
      </c>
      <c r="G328">
        <v>72.3</v>
      </c>
      <c r="H328">
        <v>612</v>
      </c>
      <c r="I328" t="s">
        <v>341</v>
      </c>
      <c r="J328">
        <v>612</v>
      </c>
      <c r="K328">
        <v>631</v>
      </c>
      <c r="L328">
        <v>195</v>
      </c>
      <c r="M328" t="s">
        <v>5562</v>
      </c>
      <c r="N328" s="15">
        <v>1</v>
      </c>
      <c r="Q328" s="5" t="s">
        <v>4827</v>
      </c>
      <c r="R328" t="s">
        <v>4828</v>
      </c>
      <c r="V328" s="1" t="str">
        <f>HYPERLINK("http://exon.niaid.nih.gov/transcriptome/T_rubida/S1/links/NR/Triru-contig_329-NR.txt","nucleoplasmin isoform 1-like protein")</f>
        <v>nucleoplasmin isoform 1-like protein</v>
      </c>
      <c r="W328" t="str">
        <f>HYPERLINK("http://www.ncbi.nlm.nih.gov/sutils/blink.cgi?pid=121543851","2E-009")</f>
        <v>2E-009</v>
      </c>
      <c r="X328" t="str">
        <f>HYPERLINK("http://www.ncbi.nlm.nih.gov/protein/121543851","gi|121543851")</f>
        <v>gi|121543851</v>
      </c>
      <c r="Y328">
        <v>66.599999999999994</v>
      </c>
      <c r="Z328">
        <v>57</v>
      </c>
      <c r="AA328">
        <v>176</v>
      </c>
      <c r="AB328">
        <v>54</v>
      </c>
      <c r="AC328">
        <v>33</v>
      </c>
      <c r="AD328">
        <v>28</v>
      </c>
      <c r="AE328">
        <v>0</v>
      </c>
      <c r="AF328">
        <v>118</v>
      </c>
      <c r="AG328">
        <v>10</v>
      </c>
      <c r="AH328">
        <v>1</v>
      </c>
      <c r="AI328">
        <v>1</v>
      </c>
      <c r="AJ328" t="s">
        <v>11</v>
      </c>
      <c r="AL328" t="s">
        <v>1811</v>
      </c>
      <c r="AM328" t="s">
        <v>2707</v>
      </c>
      <c r="AN328" t="s">
        <v>2708</v>
      </c>
      <c r="AO328" s="1" t="str">
        <f>HYPERLINK("http://exon.niaid.nih.gov/transcriptome/T_rubida/S1/links/SWISSP/Triru-contig_329-SWISSP.txt","Nucleolin")</f>
        <v>Nucleolin</v>
      </c>
      <c r="AP328" t="str">
        <f>HYPERLINK("http://www.uniprot.org/uniprot/Q5RF26","9E-004")</f>
        <v>9E-004</v>
      </c>
      <c r="AQ328" t="s">
        <v>2709</v>
      </c>
      <c r="AR328">
        <v>43.9</v>
      </c>
      <c r="AS328">
        <v>162</v>
      </c>
      <c r="AT328">
        <v>42</v>
      </c>
      <c r="AU328">
        <v>23</v>
      </c>
      <c r="AV328">
        <v>28</v>
      </c>
      <c r="AW328">
        <v>0</v>
      </c>
      <c r="AX328">
        <v>137</v>
      </c>
      <c r="AY328">
        <v>13</v>
      </c>
      <c r="AZ328">
        <v>7</v>
      </c>
      <c r="BA328">
        <v>1</v>
      </c>
      <c r="BB328" t="s">
        <v>11</v>
      </c>
      <c r="BD328" t="s">
        <v>704</v>
      </c>
      <c r="BE328" t="s">
        <v>1508</v>
      </c>
      <c r="BF328" t="s">
        <v>2710</v>
      </c>
      <c r="BG328" t="s">
        <v>2711</v>
      </c>
      <c r="BH328" s="1" t="s">
        <v>57</v>
      </c>
      <c r="BI328" t="s">
        <v>57</v>
      </c>
      <c r="BJ328" s="1" t="str">
        <f>HYPERLINK("http://exon.niaid.nih.gov/transcriptome/T_rubida/S1/links/CDD/Triru-contig_329-CDD.txt","ND2")</f>
        <v>ND2</v>
      </c>
      <c r="BK328" t="str">
        <f>HYPERLINK("http://www.ncbi.nlm.nih.gov/Structure/cdd/cddsrv.cgi?uid=MTH00091&amp;version=v4.0","9E-006")</f>
        <v>9E-006</v>
      </c>
      <c r="BL328" t="s">
        <v>2712</v>
      </c>
      <c r="BM328" s="1" t="str">
        <f>HYPERLINK("http://exon.niaid.nih.gov/transcriptome/T_rubida/S1/links/KOG/Triru-contig_329-KOG.txt","Ca2+-activated K+ channel Slowpoke, alpha subunit")</f>
        <v>Ca2+-activated K+ channel Slowpoke, alpha subunit</v>
      </c>
      <c r="BN328" t="str">
        <f>HYPERLINK("http://www.ncbi.nlm.nih.gov/COG/grace/shokog.cgi?KOG1420","0.004")</f>
        <v>0.004</v>
      </c>
      <c r="BO328" t="s">
        <v>720</v>
      </c>
      <c r="BP328" s="1" t="str">
        <f>HYPERLINK("http://exon.niaid.nih.gov/transcriptome/T_rubida/S1/links/PFAM/Triru-contig_329-PFAM.txt","DUF755")</f>
        <v>DUF755</v>
      </c>
      <c r="BQ328" t="str">
        <f>HYPERLINK("http://pfam.sanger.ac.uk/family?acc=PF05501","1E-004")</f>
        <v>1E-004</v>
      </c>
      <c r="BR328" s="1" t="str">
        <f>HYPERLINK("http://exon.niaid.nih.gov/transcriptome/T_rubida/S1/links/SMART/Triru-contig_329-SMART.txt","TLC")</f>
        <v>TLC</v>
      </c>
      <c r="BS328" t="str">
        <f>HYPERLINK("http://smart.embl-heidelberg.de/smart/do_annotation.pl?DOMAIN=TLC&amp;BLAST=DUMMY","2E-004")</f>
        <v>2E-004</v>
      </c>
      <c r="BT328" s="1" t="str">
        <f>HYPERLINK("http://exon.niaid.nih.gov/transcriptome/T_rubida/S1/links/PRK/Triru-contig_329-PRK.txt","NADH dehydrogenase subunit 2")</f>
        <v>NADH dehydrogenase subunit 2</v>
      </c>
      <c r="BU328" s="2">
        <v>3.9999999999999998E-6</v>
      </c>
      <c r="BV328" s="1" t="s">
        <v>57</v>
      </c>
      <c r="BW328" t="s">
        <v>57</v>
      </c>
      <c r="BX328" s="1" t="s">
        <v>57</v>
      </c>
      <c r="BY328" t="s">
        <v>57</v>
      </c>
    </row>
    <row r="329" spans="1:77">
      <c r="A329" t="str">
        <f>HYPERLINK("http://exon.niaid.nih.gov/transcriptome/T_rubida/S1/links/Triru/Triru-contig_407.txt","Triru-contig_407")</f>
        <v>Triru-contig_407</v>
      </c>
      <c r="B329">
        <v>1</v>
      </c>
      <c r="C329" t="str">
        <f>HYPERLINK("http://exon.niaid.nih.gov/transcriptome/T_rubida/S1/links/Triru/Triru-5-48-asb-407.txt","Contig-407")</f>
        <v>Contig-407</v>
      </c>
      <c r="D329" t="str">
        <f>HYPERLINK("http://exon.niaid.nih.gov/transcriptome/T_rubida/S1/links/Triru/Triru-5-48-407-CLU.txt","Contig407")</f>
        <v>Contig407</v>
      </c>
      <c r="E329" t="str">
        <f>HYPERLINK("http://exon.niaid.nih.gov/transcriptome/T_rubida/S1/links/Triru/Triru-5-48-407-qual.txt","21.8")</f>
        <v>21.8</v>
      </c>
      <c r="F329" t="s">
        <v>10</v>
      </c>
      <c r="G329">
        <v>66</v>
      </c>
      <c r="H329">
        <v>846</v>
      </c>
      <c r="I329" t="s">
        <v>419</v>
      </c>
      <c r="J329">
        <v>846</v>
      </c>
      <c r="K329">
        <v>865</v>
      </c>
      <c r="L329">
        <v>216</v>
      </c>
      <c r="M329" t="s">
        <v>5529</v>
      </c>
      <c r="N329" s="15">
        <v>3</v>
      </c>
      <c r="Q329" s="5" t="s">
        <v>4827</v>
      </c>
      <c r="R329" t="s">
        <v>4828</v>
      </c>
      <c r="V329" s="1" t="str">
        <f>HYPERLINK("http://exon.niaid.nih.gov/transcriptome/T_rubida/S1/links/NR/Triru-contig_407-NR.txt","hypothetical protein EAI_01038")</f>
        <v>hypothetical protein EAI_01038</v>
      </c>
      <c r="W329" t="str">
        <f>HYPERLINK("http://www.ncbi.nlm.nih.gov/sutils/blink.cgi?pid=307202798","3E-009")</f>
        <v>3E-009</v>
      </c>
      <c r="X329" t="str">
        <f>HYPERLINK("http://www.ncbi.nlm.nih.gov/protein/307202798","gi|307202798")</f>
        <v>gi|307202798</v>
      </c>
      <c r="Y329">
        <v>67</v>
      </c>
      <c r="Z329">
        <v>205</v>
      </c>
      <c r="AA329">
        <v>288</v>
      </c>
      <c r="AB329">
        <v>31</v>
      </c>
      <c r="AC329">
        <v>72</v>
      </c>
      <c r="AD329">
        <v>135</v>
      </c>
      <c r="AE329">
        <v>0</v>
      </c>
      <c r="AF329">
        <v>0</v>
      </c>
      <c r="AG329">
        <v>0</v>
      </c>
      <c r="AH329">
        <v>21</v>
      </c>
      <c r="AI329">
        <v>2</v>
      </c>
      <c r="AJ329" t="s">
        <v>888</v>
      </c>
      <c r="AK329">
        <v>3.9020000000000001</v>
      </c>
      <c r="AL329" t="s">
        <v>1475</v>
      </c>
      <c r="AM329" t="s">
        <v>3242</v>
      </c>
      <c r="AN329" t="s">
        <v>3243</v>
      </c>
      <c r="AO329" s="1" t="str">
        <f>HYPERLINK("http://exon.niaid.nih.gov/transcriptome/T_rubida/S1/links/SWISSP/Triru-contig_407-SWISSP.txt","THO complex subunit 2")</f>
        <v>THO complex subunit 2</v>
      </c>
      <c r="AP329" t="str">
        <f>HYPERLINK("http://www.uniprot.org/uniprot/B1MTK1","0.047")</f>
        <v>0.047</v>
      </c>
      <c r="AQ329" t="s">
        <v>3244</v>
      </c>
      <c r="AR329">
        <v>38.9</v>
      </c>
      <c r="AS329">
        <v>126</v>
      </c>
      <c r="AT329">
        <v>28</v>
      </c>
      <c r="AU329">
        <v>8</v>
      </c>
      <c r="AV329">
        <v>94</v>
      </c>
      <c r="AW329">
        <v>2</v>
      </c>
      <c r="AX329">
        <v>1249</v>
      </c>
      <c r="AY329">
        <v>363</v>
      </c>
      <c r="AZ329">
        <v>1</v>
      </c>
      <c r="BA329">
        <v>3</v>
      </c>
      <c r="BB329" t="s">
        <v>11</v>
      </c>
      <c r="BC329">
        <v>2.3809999999999998</v>
      </c>
      <c r="BD329" t="s">
        <v>704</v>
      </c>
      <c r="BE329" t="s">
        <v>3245</v>
      </c>
      <c r="BF329" t="s">
        <v>3246</v>
      </c>
      <c r="BG329" t="s">
        <v>3247</v>
      </c>
      <c r="BH329" s="1" t="s">
        <v>57</v>
      </c>
      <c r="BI329" t="s">
        <v>57</v>
      </c>
      <c r="BJ329" s="1" t="str">
        <f>HYPERLINK("http://exon.niaid.nih.gov/transcriptome/T_rubida/S1/links/CDD/Triru-contig_407-CDD.txt","7TMR-DISM_7TM")</f>
        <v>7TMR-DISM_7TM</v>
      </c>
      <c r="BK329" t="str">
        <f>HYPERLINK("http://www.ncbi.nlm.nih.gov/Structure/cdd/cddsrv.cgi?uid=pfam07695&amp;version=v4.0","5E-009")</f>
        <v>5E-009</v>
      </c>
      <c r="BL329" t="s">
        <v>3248</v>
      </c>
      <c r="BM329" s="1" t="str">
        <f>HYPERLINK("http://exon.niaid.nih.gov/transcriptome/T_rubida/S1/links/KOG/Triru-contig_407-KOG.txt","Ferric reductase-like proteins")</f>
        <v>Ferric reductase-like proteins</v>
      </c>
      <c r="BN329" t="str">
        <f>HYPERLINK("http://www.ncbi.nlm.nih.gov/COG/grace/shokog.cgi?KOG1743","6E-004")</f>
        <v>6E-004</v>
      </c>
      <c r="BO329" t="s">
        <v>849</v>
      </c>
      <c r="BP329" s="1" t="str">
        <f>HYPERLINK("http://exon.niaid.nih.gov/transcriptome/T_rubida/S1/links/PFAM/Triru-contig_407-PFAM.txt","7TMR-DISM_7TM")</f>
        <v>7TMR-DISM_7TM</v>
      </c>
      <c r="BQ329" t="str">
        <f>HYPERLINK("http://pfam.sanger.ac.uk/family?acc=PF07695","1E-009")</f>
        <v>1E-009</v>
      </c>
      <c r="BR329" s="1" t="str">
        <f>HYPERLINK("http://exon.niaid.nih.gov/transcriptome/T_rubida/S1/links/SMART/Triru-contig_407-SMART.txt","PSN")</f>
        <v>PSN</v>
      </c>
      <c r="BS329" t="str">
        <f>HYPERLINK("http://smart.embl-heidelberg.de/smart/do_annotation.pl?DOMAIN=PSN&amp;BLAST=DUMMY","0.015")</f>
        <v>0.015</v>
      </c>
      <c r="BT329" s="1" t="str">
        <f>HYPERLINK("http://exon.niaid.nih.gov/transcriptome/T_rubida/S1/links/PRK/Triru-contig_407-PRK.txt","NADH dehydrogenase subunit 2")</f>
        <v>NADH dehydrogenase subunit 2</v>
      </c>
      <c r="BU329" s="2">
        <v>2E-8</v>
      </c>
      <c r="BV329" s="1" t="s">
        <v>57</v>
      </c>
      <c r="BW329" t="s">
        <v>57</v>
      </c>
      <c r="BX329" s="1" t="s">
        <v>57</v>
      </c>
      <c r="BY329" t="s">
        <v>57</v>
      </c>
    </row>
    <row r="330" spans="1:77">
      <c r="A330" t="str">
        <f>HYPERLINK("http://exon.niaid.nih.gov/transcriptome/T_rubida/S1/links/Triru/Triru-contig_638.txt","Triru-contig_638")</f>
        <v>Triru-contig_638</v>
      </c>
      <c r="B330">
        <v>1</v>
      </c>
      <c r="C330" t="str">
        <f>HYPERLINK("http://exon.niaid.nih.gov/transcriptome/T_rubida/S1/links/Triru/Triru-5-48-asb-638.txt","Contig-638")</f>
        <v>Contig-638</v>
      </c>
      <c r="D330" t="str">
        <f>HYPERLINK("http://exon.niaid.nih.gov/transcriptome/T_rubida/S1/links/Triru/Triru-5-48-638-CLU.txt","Contig638")</f>
        <v>Contig638</v>
      </c>
      <c r="E330" t="str">
        <f>HYPERLINK("http://exon.niaid.nih.gov/transcriptome/T_rubida/S1/links/Triru/Triru-5-48-638-qual.txt","58.")</f>
        <v>58.</v>
      </c>
      <c r="F330" t="s">
        <v>10</v>
      </c>
      <c r="G330">
        <v>67.7</v>
      </c>
      <c r="H330">
        <v>216</v>
      </c>
      <c r="I330" t="s">
        <v>650</v>
      </c>
      <c r="J330">
        <v>216</v>
      </c>
      <c r="K330">
        <v>235</v>
      </c>
      <c r="L330">
        <v>171</v>
      </c>
      <c r="M330" t="s">
        <v>5579</v>
      </c>
      <c r="N330" s="15">
        <v>3</v>
      </c>
      <c r="O330" s="14" t="str">
        <f>HYPERLINK("http://exon.niaid.nih.gov/transcriptome/T_rubida/S1/links/Sigp/TRIRU-CONTIG_638-SigP.txt","Cyt")</f>
        <v>Cyt</v>
      </c>
      <c r="Q330" s="5" t="s">
        <v>4827</v>
      </c>
      <c r="R330" t="s">
        <v>4828</v>
      </c>
      <c r="V330" s="1" t="str">
        <f>HYPERLINK("http://exon.niaid.nih.gov/transcriptome/T_rubida/S1/links/NR/Triru-contig_638-NR.txt","similar to CG15908-PA")</f>
        <v>similar to CG15908-PA</v>
      </c>
      <c r="W330" t="str">
        <f>HYPERLINK("http://www.ncbi.nlm.nih.gov/sutils/blink.cgi?pid=156548340","8E-009")</f>
        <v>8E-009</v>
      </c>
      <c r="X330" t="str">
        <f>HYPERLINK("http://www.ncbi.nlm.nih.gov/protein/156548340","gi|156548340")</f>
        <v>gi|156548340</v>
      </c>
      <c r="Y330">
        <v>63.9</v>
      </c>
      <c r="Z330">
        <v>56</v>
      </c>
      <c r="AA330">
        <v>148</v>
      </c>
      <c r="AB330">
        <v>52</v>
      </c>
      <c r="AC330">
        <v>39</v>
      </c>
      <c r="AD330">
        <v>27</v>
      </c>
      <c r="AE330">
        <v>0</v>
      </c>
      <c r="AF330">
        <v>85</v>
      </c>
      <c r="AG330">
        <v>3</v>
      </c>
      <c r="AH330">
        <v>1</v>
      </c>
      <c r="AI330">
        <v>3</v>
      </c>
      <c r="AJ330" t="s">
        <v>11</v>
      </c>
      <c r="AL330" t="s">
        <v>1330</v>
      </c>
      <c r="AM330" t="s">
        <v>4711</v>
      </c>
      <c r="AN330" t="s">
        <v>4712</v>
      </c>
      <c r="AO330" s="1" t="str">
        <f>HYPERLINK("http://exon.niaid.nih.gov/transcriptome/T_rubida/S1/links/SWISSP/Triru-contig_638-SWISSP.txt","Trans-aconitate 2-methyltransferase")</f>
        <v>Trans-aconitate 2-methyltransferase</v>
      </c>
      <c r="AP330" t="str">
        <f>HYPERLINK("http://www.uniprot.org/uniprot/Q9I0S1","8.2")</f>
        <v>8.2</v>
      </c>
      <c r="AQ330" t="s">
        <v>4713</v>
      </c>
      <c r="AR330">
        <v>29.3</v>
      </c>
      <c r="AS330">
        <v>45</v>
      </c>
      <c r="AT330">
        <v>30</v>
      </c>
      <c r="AU330">
        <v>17</v>
      </c>
      <c r="AV330">
        <v>35</v>
      </c>
      <c r="AW330">
        <v>0</v>
      </c>
      <c r="AX330">
        <v>195</v>
      </c>
      <c r="AY330">
        <v>12</v>
      </c>
      <c r="AZ330">
        <v>1</v>
      </c>
      <c r="BA330">
        <v>3</v>
      </c>
      <c r="BB330" t="s">
        <v>11</v>
      </c>
      <c r="BD330" t="s">
        <v>704</v>
      </c>
      <c r="BE330" t="s">
        <v>2467</v>
      </c>
      <c r="BF330" t="s">
        <v>4714</v>
      </c>
      <c r="BG330" t="s">
        <v>4715</v>
      </c>
      <c r="BH330" s="1" t="s">
        <v>57</v>
      </c>
      <c r="BI330" t="s">
        <v>57</v>
      </c>
      <c r="BJ330" s="1" t="str">
        <f>HYPERLINK("http://exon.niaid.nih.gov/transcriptome/T_rubida/S1/links/CDD/Triru-contig_638-CDD.txt","PLN02503")</f>
        <v>PLN02503</v>
      </c>
      <c r="BK330" t="str">
        <f>HYPERLINK("http://www.ncbi.nlm.nih.gov/Structure/cdd/cddsrv.cgi?uid=PLN02503&amp;version=v4.0","0.26")</f>
        <v>0.26</v>
      </c>
      <c r="BL330" t="s">
        <v>4716</v>
      </c>
      <c r="BM330" s="1" t="str">
        <f>HYPERLINK("http://exon.niaid.nih.gov/transcriptome/T_rubida/S1/links/KOG/Triru-contig_638-KOG.txt","Homeobox transcription factor SIP1")</f>
        <v>Homeobox transcription factor SIP1</v>
      </c>
      <c r="BN330" t="str">
        <f>HYPERLINK("http://www.ncbi.nlm.nih.gov/COG/grace/shokog.cgi?KOG3623","1.5")</f>
        <v>1.5</v>
      </c>
      <c r="BO330" t="s">
        <v>790</v>
      </c>
      <c r="BP330" s="1" t="str">
        <f>HYPERLINK("http://exon.niaid.nih.gov/transcriptome/T_rubida/S1/links/PFAM/Triru-contig_638-PFAM.txt","DUF2391")</f>
        <v>DUF2391</v>
      </c>
      <c r="BQ330" t="str">
        <f>HYPERLINK("http://pfam.sanger.ac.uk/family?acc=PF09622","0.88")</f>
        <v>0.88</v>
      </c>
      <c r="BR330" s="1" t="str">
        <f>HYPERLINK("http://exon.niaid.nih.gov/transcriptome/T_rubida/S1/links/SMART/Triru-contig_638-SMART.txt","B3_4")</f>
        <v>B3_4</v>
      </c>
      <c r="BS330" t="str">
        <f>HYPERLINK("http://smart.embl-heidelberg.de/smart/do_annotation.pl?DOMAIN=B3_4&amp;BLAST=DUMMY","0.13")</f>
        <v>0.13</v>
      </c>
      <c r="BT330" s="1" t="str">
        <f>HYPERLINK("http://exon.niaid.nih.gov/transcriptome/T_rubida/S1/links/PRK/Triru-contig_638-PRK.txt","fatty acyl-CoA reductase 2.")</f>
        <v>fatty acyl-CoA reductase 2.</v>
      </c>
      <c r="BU330">
        <v>9.4E-2</v>
      </c>
      <c r="BV330" s="1" t="s">
        <v>57</v>
      </c>
      <c r="BW330" t="s">
        <v>57</v>
      </c>
      <c r="BX330" s="1" t="s">
        <v>57</v>
      </c>
      <c r="BY330" t="s">
        <v>57</v>
      </c>
    </row>
    <row r="331" spans="1:77">
      <c r="A331" t="str">
        <f>HYPERLINK("http://exon.niaid.nih.gov/transcriptome/T_rubida/S1/links/Triru/Triru-contig_158.txt","Triru-contig_158")</f>
        <v>Triru-contig_158</v>
      </c>
      <c r="B331">
        <v>1</v>
      </c>
      <c r="C331" t="str">
        <f>HYPERLINK("http://exon.niaid.nih.gov/transcriptome/T_rubida/S1/links/Triru/Triru-5-48-asb-158.txt","Contig-158")</f>
        <v>Contig-158</v>
      </c>
      <c r="D331" t="str">
        <f>HYPERLINK("http://exon.niaid.nih.gov/transcriptome/T_rubida/S1/links/Triru/Triru-5-48-158-CLU.txt","Contig158")</f>
        <v>Contig158</v>
      </c>
      <c r="E331" t="str">
        <f>HYPERLINK("http://exon.niaid.nih.gov/transcriptome/T_rubida/S1/links/Triru/Triru-5-48-158-qual.txt","15.7")</f>
        <v>15.7</v>
      </c>
      <c r="F331">
        <v>0.9</v>
      </c>
      <c r="G331">
        <v>57.7</v>
      </c>
      <c r="H331" t="s">
        <v>57</v>
      </c>
      <c r="I331" t="s">
        <v>170</v>
      </c>
      <c r="J331" t="s">
        <v>57</v>
      </c>
      <c r="K331">
        <v>820</v>
      </c>
      <c r="L331">
        <v>234</v>
      </c>
      <c r="M331" t="s">
        <v>5675</v>
      </c>
      <c r="N331" s="15">
        <v>1</v>
      </c>
      <c r="O331" s="14" t="str">
        <f>HYPERLINK("http://exon.niaid.nih.gov/transcriptome/T_rubida/S1/links/Sigp/TRIRU-CONTIG_158-SigP.txt","Cyt")</f>
        <v>Cyt</v>
      </c>
      <c r="Q331" s="5" t="s">
        <v>4827</v>
      </c>
      <c r="R331" t="s">
        <v>4828</v>
      </c>
      <c r="V331" s="1" t="str">
        <f>HYPERLINK("http://exon.niaid.nih.gov/transcriptome/T_rubida/S1/links/NR/Triru-contig_158-NR.txt","unnamed protein product")</f>
        <v>unnamed protein product</v>
      </c>
      <c r="W331" t="str">
        <f>HYPERLINK("http://www.ncbi.nlm.nih.gov/sutils/blink.cgi?pid=270046188","9E-009")</f>
        <v>9E-009</v>
      </c>
      <c r="X331" t="str">
        <f>HYPERLINK("http://www.ncbi.nlm.nih.gov/protein/270046188","gi|270046188")</f>
        <v>gi|270046188</v>
      </c>
      <c r="Y331">
        <v>62.8</v>
      </c>
      <c r="Z331">
        <v>75</v>
      </c>
      <c r="AA331">
        <v>197</v>
      </c>
      <c r="AB331">
        <v>49</v>
      </c>
      <c r="AC331">
        <v>39</v>
      </c>
      <c r="AD331">
        <v>32</v>
      </c>
      <c r="AE331">
        <v>0</v>
      </c>
      <c r="AF331">
        <v>121</v>
      </c>
      <c r="AG331">
        <v>4</v>
      </c>
      <c r="AH331">
        <v>2</v>
      </c>
      <c r="AI331">
        <v>1</v>
      </c>
      <c r="AJ331" t="s">
        <v>888</v>
      </c>
      <c r="AK331">
        <v>1.333</v>
      </c>
      <c r="AL331" t="s">
        <v>700</v>
      </c>
      <c r="AM331" t="s">
        <v>1627</v>
      </c>
      <c r="AN331" t="s">
        <v>1628</v>
      </c>
      <c r="AO331" s="1" t="str">
        <f>HYPERLINK("http://exon.niaid.nih.gov/transcriptome/T_rubida/S1/links/SWISSP/Triru-contig_158-SWISSP.txt","YLP motif-containing protein 1")</f>
        <v>YLP motif-containing protein 1</v>
      </c>
      <c r="AP331" t="str">
        <f>HYPERLINK("http://www.uniprot.org/uniprot/P0CB49","0.16")</f>
        <v>0.16</v>
      </c>
      <c r="AQ331" t="s">
        <v>1629</v>
      </c>
      <c r="AR331">
        <v>37</v>
      </c>
      <c r="AS331">
        <v>84</v>
      </c>
      <c r="AT331">
        <v>31</v>
      </c>
      <c r="AU331">
        <v>6</v>
      </c>
      <c r="AV331">
        <v>60</v>
      </c>
      <c r="AW331">
        <v>9</v>
      </c>
      <c r="AX331">
        <v>85</v>
      </c>
      <c r="AY331">
        <v>496</v>
      </c>
      <c r="AZ331">
        <v>1</v>
      </c>
      <c r="BA331">
        <v>1</v>
      </c>
      <c r="BB331" t="s">
        <v>11</v>
      </c>
      <c r="BC331">
        <v>1.19</v>
      </c>
      <c r="BD331" t="s">
        <v>704</v>
      </c>
      <c r="BE331" t="s">
        <v>1164</v>
      </c>
      <c r="BF331" t="s">
        <v>1630</v>
      </c>
      <c r="BG331" t="s">
        <v>1631</v>
      </c>
      <c r="BH331" s="1" t="s">
        <v>57</v>
      </c>
      <c r="BI331" t="s">
        <v>57</v>
      </c>
      <c r="BJ331" s="1" t="str">
        <f>HYPERLINK("http://exon.niaid.nih.gov/transcriptome/T_rubida/S1/links/CDD/Triru-contig_158-CDD.txt","DUF1183")</f>
        <v>DUF1183</v>
      </c>
      <c r="BK331" t="str">
        <f>HYPERLINK("http://www.ncbi.nlm.nih.gov/Structure/cdd/cddsrv.cgi?uid=pfam06682&amp;version=v4.0","0.094")</f>
        <v>0.094</v>
      </c>
      <c r="BL331" t="s">
        <v>1632</v>
      </c>
      <c r="BM331" s="1" t="str">
        <f>HYPERLINK("http://exon.niaid.nih.gov/transcriptome/T_rubida/S1/links/KOG/Triru-contig_158-KOG.txt","RNA polymerase II C-terminal domain-binding protein RA4, contains RPR and RRM domains")</f>
        <v>RNA polymerase II C-terminal domain-binding protein RA4, contains RPR and RRM domains</v>
      </c>
      <c r="BN331" t="str">
        <f>HYPERLINK("http://www.ncbi.nlm.nih.gov/COG/grace/shokog.cgi?KOG0132","0.027")</f>
        <v>0.027</v>
      </c>
      <c r="BO331" t="s">
        <v>1633</v>
      </c>
      <c r="BP331" s="1" t="str">
        <f>HYPERLINK("http://exon.niaid.nih.gov/transcriptome/T_rubida/S1/links/PFAM/Triru-contig_158-PFAM.txt","DUF1183")</f>
        <v>DUF1183</v>
      </c>
      <c r="BQ331" t="str">
        <f>HYPERLINK("http://pfam.sanger.ac.uk/family?acc=PF06682","0.018")</f>
        <v>0.018</v>
      </c>
      <c r="BR331" s="1" t="str">
        <f>HYPERLINK("http://exon.niaid.nih.gov/transcriptome/T_rubida/S1/links/SMART/Triru-contig_158-SMART.txt","LIGANc")</f>
        <v>LIGANc</v>
      </c>
      <c r="BS331" t="str">
        <f>HYPERLINK("http://smart.embl-heidelberg.de/smart/do_annotation.pl?DOMAIN=LIGANc&amp;BLAST=DUMMY","0.027")</f>
        <v>0.027</v>
      </c>
      <c r="BT331" s="1" t="str">
        <f>HYPERLINK("http://exon.niaid.nih.gov/transcriptome/T_rubida/S1/links/PRK/Triru-contig_158-PRK.txt","E4 protein")</f>
        <v>E4 protein</v>
      </c>
      <c r="BU331">
        <v>0.16</v>
      </c>
      <c r="BV331" s="1" t="s">
        <v>57</v>
      </c>
      <c r="BW331" t="s">
        <v>57</v>
      </c>
      <c r="BX331" s="1" t="s">
        <v>57</v>
      </c>
      <c r="BY331" t="s">
        <v>57</v>
      </c>
    </row>
    <row r="332" spans="1:77">
      <c r="A332" t="str">
        <f>HYPERLINK("http://exon.niaid.nih.gov/transcriptome/T_rubida/S1/links/Triru/Triru-contig_316.txt","Triru-contig_316")</f>
        <v>Triru-contig_316</v>
      </c>
      <c r="B332">
        <v>1</v>
      </c>
      <c r="C332" t="str">
        <f>HYPERLINK("http://exon.niaid.nih.gov/transcriptome/T_rubida/S1/links/Triru/Triru-5-48-asb-316.txt","Contig-316")</f>
        <v>Contig-316</v>
      </c>
      <c r="D332" t="str">
        <f>HYPERLINK("http://exon.niaid.nih.gov/transcriptome/T_rubida/S1/links/Triru/Triru-5-48-316-CLU.txt","Contig316")</f>
        <v>Contig316</v>
      </c>
      <c r="E332" t="str">
        <f>HYPERLINK("http://exon.niaid.nih.gov/transcriptome/T_rubida/S1/links/Triru/Triru-5-48-316-qual.txt","61.2")</f>
        <v>61.2</v>
      </c>
      <c r="F332" t="s">
        <v>10</v>
      </c>
      <c r="G332">
        <v>76.599999999999994</v>
      </c>
      <c r="H332">
        <v>293</v>
      </c>
      <c r="I332" t="s">
        <v>328</v>
      </c>
      <c r="J332">
        <v>293</v>
      </c>
      <c r="K332">
        <v>312</v>
      </c>
      <c r="L332">
        <v>222</v>
      </c>
      <c r="M332" t="s">
        <v>5420</v>
      </c>
      <c r="N332" s="15">
        <v>1</v>
      </c>
      <c r="Q332" s="5" t="s">
        <v>4827</v>
      </c>
      <c r="R332" t="s">
        <v>4828</v>
      </c>
      <c r="V332" s="1" t="str">
        <f>HYPERLINK("http://exon.niaid.nih.gov/transcriptome/T_rubida/S1/links/NR/Triru-contig_316-NR.txt","Nucleolar protein 12")</f>
        <v>Nucleolar protein 12</v>
      </c>
      <c r="W332" t="str">
        <f>HYPERLINK("http://www.ncbi.nlm.nih.gov/sutils/blink.cgi?pid=332028141","9E-008")</f>
        <v>9E-008</v>
      </c>
      <c r="X332" t="str">
        <f>HYPERLINK("http://www.ncbi.nlm.nih.gov/protein/332028141","gi|332028141")</f>
        <v>gi|332028141</v>
      </c>
      <c r="Y332">
        <v>60.5</v>
      </c>
      <c r="Z332">
        <v>64</v>
      </c>
      <c r="AA332">
        <v>235</v>
      </c>
      <c r="AB332">
        <v>49</v>
      </c>
      <c r="AC332">
        <v>28</v>
      </c>
      <c r="AD332">
        <v>35</v>
      </c>
      <c r="AE332">
        <v>1</v>
      </c>
      <c r="AF332">
        <v>171</v>
      </c>
      <c r="AG332">
        <v>19</v>
      </c>
      <c r="AH332">
        <v>1</v>
      </c>
      <c r="AI332">
        <v>1</v>
      </c>
      <c r="AJ332" t="s">
        <v>11</v>
      </c>
      <c r="AL332" t="s">
        <v>2597</v>
      </c>
      <c r="AM332" t="s">
        <v>2619</v>
      </c>
      <c r="AN332" t="s">
        <v>2620</v>
      </c>
      <c r="AO332" s="1" t="str">
        <f>HYPERLINK("http://exon.niaid.nih.gov/transcriptome/T_rubida/S1/links/SWISSP/Triru-contig_316-SWISSP.txt","Protein PXR1")</f>
        <v>Protein PXR1</v>
      </c>
      <c r="AP332" t="str">
        <f>HYPERLINK("http://www.uniprot.org/uniprot/A5E4P1","8E-005")</f>
        <v>8E-005</v>
      </c>
      <c r="AQ332" t="s">
        <v>2621</v>
      </c>
      <c r="AR332">
        <v>45.8</v>
      </c>
      <c r="AS332">
        <v>170</v>
      </c>
      <c r="AT332">
        <v>40</v>
      </c>
      <c r="AU332">
        <v>50</v>
      </c>
      <c r="AV332">
        <v>43</v>
      </c>
      <c r="AW332">
        <v>1</v>
      </c>
      <c r="AX332">
        <v>162</v>
      </c>
      <c r="AY332">
        <v>7</v>
      </c>
      <c r="AZ332">
        <v>18</v>
      </c>
      <c r="BA332">
        <v>1</v>
      </c>
      <c r="BB332" t="s">
        <v>11</v>
      </c>
      <c r="BD332" t="s">
        <v>704</v>
      </c>
      <c r="BE332" t="s">
        <v>2622</v>
      </c>
      <c r="BF332" t="s">
        <v>2623</v>
      </c>
      <c r="BG332" t="s">
        <v>2624</v>
      </c>
      <c r="BH332" s="1" t="s">
        <v>2625</v>
      </c>
      <c r="BI332">
        <f>HYPERLINK("http://exon.niaid.nih.gov/transcriptome/T_rubida/S1/links/GO/Triru-contig_316-GO.txt",0.000005)</f>
        <v>5.0000000000000004E-6</v>
      </c>
      <c r="BJ332" s="1" t="str">
        <f>HYPERLINK("http://exon.niaid.nih.gov/transcriptome/T_rubida/S1/links/CDD/Triru-contig_316-CDD.txt","ND5")</f>
        <v>ND5</v>
      </c>
      <c r="BK332" t="str">
        <f>HYPERLINK("http://www.ncbi.nlm.nih.gov/Structure/cdd/cddsrv.cgi?uid=MTH00095&amp;version=v4.0","6E-007")</f>
        <v>6E-007</v>
      </c>
      <c r="BL332" t="s">
        <v>2626</v>
      </c>
      <c r="BM332" s="1" t="str">
        <f>HYPERLINK("http://exon.niaid.nih.gov/transcriptome/T_rubida/S1/links/KOG/Triru-contig_316-KOG.txt","Uncharacterized conserved protein")</f>
        <v>Uncharacterized conserved protein</v>
      </c>
      <c r="BN332" t="str">
        <f>HYPERLINK("http://www.ncbi.nlm.nih.gov/COG/grace/shokog.cgi?KOG2885","4E-005")</f>
        <v>4E-005</v>
      </c>
      <c r="BO332" t="s">
        <v>737</v>
      </c>
      <c r="BP332" s="1" t="str">
        <f>HYPERLINK("http://exon.niaid.nih.gov/transcriptome/T_rubida/S1/links/PFAM/Triru-contig_316-PFAM.txt","SURF6")</f>
        <v>SURF6</v>
      </c>
      <c r="BQ332" t="str">
        <f>HYPERLINK("http://pfam.sanger.ac.uk/family?acc=PF04935","7E-007")</f>
        <v>7E-007</v>
      </c>
      <c r="BR332" s="1" t="str">
        <f>HYPERLINK("http://exon.niaid.nih.gov/transcriptome/T_rubida/S1/links/SMART/Triru-contig_316-SMART.txt","TOPEUc")</f>
        <v>TOPEUc</v>
      </c>
      <c r="BS332" t="str">
        <f>HYPERLINK("http://smart.embl-heidelberg.de/smart/do_annotation.pl?DOMAIN=TOPEUc&amp;BLAST=DUMMY","5E-004")</f>
        <v>5E-004</v>
      </c>
      <c r="BT332" s="1" t="str">
        <f>HYPERLINK("http://exon.niaid.nih.gov/transcriptome/T_rubida/S1/links/PRK/Triru-contig_316-PRK.txt","NADH dehydrogenase subunit 5")</f>
        <v>NADH dehydrogenase subunit 5</v>
      </c>
      <c r="BU332" s="2">
        <v>1.9999999999999999E-7</v>
      </c>
      <c r="BV332" s="1" t="s">
        <v>57</v>
      </c>
      <c r="BW332" t="s">
        <v>57</v>
      </c>
      <c r="BX332" s="1" t="s">
        <v>57</v>
      </c>
      <c r="BY332" t="s">
        <v>57</v>
      </c>
    </row>
    <row r="333" spans="1:77">
      <c r="A333" t="str">
        <f>HYPERLINK("http://exon.niaid.nih.gov/transcriptome/T_rubida/S1/links/Triru/Triru-contig_198.txt","Triru-contig_198")</f>
        <v>Triru-contig_198</v>
      </c>
      <c r="B333">
        <v>1</v>
      </c>
      <c r="C333" t="str">
        <f>HYPERLINK("http://exon.niaid.nih.gov/transcriptome/T_rubida/S1/links/Triru/Triru-5-48-asb-198.txt","Contig-198")</f>
        <v>Contig-198</v>
      </c>
      <c r="D333" t="str">
        <f>HYPERLINK("http://exon.niaid.nih.gov/transcriptome/T_rubida/S1/links/Triru/Triru-5-48-198-CLU.txt","Contig198")</f>
        <v>Contig198</v>
      </c>
      <c r="E333" t="str">
        <f>HYPERLINK("http://exon.niaid.nih.gov/transcriptome/T_rubida/S1/links/Triru/Triru-5-48-198-qual.txt","58.3")</f>
        <v>58.3</v>
      </c>
      <c r="F333" t="s">
        <v>10</v>
      </c>
      <c r="G333">
        <v>71.8</v>
      </c>
      <c r="H333">
        <v>197</v>
      </c>
      <c r="I333" t="s">
        <v>210</v>
      </c>
      <c r="J333">
        <v>197</v>
      </c>
      <c r="K333">
        <v>216</v>
      </c>
      <c r="L333">
        <v>177</v>
      </c>
      <c r="M333" t="s">
        <v>5525</v>
      </c>
      <c r="N333" s="15">
        <v>2</v>
      </c>
      <c r="O333" s="14" t="str">
        <f>HYPERLINK("http://exon.niaid.nih.gov/transcriptome/T_rubida/S1/links/Sigp/TRIRU-CONTIG_198-SigP.txt","Cyt")</f>
        <v>Cyt</v>
      </c>
      <c r="Q333" s="5" t="s">
        <v>4827</v>
      </c>
      <c r="R333" t="s">
        <v>4828</v>
      </c>
      <c r="V333" s="1" t="str">
        <f>HYPERLINK("http://exon.niaid.nih.gov/transcriptome/T_rubida/S1/links/NR/Triru-contig_198-NR.txt","putative NADH dehydrogenase 1 alpha subcomplex")</f>
        <v>putative NADH dehydrogenase 1 alpha subcomplex</v>
      </c>
      <c r="W333" t="str">
        <f>HYPERLINK("http://www.ncbi.nlm.nih.gov/sutils/blink.cgi?pid=90819994","1E-007")</f>
        <v>1E-007</v>
      </c>
      <c r="X333" t="str">
        <f>HYPERLINK("http://www.ncbi.nlm.nih.gov/protein/90819994","gi|90819994")</f>
        <v>gi|90819994</v>
      </c>
      <c r="Y333">
        <v>59.7</v>
      </c>
      <c r="Z333">
        <v>34</v>
      </c>
      <c r="AA333">
        <v>81</v>
      </c>
      <c r="AB333">
        <v>62</v>
      </c>
      <c r="AC333">
        <v>43</v>
      </c>
      <c r="AD333">
        <v>13</v>
      </c>
      <c r="AE333">
        <v>0</v>
      </c>
      <c r="AF333">
        <v>47</v>
      </c>
      <c r="AG333">
        <v>4</v>
      </c>
      <c r="AH333">
        <v>1</v>
      </c>
      <c r="AI333">
        <v>1</v>
      </c>
      <c r="AJ333" t="s">
        <v>11</v>
      </c>
      <c r="AL333" t="s">
        <v>1208</v>
      </c>
      <c r="AM333" t="s">
        <v>1851</v>
      </c>
      <c r="AN333" t="s">
        <v>1852</v>
      </c>
      <c r="AO333" s="1" t="str">
        <f>HYPERLINK("http://exon.niaid.nih.gov/transcriptome/T_rubida/S1/links/SWISSP/Triru-contig_198-SWISSP.txt","NADH dehydrogenase")</f>
        <v>NADH dehydrogenase</v>
      </c>
      <c r="AP333" t="str">
        <f>HYPERLINK("http://www.uniprot.org/uniprot/Q62425","0.017")</f>
        <v>0.017</v>
      </c>
      <c r="AQ333" t="s">
        <v>1853</v>
      </c>
      <c r="AR333">
        <v>38.1</v>
      </c>
      <c r="AS333">
        <v>35</v>
      </c>
      <c r="AT333">
        <v>41</v>
      </c>
      <c r="AU333">
        <v>44</v>
      </c>
      <c r="AV333">
        <v>21</v>
      </c>
      <c r="AW333">
        <v>1</v>
      </c>
      <c r="AX333">
        <v>47</v>
      </c>
      <c r="AY333">
        <v>4</v>
      </c>
      <c r="AZ333">
        <v>1</v>
      </c>
      <c r="BA333">
        <v>1</v>
      </c>
      <c r="BB333" t="s">
        <v>11</v>
      </c>
      <c r="BD333" t="s">
        <v>704</v>
      </c>
      <c r="BE333" t="s">
        <v>807</v>
      </c>
      <c r="BF333" t="s">
        <v>1854</v>
      </c>
      <c r="BG333" t="s">
        <v>1855</v>
      </c>
      <c r="BH333" s="1" t="s">
        <v>1856</v>
      </c>
      <c r="BI333">
        <f>HYPERLINK("http://exon.niaid.nih.gov/transcriptome/T_rubida/S1/links/GO/Triru-contig_198-GO.txt",0.00003)</f>
        <v>3.0000000000000001E-5</v>
      </c>
      <c r="BJ333" s="1" t="str">
        <f>HYPERLINK("http://exon.niaid.nih.gov/transcriptome/T_rubida/S1/links/CDD/Triru-contig_198-CDD.txt","B12D")</f>
        <v>B12D</v>
      </c>
      <c r="BK333" t="str">
        <f>HYPERLINK("http://www.ncbi.nlm.nih.gov/Structure/cdd/cddsrv.cgi?uid=pfam06522&amp;version=v4.0","9E-005")</f>
        <v>9E-005</v>
      </c>
      <c r="BL333" t="s">
        <v>1857</v>
      </c>
      <c r="BM333" s="1" t="str">
        <f>HYPERLINK("http://exon.niaid.nih.gov/transcriptome/T_rubida/S1/links/KOG/Triru-contig_198-KOG.txt","Acetylcholine receptor")</f>
        <v>Acetylcholine receptor</v>
      </c>
      <c r="BN333" t="str">
        <f>HYPERLINK("http://www.ncbi.nlm.nih.gov/COG/grace/shokog.cgi?KOG3645","0.73")</f>
        <v>0.73</v>
      </c>
      <c r="BO333" t="s">
        <v>728</v>
      </c>
      <c r="BP333" s="1" t="str">
        <f>HYPERLINK("http://exon.niaid.nih.gov/transcriptome/T_rubida/S1/links/PFAM/Triru-contig_198-PFAM.txt","B12D")</f>
        <v>B12D</v>
      </c>
      <c r="BQ333" t="str">
        <f>HYPERLINK("http://pfam.sanger.ac.uk/family?acc=PF06522","2E-005")</f>
        <v>2E-005</v>
      </c>
      <c r="BR333" s="1" t="str">
        <f>HYPERLINK("http://exon.niaid.nih.gov/transcriptome/T_rubida/S1/links/SMART/Triru-contig_198-SMART.txt","HOLI")</f>
        <v>HOLI</v>
      </c>
      <c r="BS333" t="str">
        <f>HYPERLINK("http://smart.embl-heidelberg.de/smart/do_annotation.pl?DOMAIN=HOLI&amp;BLAST=DUMMY","0.020")</f>
        <v>0.020</v>
      </c>
      <c r="BT333" s="1" t="str">
        <f>HYPERLINK("http://exon.niaid.nih.gov/transcriptome/T_rubida/S1/links/PRK/Triru-contig_198-PRK.txt","NADH dehydrogenase subunit 2")</f>
        <v>NADH dehydrogenase subunit 2</v>
      </c>
      <c r="BU333">
        <v>2.2999999999999998</v>
      </c>
      <c r="BV333" s="1" t="s">
        <v>57</v>
      </c>
      <c r="BW333" t="s">
        <v>57</v>
      </c>
      <c r="BX333" s="1" t="s">
        <v>57</v>
      </c>
      <c r="BY333" t="s">
        <v>57</v>
      </c>
    </row>
    <row r="334" spans="1:77">
      <c r="A334" t="str">
        <f>HYPERLINK("http://exon.niaid.nih.gov/transcriptome/T_rubida/S1/links/Triru/Triru-contig_269.txt","Triru-contig_269")</f>
        <v>Triru-contig_269</v>
      </c>
      <c r="B334">
        <v>1</v>
      </c>
      <c r="C334" t="str">
        <f>HYPERLINK("http://exon.niaid.nih.gov/transcriptome/T_rubida/S1/links/Triru/Triru-5-48-asb-269.txt","Contig-269")</f>
        <v>Contig-269</v>
      </c>
      <c r="D334" t="str">
        <f>HYPERLINK("http://exon.niaid.nih.gov/transcriptome/T_rubida/S1/links/Triru/Triru-5-48-269-CLU.txt","Contig269")</f>
        <v>Contig269</v>
      </c>
      <c r="E334" t="str">
        <f>HYPERLINK("http://exon.niaid.nih.gov/transcriptome/T_rubida/S1/links/Triru/Triru-5-48-269-qual.txt","18.2")</f>
        <v>18.2</v>
      </c>
      <c r="F334">
        <v>1</v>
      </c>
      <c r="G334">
        <v>60.2</v>
      </c>
      <c r="H334">
        <v>660</v>
      </c>
      <c r="I334" t="s">
        <v>281</v>
      </c>
      <c r="J334">
        <v>660</v>
      </c>
      <c r="K334">
        <v>679</v>
      </c>
      <c r="L334">
        <v>297</v>
      </c>
      <c r="M334" t="s">
        <v>5647</v>
      </c>
      <c r="N334" s="15">
        <v>3</v>
      </c>
      <c r="Q334" s="5" t="s">
        <v>4827</v>
      </c>
      <c r="R334" t="s">
        <v>4828</v>
      </c>
      <c r="V334" s="1" t="str">
        <f>HYPERLINK("http://exon.niaid.nih.gov/transcriptome/T_rubida/S1/links/NR/Triru-contig_269-NR.txt","SJCHGC09076 protein")</f>
        <v>SJCHGC09076 protein</v>
      </c>
      <c r="W334" t="str">
        <f>HYPERLINK("http://www.ncbi.nlm.nih.gov/sutils/blink.cgi?pid=56756781","3E-007")</f>
        <v>3E-007</v>
      </c>
      <c r="X334" t="str">
        <f>HYPERLINK("http://www.ncbi.nlm.nih.gov/protein/56756781","gi|56756781")</f>
        <v>gi|56756781</v>
      </c>
      <c r="Y334">
        <v>59.7</v>
      </c>
      <c r="Z334">
        <v>40</v>
      </c>
      <c r="AA334">
        <v>109</v>
      </c>
      <c r="AB334">
        <v>70</v>
      </c>
      <c r="AC334">
        <v>38</v>
      </c>
      <c r="AD334">
        <v>12</v>
      </c>
      <c r="AE334">
        <v>0</v>
      </c>
      <c r="AF334">
        <v>45</v>
      </c>
      <c r="AG334">
        <v>433</v>
      </c>
      <c r="AH334">
        <v>2</v>
      </c>
      <c r="AI334">
        <v>3</v>
      </c>
      <c r="AJ334" t="s">
        <v>888</v>
      </c>
      <c r="AL334" t="s">
        <v>2286</v>
      </c>
      <c r="AM334" t="s">
        <v>2287</v>
      </c>
      <c r="AN334" t="s">
        <v>2288</v>
      </c>
      <c r="AO334" s="1" t="str">
        <f>HYPERLINK("http://exon.niaid.nih.gov/transcriptome/T_rubida/S1/links/SWISSP/Triru-contig_269-SWISSP.txt","Translation initiation factor IF-2")</f>
        <v>Translation initiation factor IF-2</v>
      </c>
      <c r="AP334" t="str">
        <f>HYPERLINK("http://www.uniprot.org/uniprot/Q8CJQ8","0.45")</f>
        <v>0.45</v>
      </c>
      <c r="AQ334" t="s">
        <v>2289</v>
      </c>
      <c r="AR334">
        <v>35</v>
      </c>
      <c r="AS334">
        <v>68</v>
      </c>
      <c r="AT334">
        <v>33</v>
      </c>
      <c r="AU334">
        <v>7</v>
      </c>
      <c r="AV334">
        <v>47</v>
      </c>
      <c r="AW334">
        <v>0</v>
      </c>
      <c r="AX334">
        <v>207</v>
      </c>
      <c r="AY334">
        <v>342</v>
      </c>
      <c r="AZ334">
        <v>1</v>
      </c>
      <c r="BA334">
        <v>3</v>
      </c>
      <c r="BB334" t="s">
        <v>11</v>
      </c>
      <c r="BC334">
        <v>1.4710000000000001</v>
      </c>
      <c r="BD334" t="s">
        <v>704</v>
      </c>
      <c r="BE334" t="s">
        <v>2290</v>
      </c>
      <c r="BF334" t="s">
        <v>2291</v>
      </c>
      <c r="BG334" t="s">
        <v>2292</v>
      </c>
      <c r="BH334" s="1" t="s">
        <v>57</v>
      </c>
      <c r="BI334" t="s">
        <v>57</v>
      </c>
      <c r="BJ334" s="1" t="str">
        <f>HYPERLINK("http://exon.niaid.nih.gov/transcriptome/T_rubida/S1/links/CDD/Triru-contig_269-CDD.txt","PHA03419")</f>
        <v>PHA03419</v>
      </c>
      <c r="BK334" t="str">
        <f>HYPERLINK("http://www.ncbi.nlm.nih.gov/Structure/cdd/cddsrv.cgi?uid=PHA03419&amp;version=v4.0","0.033")</f>
        <v>0.033</v>
      </c>
      <c r="BL334" t="s">
        <v>2293</v>
      </c>
      <c r="BM334" s="1" t="str">
        <f>HYPERLINK("http://exon.niaid.nih.gov/transcriptome/T_rubida/S1/links/KOG/Triru-contig_269-KOG.txt","RhoA GTPase effector DIA/Diaphanous")</f>
        <v>RhoA GTPase effector DIA/Diaphanous</v>
      </c>
      <c r="BN334" t="str">
        <f>HYPERLINK("http://www.ncbi.nlm.nih.gov/COG/grace/shokog.cgi?KOG1924","0.012")</f>
        <v>0.012</v>
      </c>
      <c r="BO334" t="s">
        <v>923</v>
      </c>
      <c r="BP334" s="1" t="str">
        <f>HYPERLINK("http://exon.niaid.nih.gov/transcriptome/T_rubida/S1/links/PFAM/Triru-contig_269-PFAM.txt","6PF2K")</f>
        <v>6PF2K</v>
      </c>
      <c r="BQ334" t="str">
        <f>HYPERLINK("http://pfam.sanger.ac.uk/family?acc=PF01591","0.17")</f>
        <v>0.17</v>
      </c>
      <c r="BR334" s="1" t="str">
        <f>HYPERLINK("http://exon.niaid.nih.gov/transcriptome/T_rubida/S1/links/SMART/Triru-contig_269-SMART.txt","TOP2c")</f>
        <v>TOP2c</v>
      </c>
      <c r="BS334" t="str">
        <f>HYPERLINK("http://smart.embl-heidelberg.de/smart/do_annotation.pl?DOMAIN=TOP2c&amp;BLAST=DUMMY","0.11")</f>
        <v>0.11</v>
      </c>
      <c r="BT334" s="1" t="str">
        <f>HYPERLINK("http://exon.niaid.nih.gov/transcriptome/T_rubida/S1/links/PRK/Triru-contig_269-PRK.txt","E4 protein")</f>
        <v>E4 protein</v>
      </c>
      <c r="BU334">
        <v>1.4999999999999999E-2</v>
      </c>
      <c r="BV334" s="1" t="s">
        <v>57</v>
      </c>
      <c r="BW334" t="s">
        <v>57</v>
      </c>
      <c r="BX334" s="1" t="s">
        <v>57</v>
      </c>
      <c r="BY334" t="s">
        <v>57</v>
      </c>
    </row>
    <row r="335" spans="1:77">
      <c r="A335" t="str">
        <f>HYPERLINK("http://exon.niaid.nih.gov/transcriptome/T_rubida/S1/links/Triru/Triru-contig_451.txt","Triru-contig_451")</f>
        <v>Triru-contig_451</v>
      </c>
      <c r="B335">
        <v>1</v>
      </c>
      <c r="C335" t="str">
        <f>HYPERLINK("http://exon.niaid.nih.gov/transcriptome/T_rubida/S1/links/Triru/Triru-5-48-asb-451.txt","Contig-451")</f>
        <v>Contig-451</v>
      </c>
      <c r="D335" t="str">
        <f>HYPERLINK("http://exon.niaid.nih.gov/transcriptome/T_rubida/S1/links/Triru/Triru-5-48-451-CLU.txt","Contig451")</f>
        <v>Contig451</v>
      </c>
      <c r="E335" t="str">
        <f>HYPERLINK("http://exon.niaid.nih.gov/transcriptome/T_rubida/S1/links/Triru/Triru-5-48-451-qual.txt","21.9")</f>
        <v>21.9</v>
      </c>
      <c r="F335" t="s">
        <v>10</v>
      </c>
      <c r="G335">
        <v>65.8</v>
      </c>
      <c r="H335">
        <v>411</v>
      </c>
      <c r="I335" t="s">
        <v>463</v>
      </c>
      <c r="J335">
        <v>735</v>
      </c>
      <c r="K335">
        <v>754</v>
      </c>
      <c r="L335">
        <v>321</v>
      </c>
      <c r="M335" t="s">
        <v>5517</v>
      </c>
      <c r="N335" s="15">
        <v>2</v>
      </c>
      <c r="Q335" s="5" t="s">
        <v>4827</v>
      </c>
      <c r="R335" t="s">
        <v>4828</v>
      </c>
      <c r="V335" s="1" t="str">
        <f>HYPERLINK("http://exon.niaid.nih.gov/transcriptome/T_rubida/S1/links/NR/Triru-contig_451-NR.txt","hypothetical protein EBI_26875")</f>
        <v>hypothetical protein EBI_26875</v>
      </c>
      <c r="W335" t="str">
        <f>HYPERLINK("http://www.ncbi.nlm.nih.gov/sutils/blink.cgi?pid=269862229","1E-006")</f>
        <v>1E-006</v>
      </c>
      <c r="X335" t="str">
        <f>HYPERLINK("http://www.ncbi.nlm.nih.gov/protein/269862229","gi|269862229")</f>
        <v>gi|269862229</v>
      </c>
      <c r="Y335">
        <v>58.2</v>
      </c>
      <c r="Z335">
        <v>197</v>
      </c>
      <c r="AA335">
        <v>203</v>
      </c>
      <c r="AB335">
        <v>31</v>
      </c>
      <c r="AC335">
        <v>98</v>
      </c>
      <c r="AD335">
        <v>145</v>
      </c>
      <c r="AE335">
        <v>6</v>
      </c>
      <c r="AF335">
        <v>5</v>
      </c>
      <c r="AG335">
        <v>33</v>
      </c>
      <c r="AH335">
        <v>3</v>
      </c>
      <c r="AI335">
        <v>2</v>
      </c>
      <c r="AJ335" t="s">
        <v>888</v>
      </c>
      <c r="AK335">
        <v>1.0149999999999999</v>
      </c>
      <c r="AL335" t="s">
        <v>3510</v>
      </c>
      <c r="AM335" t="s">
        <v>3537</v>
      </c>
      <c r="AN335" t="s">
        <v>3538</v>
      </c>
      <c r="AO335" s="1" t="str">
        <f>HYPERLINK("http://exon.niaid.nih.gov/transcriptome/T_rubida/S1/links/SWISSP/Triru-contig_451-SWISSP.txt","Protein archease")</f>
        <v>Protein archease</v>
      </c>
      <c r="AP335" t="str">
        <f>HYPERLINK("http://www.uniprot.org/uniprot/Q505B7","4E-005")</f>
        <v>4E-005</v>
      </c>
      <c r="AQ335" t="s">
        <v>3539</v>
      </c>
      <c r="AR335">
        <v>48.9</v>
      </c>
      <c r="AS335">
        <v>154</v>
      </c>
      <c r="AT335">
        <v>24</v>
      </c>
      <c r="AU335">
        <v>92</v>
      </c>
      <c r="AV335">
        <v>117</v>
      </c>
      <c r="AW335">
        <v>1</v>
      </c>
      <c r="AX335">
        <v>9</v>
      </c>
      <c r="AY335">
        <v>251</v>
      </c>
      <c r="AZ335">
        <v>1</v>
      </c>
      <c r="BA335">
        <v>2</v>
      </c>
      <c r="BB335" t="s">
        <v>11</v>
      </c>
      <c r="BC335">
        <v>1.2989999999999999</v>
      </c>
      <c r="BD335" t="s">
        <v>704</v>
      </c>
      <c r="BE335" t="s">
        <v>807</v>
      </c>
      <c r="BF335" t="s">
        <v>3540</v>
      </c>
      <c r="BG335" t="s">
        <v>3541</v>
      </c>
      <c r="BH335" s="1" t="s">
        <v>57</v>
      </c>
      <c r="BI335" t="s">
        <v>57</v>
      </c>
      <c r="BJ335" s="1" t="str">
        <f>HYPERLINK("http://exon.niaid.nih.gov/transcriptome/T_rubida/S1/links/CDD/Triru-contig_451-CDD.txt","ND5")</f>
        <v>ND5</v>
      </c>
      <c r="BK335" t="str">
        <f>HYPERLINK("http://www.ncbi.nlm.nih.gov/Structure/cdd/cddsrv.cgi?uid=MTH00095&amp;version=v4.0","0.002")</f>
        <v>0.002</v>
      </c>
      <c r="BL335" t="s">
        <v>3542</v>
      </c>
      <c r="BM335" s="1" t="str">
        <f>HYPERLINK("http://exon.niaid.nih.gov/transcriptome/T_rubida/S1/links/KOG/Triru-contig_451-KOG.txt","Uncharacterized conserved protein")</f>
        <v>Uncharacterized conserved protein</v>
      </c>
      <c r="BN335" t="str">
        <f>HYPERLINK("http://www.ncbi.nlm.nih.gov/COG/grace/shokog.cgi?KOG4528","6E-005")</f>
        <v>6E-005</v>
      </c>
      <c r="BO335" t="s">
        <v>737</v>
      </c>
      <c r="BP335" s="1" t="str">
        <f>HYPERLINK("http://exon.niaid.nih.gov/transcriptome/T_rubida/S1/links/PFAM/Triru-contig_451-PFAM.txt","HP_OMP")</f>
        <v>HP_OMP</v>
      </c>
      <c r="BQ335" t="str">
        <f>HYPERLINK("http://pfam.sanger.ac.uk/family?acc=PF01856","0.011")</f>
        <v>0.011</v>
      </c>
      <c r="BR335" s="1" t="str">
        <f>HYPERLINK("http://exon.niaid.nih.gov/transcriptome/T_rubida/S1/links/SMART/Triru-contig_451-SMART.txt","TOP1Ac")</f>
        <v>TOP1Ac</v>
      </c>
      <c r="BS335" t="str">
        <f>HYPERLINK("http://smart.embl-heidelberg.de/smart/do_annotation.pl?DOMAIN=TOP1Ac&amp;BLAST=DUMMY","0.13")</f>
        <v>0.13</v>
      </c>
      <c r="BT335" s="1" t="str">
        <f>HYPERLINK("http://exon.niaid.nih.gov/transcriptome/T_rubida/S1/links/PRK/Triru-contig_451-PRK.txt","NADH dehydrogenase subunit 5")</f>
        <v>NADH dehydrogenase subunit 5</v>
      </c>
      <c r="BU335" s="2">
        <v>6.9999999999999999E-4</v>
      </c>
      <c r="BV335" s="1" t="s">
        <v>57</v>
      </c>
      <c r="BW335" t="s">
        <v>57</v>
      </c>
      <c r="BX335" s="1" t="s">
        <v>57</v>
      </c>
      <c r="BY335" t="s">
        <v>57</v>
      </c>
    </row>
    <row r="336" spans="1:77">
      <c r="A336" t="str">
        <f>HYPERLINK("http://exon.niaid.nih.gov/transcriptome/T_rubida/S1/links/Triru/Triru-contig_331.txt","Triru-contig_331")</f>
        <v>Triru-contig_331</v>
      </c>
      <c r="B336">
        <v>1</v>
      </c>
      <c r="C336" t="str">
        <f>HYPERLINK("http://exon.niaid.nih.gov/transcriptome/T_rubida/S1/links/Triru/Triru-5-48-asb-331.txt","Contig-331")</f>
        <v>Contig-331</v>
      </c>
      <c r="D336" t="str">
        <f>HYPERLINK("http://exon.niaid.nih.gov/transcriptome/T_rubida/S1/links/Triru/Triru-5-48-331-CLU.txt","Contig331")</f>
        <v>Contig331</v>
      </c>
      <c r="E336" t="str">
        <f>HYPERLINK("http://exon.niaid.nih.gov/transcriptome/T_rubida/S1/links/Triru/Triru-5-48-331-qual.txt","59.5")</f>
        <v>59.5</v>
      </c>
      <c r="F336" t="s">
        <v>10</v>
      </c>
      <c r="G336">
        <v>54.2</v>
      </c>
      <c r="H336">
        <v>778</v>
      </c>
      <c r="I336" t="s">
        <v>343</v>
      </c>
      <c r="J336">
        <v>778</v>
      </c>
      <c r="K336">
        <v>797</v>
      </c>
      <c r="L336">
        <v>303</v>
      </c>
      <c r="M336" t="s">
        <v>5580</v>
      </c>
      <c r="N336" s="15">
        <v>3</v>
      </c>
      <c r="O336" s="14" t="str">
        <f>HYPERLINK("http://exon.niaid.nih.gov/transcriptome/T_rubida/S1/links/Sigp/TRIRU-CONTIG_331-SigP.txt","Cyt")</f>
        <v>Cyt</v>
      </c>
      <c r="Q336" s="5" t="s">
        <v>4827</v>
      </c>
      <c r="R336" t="s">
        <v>4828</v>
      </c>
      <c r="V336" s="1" t="str">
        <f>HYPERLINK("http://exon.niaid.nih.gov/transcriptome/T_rubida/S1/links/NR/Triru-contig_331-NR.txt","similar to myosin-rhogap protein, myr")</f>
        <v>similar to myosin-rhogap protein, myr</v>
      </c>
      <c r="W336" t="str">
        <f>HYPERLINK("http://www.ncbi.nlm.nih.gov/sutils/blink.cgi?pid=156548458","1E-006")</f>
        <v>1E-006</v>
      </c>
      <c r="X336" t="str">
        <f>HYPERLINK("http://www.ncbi.nlm.nih.gov/protein/156548458","gi|156548458")</f>
        <v>gi|156548458</v>
      </c>
      <c r="Y336">
        <v>58.5</v>
      </c>
      <c r="Z336">
        <v>114</v>
      </c>
      <c r="AA336">
        <v>2292</v>
      </c>
      <c r="AB336">
        <v>32</v>
      </c>
      <c r="AC336">
        <v>5</v>
      </c>
      <c r="AD336">
        <v>78</v>
      </c>
      <c r="AE336">
        <v>1</v>
      </c>
      <c r="AF336">
        <v>2143</v>
      </c>
      <c r="AG336">
        <v>144</v>
      </c>
      <c r="AH336">
        <v>1</v>
      </c>
      <c r="AI336">
        <v>3</v>
      </c>
      <c r="AJ336" t="s">
        <v>11</v>
      </c>
      <c r="AK336">
        <v>0.877</v>
      </c>
      <c r="AL336" t="s">
        <v>1330</v>
      </c>
      <c r="AM336" t="s">
        <v>2718</v>
      </c>
      <c r="AN336" t="s">
        <v>2719</v>
      </c>
      <c r="AO336" s="1" t="str">
        <f>HYPERLINK("http://exon.niaid.nih.gov/transcriptome/T_rubida/S1/links/SWISSP/Triru-contig_331-SWISSP.txt","Adenosylhomocysteinase")</f>
        <v>Adenosylhomocysteinase</v>
      </c>
      <c r="AP336" t="str">
        <f>HYPERLINK("http://www.uniprot.org/uniprot/A4SF77","8.7")</f>
        <v>8.7</v>
      </c>
      <c r="AQ336" t="s">
        <v>2720</v>
      </c>
      <c r="AR336">
        <v>31.2</v>
      </c>
      <c r="AS336">
        <v>41</v>
      </c>
      <c r="AT336">
        <v>43</v>
      </c>
      <c r="AU336">
        <v>9</v>
      </c>
      <c r="AV336">
        <v>25</v>
      </c>
      <c r="AW336">
        <v>0</v>
      </c>
      <c r="AX336">
        <v>146</v>
      </c>
      <c r="AY336">
        <v>5</v>
      </c>
      <c r="AZ336">
        <v>1</v>
      </c>
      <c r="BA336">
        <v>2</v>
      </c>
      <c r="BB336" t="s">
        <v>11</v>
      </c>
      <c r="BD336" t="s">
        <v>704</v>
      </c>
      <c r="BE336" t="s">
        <v>2721</v>
      </c>
      <c r="BF336" t="s">
        <v>2722</v>
      </c>
      <c r="BG336" t="s">
        <v>2723</v>
      </c>
      <c r="BH336" s="1" t="s">
        <v>57</v>
      </c>
      <c r="BI336" t="s">
        <v>57</v>
      </c>
      <c r="BJ336" s="1" t="str">
        <f>HYPERLINK("http://exon.niaid.nih.gov/transcriptome/T_rubida/S1/links/CDD/Triru-contig_331-CDD.txt","Tymo_45kd_70kd")</f>
        <v>Tymo_45kd_70kd</v>
      </c>
      <c r="BK336" t="str">
        <f>HYPERLINK("http://www.ncbi.nlm.nih.gov/Structure/cdd/cddsrv.cgi?uid=pfam03251&amp;version=v4.0","0.27")</f>
        <v>0.27</v>
      </c>
      <c r="BL336" t="s">
        <v>2724</v>
      </c>
      <c r="BM336" s="1" t="str">
        <f>HYPERLINK("http://exon.niaid.nih.gov/transcriptome/T_rubida/S1/links/KOG/Triru-contig_331-KOG.txt","Nidogen and related basement membrane protein proteins")</f>
        <v>Nidogen and related basement membrane protein proteins</v>
      </c>
      <c r="BN336" t="str">
        <f>HYPERLINK("http://www.ncbi.nlm.nih.gov/COG/grace/shokog.cgi?KOG1214","0.51")</f>
        <v>0.51</v>
      </c>
      <c r="BO336" t="s">
        <v>2725</v>
      </c>
      <c r="BP336" s="1" t="str">
        <f>HYPERLINK("http://exon.niaid.nih.gov/transcriptome/T_rubida/S1/links/PFAM/Triru-contig_331-PFAM.txt","Tymo_45kd_70kd")</f>
        <v>Tymo_45kd_70kd</v>
      </c>
      <c r="BQ336" t="str">
        <f>HYPERLINK("http://pfam.sanger.ac.uk/family?acc=PF03251","0.052")</f>
        <v>0.052</v>
      </c>
      <c r="BR336" s="1" t="str">
        <f>HYPERLINK("http://exon.niaid.nih.gov/transcriptome/T_rubida/S1/links/SMART/Triru-contig_331-SMART.txt","RasGEFN")</f>
        <v>RasGEFN</v>
      </c>
      <c r="BS336" t="str">
        <f>HYPERLINK("http://smart.embl-heidelberg.de/smart/do_annotation.pl?DOMAIN=RasGEFN&amp;BLAST=DUMMY","0.072")</f>
        <v>0.072</v>
      </c>
      <c r="BT336" s="1" t="str">
        <f>HYPERLINK("http://exon.niaid.nih.gov/transcriptome/T_rubida/S1/links/PRK/Triru-contig_331-PRK.txt","x-prolyl-dipeptidyl aminopeptidase")</f>
        <v>x-prolyl-dipeptidyl aminopeptidase</v>
      </c>
      <c r="BU336">
        <v>2.1</v>
      </c>
      <c r="BV336" s="1" t="s">
        <v>57</v>
      </c>
      <c r="BW336" t="s">
        <v>57</v>
      </c>
      <c r="BX336" s="1" t="s">
        <v>57</v>
      </c>
      <c r="BY336" t="s">
        <v>57</v>
      </c>
    </row>
    <row r="337" spans="1:77">
      <c r="A337" t="str">
        <f>HYPERLINK("http://exon.niaid.nih.gov/transcriptome/T_rubida/S1/links/Triru/Triru-contig_561.txt","Triru-contig_561")</f>
        <v>Triru-contig_561</v>
      </c>
      <c r="B337">
        <v>1</v>
      </c>
      <c r="C337" t="str">
        <f>HYPERLINK("http://exon.niaid.nih.gov/transcriptome/T_rubida/S1/links/Triru/Triru-5-48-asb-561.txt","Contig-561")</f>
        <v>Contig-561</v>
      </c>
      <c r="D337" t="str">
        <f>HYPERLINK("http://exon.niaid.nih.gov/transcriptome/T_rubida/S1/links/Triru/Triru-5-48-561-CLU.txt","Contig561")</f>
        <v>Contig561</v>
      </c>
      <c r="E337" t="str">
        <f>HYPERLINK("http://exon.niaid.nih.gov/transcriptome/T_rubida/S1/links/Triru/Triru-5-48-561-qual.txt","63.6")</f>
        <v>63.6</v>
      </c>
      <c r="F337" t="s">
        <v>10</v>
      </c>
      <c r="G337">
        <v>71.099999999999994</v>
      </c>
      <c r="H337">
        <v>251</v>
      </c>
      <c r="I337" t="s">
        <v>573</v>
      </c>
      <c r="J337">
        <v>251</v>
      </c>
      <c r="K337">
        <v>270</v>
      </c>
      <c r="L337">
        <v>129</v>
      </c>
      <c r="M337" t="s">
        <v>5495</v>
      </c>
      <c r="N337" s="15">
        <v>2</v>
      </c>
      <c r="Q337" s="5" t="s">
        <v>4827</v>
      </c>
      <c r="R337" t="s">
        <v>4828</v>
      </c>
      <c r="V337" s="1" t="str">
        <f>HYPERLINK("http://exon.niaid.nih.gov/transcriptome/T_rubida/S1/links/NR/Triru-contig_561-NR.txt","hypothetical protein DAPPUDRAFT_309281")</f>
        <v>hypothetical protein DAPPUDRAFT_309281</v>
      </c>
      <c r="W337" t="str">
        <f>HYPERLINK("http://www.ncbi.nlm.nih.gov/sutils/blink.cgi?pid=321459762","2E-006")</f>
        <v>2E-006</v>
      </c>
      <c r="X337" t="str">
        <f>HYPERLINK("http://www.ncbi.nlm.nih.gov/protein/321459762","gi|321459762")</f>
        <v>gi|321459762</v>
      </c>
      <c r="Y337">
        <v>56.2</v>
      </c>
      <c r="Z337">
        <v>40</v>
      </c>
      <c r="AA337">
        <v>549</v>
      </c>
      <c r="AB337">
        <v>63</v>
      </c>
      <c r="AC337">
        <v>7</v>
      </c>
      <c r="AD337">
        <v>15</v>
      </c>
      <c r="AE337">
        <v>0</v>
      </c>
      <c r="AF337">
        <v>509</v>
      </c>
      <c r="AG337">
        <v>8</v>
      </c>
      <c r="AH337">
        <v>1</v>
      </c>
      <c r="AI337">
        <v>2</v>
      </c>
      <c r="AJ337" t="s">
        <v>11</v>
      </c>
      <c r="AL337" t="s">
        <v>1866</v>
      </c>
      <c r="AM337" t="s">
        <v>4261</v>
      </c>
      <c r="AN337" t="s">
        <v>4262</v>
      </c>
      <c r="AO337" s="1" t="str">
        <f>HYPERLINK("http://exon.niaid.nih.gov/transcriptome/T_rubida/S1/links/SWISSP/Triru-contig_561-SWISSP.txt","ATP synthase subunit alpha, mitochondrial")</f>
        <v>ATP synthase subunit alpha, mitochondrial</v>
      </c>
      <c r="AP337" t="str">
        <f>HYPERLINK("http://www.uniprot.org/uniprot/P08428","1E-005")</f>
        <v>1E-005</v>
      </c>
      <c r="AQ337" t="s">
        <v>4263</v>
      </c>
      <c r="AR337">
        <v>48.5</v>
      </c>
      <c r="AS337">
        <v>39</v>
      </c>
      <c r="AT337">
        <v>52</v>
      </c>
      <c r="AU337">
        <v>7</v>
      </c>
      <c r="AV337">
        <v>19</v>
      </c>
      <c r="AW337">
        <v>0</v>
      </c>
      <c r="AX337">
        <v>506</v>
      </c>
      <c r="AY337">
        <v>11</v>
      </c>
      <c r="AZ337">
        <v>1</v>
      </c>
      <c r="BA337">
        <v>2</v>
      </c>
      <c r="BB337" t="s">
        <v>11</v>
      </c>
      <c r="BD337" t="s">
        <v>704</v>
      </c>
      <c r="BE337" t="s">
        <v>2158</v>
      </c>
      <c r="BF337" t="s">
        <v>4264</v>
      </c>
      <c r="BG337" t="s">
        <v>4265</v>
      </c>
      <c r="BH337" s="1" t="s">
        <v>4266</v>
      </c>
      <c r="BI337">
        <f>HYPERLINK("http://exon.niaid.nih.gov/transcriptome/T_rubida/S1/links/GO/Triru-contig_561-GO.txt",0.000004)</f>
        <v>3.9999999999999998E-6</v>
      </c>
      <c r="BJ337" s="1" t="str">
        <f>HYPERLINK("http://exon.niaid.nih.gov/transcriptome/T_rubida/S1/links/CDD/Triru-contig_561-CDD.txt","PRK09281")</f>
        <v>PRK09281</v>
      </c>
      <c r="BK337" t="str">
        <f>HYPERLINK("http://www.ncbi.nlm.nih.gov/Structure/cdd/cddsrv.cgi?uid=PRK09281&amp;version=v4.0","4E-006")</f>
        <v>4E-006</v>
      </c>
      <c r="BL337" t="s">
        <v>4267</v>
      </c>
      <c r="BM337" s="1" t="str">
        <f>HYPERLINK("http://exon.niaid.nih.gov/transcriptome/T_rubida/S1/links/KOG/Triru-contig_561-KOG.txt","Telomerase catalytic subunit/reverse transcriptase TERT")</f>
        <v>Telomerase catalytic subunit/reverse transcriptase TERT</v>
      </c>
      <c r="BN337" t="str">
        <f>HYPERLINK("http://www.ncbi.nlm.nih.gov/COG/grace/shokog.cgi?KOG1005","2.1")</f>
        <v>2.1</v>
      </c>
      <c r="BO337" t="s">
        <v>1880</v>
      </c>
      <c r="BP337" s="1" t="str">
        <f>HYPERLINK("http://exon.niaid.nih.gov/transcriptome/T_rubida/S1/links/PFAM/Triru-contig_561-PFAM.txt","Bmp")</f>
        <v>Bmp</v>
      </c>
      <c r="BQ337" t="str">
        <f>HYPERLINK("http://pfam.sanger.ac.uk/family?acc=PF02608","0.19")</f>
        <v>0.19</v>
      </c>
      <c r="BR337" s="1" t="str">
        <f>HYPERLINK("http://exon.niaid.nih.gov/transcriptome/T_rubida/S1/links/SMART/Triru-contig_561-SMART.txt","ZnF_UBP")</f>
        <v>ZnF_UBP</v>
      </c>
      <c r="BS337" t="str">
        <f>HYPERLINK("http://smart.embl-heidelberg.de/smart/do_annotation.pl?DOMAIN=ZnF_UBP&amp;BLAST=DUMMY","0.11")</f>
        <v>0.11</v>
      </c>
      <c r="BT337" s="1" t="str">
        <f>HYPERLINK("http://exon.niaid.nih.gov/transcriptome/T_rubida/S1/links/PRK/Triru-contig_561-PRK.txt","F0F1 ATP synthase subunit alpha")</f>
        <v>F0F1 ATP synthase subunit alpha</v>
      </c>
      <c r="BU337" s="2">
        <v>1.9999999999999999E-6</v>
      </c>
      <c r="BV337" s="1" t="s">
        <v>57</v>
      </c>
      <c r="BW337" t="s">
        <v>57</v>
      </c>
      <c r="BX337" s="1" t="s">
        <v>57</v>
      </c>
      <c r="BY337" t="s">
        <v>57</v>
      </c>
    </row>
    <row r="338" spans="1:77">
      <c r="A338" t="str">
        <f>HYPERLINK("http://exon.niaid.nih.gov/transcriptome/T_rubida/S1/links/Triru/Triru-contig_229.txt","Triru-contig_229")</f>
        <v>Triru-contig_229</v>
      </c>
      <c r="B338">
        <v>1</v>
      </c>
      <c r="C338" t="str">
        <f>HYPERLINK("http://exon.niaid.nih.gov/transcriptome/T_rubida/S1/links/Triru/Triru-5-48-asb-229.txt","Contig-229")</f>
        <v>Contig-229</v>
      </c>
      <c r="D338" t="str">
        <f>HYPERLINK("http://exon.niaid.nih.gov/transcriptome/T_rubida/S1/links/Triru/Triru-5-48-229-CLU.txt","Contig229")</f>
        <v>Contig229</v>
      </c>
      <c r="E338" t="str">
        <f>HYPERLINK("http://exon.niaid.nih.gov/transcriptome/T_rubida/S1/links/Triru/Triru-5-48-229-qual.txt","60.6")</f>
        <v>60.6</v>
      </c>
      <c r="F338">
        <v>0.6</v>
      </c>
      <c r="G338">
        <v>50</v>
      </c>
      <c r="H338">
        <v>449</v>
      </c>
      <c r="I338" t="s">
        <v>241</v>
      </c>
      <c r="J338">
        <v>449</v>
      </c>
      <c r="K338">
        <v>468</v>
      </c>
      <c r="L338">
        <v>297</v>
      </c>
      <c r="M338" t="s">
        <v>5581</v>
      </c>
      <c r="N338" s="15">
        <v>1</v>
      </c>
      <c r="O338" s="14" t="str">
        <f>HYPERLINK("http://exon.niaid.nih.gov/transcriptome/T_rubida/S1/links/Sigp/TRIRU-CONTIG_229-SigP.txt","Cyt")</f>
        <v>Cyt</v>
      </c>
      <c r="Q338" s="5" t="s">
        <v>4827</v>
      </c>
      <c r="R338" t="s">
        <v>4828</v>
      </c>
      <c r="V338" s="1" t="str">
        <f>HYPERLINK("http://exon.niaid.nih.gov/transcriptome/T_rubida/S1/links/NR/Triru-contig_229-NR.txt","similar to myosin-rhogap protein, myr")</f>
        <v>similar to myosin-rhogap protein, myr</v>
      </c>
      <c r="W338" t="str">
        <f>HYPERLINK("http://www.ncbi.nlm.nih.gov/sutils/blink.cgi?pid=156548458","2E-006")</f>
        <v>2E-006</v>
      </c>
      <c r="X338" t="str">
        <f>HYPERLINK("http://www.ncbi.nlm.nih.gov/protein/156548458","gi|156548458")</f>
        <v>gi|156548458</v>
      </c>
      <c r="Y338">
        <v>56.2</v>
      </c>
      <c r="Z338">
        <v>73</v>
      </c>
      <c r="AA338">
        <v>2292</v>
      </c>
      <c r="AB338">
        <v>44</v>
      </c>
      <c r="AC338">
        <v>3</v>
      </c>
      <c r="AD338">
        <v>41</v>
      </c>
      <c r="AE338">
        <v>0</v>
      </c>
      <c r="AF338">
        <v>2213</v>
      </c>
      <c r="AG338">
        <v>97</v>
      </c>
      <c r="AH338">
        <v>1</v>
      </c>
      <c r="AI338">
        <v>1</v>
      </c>
      <c r="AJ338" t="s">
        <v>11</v>
      </c>
      <c r="AL338" t="s">
        <v>1330</v>
      </c>
      <c r="AM338" t="s">
        <v>2049</v>
      </c>
      <c r="AN338" t="s">
        <v>2050</v>
      </c>
      <c r="AO338" s="1" t="str">
        <f>HYPERLINK("http://exon.niaid.nih.gov/transcriptome/T_rubida/S1/links/SWISSP/Triru-contig_229-SWISSP.txt","Zinc finger protein 335")</f>
        <v>Zinc finger protein 335</v>
      </c>
      <c r="AP338" t="str">
        <f>HYPERLINK("http://www.uniprot.org/uniprot/Q9H4Z2","1.3")</f>
        <v>1.3</v>
      </c>
      <c r="AQ338" t="s">
        <v>2051</v>
      </c>
      <c r="AR338">
        <v>32.299999999999997</v>
      </c>
      <c r="AS338">
        <v>50</v>
      </c>
      <c r="AT338">
        <v>39</v>
      </c>
      <c r="AU338">
        <v>4</v>
      </c>
      <c r="AV338">
        <v>31</v>
      </c>
      <c r="AW338">
        <v>4</v>
      </c>
      <c r="AX338">
        <v>576</v>
      </c>
      <c r="AY338">
        <v>115</v>
      </c>
      <c r="AZ338">
        <v>1</v>
      </c>
      <c r="BA338">
        <v>1</v>
      </c>
      <c r="BB338" t="s">
        <v>11</v>
      </c>
      <c r="BD338" t="s">
        <v>704</v>
      </c>
      <c r="BE338" t="s">
        <v>1233</v>
      </c>
      <c r="BF338" t="s">
        <v>2052</v>
      </c>
      <c r="BG338" t="s">
        <v>2053</v>
      </c>
      <c r="BH338" s="1" t="s">
        <v>57</v>
      </c>
      <c r="BI338" t="s">
        <v>57</v>
      </c>
      <c r="BJ338" s="1" t="str">
        <f>HYPERLINK("http://exon.niaid.nih.gov/transcriptome/T_rubida/S1/links/CDD/Triru-contig_229-CDD.txt","PHA03259")</f>
        <v>PHA03259</v>
      </c>
      <c r="BK338" t="str">
        <f>HYPERLINK("http://www.ncbi.nlm.nih.gov/Structure/cdd/cddsrv.cgi?uid=PHA03259&amp;version=v4.0","0.62")</f>
        <v>0.62</v>
      </c>
      <c r="BL338" t="s">
        <v>2054</v>
      </c>
      <c r="BM338" s="1" t="str">
        <f>HYPERLINK("http://exon.niaid.nih.gov/transcriptome/T_rubida/S1/links/KOG/Triru-contig_229-KOG.txt","PHD finger protein BR140/LIN-49")</f>
        <v>PHD finger protein BR140/LIN-49</v>
      </c>
      <c r="BN338" t="str">
        <f>HYPERLINK("http://www.ncbi.nlm.nih.gov/COG/grace/shokog.cgi?KOG0955","1.1")</f>
        <v>1.1</v>
      </c>
      <c r="BO338" t="s">
        <v>750</v>
      </c>
      <c r="BP338" s="1" t="str">
        <f>HYPERLINK("http://exon.niaid.nih.gov/transcriptome/T_rubida/S1/links/PFAM/Triru-contig_229-PFAM.txt","DUF1796")</f>
        <v>DUF1796</v>
      </c>
      <c r="BQ338" t="str">
        <f>HYPERLINK("http://pfam.sanger.ac.uk/family?acc=PF08795","0.21")</f>
        <v>0.21</v>
      </c>
      <c r="BR338" s="1" t="str">
        <f>HYPERLINK("http://exon.niaid.nih.gov/transcriptome/T_rubida/S1/links/SMART/Triru-contig_229-SMART.txt","DALR_1")</f>
        <v>DALR_1</v>
      </c>
      <c r="BS338" t="str">
        <f>HYPERLINK("http://smart.embl-heidelberg.de/smart/do_annotation.pl?DOMAIN=DALR_1&amp;BLAST=DUMMY","0.047")</f>
        <v>0.047</v>
      </c>
      <c r="BT338" s="1" t="str">
        <f>HYPERLINK("http://exon.niaid.nih.gov/transcriptome/T_rubida/S1/links/PRK/Triru-contig_229-PRK.txt","Capsid triplex subunit 2")</f>
        <v>Capsid triplex subunit 2</v>
      </c>
      <c r="BU338">
        <v>0.28000000000000003</v>
      </c>
      <c r="BV338" s="1" t="s">
        <v>57</v>
      </c>
      <c r="BW338" t="s">
        <v>57</v>
      </c>
      <c r="BX338" s="1" t="s">
        <v>57</v>
      </c>
      <c r="BY338" t="s">
        <v>57</v>
      </c>
    </row>
    <row r="339" spans="1:77">
      <c r="A339" t="str">
        <f>HYPERLINK("http://exon.niaid.nih.gov/transcriptome/T_rubida/S1/links/Triru/Triru-contig_317.txt","Triru-contig_317")</f>
        <v>Triru-contig_317</v>
      </c>
      <c r="B339">
        <v>1</v>
      </c>
      <c r="C339" t="str">
        <f>HYPERLINK("http://exon.niaid.nih.gov/transcriptome/T_rubida/S1/links/Triru/Triru-5-48-asb-317.txt","Contig-317")</f>
        <v>Contig-317</v>
      </c>
      <c r="D339" t="str">
        <f>HYPERLINK("http://exon.niaid.nih.gov/transcriptome/T_rubida/S1/links/Triru/Triru-5-48-317-CLU.txt","Contig317")</f>
        <v>Contig317</v>
      </c>
      <c r="E339" t="str">
        <f>HYPERLINK("http://exon.niaid.nih.gov/transcriptome/T_rubida/S1/links/Triru/Triru-5-48-317-qual.txt","17.8")</f>
        <v>17.8</v>
      </c>
      <c r="F339" t="s">
        <v>10</v>
      </c>
      <c r="G339">
        <v>60.1</v>
      </c>
      <c r="H339">
        <v>834</v>
      </c>
      <c r="I339" t="s">
        <v>329</v>
      </c>
      <c r="J339">
        <v>834</v>
      </c>
      <c r="K339">
        <v>853</v>
      </c>
      <c r="L339">
        <v>423</v>
      </c>
      <c r="M339" t="s">
        <v>5665</v>
      </c>
      <c r="N339" s="15">
        <v>2</v>
      </c>
      <c r="O339" s="14" t="str">
        <f>HYPERLINK("http://exon.niaid.nih.gov/transcriptome/T_rubida/S1/links/Sigp/TRIRU-CONTIG_317-SigP.txt","Cyt")</f>
        <v>Cyt</v>
      </c>
      <c r="Q339" s="5" t="s">
        <v>4827</v>
      </c>
      <c r="R339" t="s">
        <v>4828</v>
      </c>
      <c r="V339" s="1" t="str">
        <f>HYPERLINK("http://exon.niaid.nih.gov/transcriptome/T_rubida/S1/links/NR/Triru-contig_317-NR.txt","unnamed protein product")</f>
        <v>unnamed protein product</v>
      </c>
      <c r="W339" t="str">
        <f>HYPERLINK("http://www.ncbi.nlm.nih.gov/sutils/blink.cgi?pid=47211613","6E-006")</f>
        <v>6E-006</v>
      </c>
      <c r="X339" t="str">
        <f>HYPERLINK("http://www.ncbi.nlm.nih.gov/protein/47211613","gi|47211613")</f>
        <v>gi|47211613</v>
      </c>
      <c r="Y339">
        <v>56.2</v>
      </c>
      <c r="Z339">
        <v>102</v>
      </c>
      <c r="AA339">
        <v>1415</v>
      </c>
      <c r="AB339">
        <v>39</v>
      </c>
      <c r="AC339">
        <v>7</v>
      </c>
      <c r="AD339">
        <v>67</v>
      </c>
      <c r="AE339">
        <v>7</v>
      </c>
      <c r="AF339">
        <v>1244</v>
      </c>
      <c r="AG339">
        <v>473</v>
      </c>
      <c r="AH339">
        <v>1</v>
      </c>
      <c r="AI339">
        <v>2</v>
      </c>
      <c r="AJ339" t="s">
        <v>11</v>
      </c>
      <c r="AK339">
        <v>0.98</v>
      </c>
      <c r="AL339" t="s">
        <v>2627</v>
      </c>
      <c r="AM339" t="s">
        <v>2628</v>
      </c>
      <c r="AN339" t="s">
        <v>2629</v>
      </c>
      <c r="AO339" s="1" t="str">
        <f>HYPERLINK("http://exon.niaid.nih.gov/transcriptome/T_rubida/S1/links/SWISSP/Triru-contig_317-SWISSP.txt","Extensin-3")</f>
        <v>Extensin-3</v>
      </c>
      <c r="AP339" t="str">
        <f>HYPERLINK("http://www.uniprot.org/uniprot/Q9FS16","2E-006")</f>
        <v>2E-006</v>
      </c>
      <c r="AQ339" t="s">
        <v>2630</v>
      </c>
      <c r="AR339">
        <v>53.1</v>
      </c>
      <c r="AS339">
        <v>401</v>
      </c>
      <c r="AT339">
        <v>26</v>
      </c>
      <c r="AU339">
        <v>93</v>
      </c>
      <c r="AV339">
        <v>155</v>
      </c>
      <c r="AW339">
        <v>15</v>
      </c>
      <c r="AX339">
        <v>28</v>
      </c>
      <c r="AY339">
        <v>107</v>
      </c>
      <c r="AZ339">
        <v>10</v>
      </c>
      <c r="BA339">
        <v>2</v>
      </c>
      <c r="BB339" t="s">
        <v>11</v>
      </c>
      <c r="BC339">
        <v>0.249</v>
      </c>
      <c r="BD339" t="s">
        <v>704</v>
      </c>
      <c r="BE339" t="s">
        <v>906</v>
      </c>
      <c r="BF339" t="s">
        <v>2631</v>
      </c>
      <c r="BG339" t="s">
        <v>2632</v>
      </c>
      <c r="BH339" s="1" t="s">
        <v>2633</v>
      </c>
      <c r="BI339">
        <f>HYPERLINK("http://exon.niaid.nih.gov/transcriptome/T_rubida/S1/links/GO/Triru-contig_317-GO.txt",0.000002)</f>
        <v>1.9999999999999999E-6</v>
      </c>
      <c r="BJ339" s="1" t="str">
        <f>HYPERLINK("http://exon.niaid.nih.gov/transcriptome/T_rubida/S1/links/CDD/Triru-contig_317-CDD.txt","Extensin_2")</f>
        <v>Extensin_2</v>
      </c>
      <c r="BK339" t="str">
        <f>HYPERLINK("http://www.ncbi.nlm.nih.gov/Structure/cdd/cddsrv.cgi?uid=pfam04554&amp;version=v4.0","0.019")</f>
        <v>0.019</v>
      </c>
      <c r="BL339" t="s">
        <v>2634</v>
      </c>
      <c r="BM339" s="1" t="str">
        <f>HYPERLINK("http://exon.niaid.nih.gov/transcriptome/T_rubida/S1/links/KOG/Triru-contig_317-KOG.txt","Rho GTPase effector BNI1 and related formins")</f>
        <v>Rho GTPase effector BNI1 and related formins</v>
      </c>
      <c r="BN339" t="str">
        <f>HYPERLINK("http://www.ncbi.nlm.nih.gov/COG/grace/shokog.cgi?KOG1922","2E-005")</f>
        <v>2E-005</v>
      </c>
      <c r="BO339" t="s">
        <v>923</v>
      </c>
      <c r="BP339" s="1" t="str">
        <f>HYPERLINK("http://exon.niaid.nih.gov/transcriptome/T_rubida/S1/links/PFAM/Triru-contig_317-PFAM.txt","Extensin_2")</f>
        <v>Extensin_2</v>
      </c>
      <c r="BQ339" t="str">
        <f>HYPERLINK("http://pfam.sanger.ac.uk/family?acc=PF04554","0.004")</f>
        <v>0.004</v>
      </c>
      <c r="BR339" s="1" t="str">
        <f>HYPERLINK("http://exon.niaid.nih.gov/transcriptome/T_rubida/S1/links/SMART/Triru-contig_317-SMART.txt","Amelogenin")</f>
        <v>Amelogenin</v>
      </c>
      <c r="BS339" t="str">
        <f>HYPERLINK("http://smart.embl-heidelberg.de/smart/do_annotation.pl?DOMAIN=Amelogenin&amp;BLAST=DUMMY","0.12")</f>
        <v>0.12</v>
      </c>
      <c r="BT339" s="1" t="str">
        <f>HYPERLINK("http://exon.niaid.nih.gov/transcriptome/T_rubida/S1/links/PRK/Triru-contig_317-PRK.txt","NADH dehydrogenase subunit 2")</f>
        <v>NADH dehydrogenase subunit 2</v>
      </c>
      <c r="BU339">
        <v>1.9E-2</v>
      </c>
      <c r="BV339" s="1" t="s">
        <v>57</v>
      </c>
      <c r="BW339" t="s">
        <v>57</v>
      </c>
      <c r="BX339" s="1" t="s">
        <v>57</v>
      </c>
      <c r="BY339" t="s">
        <v>57</v>
      </c>
    </row>
    <row r="340" spans="1:77">
      <c r="A340" t="str">
        <f>HYPERLINK("http://exon.niaid.nih.gov/transcriptome/T_rubida/S1/links/Triru/Triru-contig_554.txt","Triru-contig_554")</f>
        <v>Triru-contig_554</v>
      </c>
      <c r="B340">
        <v>1</v>
      </c>
      <c r="C340" t="str">
        <f>HYPERLINK("http://exon.niaid.nih.gov/transcriptome/T_rubida/S1/links/Triru/Triru-5-48-asb-554.txt","Contig-554")</f>
        <v>Contig-554</v>
      </c>
      <c r="D340" t="str">
        <f>HYPERLINK("http://exon.niaid.nih.gov/transcriptome/T_rubida/S1/links/Triru/Triru-5-48-554-CLU.txt","Contig554")</f>
        <v>Contig554</v>
      </c>
      <c r="E340" t="str">
        <f>HYPERLINK("http://exon.niaid.nih.gov/transcriptome/T_rubida/S1/links/Triru/Triru-5-48-554-qual.txt","59.9")</f>
        <v>59.9</v>
      </c>
      <c r="F340" t="s">
        <v>10</v>
      </c>
      <c r="G340">
        <v>58.3</v>
      </c>
      <c r="H340">
        <v>559</v>
      </c>
      <c r="I340" t="s">
        <v>566</v>
      </c>
      <c r="J340">
        <v>559</v>
      </c>
      <c r="K340">
        <v>578</v>
      </c>
      <c r="L340">
        <v>384</v>
      </c>
      <c r="M340" t="s">
        <v>5684</v>
      </c>
      <c r="N340" s="15">
        <v>2</v>
      </c>
      <c r="O340" s="14" t="str">
        <f>HYPERLINK("http://exon.niaid.nih.gov/transcriptome/T_rubida/S1/links/Sigp/TRIRU-CONTIG_554-SigP.txt","Cyt")</f>
        <v>Cyt</v>
      </c>
      <c r="Q340" s="5" t="s">
        <v>4827</v>
      </c>
      <c r="R340" t="s">
        <v>4828</v>
      </c>
      <c r="V340" s="1" t="str">
        <f>HYPERLINK("http://exon.niaid.nih.gov/transcriptome/T_rubida/S1/links/NR/Triru-contig_554-NR.txt","longitudinals lacking isoform 5")</f>
        <v>longitudinals lacking isoform 5</v>
      </c>
      <c r="W340" t="str">
        <f>HYPERLINK("http://www.ncbi.nlm.nih.gov/sutils/blink.cgi?pid=255522803","1E-005")</f>
        <v>1E-005</v>
      </c>
      <c r="X340" t="str">
        <f>HYPERLINK("http://www.ncbi.nlm.nih.gov/protein/255522803","gi|255522803")</f>
        <v>gi|255522803</v>
      </c>
      <c r="Y340">
        <v>53.9</v>
      </c>
      <c r="Z340">
        <v>82</v>
      </c>
      <c r="AA340">
        <v>402</v>
      </c>
      <c r="AB340">
        <v>37</v>
      </c>
      <c r="AC340">
        <v>21</v>
      </c>
      <c r="AD340">
        <v>53</v>
      </c>
      <c r="AE340">
        <v>11</v>
      </c>
      <c r="AF340">
        <v>254</v>
      </c>
      <c r="AG340">
        <v>44</v>
      </c>
      <c r="AH340">
        <v>1</v>
      </c>
      <c r="AI340">
        <v>2</v>
      </c>
      <c r="AJ340" t="s">
        <v>11</v>
      </c>
      <c r="AL340" t="s">
        <v>1483</v>
      </c>
      <c r="AM340" t="s">
        <v>4219</v>
      </c>
      <c r="AN340" t="s">
        <v>4220</v>
      </c>
      <c r="AO340" s="1" t="str">
        <f>HYPERLINK("http://exon.niaid.nih.gov/transcriptome/T_rubida/S1/links/SWISSP/Triru-contig_554-SWISSP.txt","Longitudinals lacking protein, isoforms J/P/Q/S/Z")</f>
        <v>Longitudinals lacking protein, isoforms J/P/Q/S/Z</v>
      </c>
      <c r="AP340" t="str">
        <f>HYPERLINK("http://www.uniprot.org/uniprot/Q9V5M6","8E-005")</f>
        <v>8E-005</v>
      </c>
      <c r="AQ340" t="s">
        <v>4221</v>
      </c>
      <c r="AR340">
        <v>47</v>
      </c>
      <c r="AS340">
        <v>91</v>
      </c>
      <c r="AT340">
        <v>37</v>
      </c>
      <c r="AU340">
        <v>10</v>
      </c>
      <c r="AV340">
        <v>58</v>
      </c>
      <c r="AW340">
        <v>11</v>
      </c>
      <c r="AX340">
        <v>374</v>
      </c>
      <c r="AY340">
        <v>23</v>
      </c>
      <c r="AZ340">
        <v>1</v>
      </c>
      <c r="BA340">
        <v>2</v>
      </c>
      <c r="BB340" t="s">
        <v>11</v>
      </c>
      <c r="BD340" t="s">
        <v>704</v>
      </c>
      <c r="BE340" t="s">
        <v>1125</v>
      </c>
      <c r="BF340" t="s">
        <v>4222</v>
      </c>
      <c r="BG340" t="s">
        <v>4223</v>
      </c>
      <c r="BH340" s="1" t="s">
        <v>57</v>
      </c>
      <c r="BI340" t="s">
        <v>57</v>
      </c>
      <c r="BJ340" s="1" t="str">
        <f>HYPERLINK("http://exon.niaid.nih.gov/transcriptome/T_rubida/S1/links/CDD/Triru-contig_554-CDD.txt","COG4938")</f>
        <v>COG4938</v>
      </c>
      <c r="BK340" t="str">
        <f>HYPERLINK("http://www.ncbi.nlm.nih.gov/Structure/cdd/cddsrv.cgi?uid=COG4938&amp;version=v4.0","0.68")</f>
        <v>0.68</v>
      </c>
      <c r="BL340" t="s">
        <v>4224</v>
      </c>
      <c r="BM340" s="1" t="str">
        <f>HYPERLINK("http://exon.niaid.nih.gov/transcriptome/T_rubida/S1/links/KOG/Triru-contig_554-KOG.txt","Guanine-nucleotide releasing factor")</f>
        <v>Guanine-nucleotide releasing factor</v>
      </c>
      <c r="BN340" t="str">
        <f>HYPERLINK("http://www.ncbi.nlm.nih.gov/COG/grace/shokog.cgi?KOG3629","0.35")</f>
        <v>0.35</v>
      </c>
      <c r="BO340" t="s">
        <v>728</v>
      </c>
      <c r="BP340" s="1" t="str">
        <f>HYPERLINK("http://exon.niaid.nih.gov/transcriptome/T_rubida/S1/links/PFAM/Triru-contig_554-PFAM.txt","SE")</f>
        <v>SE</v>
      </c>
      <c r="BQ340" t="str">
        <f>HYPERLINK("http://pfam.sanger.ac.uk/family?acc=PF08491","0.36")</f>
        <v>0.36</v>
      </c>
      <c r="BR340" s="1" t="str">
        <f>HYPERLINK("http://exon.niaid.nih.gov/transcriptome/T_rubida/S1/links/SMART/Triru-contig_554-SMART.txt","DENN")</f>
        <v>DENN</v>
      </c>
      <c r="BS340" t="str">
        <f>HYPERLINK("http://smart.embl-heidelberg.de/smart/do_annotation.pl?DOMAIN=DENN&amp;BLAST=DUMMY","0.074")</f>
        <v>0.074</v>
      </c>
      <c r="BT340" s="1" t="str">
        <f>HYPERLINK("http://exon.niaid.nih.gov/transcriptome/T_rubida/S1/links/PRK/Triru-contig_554-PRK.txt","6-phosphofructokinase")</f>
        <v>6-phosphofructokinase</v>
      </c>
      <c r="BU340">
        <v>0.57999999999999996</v>
      </c>
      <c r="BV340" s="1" t="s">
        <v>57</v>
      </c>
      <c r="BW340" t="s">
        <v>57</v>
      </c>
      <c r="BX340" s="1" t="s">
        <v>57</v>
      </c>
      <c r="BY340" t="s">
        <v>57</v>
      </c>
    </row>
    <row r="341" spans="1:77">
      <c r="A341" t="str">
        <f>HYPERLINK("http://exon.niaid.nih.gov/transcriptome/T_rubida/S1/links/Triru/Triru-contig_652.txt","Triru-contig_652")</f>
        <v>Triru-contig_652</v>
      </c>
      <c r="B341">
        <v>1</v>
      </c>
      <c r="C341" t="str">
        <f>HYPERLINK("http://exon.niaid.nih.gov/transcriptome/T_rubida/S1/links/Triru/Triru-5-48-asb-652.txt","Contig-652")</f>
        <v>Contig-652</v>
      </c>
      <c r="D341" t="str">
        <f>HYPERLINK("http://exon.niaid.nih.gov/transcriptome/T_rubida/S1/links/Triru/Triru-5-48-652-CLU.txt","Contig652")</f>
        <v>Contig652</v>
      </c>
      <c r="E341" t="str">
        <f>HYPERLINK("http://exon.niaid.nih.gov/transcriptome/T_rubida/S1/links/Triru/Triru-5-48-652-qual.txt","55.1")</f>
        <v>55.1</v>
      </c>
      <c r="F341" t="s">
        <v>10</v>
      </c>
      <c r="G341">
        <v>59.5</v>
      </c>
      <c r="H341">
        <v>149</v>
      </c>
      <c r="I341" t="s">
        <v>664</v>
      </c>
      <c r="J341">
        <v>149</v>
      </c>
      <c r="K341">
        <v>168</v>
      </c>
      <c r="L341">
        <v>111</v>
      </c>
      <c r="M341" t="s">
        <v>5689</v>
      </c>
      <c r="N341" s="15">
        <v>1</v>
      </c>
      <c r="Q341" s="5" t="s">
        <v>4827</v>
      </c>
      <c r="R341" t="s">
        <v>4828</v>
      </c>
      <c r="V341" s="1" t="str">
        <f>HYPERLINK("http://exon.niaid.nih.gov/transcriptome/T_rubida/S1/links/NR/Triru-contig_652-NR.txt","hypothetical protein, conserved")</f>
        <v>hypothetical protein, conserved</v>
      </c>
      <c r="W341" t="str">
        <f>HYPERLINK("http://www.ncbi.nlm.nih.gov/sutils/blink.cgi?pid=261332623","1E-005")</f>
        <v>1E-005</v>
      </c>
      <c r="X341" t="str">
        <f>HYPERLINK("http://www.ncbi.nlm.nih.gov/protein/261332623","gi|261332623")</f>
        <v>gi|261332623</v>
      </c>
      <c r="Y341">
        <v>53.1</v>
      </c>
      <c r="Z341">
        <v>31</v>
      </c>
      <c r="AA341">
        <v>141</v>
      </c>
      <c r="AB341">
        <v>81</v>
      </c>
      <c r="AC341">
        <v>23</v>
      </c>
      <c r="AD341">
        <v>6</v>
      </c>
      <c r="AE341">
        <v>0</v>
      </c>
      <c r="AF341">
        <v>104</v>
      </c>
      <c r="AG341">
        <v>10</v>
      </c>
      <c r="AH341">
        <v>1</v>
      </c>
      <c r="AI341">
        <v>1</v>
      </c>
      <c r="AJ341" t="s">
        <v>11</v>
      </c>
      <c r="AL341" t="s">
        <v>1888</v>
      </c>
      <c r="AM341" t="s">
        <v>4775</v>
      </c>
      <c r="AN341" t="s">
        <v>4776</v>
      </c>
      <c r="AO341" s="1" t="str">
        <f>HYPERLINK("http://exon.niaid.nih.gov/transcriptome/T_rubida/S1/links/SWISSP/Triru-contig_652-SWISSP.txt","BRO1 domain-containing protein BROX")</f>
        <v>BRO1 domain-containing protein BROX</v>
      </c>
      <c r="AP341" t="str">
        <f>HYPERLINK("http://www.uniprot.org/uniprot/Q4V8K5","6.2")</f>
        <v>6.2</v>
      </c>
      <c r="AQ341" t="s">
        <v>4777</v>
      </c>
      <c r="AR341">
        <v>29.6</v>
      </c>
      <c r="AS341">
        <v>21</v>
      </c>
      <c r="AT341">
        <v>45</v>
      </c>
      <c r="AU341">
        <v>5</v>
      </c>
      <c r="AV341">
        <v>12</v>
      </c>
      <c r="AW341">
        <v>0</v>
      </c>
      <c r="AX341">
        <v>234</v>
      </c>
      <c r="AY341">
        <v>75</v>
      </c>
      <c r="AZ341">
        <v>1</v>
      </c>
      <c r="BA341">
        <v>3</v>
      </c>
      <c r="BB341" t="s">
        <v>11</v>
      </c>
      <c r="BD341" t="s">
        <v>704</v>
      </c>
      <c r="BE341" t="s">
        <v>1164</v>
      </c>
      <c r="BF341" t="s">
        <v>4778</v>
      </c>
      <c r="BG341" t="s">
        <v>4779</v>
      </c>
      <c r="BH341" s="1" t="s">
        <v>57</v>
      </c>
      <c r="BI341" t="s">
        <v>57</v>
      </c>
      <c r="BJ341" s="1" t="str">
        <f>HYPERLINK("http://exon.niaid.nih.gov/transcriptome/T_rubida/S1/links/CDD/Triru-contig_652-CDD.txt","Bunya_RdRp")</f>
        <v>Bunya_RdRp</v>
      </c>
      <c r="BK341" t="str">
        <f>HYPERLINK("http://www.ncbi.nlm.nih.gov/Structure/cdd/cddsrv.cgi?uid=pfam04196&amp;version=v4.0","0.64")</f>
        <v>0.64</v>
      </c>
      <c r="BL341" t="s">
        <v>4780</v>
      </c>
      <c r="BM341" s="1" t="str">
        <f>HYPERLINK("http://exon.niaid.nih.gov/transcriptome/T_rubida/S1/links/KOG/Triru-contig_652-KOG.txt","Uncharacterized conserved protein")</f>
        <v>Uncharacterized conserved protein</v>
      </c>
      <c r="BN341" t="str">
        <f>HYPERLINK("http://www.ncbi.nlm.nih.gov/COG/grace/shokog.cgi?KOG1134","2.6")</f>
        <v>2.6</v>
      </c>
      <c r="BO341" t="s">
        <v>750</v>
      </c>
      <c r="BP341" s="1" t="str">
        <f>HYPERLINK("http://exon.niaid.nih.gov/transcriptome/T_rubida/S1/links/PFAM/Triru-contig_652-PFAM.txt","Bunya_RdRp")</f>
        <v>Bunya_RdRp</v>
      </c>
      <c r="BQ341" t="str">
        <f>HYPERLINK("http://pfam.sanger.ac.uk/family?acc=PF04196","0.14")</f>
        <v>0.14</v>
      </c>
      <c r="BR341" s="1" t="str">
        <f>HYPERLINK("http://exon.niaid.nih.gov/transcriptome/T_rubida/S1/links/SMART/Triru-contig_652-SMART.txt","Sema")</f>
        <v>Sema</v>
      </c>
      <c r="BS341" t="str">
        <f>HYPERLINK("http://smart.embl-heidelberg.de/smart/do_annotation.pl?DOMAIN=Sema&amp;BLAST=DUMMY","0.28")</f>
        <v>0.28</v>
      </c>
      <c r="BT341" s="1" t="str">
        <f>HYPERLINK("http://exon.niaid.nih.gov/transcriptome/T_rubida/S1/links/PRK/Triru-contig_652-PRK.txt","NADH dehydrogenase subunit 1")</f>
        <v>NADH dehydrogenase subunit 1</v>
      </c>
      <c r="BU341">
        <v>0.5</v>
      </c>
      <c r="BV341" s="1" t="s">
        <v>57</v>
      </c>
      <c r="BW341" t="s">
        <v>57</v>
      </c>
      <c r="BX341" s="1" t="s">
        <v>57</v>
      </c>
      <c r="BY341" t="s">
        <v>57</v>
      </c>
    </row>
    <row r="342" spans="1:77">
      <c r="A342" t="str">
        <f>HYPERLINK("http://exon.niaid.nih.gov/transcriptome/T_rubida/S1/links/Triru/Triru-contig_556.txt","Triru-contig_556")</f>
        <v>Triru-contig_556</v>
      </c>
      <c r="B342">
        <v>1</v>
      </c>
      <c r="C342" t="str">
        <f>HYPERLINK("http://exon.niaid.nih.gov/transcriptome/T_rubida/S1/links/Triru/Triru-5-48-asb-556.txt","Contig-556")</f>
        <v>Contig-556</v>
      </c>
      <c r="D342" t="str">
        <f>HYPERLINK("http://exon.niaid.nih.gov/transcriptome/T_rubida/S1/links/Triru/Triru-5-48-556-CLU.txt","Contig556")</f>
        <v>Contig556</v>
      </c>
      <c r="E342" t="str">
        <f>HYPERLINK("http://exon.niaid.nih.gov/transcriptome/T_rubida/S1/links/Triru/Triru-5-48-556-qual.txt","55.2")</f>
        <v>55.2</v>
      </c>
      <c r="F342" t="s">
        <v>10</v>
      </c>
      <c r="G342">
        <v>70</v>
      </c>
      <c r="H342">
        <v>487</v>
      </c>
      <c r="I342" t="s">
        <v>568</v>
      </c>
      <c r="J342">
        <v>487</v>
      </c>
      <c r="K342">
        <v>506</v>
      </c>
      <c r="L342">
        <v>222</v>
      </c>
      <c r="M342" t="s">
        <v>5449</v>
      </c>
      <c r="N342" s="15">
        <v>3</v>
      </c>
      <c r="O342" s="14" t="str">
        <f>HYPERLINK("http://exon.niaid.nih.gov/transcriptome/T_rubida/S1/links/Sigp/TRIRU-CONTIG_556-SigP.txt","Cyt")</f>
        <v>Cyt</v>
      </c>
      <c r="Q342" s="5" t="s">
        <v>4827</v>
      </c>
      <c r="R342" t="s">
        <v>4828</v>
      </c>
      <c r="V342" s="1" t="str">
        <f>HYPERLINK("http://exon.niaid.nih.gov/transcriptome/T_rubida/S1/links/NR/Triru-contig_556-NR.txt","transmembrane protein 184C-like")</f>
        <v>transmembrane protein 184C-like</v>
      </c>
      <c r="W342" t="str">
        <f>HYPERLINK("http://www.ncbi.nlm.nih.gov/sutils/blink.cgi?pid=340729773","2E-005")</f>
        <v>2E-005</v>
      </c>
      <c r="X342" t="str">
        <f>HYPERLINK("http://www.ncbi.nlm.nih.gov/protein/340729773","gi|340729773")</f>
        <v>gi|340729773</v>
      </c>
      <c r="Y342">
        <v>52.8</v>
      </c>
      <c r="Z342">
        <v>45</v>
      </c>
      <c r="AA342">
        <v>424</v>
      </c>
      <c r="AB342">
        <v>51</v>
      </c>
      <c r="AC342">
        <v>11</v>
      </c>
      <c r="AD342">
        <v>24</v>
      </c>
      <c r="AE342">
        <v>0</v>
      </c>
      <c r="AF342">
        <v>325</v>
      </c>
      <c r="AG342">
        <v>24</v>
      </c>
      <c r="AH342">
        <v>1</v>
      </c>
      <c r="AI342">
        <v>3</v>
      </c>
      <c r="AJ342" t="s">
        <v>11</v>
      </c>
      <c r="AL342" t="s">
        <v>1360</v>
      </c>
      <c r="AM342" t="s">
        <v>4232</v>
      </c>
      <c r="AN342" t="s">
        <v>4233</v>
      </c>
      <c r="AO342" s="1" t="str">
        <f>HYPERLINK("http://exon.niaid.nih.gov/transcriptome/T_rubida/S1/links/SWISSP/Triru-contig_556-SWISSP.txt","Transmembrane protein 184C")</f>
        <v>Transmembrane protein 184C</v>
      </c>
      <c r="AP342" t="str">
        <f>HYPERLINK("http://www.uniprot.org/uniprot/Q6GQE1","0.002")</f>
        <v>0.002</v>
      </c>
      <c r="AQ342" t="s">
        <v>4234</v>
      </c>
      <c r="AR342">
        <v>42.4</v>
      </c>
      <c r="AS342">
        <v>53</v>
      </c>
      <c r="AT342">
        <v>43</v>
      </c>
      <c r="AU342">
        <v>12</v>
      </c>
      <c r="AV342">
        <v>32</v>
      </c>
      <c r="AW342">
        <v>2</v>
      </c>
      <c r="AX342">
        <v>323</v>
      </c>
      <c r="AY342">
        <v>24</v>
      </c>
      <c r="AZ342">
        <v>1</v>
      </c>
      <c r="BA342">
        <v>3</v>
      </c>
      <c r="BB342" t="s">
        <v>11</v>
      </c>
      <c r="BD342" t="s">
        <v>704</v>
      </c>
      <c r="BE342" t="s">
        <v>2158</v>
      </c>
      <c r="BF342" t="s">
        <v>4235</v>
      </c>
      <c r="BG342" t="s">
        <v>4236</v>
      </c>
      <c r="BH342" s="1" t="s">
        <v>57</v>
      </c>
      <c r="BI342" t="s">
        <v>57</v>
      </c>
      <c r="BJ342" s="1" t="str">
        <f>HYPERLINK("http://exon.niaid.nih.gov/transcriptome/T_rubida/S1/links/CDD/Triru-contig_556-CDD.txt","Glyco_transf_22")</f>
        <v>Glyco_transf_22</v>
      </c>
      <c r="BK342" t="str">
        <f>HYPERLINK("http://www.ncbi.nlm.nih.gov/Structure/cdd/cddsrv.cgi?uid=pfam03901&amp;version=v4.0","0.46")</f>
        <v>0.46</v>
      </c>
      <c r="BL342" t="s">
        <v>4237</v>
      </c>
      <c r="BM342" s="1" t="str">
        <f>HYPERLINK("http://exon.niaid.nih.gov/transcriptome/T_rubida/S1/links/KOG/Triru-contig_556-KOG.txt","Predicted short chain-type dehydrogenase")</f>
        <v>Predicted short chain-type dehydrogenase</v>
      </c>
      <c r="BN342" t="str">
        <f>HYPERLINK("http://www.ncbi.nlm.nih.gov/COG/grace/shokog.cgi?KOG1611","2.4")</f>
        <v>2.4</v>
      </c>
      <c r="BO342" t="s">
        <v>750</v>
      </c>
      <c r="BP342" s="1" t="str">
        <f>HYPERLINK("http://exon.niaid.nih.gov/transcriptome/T_rubida/S1/links/PFAM/Triru-contig_556-PFAM.txt","Glyco_transf_22")</f>
        <v>Glyco_transf_22</v>
      </c>
      <c r="BQ342" t="str">
        <f>HYPERLINK("http://pfam.sanger.ac.uk/family?acc=PF03901","0.098")</f>
        <v>0.098</v>
      </c>
      <c r="BR342" s="1" t="str">
        <f>HYPERLINK("http://exon.niaid.nih.gov/transcriptome/T_rubida/S1/links/SMART/Triru-contig_556-SMART.txt","KISc")</f>
        <v>KISc</v>
      </c>
      <c r="BS342" t="str">
        <f>HYPERLINK("http://smart.embl-heidelberg.de/smart/do_annotation.pl?DOMAIN=KISc&amp;BLAST=DUMMY","0.057")</f>
        <v>0.057</v>
      </c>
      <c r="BT342" s="1" t="str">
        <f>HYPERLINK("http://exon.niaid.nih.gov/transcriptome/T_rubida/S1/links/PRK/Triru-contig_556-PRK.txt","NADH dehydrogenase subunit 4")</f>
        <v>NADH dehydrogenase subunit 4</v>
      </c>
      <c r="BU342">
        <v>0.42</v>
      </c>
      <c r="BV342" s="1" t="s">
        <v>57</v>
      </c>
      <c r="BW342" t="s">
        <v>57</v>
      </c>
      <c r="BX342" s="1" t="s">
        <v>57</v>
      </c>
      <c r="BY342" t="s">
        <v>57</v>
      </c>
    </row>
    <row r="343" spans="1:77">
      <c r="A343" t="str">
        <f>HYPERLINK("http://exon.niaid.nih.gov/transcriptome/T_rubida/S1/links/Triru/Triru-contig_46.txt","Triru-contig_46")</f>
        <v>Triru-contig_46</v>
      </c>
      <c r="B343">
        <v>1</v>
      </c>
      <c r="C343" t="str">
        <f>HYPERLINK("http://exon.niaid.nih.gov/transcriptome/T_rubida/S1/links/Triru/Triru-5-48-asb-46.txt","Contig-46")</f>
        <v>Contig-46</v>
      </c>
      <c r="D343" t="str">
        <f>HYPERLINK("http://exon.niaid.nih.gov/transcriptome/T_rubida/S1/links/Triru/Triru-5-48-46-CLU.txt","Contig46")</f>
        <v>Contig46</v>
      </c>
      <c r="E343" t="str">
        <f>HYPERLINK("http://exon.niaid.nih.gov/transcriptome/T_rubida/S1/links/Triru/Triru-5-48-46-qual.txt","15.8")</f>
        <v>15.8</v>
      </c>
      <c r="F343">
        <v>1.2</v>
      </c>
      <c r="G343">
        <v>54.3</v>
      </c>
      <c r="H343" t="s">
        <v>57</v>
      </c>
      <c r="I343" t="s">
        <v>58</v>
      </c>
      <c r="J343" t="s">
        <v>57</v>
      </c>
      <c r="K343">
        <v>593</v>
      </c>
      <c r="L343">
        <v>192</v>
      </c>
      <c r="M343" t="s">
        <v>5633</v>
      </c>
      <c r="N343" s="15">
        <v>2</v>
      </c>
      <c r="O343" s="14" t="str">
        <f>HYPERLINK("http://exon.niaid.nih.gov/transcriptome/T_rubida/S1/links/Sigp/TRIRU-CONTIG_46-SigP.txt","Cyt")</f>
        <v>Cyt</v>
      </c>
      <c r="Q343" s="5" t="s">
        <v>4827</v>
      </c>
      <c r="R343" t="s">
        <v>4828</v>
      </c>
      <c r="V343" s="1" t="str">
        <f>HYPERLINK("http://exon.niaid.nih.gov/transcriptome/T_rubida/S1/links/NR/Triru-contig_46-NR.txt","WH2 domain-containing protein")</f>
        <v>WH2 domain-containing protein</v>
      </c>
      <c r="W343" t="str">
        <f>HYPERLINK("http://www.ncbi.nlm.nih.gov/sutils/blink.cgi?pid=281203791","2E-005")</f>
        <v>2E-005</v>
      </c>
      <c r="X343" t="str">
        <f>HYPERLINK("http://www.ncbi.nlm.nih.gov/protein/281203791","gi|281203791")</f>
        <v>gi|281203791</v>
      </c>
      <c r="Y343">
        <v>53.5</v>
      </c>
      <c r="Z343">
        <v>147</v>
      </c>
      <c r="AA343">
        <v>244</v>
      </c>
      <c r="AB343">
        <v>40</v>
      </c>
      <c r="AC343">
        <v>61</v>
      </c>
      <c r="AD343">
        <v>45</v>
      </c>
      <c r="AE343">
        <v>2</v>
      </c>
      <c r="AF343">
        <v>23</v>
      </c>
      <c r="AG343">
        <v>329</v>
      </c>
      <c r="AH343">
        <v>4</v>
      </c>
      <c r="AI343">
        <v>2</v>
      </c>
      <c r="AJ343" t="s">
        <v>888</v>
      </c>
      <c r="AK343">
        <v>0.68</v>
      </c>
      <c r="AL343" t="s">
        <v>914</v>
      </c>
      <c r="AM343" t="s">
        <v>915</v>
      </c>
      <c r="AN343" t="s">
        <v>916</v>
      </c>
      <c r="AO343" s="1" t="str">
        <f>HYPERLINK("http://exon.niaid.nih.gov/transcriptome/T_rubida/S1/links/SWISSP/Triru-contig_46-SWISSP.txt","Formin-G")</f>
        <v>Formin-G</v>
      </c>
      <c r="AP343" t="str">
        <f>HYPERLINK("http://www.uniprot.org/uniprot/Q1ZXK2","2E-005")</f>
        <v>2E-005</v>
      </c>
      <c r="AQ343" t="s">
        <v>917</v>
      </c>
      <c r="AR343">
        <v>48.9</v>
      </c>
      <c r="AS343">
        <v>59</v>
      </c>
      <c r="AT343">
        <v>43</v>
      </c>
      <c r="AU343">
        <v>6</v>
      </c>
      <c r="AV343">
        <v>37</v>
      </c>
      <c r="AW343">
        <v>0</v>
      </c>
      <c r="AX343">
        <v>566</v>
      </c>
      <c r="AY343">
        <v>365</v>
      </c>
      <c r="AZ343">
        <v>2</v>
      </c>
      <c r="BA343">
        <v>2</v>
      </c>
      <c r="BB343" t="s">
        <v>888</v>
      </c>
      <c r="BC343">
        <v>1.6950000000000001</v>
      </c>
      <c r="BD343" t="s">
        <v>704</v>
      </c>
      <c r="BE343" t="s">
        <v>918</v>
      </c>
      <c r="BF343" t="s">
        <v>919</v>
      </c>
      <c r="BG343" t="s">
        <v>920</v>
      </c>
      <c r="BH343" s="1" t="s">
        <v>921</v>
      </c>
      <c r="BI343">
        <f>HYPERLINK("http://exon.niaid.nih.gov/transcriptome/T_rubida/S1/links/GO/Triru-contig_46-GO.txt",0.00002)</f>
        <v>2.0000000000000002E-5</v>
      </c>
      <c r="BJ343" s="1" t="str">
        <f>HYPERLINK("http://exon.niaid.nih.gov/transcriptome/T_rubida/S1/links/CDD/Triru-contig_46-CDD.txt","PHA03419")</f>
        <v>PHA03419</v>
      </c>
      <c r="BK343" t="str">
        <f>HYPERLINK("http://www.ncbi.nlm.nih.gov/Structure/cdd/cddsrv.cgi?uid=PHA03419&amp;version=v4.0","8E-005")</f>
        <v>8E-005</v>
      </c>
      <c r="BL343" t="s">
        <v>922</v>
      </c>
      <c r="BM343" s="1" t="str">
        <f>HYPERLINK("http://exon.niaid.nih.gov/transcriptome/T_rubida/S1/links/KOG/Triru-contig_46-KOG.txt","RhoA GTPase effector DIA/Diaphanous")</f>
        <v>RhoA GTPase effector DIA/Diaphanous</v>
      </c>
      <c r="BN343" t="str">
        <f>HYPERLINK("http://www.ncbi.nlm.nih.gov/COG/grace/shokog.cgi?KOG1924","9E-006")</f>
        <v>9E-006</v>
      </c>
      <c r="BO343" t="s">
        <v>923</v>
      </c>
      <c r="BP343" s="1" t="str">
        <f>HYPERLINK("http://exon.niaid.nih.gov/transcriptome/T_rubida/S1/links/PFAM/Triru-contig_46-PFAM.txt","FAP")</f>
        <v>FAP</v>
      </c>
      <c r="BQ343" t="str">
        <f>HYPERLINK("http://pfam.sanger.ac.uk/family?acc=PF07174","0.001")</f>
        <v>0.001</v>
      </c>
      <c r="BR343" s="1" t="str">
        <f>HYPERLINK("http://exon.niaid.nih.gov/transcriptome/T_rubida/S1/links/SMART/Triru-contig_46-SMART.txt","PRP")</f>
        <v>PRP</v>
      </c>
      <c r="BS343" t="str">
        <f>HYPERLINK("http://smart.embl-heidelberg.de/smart/do_annotation.pl?DOMAIN=PRP&amp;BLAST=DUMMY","0.003")</f>
        <v>0.003</v>
      </c>
      <c r="BT343" s="1" t="str">
        <f>HYPERLINK("http://exon.niaid.nih.gov/transcriptome/T_rubida/S1/links/PRK/Triru-contig_46-PRK.txt","E4 protein")</f>
        <v>E4 protein</v>
      </c>
      <c r="BU343" s="2">
        <v>3.0000000000000001E-5</v>
      </c>
      <c r="BV343" s="1" t="s">
        <v>57</v>
      </c>
      <c r="BW343" t="s">
        <v>57</v>
      </c>
      <c r="BX343" s="1" t="s">
        <v>57</v>
      </c>
      <c r="BY343" t="s">
        <v>57</v>
      </c>
    </row>
    <row r="344" spans="1:77">
      <c r="A344" t="str">
        <f>HYPERLINK("http://exon.niaid.nih.gov/transcriptome/T_rubida/S1/links/Triru/Triru-contig_462.txt","Triru-contig_462")</f>
        <v>Triru-contig_462</v>
      </c>
      <c r="B344">
        <v>1</v>
      </c>
      <c r="C344" t="str">
        <f>HYPERLINK("http://exon.niaid.nih.gov/transcriptome/T_rubida/S1/links/Triru/Triru-5-48-asb-462.txt","Contig-462")</f>
        <v>Contig-462</v>
      </c>
      <c r="D344" t="str">
        <f>HYPERLINK("http://exon.niaid.nih.gov/transcriptome/T_rubida/S1/links/Triru/Triru-5-48-462-CLU.txt","Contig462")</f>
        <v>Contig462</v>
      </c>
      <c r="E344" t="str">
        <f>HYPERLINK("http://exon.niaid.nih.gov/transcriptome/T_rubida/S1/links/Triru/Triru-5-48-462-qual.txt","27.7")</f>
        <v>27.7</v>
      </c>
      <c r="F344" t="s">
        <v>10</v>
      </c>
      <c r="G344">
        <v>72</v>
      </c>
      <c r="H344">
        <v>213</v>
      </c>
      <c r="I344" t="s">
        <v>474</v>
      </c>
      <c r="J344">
        <v>213</v>
      </c>
      <c r="K344">
        <v>232</v>
      </c>
      <c r="L344">
        <v>225</v>
      </c>
      <c r="M344" t="s">
        <v>5644</v>
      </c>
      <c r="N344" s="15">
        <v>3</v>
      </c>
      <c r="O344" s="14" t="str">
        <f>HYPERLINK("http://exon.niaid.nih.gov/transcriptome/T_rubida/S1/links/Sigp/TRIRU-CONTIG_462-SigP.txt","Cyt")</f>
        <v>Cyt</v>
      </c>
      <c r="Q344" s="5" t="s">
        <v>4827</v>
      </c>
      <c r="R344" t="s">
        <v>4828</v>
      </c>
      <c r="V344" s="1" t="str">
        <f>HYPERLINK("http://exon.niaid.nih.gov/transcriptome/T_rubida/S1/links/NR/Triru-contig_462-NR.txt","hypothetical protein RUMTOR_02920")</f>
        <v>hypothetical protein RUMTOR_02920</v>
      </c>
      <c r="W344" t="str">
        <f>HYPERLINK("http://www.ncbi.nlm.nih.gov/sutils/blink.cgi?pid=153816664","3E-005")</f>
        <v>3E-005</v>
      </c>
      <c r="X344" t="str">
        <f>HYPERLINK("http://www.ncbi.nlm.nih.gov/protein/153816664","gi|153816664")</f>
        <v>gi|153816664</v>
      </c>
      <c r="Y344">
        <v>52</v>
      </c>
      <c r="Z344">
        <v>117</v>
      </c>
      <c r="AA344">
        <v>159</v>
      </c>
      <c r="AB344">
        <v>44</v>
      </c>
      <c r="AC344">
        <v>74</v>
      </c>
      <c r="AD344">
        <v>32</v>
      </c>
      <c r="AE344">
        <v>0</v>
      </c>
      <c r="AF344">
        <v>30</v>
      </c>
      <c r="AG344">
        <v>30</v>
      </c>
      <c r="AH344">
        <v>6</v>
      </c>
      <c r="AI344">
        <v>2</v>
      </c>
      <c r="AJ344" t="s">
        <v>888</v>
      </c>
      <c r="AK344">
        <v>0.85499999999999998</v>
      </c>
      <c r="AL344" t="s">
        <v>3609</v>
      </c>
      <c r="AM344" t="s">
        <v>3610</v>
      </c>
      <c r="AN344" t="s">
        <v>1903</v>
      </c>
      <c r="AO344" s="1" t="str">
        <f>HYPERLINK("http://exon.niaid.nih.gov/transcriptome/T_rubida/S1/links/SWISSP/Triru-contig_462-SWISSP.txt","DNA-directed RNA polymerase subunit beta C-terminal section")</f>
        <v>DNA-directed RNA polymerase subunit beta C-terminal section</v>
      </c>
      <c r="AP344" t="str">
        <f>HYPERLINK("http://www.uniprot.org/uniprot/Q06SF4","0.11")</f>
        <v>0.11</v>
      </c>
      <c r="AQ344" t="s">
        <v>3611</v>
      </c>
      <c r="AR344">
        <v>35.4</v>
      </c>
      <c r="AS344">
        <v>54</v>
      </c>
      <c r="AT344">
        <v>46</v>
      </c>
      <c r="AU344">
        <v>5</v>
      </c>
      <c r="AV344">
        <v>28</v>
      </c>
      <c r="AW344">
        <v>4</v>
      </c>
      <c r="AX344">
        <v>282</v>
      </c>
      <c r="AY344">
        <v>48</v>
      </c>
      <c r="AZ344">
        <v>2</v>
      </c>
      <c r="BA344">
        <v>2</v>
      </c>
      <c r="BB344" t="s">
        <v>888</v>
      </c>
      <c r="BC344">
        <v>1.8520000000000001</v>
      </c>
      <c r="BD344" t="s">
        <v>704</v>
      </c>
      <c r="BE344" t="s">
        <v>3612</v>
      </c>
      <c r="BF344" t="s">
        <v>3613</v>
      </c>
      <c r="BG344" t="s">
        <v>3614</v>
      </c>
      <c r="BH344" s="1" t="s">
        <v>57</v>
      </c>
      <c r="BI344" t="s">
        <v>57</v>
      </c>
      <c r="BJ344" s="1" t="str">
        <f>HYPERLINK("http://exon.niaid.nih.gov/transcriptome/T_rubida/S1/links/CDD/Triru-contig_462-CDD.txt","AA_permease")</f>
        <v>AA_permease</v>
      </c>
      <c r="BK344" t="str">
        <f>HYPERLINK("http://www.ncbi.nlm.nih.gov/Structure/cdd/cddsrv.cgi?uid=pfam00324&amp;version=v4.0","0.063")</f>
        <v>0.063</v>
      </c>
      <c r="BL344" t="s">
        <v>3615</v>
      </c>
      <c r="BM344" s="1" t="str">
        <f>HYPERLINK("http://exon.niaid.nih.gov/transcriptome/T_rubida/S1/links/KOG/Triru-contig_462-KOG.txt","Cytochrome P450 CYP2 subfamily")</f>
        <v>Cytochrome P450 CYP2 subfamily</v>
      </c>
      <c r="BN344" t="str">
        <f>HYPERLINK("http://www.ncbi.nlm.nih.gov/COG/grace/shokog.cgi?KOG0156","0.14")</f>
        <v>0.14</v>
      </c>
      <c r="BO344" t="s">
        <v>1130</v>
      </c>
      <c r="BP344" s="1" t="str">
        <f>HYPERLINK("http://exon.niaid.nih.gov/transcriptome/T_rubida/S1/links/PFAM/Triru-contig_462-PFAM.txt","AA_permease")</f>
        <v>AA_permease</v>
      </c>
      <c r="BQ344" t="str">
        <f>HYPERLINK("http://pfam.sanger.ac.uk/family?acc=PF00324","0.014")</f>
        <v>0.014</v>
      </c>
      <c r="BR344" s="1" t="str">
        <f>HYPERLINK("http://exon.niaid.nih.gov/transcriptome/T_rubida/S1/links/SMART/Triru-contig_462-SMART.txt","PlsC")</f>
        <v>PlsC</v>
      </c>
      <c r="BS344" t="str">
        <f>HYPERLINK("http://smart.embl-heidelberg.de/smart/do_annotation.pl?DOMAIN=PlsC&amp;BLAST=DUMMY","0.22")</f>
        <v>0.22</v>
      </c>
      <c r="BT344" s="1" t="str">
        <f>HYPERLINK("http://exon.niaid.nih.gov/transcriptome/T_rubida/S1/links/PRK/Triru-contig_462-PRK.txt","C/D box methylation guide ribonucleoprotein complex aNOP56 subunit")</f>
        <v>C/D box methylation guide ribonucleoprotein complex aNOP56 subunit</v>
      </c>
      <c r="BU344">
        <v>5.2999999999999999E-2</v>
      </c>
      <c r="BV344" s="1" t="s">
        <v>57</v>
      </c>
      <c r="BW344" t="s">
        <v>57</v>
      </c>
      <c r="BX344" s="1" t="s">
        <v>57</v>
      </c>
      <c r="BY344" t="s">
        <v>57</v>
      </c>
    </row>
    <row r="345" spans="1:77">
      <c r="A345" t="str">
        <f>HYPERLINK("http://exon.niaid.nih.gov/transcriptome/T_rubida/S1/links/Triru/Triru-contig_341.txt","Triru-contig_341")</f>
        <v>Triru-contig_341</v>
      </c>
      <c r="B345">
        <v>1</v>
      </c>
      <c r="C345" t="str">
        <f>HYPERLINK("http://exon.niaid.nih.gov/transcriptome/T_rubida/S1/links/Triru/Triru-5-48-asb-341.txt","Contig-341")</f>
        <v>Contig-341</v>
      </c>
      <c r="D345" t="str">
        <f>HYPERLINK("http://exon.niaid.nih.gov/transcriptome/T_rubida/S1/links/Triru/Triru-5-48-341-CLU.txt","Contig341")</f>
        <v>Contig341</v>
      </c>
      <c r="E345" t="str">
        <f>HYPERLINK("http://exon.niaid.nih.gov/transcriptome/T_rubida/S1/links/Triru/Triru-5-48-341-qual.txt","58.7")</f>
        <v>58.7</v>
      </c>
      <c r="F345" t="s">
        <v>10</v>
      </c>
      <c r="G345">
        <v>66.3</v>
      </c>
      <c r="H345">
        <v>304</v>
      </c>
      <c r="I345" t="s">
        <v>353</v>
      </c>
      <c r="J345">
        <v>304</v>
      </c>
      <c r="K345">
        <v>323</v>
      </c>
      <c r="L345">
        <v>156</v>
      </c>
      <c r="M345" t="s">
        <v>5549</v>
      </c>
      <c r="N345" s="15">
        <v>3</v>
      </c>
      <c r="O345" s="14" t="str">
        <f>HYPERLINK("http://exon.niaid.nih.gov/transcriptome/T_rubida/S1/links/Sigp/TRIRU-CONTIG_341-SigP.txt","Cyt")</f>
        <v>Cyt</v>
      </c>
      <c r="Q345" s="5" t="s">
        <v>4827</v>
      </c>
      <c r="R345" t="s">
        <v>4828</v>
      </c>
      <c r="V345" s="1" t="str">
        <f>HYPERLINK("http://exon.niaid.nih.gov/transcriptome/T_rubida/S1/links/NR/Triru-contig_341-NR.txt","RING finger motif containing protein")</f>
        <v>RING finger motif containing protein</v>
      </c>
      <c r="W345" t="str">
        <f>HYPERLINK("http://www.ncbi.nlm.nih.gov/sutils/blink.cgi?pid=241601356","5E-005")</f>
        <v>5E-005</v>
      </c>
      <c r="X345" t="str">
        <f>HYPERLINK("http://www.ncbi.nlm.nih.gov/protein/241601356","gi|241601356")</f>
        <v>gi|241601356</v>
      </c>
      <c r="Y345">
        <v>51.2</v>
      </c>
      <c r="Z345">
        <v>36</v>
      </c>
      <c r="AA345">
        <v>145</v>
      </c>
      <c r="AB345">
        <v>59</v>
      </c>
      <c r="AC345">
        <v>26</v>
      </c>
      <c r="AD345">
        <v>15</v>
      </c>
      <c r="AE345">
        <v>0</v>
      </c>
      <c r="AF345">
        <v>1</v>
      </c>
      <c r="AG345">
        <v>144</v>
      </c>
      <c r="AH345">
        <v>1</v>
      </c>
      <c r="AI345">
        <v>3</v>
      </c>
      <c r="AJ345" t="s">
        <v>11</v>
      </c>
      <c r="AL345" t="s">
        <v>2789</v>
      </c>
      <c r="AM345" t="s">
        <v>2790</v>
      </c>
      <c r="AN345" t="s">
        <v>2791</v>
      </c>
      <c r="AO345" s="1" t="str">
        <f>HYPERLINK("http://exon.niaid.nih.gov/transcriptome/T_rubida/S1/links/SWISSP/Triru-contig_341-SWISSP.txt","RING finger protein 11")</f>
        <v>RING finger protein 11</v>
      </c>
      <c r="AP345" t="str">
        <f>HYPERLINK("http://www.uniprot.org/uniprot/Q9QYK7","0.010")</f>
        <v>0.010</v>
      </c>
      <c r="AQ345" t="s">
        <v>2792</v>
      </c>
      <c r="AR345">
        <v>38.9</v>
      </c>
      <c r="AS345">
        <v>40</v>
      </c>
      <c r="AT345">
        <v>48</v>
      </c>
      <c r="AU345">
        <v>27</v>
      </c>
      <c r="AV345">
        <v>21</v>
      </c>
      <c r="AW345">
        <v>4</v>
      </c>
      <c r="AX345">
        <v>1</v>
      </c>
      <c r="AY345">
        <v>144</v>
      </c>
      <c r="AZ345">
        <v>1</v>
      </c>
      <c r="BA345">
        <v>3</v>
      </c>
      <c r="BB345" t="s">
        <v>11</v>
      </c>
      <c r="BD345" t="s">
        <v>704</v>
      </c>
      <c r="BE345" t="s">
        <v>807</v>
      </c>
      <c r="BF345" t="s">
        <v>2793</v>
      </c>
      <c r="BG345" t="s">
        <v>2794</v>
      </c>
      <c r="BH345" s="1" t="s">
        <v>57</v>
      </c>
      <c r="BI345" t="s">
        <v>57</v>
      </c>
      <c r="BJ345" s="1" t="str">
        <f>HYPERLINK("http://exon.niaid.nih.gov/transcriptome/T_rubida/S1/links/CDD/Triru-contig_341-CDD.txt","Fijivirus_P9-2")</f>
        <v>Fijivirus_P9-2</v>
      </c>
      <c r="BK345" t="str">
        <f>HYPERLINK("http://www.ncbi.nlm.nih.gov/Structure/cdd/cddsrv.cgi?uid=pfam06837&amp;version=v4.0","0.69")</f>
        <v>0.69</v>
      </c>
      <c r="BL345" t="s">
        <v>2795</v>
      </c>
      <c r="BM345" s="1" t="str">
        <f>HYPERLINK("http://exon.niaid.nih.gov/transcriptome/T_rubida/S1/links/KOG/Triru-contig_341-KOG.txt","Polyadenylate-binding protein (RRM superfamily)")</f>
        <v>Polyadenylate-binding protein (RRM superfamily)</v>
      </c>
      <c r="BN345" t="str">
        <f>HYPERLINK("http://www.ncbi.nlm.nih.gov/COG/grace/shokog.cgi?KOG0123","0.14")</f>
        <v>0.14</v>
      </c>
      <c r="BO345" t="s">
        <v>2781</v>
      </c>
      <c r="BP345" s="1" t="str">
        <f>HYPERLINK("http://exon.niaid.nih.gov/transcriptome/T_rubida/S1/links/PFAM/Triru-contig_341-PFAM.txt","Fijivirus_P9-2")</f>
        <v>Fijivirus_P9-2</v>
      </c>
      <c r="BQ345" t="str">
        <f>HYPERLINK("http://pfam.sanger.ac.uk/family?acc=PF06837","0.15")</f>
        <v>0.15</v>
      </c>
      <c r="BR345" s="1" t="str">
        <f>HYPERLINK("http://exon.niaid.nih.gov/transcriptome/T_rubida/S1/links/SMART/Triru-contig_341-SMART.txt","SHR3_chaperone")</f>
        <v>SHR3_chaperone</v>
      </c>
      <c r="BS345" t="str">
        <f>HYPERLINK("http://smart.embl-heidelberg.de/smart/do_annotation.pl?DOMAIN=SHR3_chaperone&amp;BLAST=DUMMY","0.037")</f>
        <v>0.037</v>
      </c>
      <c r="BT345" s="1" t="str">
        <f>HYPERLINK("http://exon.niaid.nih.gov/transcriptome/T_rubida/S1/links/PRK/Triru-contig_341-PRK.txt","bifunctional ATP-dependent DNA helicase/DNA polymerase III subunit epsilon")</f>
        <v>bifunctional ATP-dependent DNA helicase/DNA polymerase III subunit epsilon</v>
      </c>
      <c r="BU345">
        <v>0.42</v>
      </c>
      <c r="BV345" s="1" t="s">
        <v>57</v>
      </c>
      <c r="BW345" t="s">
        <v>57</v>
      </c>
      <c r="BX345" s="1" t="s">
        <v>57</v>
      </c>
      <c r="BY345" t="s">
        <v>57</v>
      </c>
    </row>
    <row r="346" spans="1:77">
      <c r="A346" t="str">
        <f>HYPERLINK("http://exon.niaid.nih.gov/transcriptome/T_rubida/S1/links/Triru/Triru-contig_230.txt","Triru-contig_230")</f>
        <v>Triru-contig_230</v>
      </c>
      <c r="B346">
        <v>1</v>
      </c>
      <c r="C346" t="str">
        <f>HYPERLINK("http://exon.niaid.nih.gov/transcriptome/T_rubida/S1/links/Triru/Triru-5-48-asb-230.txt","Contig-230")</f>
        <v>Contig-230</v>
      </c>
      <c r="D346" t="str">
        <f>HYPERLINK("http://exon.niaid.nih.gov/transcriptome/T_rubida/S1/links/Triru/Triru-5-48-230-CLU.txt","Contig230")</f>
        <v>Contig230</v>
      </c>
      <c r="E346" t="str">
        <f>HYPERLINK("http://exon.niaid.nih.gov/transcriptome/T_rubida/S1/links/Triru/Triru-5-48-230-qual.txt","59.6")</f>
        <v>59.6</v>
      </c>
      <c r="F346">
        <v>0.7</v>
      </c>
      <c r="G346">
        <v>64.8</v>
      </c>
      <c r="H346">
        <v>254</v>
      </c>
      <c r="I346" t="s">
        <v>242</v>
      </c>
      <c r="J346">
        <v>254</v>
      </c>
      <c r="K346">
        <v>273</v>
      </c>
      <c r="L346">
        <v>138</v>
      </c>
      <c r="M346" t="s">
        <v>5464</v>
      </c>
      <c r="N346" s="15">
        <v>3</v>
      </c>
      <c r="Q346" s="5" t="s">
        <v>4827</v>
      </c>
      <c r="R346" t="s">
        <v>4828</v>
      </c>
      <c r="V346" s="1" t="str">
        <f>HYPERLINK("http://exon.niaid.nih.gov/transcriptome/T_rubida/S1/links/NR/Triru-contig_230-NR.txt","Eukaryotic translation initiation factor 5")</f>
        <v>Eukaryotic translation initiation factor 5</v>
      </c>
      <c r="W346" t="str">
        <f>HYPERLINK("http://www.ncbi.nlm.nih.gov/sutils/blink.cgi?pid=307171464","7E-005")</f>
        <v>7E-005</v>
      </c>
      <c r="X346" t="str">
        <f>HYPERLINK("http://www.ncbi.nlm.nih.gov/protein/307171464","gi|307171464")</f>
        <v>gi|307171464</v>
      </c>
      <c r="Y346">
        <v>50.8</v>
      </c>
      <c r="Z346">
        <v>47</v>
      </c>
      <c r="AA346">
        <v>465</v>
      </c>
      <c r="AB346">
        <v>58</v>
      </c>
      <c r="AC346">
        <v>10</v>
      </c>
      <c r="AD346">
        <v>20</v>
      </c>
      <c r="AE346">
        <v>5</v>
      </c>
      <c r="AF346">
        <v>418</v>
      </c>
      <c r="AG346">
        <v>12</v>
      </c>
      <c r="AH346">
        <v>1</v>
      </c>
      <c r="AI346">
        <v>3</v>
      </c>
      <c r="AJ346" t="s">
        <v>11</v>
      </c>
      <c r="AL346" t="s">
        <v>1650</v>
      </c>
      <c r="AM346" t="s">
        <v>2055</v>
      </c>
      <c r="AN346" t="s">
        <v>2056</v>
      </c>
      <c r="AO346" s="1" t="str">
        <f>HYPERLINK("http://exon.niaid.nih.gov/transcriptome/T_rubida/S1/links/SWISSP/Triru-contig_230-SWISSP.txt","Elongation factor 1-delta")</f>
        <v>Elongation factor 1-delta</v>
      </c>
      <c r="AP346" t="str">
        <f>HYPERLINK("http://www.uniprot.org/uniprot/Q4R3D4","0.56")</f>
        <v>0.56</v>
      </c>
      <c r="AQ346" t="s">
        <v>2057</v>
      </c>
      <c r="AR346">
        <v>33.1</v>
      </c>
      <c r="AS346">
        <v>26</v>
      </c>
      <c r="AT346">
        <v>46</v>
      </c>
      <c r="AU346">
        <v>10</v>
      </c>
      <c r="AV346">
        <v>15</v>
      </c>
      <c r="AW346">
        <v>0</v>
      </c>
      <c r="AX346">
        <v>133</v>
      </c>
      <c r="AY346">
        <v>48</v>
      </c>
      <c r="AZ346">
        <v>1</v>
      </c>
      <c r="BA346">
        <v>3</v>
      </c>
      <c r="BB346" t="s">
        <v>11</v>
      </c>
      <c r="BD346" t="s">
        <v>704</v>
      </c>
      <c r="BE346" t="s">
        <v>1148</v>
      </c>
      <c r="BF346" t="s">
        <v>2058</v>
      </c>
      <c r="BG346" t="s">
        <v>2059</v>
      </c>
      <c r="BH346" s="1" t="s">
        <v>57</v>
      </c>
      <c r="BI346" t="s">
        <v>57</v>
      </c>
      <c r="BJ346" s="1" t="str">
        <f>HYPERLINK("http://exon.niaid.nih.gov/transcriptome/T_rubida/S1/links/CDD/Triru-contig_230-CDD.txt","SerH")</f>
        <v>SerH</v>
      </c>
      <c r="BK346" t="str">
        <f>HYPERLINK("http://www.ncbi.nlm.nih.gov/Structure/cdd/cddsrv.cgi?uid=pfam06873&amp;version=v4.0","0.11")</f>
        <v>0.11</v>
      </c>
      <c r="BL346" t="s">
        <v>2060</v>
      </c>
      <c r="BM346" s="1" t="str">
        <f>HYPERLINK("http://exon.niaid.nih.gov/transcriptome/T_rubida/S1/links/KOG/Triru-contig_230-KOG.txt","Elongation factor 1 beta/delta chain")</f>
        <v>Elongation factor 1 beta/delta chain</v>
      </c>
      <c r="BN346" t="str">
        <f>HYPERLINK("http://www.ncbi.nlm.nih.gov/COG/grace/shokog.cgi?KOG1668","0.53")</f>
        <v>0.53</v>
      </c>
      <c r="BO346" t="s">
        <v>790</v>
      </c>
      <c r="BP346" s="1" t="str">
        <f>HYPERLINK("http://exon.niaid.nih.gov/transcriptome/T_rubida/S1/links/PFAM/Triru-contig_230-PFAM.txt","SerH")</f>
        <v>SerH</v>
      </c>
      <c r="BQ346" t="str">
        <f>HYPERLINK("http://pfam.sanger.ac.uk/family?acc=PF06873","0.025")</f>
        <v>0.025</v>
      </c>
      <c r="BR346" s="1" t="str">
        <f>HYPERLINK("http://exon.niaid.nih.gov/transcriptome/T_rubida/S1/links/SMART/Triru-contig_230-SMART.txt","SPT2")</f>
        <v>SPT2</v>
      </c>
      <c r="BS346" t="str">
        <f>HYPERLINK("http://smart.embl-heidelberg.de/smart/do_annotation.pl?DOMAIN=SPT2&amp;BLAST=DUMMY","0.30")</f>
        <v>0.30</v>
      </c>
      <c r="BT346" s="1" t="str">
        <f>HYPERLINK("http://exon.niaid.nih.gov/transcriptome/T_rubida/S1/links/PRK/Triru-contig_230-PRK.txt","large tegument protein UL36")</f>
        <v>large tegument protein UL36</v>
      </c>
      <c r="BU346">
        <v>0.15</v>
      </c>
      <c r="BV346" s="1" t="s">
        <v>57</v>
      </c>
      <c r="BW346" t="s">
        <v>57</v>
      </c>
      <c r="BX346" s="1" t="s">
        <v>57</v>
      </c>
      <c r="BY346" t="s">
        <v>57</v>
      </c>
    </row>
    <row r="347" spans="1:77">
      <c r="A347" t="str">
        <f>HYPERLINK("http://exon.niaid.nih.gov/transcriptome/T_rubida/S1/links/Triru/Triru-contig_582.txt","Triru-contig_582")</f>
        <v>Triru-contig_582</v>
      </c>
      <c r="B347">
        <v>1</v>
      </c>
      <c r="C347" t="str">
        <f>HYPERLINK("http://exon.niaid.nih.gov/transcriptome/T_rubida/S1/links/Triru/Triru-5-48-asb-582.txt","Contig-582")</f>
        <v>Contig-582</v>
      </c>
      <c r="D347" t="str">
        <f>HYPERLINK("http://exon.niaid.nih.gov/transcriptome/T_rubida/S1/links/Triru/Triru-5-48-582-CLU.txt","Contig582")</f>
        <v>Contig582</v>
      </c>
      <c r="E347" t="str">
        <f>HYPERLINK("http://exon.niaid.nih.gov/transcriptome/T_rubida/S1/links/Triru/Triru-5-48-582-qual.txt","26.2")</f>
        <v>26.2</v>
      </c>
      <c r="F347" t="s">
        <v>10</v>
      </c>
      <c r="G347">
        <v>75.7</v>
      </c>
      <c r="H347">
        <v>392</v>
      </c>
      <c r="I347" t="s">
        <v>594</v>
      </c>
      <c r="J347">
        <v>392</v>
      </c>
      <c r="K347">
        <v>411</v>
      </c>
      <c r="L347">
        <v>219</v>
      </c>
      <c r="M347" t="s">
        <v>5571</v>
      </c>
      <c r="N347" s="15">
        <v>2</v>
      </c>
      <c r="Q347" s="5" t="s">
        <v>4827</v>
      </c>
      <c r="R347" t="s">
        <v>4828</v>
      </c>
      <c r="V347" s="1" t="str">
        <f>HYPERLINK("http://exon.niaid.nih.gov/transcriptome/T_rubida/S1/links/NR/Triru-contig_582-NR.txt","hypothetical protein Mtub2_20673")</f>
        <v>hypothetical protein Mtub2_20673</v>
      </c>
      <c r="W347" t="str">
        <f>HYPERLINK("http://www.ncbi.nlm.nih.gov/sutils/blink.cgi?pid=294996847","7E-005")</f>
        <v>7E-005</v>
      </c>
      <c r="X347" t="str">
        <f>HYPERLINK("http://www.ncbi.nlm.nih.gov/protein/294996847","gi|294996847")</f>
        <v>gi|294996847</v>
      </c>
      <c r="Y347">
        <v>50.8</v>
      </c>
      <c r="Z347">
        <v>324</v>
      </c>
      <c r="AA347">
        <v>345</v>
      </c>
      <c r="AB347">
        <v>46</v>
      </c>
      <c r="AC347">
        <v>94</v>
      </c>
      <c r="AD347">
        <v>35</v>
      </c>
      <c r="AE347">
        <v>10</v>
      </c>
      <c r="AF347">
        <v>0</v>
      </c>
      <c r="AG347">
        <v>0</v>
      </c>
      <c r="AH347">
        <v>77</v>
      </c>
      <c r="AI347">
        <v>2</v>
      </c>
      <c r="AJ347" t="s">
        <v>888</v>
      </c>
      <c r="AK347">
        <v>0.309</v>
      </c>
      <c r="AL347" t="s">
        <v>4403</v>
      </c>
      <c r="AM347" t="s">
        <v>4404</v>
      </c>
      <c r="AN347" t="s">
        <v>1903</v>
      </c>
      <c r="AO347" s="1" t="str">
        <f>HYPERLINK("http://exon.niaid.nih.gov/transcriptome/T_rubida/S1/links/SWISSP/Triru-contig_582-SWISSP.txt","Uncharacterized mitochondrial protein ORF14")</f>
        <v>Uncharacterized mitochondrial protein ORF14</v>
      </c>
      <c r="AP347" t="str">
        <f>HYPERLINK("http://www.uniprot.org/uniprot/P15615","0.039")</f>
        <v>0.039</v>
      </c>
      <c r="AQ347" t="s">
        <v>4405</v>
      </c>
      <c r="AR347">
        <v>37</v>
      </c>
      <c r="AS347">
        <v>86</v>
      </c>
      <c r="AT347">
        <v>34</v>
      </c>
      <c r="AU347">
        <v>22</v>
      </c>
      <c r="AV347">
        <v>67</v>
      </c>
      <c r="AW347">
        <v>6</v>
      </c>
      <c r="AX347">
        <v>2</v>
      </c>
      <c r="AY347">
        <v>101</v>
      </c>
      <c r="AZ347">
        <v>1</v>
      </c>
      <c r="BA347">
        <v>2</v>
      </c>
      <c r="BB347" t="s">
        <v>11</v>
      </c>
      <c r="BC347">
        <v>2.3260000000000001</v>
      </c>
      <c r="BD347" t="s">
        <v>704</v>
      </c>
      <c r="BE347" t="s">
        <v>1997</v>
      </c>
      <c r="BF347" t="s">
        <v>4406</v>
      </c>
      <c r="BG347" t="s">
        <v>4407</v>
      </c>
      <c r="BH347" s="1" t="s">
        <v>57</v>
      </c>
      <c r="BI347" t="s">
        <v>57</v>
      </c>
      <c r="BJ347" s="1" t="str">
        <f>HYPERLINK("http://exon.niaid.nih.gov/transcriptome/T_rubida/S1/links/CDD/Triru-contig_582-CDD.txt","ND5")</f>
        <v>ND5</v>
      </c>
      <c r="BK347" t="str">
        <f>HYPERLINK("http://www.ncbi.nlm.nih.gov/Structure/cdd/cddsrv.cgi?uid=MTH00095&amp;version=v4.0","0.003")</f>
        <v>0.003</v>
      </c>
      <c r="BL347" t="s">
        <v>4408</v>
      </c>
      <c r="BM347" s="1" t="str">
        <f>HYPERLINK("http://exon.niaid.nih.gov/transcriptome/T_rubida/S1/links/KOG/Triru-contig_582-KOG.txt","Sodium-neurotransmitter symporter")</f>
        <v>Sodium-neurotransmitter symporter</v>
      </c>
      <c r="BN347" t="str">
        <f>HYPERLINK("http://www.ncbi.nlm.nih.gov/COG/grace/shokog.cgi?KOG3659","0.14")</f>
        <v>0.14</v>
      </c>
      <c r="BO347" t="s">
        <v>728</v>
      </c>
      <c r="BP347" s="1" t="str">
        <f>HYPERLINK("http://exon.niaid.nih.gov/transcriptome/T_rubida/S1/links/PFAM/Triru-contig_582-PFAM.txt","Ycf1")</f>
        <v>Ycf1</v>
      </c>
      <c r="BQ347" t="str">
        <f>HYPERLINK("http://pfam.sanger.ac.uk/family?acc=PF05758","0.006")</f>
        <v>0.006</v>
      </c>
      <c r="BR347" s="1" t="str">
        <f>HYPERLINK("http://exon.niaid.nih.gov/transcriptome/T_rubida/S1/links/SMART/Triru-contig_582-SMART.txt","SWAP")</f>
        <v>SWAP</v>
      </c>
      <c r="BS347" t="str">
        <f>HYPERLINK("http://smart.embl-heidelberg.de/smart/do_annotation.pl?DOMAIN=SWAP&amp;BLAST=DUMMY","0.022")</f>
        <v>0.022</v>
      </c>
      <c r="BT347" s="1" t="str">
        <f>HYPERLINK("http://exon.niaid.nih.gov/transcriptome/T_rubida/S1/links/PRK/Triru-contig_582-PRK.txt","NADH dehydrogenase subunit 5")</f>
        <v>NADH dehydrogenase subunit 5</v>
      </c>
      <c r="BU347">
        <v>2E-3</v>
      </c>
      <c r="BV347" s="1" t="s">
        <v>57</v>
      </c>
      <c r="BW347" t="s">
        <v>57</v>
      </c>
      <c r="BX347" s="1" t="s">
        <v>57</v>
      </c>
      <c r="BY347" t="s">
        <v>57</v>
      </c>
    </row>
    <row r="348" spans="1:77">
      <c r="A348" t="str">
        <f>HYPERLINK("http://exon.niaid.nih.gov/transcriptome/T_rubida/S1/links/Triru/Triru-contig_654.txt","Triru-contig_654")</f>
        <v>Triru-contig_654</v>
      </c>
      <c r="B348">
        <v>1</v>
      </c>
      <c r="C348" t="str">
        <f>HYPERLINK("http://exon.niaid.nih.gov/transcriptome/T_rubida/S1/links/Triru/Triru-5-48-asb-654.txt","Contig-654")</f>
        <v>Contig-654</v>
      </c>
      <c r="D348" t="str">
        <f>HYPERLINK("http://exon.niaid.nih.gov/transcriptome/T_rubida/S1/links/Triru/Triru-5-48-654-CLU.txt","Contig654")</f>
        <v>Contig654</v>
      </c>
      <c r="E348" t="str">
        <f>HYPERLINK("http://exon.niaid.nih.gov/transcriptome/T_rubida/S1/links/Triru/Triru-5-48-654-qual.txt","53.8")</f>
        <v>53.8</v>
      </c>
      <c r="F348" t="s">
        <v>10</v>
      </c>
      <c r="G348">
        <v>78.400000000000006</v>
      </c>
      <c r="H348">
        <v>171</v>
      </c>
      <c r="I348" t="s">
        <v>666</v>
      </c>
      <c r="J348">
        <v>171</v>
      </c>
      <c r="K348">
        <v>190</v>
      </c>
      <c r="L348">
        <v>90</v>
      </c>
      <c r="M348" t="s">
        <v>5606</v>
      </c>
      <c r="N348" s="15">
        <v>1</v>
      </c>
      <c r="Q348" s="5" t="s">
        <v>4827</v>
      </c>
      <c r="R348" t="s">
        <v>4828</v>
      </c>
      <c r="V348" s="1" t="str">
        <f>HYPERLINK("http://exon.niaid.nih.gov/transcriptome/T_rubida/S1/links/NR/Triru-contig_654-NR.txt","MPA13 allergen")</f>
        <v>MPA13 allergen</v>
      </c>
      <c r="W348" t="str">
        <f>HYPERLINK("http://www.ncbi.nlm.nih.gov/sutils/blink.cgi?pid=60678801","7E-005")</f>
        <v>7E-005</v>
      </c>
      <c r="X348" t="str">
        <f>HYPERLINK("http://www.ncbi.nlm.nih.gov/protein/60678801","gi|60678801")</f>
        <v>gi|60678801</v>
      </c>
      <c r="Y348">
        <v>50.8</v>
      </c>
      <c r="Z348">
        <v>25</v>
      </c>
      <c r="AA348">
        <v>131</v>
      </c>
      <c r="AB348">
        <v>80</v>
      </c>
      <c r="AC348">
        <v>20</v>
      </c>
      <c r="AD348">
        <v>5</v>
      </c>
      <c r="AE348">
        <v>0</v>
      </c>
      <c r="AF348">
        <v>104</v>
      </c>
      <c r="AG348">
        <v>4</v>
      </c>
      <c r="AH348">
        <v>1</v>
      </c>
      <c r="AI348">
        <v>1</v>
      </c>
      <c r="AJ348" t="s">
        <v>11</v>
      </c>
      <c r="AL348" t="s">
        <v>4786</v>
      </c>
      <c r="AM348" t="s">
        <v>4787</v>
      </c>
      <c r="AN348" t="s">
        <v>4788</v>
      </c>
      <c r="AO348" s="1" t="str">
        <f>HYPERLINK("http://exon.niaid.nih.gov/transcriptome/T_rubida/S1/links/SWISSP/Triru-contig_654-SWISSP.txt","Fatty acid-binding protein, muscle")</f>
        <v>Fatty acid-binding protein, muscle</v>
      </c>
      <c r="AP348" t="str">
        <f>HYPERLINK("http://www.uniprot.org/uniprot/P41496","0.15")</f>
        <v>0.15</v>
      </c>
      <c r="AQ348" t="s">
        <v>4789</v>
      </c>
      <c r="AR348">
        <v>35</v>
      </c>
      <c r="AS348">
        <v>25</v>
      </c>
      <c r="AT348">
        <v>53</v>
      </c>
      <c r="AU348">
        <v>19</v>
      </c>
      <c r="AV348">
        <v>12</v>
      </c>
      <c r="AW348">
        <v>0</v>
      </c>
      <c r="AX348">
        <v>107</v>
      </c>
      <c r="AY348">
        <v>4</v>
      </c>
      <c r="AZ348">
        <v>1</v>
      </c>
      <c r="BA348">
        <v>1</v>
      </c>
      <c r="BB348" t="s">
        <v>11</v>
      </c>
      <c r="BD348" t="s">
        <v>704</v>
      </c>
      <c r="BE348" t="s">
        <v>4790</v>
      </c>
      <c r="BF348" t="s">
        <v>4791</v>
      </c>
      <c r="BG348" t="s">
        <v>4792</v>
      </c>
      <c r="BH348" s="1" t="s">
        <v>57</v>
      </c>
      <c r="BI348" t="s">
        <v>57</v>
      </c>
      <c r="BJ348" s="1" t="str">
        <f>HYPERLINK("http://exon.niaid.nih.gov/transcriptome/T_rubida/S1/links/CDD/Triru-contig_654-CDD.txt","DUF2206")</f>
        <v>DUF2206</v>
      </c>
      <c r="BK348" t="str">
        <f>HYPERLINK("http://www.ncbi.nlm.nih.gov/Structure/cdd/cddsrv.cgi?uid=pfam09971&amp;version=v4.0","0.40")</f>
        <v>0.40</v>
      </c>
      <c r="BL348" t="s">
        <v>4793</v>
      </c>
      <c r="BM348" s="1" t="str">
        <f>HYPERLINK("http://exon.niaid.nih.gov/transcriptome/T_rubida/S1/links/KOG/Triru-contig_654-KOG.txt","Fatty acid-binding protein FABP")</f>
        <v>Fatty acid-binding protein FABP</v>
      </c>
      <c r="BN348" t="str">
        <f>HYPERLINK("http://www.ncbi.nlm.nih.gov/COG/grace/shokog.cgi?KOG4015","0.002")</f>
        <v>0.002</v>
      </c>
      <c r="BO348" t="s">
        <v>709</v>
      </c>
      <c r="BP348" s="1" t="str">
        <f>HYPERLINK("http://exon.niaid.nih.gov/transcriptome/T_rubida/S1/links/PFAM/Triru-contig_654-PFAM.txt","DUF2206")</f>
        <v>DUF2206</v>
      </c>
      <c r="BQ348" t="str">
        <f>HYPERLINK("http://pfam.sanger.ac.uk/family?acc=PF09971","0.083")</f>
        <v>0.083</v>
      </c>
      <c r="BR348" s="1" t="str">
        <f>HYPERLINK("http://exon.niaid.nih.gov/transcriptome/T_rubida/S1/links/SMART/Triru-contig_654-SMART.txt","SEC14")</f>
        <v>SEC14</v>
      </c>
      <c r="BS348" t="str">
        <f>HYPERLINK("http://smart.embl-heidelberg.de/smart/do_annotation.pl?DOMAIN=SEC14&amp;BLAST=DUMMY","0.066")</f>
        <v>0.066</v>
      </c>
      <c r="BT348" s="1" t="str">
        <f>HYPERLINK("http://exon.niaid.nih.gov/transcriptome/T_rubida/S1/links/PRK/Triru-contig_654-PRK.txt","variable surface protein Vir30")</f>
        <v>variable surface protein Vir30</v>
      </c>
      <c r="BU348">
        <v>0.28999999999999998</v>
      </c>
      <c r="BV348" s="1" t="s">
        <v>57</v>
      </c>
      <c r="BW348" t="s">
        <v>57</v>
      </c>
      <c r="BX348" s="1" t="s">
        <v>57</v>
      </c>
      <c r="BY348" t="s">
        <v>57</v>
      </c>
    </row>
    <row r="349" spans="1:77">
      <c r="A349" t="str">
        <f>HYPERLINK("http://exon.niaid.nih.gov/transcriptome/T_rubida/S1/links/Triru/Triru-contig_424.txt","Triru-contig_424")</f>
        <v>Triru-contig_424</v>
      </c>
      <c r="B349">
        <v>1</v>
      </c>
      <c r="C349" t="str">
        <f>HYPERLINK("http://exon.niaid.nih.gov/transcriptome/T_rubida/S1/links/Triru/Triru-5-48-asb-424.txt","Contig-424")</f>
        <v>Contig-424</v>
      </c>
      <c r="D349" t="str">
        <f>HYPERLINK("http://exon.niaid.nih.gov/transcriptome/T_rubida/S1/links/Triru/Triru-5-48-424-CLU.txt","Contig424")</f>
        <v>Contig424</v>
      </c>
      <c r="E349" t="str">
        <f>HYPERLINK("http://exon.niaid.nih.gov/transcriptome/T_rubida/S1/links/Triru/Triru-5-48-424-qual.txt","64.")</f>
        <v>64.</v>
      </c>
      <c r="F349" t="s">
        <v>10</v>
      </c>
      <c r="G349">
        <v>67.5</v>
      </c>
      <c r="H349">
        <v>344</v>
      </c>
      <c r="I349" t="s">
        <v>436</v>
      </c>
      <c r="J349">
        <v>344</v>
      </c>
      <c r="K349">
        <v>363</v>
      </c>
      <c r="L349">
        <v>222</v>
      </c>
      <c r="M349" t="s">
        <v>5603</v>
      </c>
      <c r="N349" s="15">
        <v>1</v>
      </c>
      <c r="O349" s="14" t="str">
        <f>HYPERLINK("http://exon.niaid.nih.gov/transcriptome/T_rubida/S1/links/Sigp/TRIRU-CONTIG_424-SigP.txt","Cyt")</f>
        <v>Cyt</v>
      </c>
      <c r="Q349" s="5" t="s">
        <v>4827</v>
      </c>
      <c r="R349" t="s">
        <v>4828</v>
      </c>
      <c r="V349" s="1" t="str">
        <f>HYPERLINK("http://exon.niaid.nih.gov/transcriptome/T_rubida/S1/links/NR/Triru-contig_424-NR.txt","conserved hypothetical protein")</f>
        <v>conserved hypothetical protein</v>
      </c>
      <c r="W349" t="str">
        <f>HYPERLINK("http://www.ncbi.nlm.nih.gov/sutils/blink.cgi?pid=242014473","2E-004")</f>
        <v>2E-004</v>
      </c>
      <c r="X349" t="str">
        <f>HYPERLINK("http://www.ncbi.nlm.nih.gov/protein/242014473","gi|242014473")</f>
        <v>gi|242014473</v>
      </c>
      <c r="Y349">
        <v>49.3</v>
      </c>
      <c r="Z349">
        <v>43</v>
      </c>
      <c r="AA349">
        <v>256</v>
      </c>
      <c r="AB349">
        <v>40</v>
      </c>
      <c r="AC349">
        <v>17</v>
      </c>
      <c r="AD349">
        <v>26</v>
      </c>
      <c r="AE349">
        <v>0</v>
      </c>
      <c r="AF349">
        <v>205</v>
      </c>
      <c r="AG349">
        <v>16</v>
      </c>
      <c r="AH349">
        <v>1</v>
      </c>
      <c r="AI349">
        <v>1</v>
      </c>
      <c r="AJ349" t="s">
        <v>11</v>
      </c>
      <c r="AL349" t="s">
        <v>1177</v>
      </c>
      <c r="AM349" t="s">
        <v>3349</v>
      </c>
      <c r="AN349" t="s">
        <v>3350</v>
      </c>
      <c r="AO349" s="1" t="str">
        <f>HYPERLINK("http://exon.niaid.nih.gov/transcriptome/T_rubida/S1/links/SWISSP/Triru-contig_424-SWISSP.txt","ES1 protein, mitochondrial")</f>
        <v>ES1 protein, mitochondrial</v>
      </c>
      <c r="AP349" t="str">
        <f>HYPERLINK("http://www.uniprot.org/uniprot/Q90257","3E-005")</f>
        <v>3E-005</v>
      </c>
      <c r="AQ349" t="s">
        <v>3351</v>
      </c>
      <c r="AR349">
        <v>47.4</v>
      </c>
      <c r="AS349">
        <v>56</v>
      </c>
      <c r="AT349">
        <v>43</v>
      </c>
      <c r="AU349">
        <v>21</v>
      </c>
      <c r="AV349">
        <v>32</v>
      </c>
      <c r="AW349">
        <v>2</v>
      </c>
      <c r="AX349">
        <v>214</v>
      </c>
      <c r="AY349">
        <v>10</v>
      </c>
      <c r="AZ349">
        <v>1</v>
      </c>
      <c r="BA349">
        <v>1</v>
      </c>
      <c r="BB349" t="s">
        <v>11</v>
      </c>
      <c r="BD349" t="s">
        <v>704</v>
      </c>
      <c r="BE349" t="s">
        <v>1556</v>
      </c>
      <c r="BF349" t="s">
        <v>3352</v>
      </c>
      <c r="BG349" t="s">
        <v>3353</v>
      </c>
      <c r="BH349" s="1" t="s">
        <v>3354</v>
      </c>
      <c r="BI349">
        <f>HYPERLINK("http://exon.niaid.nih.gov/transcriptome/T_rubida/S1/links/GO/Triru-contig_424-GO.txt",0.00002)</f>
        <v>2.0000000000000002E-5</v>
      </c>
      <c r="BJ349" s="1" t="str">
        <f>HYPERLINK("http://exon.niaid.nih.gov/transcriptome/T_rubida/S1/links/CDD/Triru-contig_424-CDD.txt","GATase1_ES1")</f>
        <v>GATase1_ES1</v>
      </c>
      <c r="BK349" t="str">
        <f>HYPERLINK("http://www.ncbi.nlm.nih.gov/Structure/cdd/cddsrv.cgi?uid=cd03133&amp;version=v4.0","4E-008")</f>
        <v>4E-008</v>
      </c>
      <c r="BL349" t="s">
        <v>3355</v>
      </c>
      <c r="BM349" s="1" t="str">
        <f>HYPERLINK("http://exon.niaid.nih.gov/transcriptome/T_rubida/S1/links/KOG/Triru-contig_424-KOG.txt","Exocyst complex subunit Sec8")</f>
        <v>Exocyst complex subunit Sec8</v>
      </c>
      <c r="BN349" t="str">
        <f>HYPERLINK("http://www.ncbi.nlm.nih.gov/COG/grace/shokog.cgi?KOG3691","0.81")</f>
        <v>0.81</v>
      </c>
      <c r="BO349" t="s">
        <v>1082</v>
      </c>
      <c r="BP349" s="1" t="str">
        <f>HYPERLINK("http://exon.niaid.nih.gov/transcriptome/T_rubida/S1/links/PFAM/Triru-contig_424-PFAM.txt","DUF973")</f>
        <v>DUF973</v>
      </c>
      <c r="BQ349" t="str">
        <f>HYPERLINK("http://pfam.sanger.ac.uk/family?acc=PF06157","0.048")</f>
        <v>0.048</v>
      </c>
      <c r="BR349" s="1" t="str">
        <f>HYPERLINK("http://exon.niaid.nih.gov/transcriptome/T_rubida/S1/links/SMART/Triru-contig_424-SMART.txt","DENN")</f>
        <v>DENN</v>
      </c>
      <c r="BS349" t="str">
        <f>HYPERLINK("http://smart.embl-heidelberg.de/smart/do_annotation.pl?DOMAIN=DENN&amp;BLAST=DUMMY","0.061")</f>
        <v>0.061</v>
      </c>
      <c r="BT349" s="1" t="str">
        <f>HYPERLINK("http://exon.niaid.nih.gov/transcriptome/T_rubida/S1/links/PRK/Triru-contig_424-PRK.txt","isoprenoid biosynthesis protein with amidotransferase-like domain")</f>
        <v>isoprenoid biosynthesis protein with amidotransferase-like domain</v>
      </c>
      <c r="BU349" s="2">
        <v>2.0000000000000002E-5</v>
      </c>
      <c r="BV349" s="1" t="s">
        <v>57</v>
      </c>
      <c r="BW349" t="s">
        <v>57</v>
      </c>
      <c r="BX349" s="1" t="s">
        <v>57</v>
      </c>
      <c r="BY349" t="s">
        <v>57</v>
      </c>
    </row>
    <row r="350" spans="1:77">
      <c r="A350" t="str">
        <f>HYPERLINK("http://exon.niaid.nih.gov/transcriptome/T_rubida/S1/links/Triru/Triru-contig_98.txt","Triru-contig_98")</f>
        <v>Triru-contig_98</v>
      </c>
      <c r="B350">
        <v>1</v>
      </c>
      <c r="C350" t="str">
        <f>HYPERLINK("http://exon.niaid.nih.gov/transcriptome/T_rubida/S1/links/Triru/Triru-5-48-asb-98.txt","Contig-98")</f>
        <v>Contig-98</v>
      </c>
      <c r="D350" t="str">
        <f>HYPERLINK("http://exon.niaid.nih.gov/transcriptome/T_rubida/S1/links/Triru/Triru-5-48-98-CLU.txt","Contig98")</f>
        <v>Contig98</v>
      </c>
      <c r="E350" t="str">
        <f>HYPERLINK("http://exon.niaid.nih.gov/transcriptome/T_rubida/S1/links/Triru/Triru-5-48-98-qual.txt","60.3")</f>
        <v>60.3</v>
      </c>
      <c r="F350" t="s">
        <v>10</v>
      </c>
      <c r="G350">
        <v>58.7</v>
      </c>
      <c r="H350">
        <v>325</v>
      </c>
      <c r="I350" t="s">
        <v>110</v>
      </c>
      <c r="J350">
        <v>325</v>
      </c>
      <c r="K350">
        <v>344</v>
      </c>
      <c r="L350">
        <v>270</v>
      </c>
      <c r="M350" t="s">
        <v>5609</v>
      </c>
      <c r="N350" s="15">
        <v>1</v>
      </c>
      <c r="O350" s="14" t="str">
        <f>HYPERLINK("http://exon.niaid.nih.gov/transcriptome/T_rubida/S1/links/Sigp/TRIRU-CONTIG_98-SigP.txt","Cyt")</f>
        <v>Cyt</v>
      </c>
      <c r="Q350" s="5" t="s">
        <v>4827</v>
      </c>
      <c r="R350" t="s">
        <v>4828</v>
      </c>
      <c r="V350" s="1" t="str">
        <f>HYPERLINK("http://exon.niaid.nih.gov/transcriptome/T_rubida/S1/links/NR/Triru-contig_98-NR.txt","predicted protein")</f>
        <v>predicted protein</v>
      </c>
      <c r="W350" t="str">
        <f>HYPERLINK("http://www.ncbi.nlm.nih.gov/sutils/blink.cgi?pid=167999534","2E-004")</f>
        <v>2E-004</v>
      </c>
      <c r="X350" t="str">
        <f>HYPERLINK("http://www.ncbi.nlm.nih.gov/protein/167999534","gi|167999534")</f>
        <v>gi|167999534</v>
      </c>
      <c r="Y350">
        <v>49.7</v>
      </c>
      <c r="Z350">
        <v>79</v>
      </c>
      <c r="AA350">
        <v>357</v>
      </c>
      <c r="AB350">
        <v>39</v>
      </c>
      <c r="AC350">
        <v>22</v>
      </c>
      <c r="AD350">
        <v>50</v>
      </c>
      <c r="AE350">
        <v>1</v>
      </c>
      <c r="AF350">
        <v>220</v>
      </c>
      <c r="AG350">
        <v>13</v>
      </c>
      <c r="AH350">
        <v>1</v>
      </c>
      <c r="AI350">
        <v>1</v>
      </c>
      <c r="AJ350" t="s">
        <v>11</v>
      </c>
      <c r="AL350" t="s">
        <v>1229</v>
      </c>
      <c r="AM350" t="s">
        <v>1239</v>
      </c>
      <c r="AN350" t="s">
        <v>1240</v>
      </c>
      <c r="AO350" s="1" t="str">
        <f>HYPERLINK("http://exon.niaid.nih.gov/transcriptome/T_rubida/S1/links/SWISSP/Triru-contig_98-SWISSP.txt","Neurofilament heavy polypeptide")</f>
        <v>Neurofilament heavy polypeptide</v>
      </c>
      <c r="AP350" t="str">
        <f>HYPERLINK("http://www.uniprot.org/uniprot/P12036","2E-005")</f>
        <v>2E-005</v>
      </c>
      <c r="AQ350" t="s">
        <v>1232</v>
      </c>
      <c r="AR350">
        <v>47.8</v>
      </c>
      <c r="AS350">
        <v>554</v>
      </c>
      <c r="AT350">
        <v>38</v>
      </c>
      <c r="AU350">
        <v>54</v>
      </c>
      <c r="AV350">
        <v>55</v>
      </c>
      <c r="AW350">
        <v>3</v>
      </c>
      <c r="AX350">
        <v>0</v>
      </c>
      <c r="AY350">
        <v>0</v>
      </c>
      <c r="AZ350">
        <v>22</v>
      </c>
      <c r="BA350">
        <v>1</v>
      </c>
      <c r="BB350" t="s">
        <v>11</v>
      </c>
      <c r="BD350" t="s">
        <v>704</v>
      </c>
      <c r="BE350" t="s">
        <v>1233</v>
      </c>
      <c r="BF350" t="s">
        <v>1241</v>
      </c>
      <c r="BG350" t="s">
        <v>1242</v>
      </c>
      <c r="BH350" s="1" t="s">
        <v>1243</v>
      </c>
      <c r="BI350">
        <f>HYPERLINK("http://exon.niaid.nih.gov/transcriptome/T_rubida/S1/links/GO/Triru-contig_98-GO.txt",0.000005)</f>
        <v>5.0000000000000004E-6</v>
      </c>
      <c r="BJ350" s="1" t="str">
        <f>HYPERLINK("http://exon.niaid.nih.gov/transcriptome/T_rubida/S1/links/CDD/Triru-contig_98-CDD.txt","ftsN")</f>
        <v>ftsN</v>
      </c>
      <c r="BK350" t="str">
        <f>HYPERLINK("http://www.ncbi.nlm.nih.gov/Structure/cdd/cddsrv.cgi?uid=TIGR02223&amp;version=v4.0","2E-005")</f>
        <v>2E-005</v>
      </c>
      <c r="BL350" t="s">
        <v>1244</v>
      </c>
      <c r="BM350" s="1" t="str">
        <f>HYPERLINK("http://exon.niaid.nih.gov/transcriptome/T_rubida/S1/links/KOG/Triru-contig_98-KOG.txt","Microtubule-associated proteins")</f>
        <v>Microtubule-associated proteins</v>
      </c>
      <c r="BN350" t="str">
        <f>HYPERLINK("http://www.ncbi.nlm.nih.gov/COG/grace/shokog.cgi?KOG3592","3E-004")</f>
        <v>3E-004</v>
      </c>
      <c r="BO350" t="s">
        <v>867</v>
      </c>
      <c r="BP350" s="1" t="str">
        <f>HYPERLINK("http://exon.niaid.nih.gov/transcriptome/T_rubida/S1/links/PFAM/Triru-contig_98-PFAM.txt","7tm_7")</f>
        <v>7tm_7</v>
      </c>
      <c r="BQ350" t="str">
        <f>HYPERLINK("http://pfam.sanger.ac.uk/family?acc=PF08395","1E-004")</f>
        <v>1E-004</v>
      </c>
      <c r="BR350" s="1" t="str">
        <f>HYPERLINK("http://exon.niaid.nih.gov/transcriptome/T_rubida/S1/links/SMART/Triru-contig_98-SMART.txt","HMG17")</f>
        <v>HMG17</v>
      </c>
      <c r="BS350" t="str">
        <f>HYPERLINK("http://smart.embl-heidelberg.de/smart/do_annotation.pl?DOMAIN=HMG17&amp;BLAST=DUMMY","7E-004")</f>
        <v>7E-004</v>
      </c>
      <c r="BT350" s="1" t="str">
        <f>HYPERLINK("http://exon.niaid.nih.gov/transcriptome/T_rubida/S1/links/PRK/Triru-contig_98-PRK.txt","sec-independent translocase")</f>
        <v>sec-independent translocase</v>
      </c>
      <c r="BU350" s="2">
        <v>2.0000000000000002E-5</v>
      </c>
      <c r="BV350" s="1" t="s">
        <v>57</v>
      </c>
      <c r="BW350" t="s">
        <v>57</v>
      </c>
      <c r="BX350" s="1" t="s">
        <v>57</v>
      </c>
      <c r="BY350" t="s">
        <v>57</v>
      </c>
    </row>
    <row r="351" spans="1:77">
      <c r="A351" t="str">
        <f>HYPERLINK("http://exon.niaid.nih.gov/transcriptome/T_rubida/S1/links/Triru/Triru-contig_490.txt","Triru-contig_490")</f>
        <v>Triru-contig_490</v>
      </c>
      <c r="B351">
        <v>1</v>
      </c>
      <c r="C351" t="str">
        <f>HYPERLINK("http://exon.niaid.nih.gov/transcriptome/T_rubida/S1/links/Triru/Triru-5-48-asb-490.txt","Contig-490")</f>
        <v>Contig-490</v>
      </c>
      <c r="D351" t="str">
        <f>HYPERLINK("http://exon.niaid.nih.gov/transcriptome/T_rubida/S1/links/Triru/Triru-5-48-490-CLU.txt","Contig490")</f>
        <v>Contig490</v>
      </c>
      <c r="E351" t="str">
        <f>HYPERLINK("http://exon.niaid.nih.gov/transcriptome/T_rubida/S1/links/Triru/Triru-5-48-490-qual.txt","15.4")</f>
        <v>15.4</v>
      </c>
      <c r="F351" t="s">
        <v>10</v>
      </c>
      <c r="G351">
        <v>64.5</v>
      </c>
      <c r="H351">
        <v>440</v>
      </c>
      <c r="I351" t="s">
        <v>502</v>
      </c>
      <c r="J351">
        <v>440</v>
      </c>
      <c r="K351">
        <v>459</v>
      </c>
      <c r="L351">
        <v>207</v>
      </c>
      <c r="M351" t="s">
        <v>5676</v>
      </c>
      <c r="N351" s="15">
        <v>2</v>
      </c>
      <c r="O351" s="14" t="str">
        <f>HYPERLINK("http://exon.niaid.nih.gov/transcriptome/T_rubida/S1/links/Sigp/TRIRU-CONTIG_490-SigP.txt","Cyt")</f>
        <v>Cyt</v>
      </c>
      <c r="Q351" s="5" t="s">
        <v>4827</v>
      </c>
      <c r="R351" t="s">
        <v>4828</v>
      </c>
      <c r="V351" s="1" t="str">
        <f>HYPERLINK("http://exon.niaid.nih.gov/transcriptome/T_rubida/S1/links/NR/Triru-contig_490-NR.txt","unnamed protein product")</f>
        <v>unnamed protein product</v>
      </c>
      <c r="W351" t="str">
        <f>HYPERLINK("http://www.ncbi.nlm.nih.gov/sutils/blink.cgi?pid=270046188","2E-004")</f>
        <v>2E-004</v>
      </c>
      <c r="X351" t="str">
        <f>HYPERLINK("http://www.ncbi.nlm.nih.gov/protein/270046188","gi|270046188")</f>
        <v>gi|270046188</v>
      </c>
      <c r="Y351">
        <v>49.7</v>
      </c>
      <c r="Z351">
        <v>63</v>
      </c>
      <c r="AA351">
        <v>197</v>
      </c>
      <c r="AB351">
        <v>45</v>
      </c>
      <c r="AC351">
        <v>32</v>
      </c>
      <c r="AD351">
        <v>35</v>
      </c>
      <c r="AE351">
        <v>0</v>
      </c>
      <c r="AF351">
        <v>133</v>
      </c>
      <c r="AG351">
        <v>171</v>
      </c>
      <c r="AH351">
        <v>1</v>
      </c>
      <c r="AI351">
        <v>3</v>
      </c>
      <c r="AJ351" t="s">
        <v>11</v>
      </c>
      <c r="AK351">
        <v>3.1749999999999998</v>
      </c>
      <c r="AL351" t="s">
        <v>700</v>
      </c>
      <c r="AM351" t="s">
        <v>3800</v>
      </c>
      <c r="AN351" t="s">
        <v>3801</v>
      </c>
      <c r="AO351" s="1" t="str">
        <f>HYPERLINK("http://exon.niaid.nih.gov/transcriptome/T_rubida/S1/links/SWISSP/Triru-contig_490-SWISSP.txt","Beta-defensin 114")</f>
        <v>Beta-defensin 114</v>
      </c>
      <c r="AP351" t="str">
        <f>HYPERLINK("http://www.uniprot.org/uniprot/Q30KQ6","2.1")</f>
        <v>2.1</v>
      </c>
      <c r="AQ351" t="s">
        <v>3802</v>
      </c>
      <c r="AR351">
        <v>31.6</v>
      </c>
      <c r="AS351">
        <v>56</v>
      </c>
      <c r="AT351">
        <v>30</v>
      </c>
      <c r="AU351">
        <v>83</v>
      </c>
      <c r="AV351">
        <v>41</v>
      </c>
      <c r="AW351">
        <v>0</v>
      </c>
      <c r="AX351">
        <v>7</v>
      </c>
      <c r="AY351">
        <v>20</v>
      </c>
      <c r="AZ351">
        <v>1</v>
      </c>
      <c r="BA351">
        <v>2</v>
      </c>
      <c r="BB351" t="s">
        <v>11</v>
      </c>
      <c r="BD351" t="s">
        <v>704</v>
      </c>
      <c r="BE351" t="s">
        <v>1233</v>
      </c>
      <c r="BF351" t="s">
        <v>3803</v>
      </c>
      <c r="BG351" t="s">
        <v>3804</v>
      </c>
      <c r="BH351" s="1" t="s">
        <v>57</v>
      </c>
      <c r="BI351" t="s">
        <v>57</v>
      </c>
      <c r="BJ351" s="1" t="str">
        <f>HYPERLINK("http://exon.niaid.nih.gov/transcriptome/T_rubida/S1/links/CDD/Triru-contig_490-CDD.txt","SURF2")</f>
        <v>SURF2</v>
      </c>
      <c r="BK351" t="str">
        <f>HYPERLINK("http://www.ncbi.nlm.nih.gov/Structure/cdd/cddsrv.cgi?uid=pfam05477&amp;version=v4.0","0.84")</f>
        <v>0.84</v>
      </c>
      <c r="BL351" t="s">
        <v>3805</v>
      </c>
      <c r="BM351" s="1" t="str">
        <f>HYPERLINK("http://exon.niaid.nih.gov/transcriptome/T_rubida/S1/links/KOG/Triru-contig_490-KOG.txt","Vacuolar assembly/sorting protein PEP5/VPS11")</f>
        <v>Vacuolar assembly/sorting protein PEP5/VPS11</v>
      </c>
      <c r="BN351" t="str">
        <f>HYPERLINK("http://www.ncbi.nlm.nih.gov/COG/grace/shokog.cgi?KOG2114","2.1")</f>
        <v>2.1</v>
      </c>
      <c r="BO351" t="s">
        <v>1082</v>
      </c>
      <c r="BP351" s="1" t="str">
        <f>HYPERLINK("http://exon.niaid.nih.gov/transcriptome/T_rubida/S1/links/PFAM/Triru-contig_490-PFAM.txt","SURF2")</f>
        <v>SURF2</v>
      </c>
      <c r="BQ351" t="str">
        <f>HYPERLINK("http://pfam.sanger.ac.uk/family?acc=PF05477","0.18")</f>
        <v>0.18</v>
      </c>
      <c r="BR351" s="1" t="str">
        <f>HYPERLINK("http://exon.niaid.nih.gov/transcriptome/T_rubida/S1/links/SMART/Triru-contig_490-SMART.txt","PTX")</f>
        <v>PTX</v>
      </c>
      <c r="BS351" t="str">
        <f>HYPERLINK("http://smart.embl-heidelberg.de/smart/do_annotation.pl?DOMAIN=PTX&amp;BLAST=DUMMY","0.73")</f>
        <v>0.73</v>
      </c>
      <c r="BT351" s="1" t="str">
        <f>HYPERLINK("http://exon.niaid.nih.gov/transcriptome/T_rubida/S1/links/PRK/Triru-contig_490-PRK.txt","cytochrome b")</f>
        <v>cytochrome b</v>
      </c>
      <c r="BU351">
        <v>0.47</v>
      </c>
      <c r="BV351" s="1" t="s">
        <v>57</v>
      </c>
      <c r="BW351" t="s">
        <v>57</v>
      </c>
      <c r="BX351" s="1" t="s">
        <v>57</v>
      </c>
      <c r="BY351" t="s">
        <v>57</v>
      </c>
    </row>
    <row r="352" spans="1:77">
      <c r="A352" t="str">
        <f>HYPERLINK("http://exon.niaid.nih.gov/transcriptome/T_rubida/S1/links/Triru/Triru-contig_190.txt","Triru-contig_190")</f>
        <v>Triru-contig_190</v>
      </c>
      <c r="B352">
        <v>1</v>
      </c>
      <c r="C352" t="str">
        <f>HYPERLINK("http://exon.niaid.nih.gov/transcriptome/T_rubida/S1/links/Triru/Triru-5-48-asb-190.txt","Contig-190")</f>
        <v>Contig-190</v>
      </c>
      <c r="D352" t="str">
        <f>HYPERLINK("http://exon.niaid.nih.gov/transcriptome/T_rubida/S1/links/Triru/Triru-5-48-190-CLU.txt","Contig190")</f>
        <v>Contig190</v>
      </c>
      <c r="E352" t="str">
        <f>HYPERLINK("http://exon.niaid.nih.gov/transcriptome/T_rubida/S1/links/Triru/Triru-5-48-190-qual.txt","15.8")</f>
        <v>15.8</v>
      </c>
      <c r="F352">
        <v>1.9</v>
      </c>
      <c r="G352">
        <v>60.6</v>
      </c>
      <c r="H352">
        <v>874</v>
      </c>
      <c r="I352" t="s">
        <v>202</v>
      </c>
      <c r="J352">
        <v>874</v>
      </c>
      <c r="K352">
        <v>893</v>
      </c>
      <c r="L352">
        <v>489</v>
      </c>
      <c r="M352" t="s">
        <v>5460</v>
      </c>
      <c r="N352" s="15">
        <v>2</v>
      </c>
      <c r="Q352" s="5" t="s">
        <v>4827</v>
      </c>
      <c r="R352" t="s">
        <v>4828</v>
      </c>
      <c r="V352" s="1" t="str">
        <f>HYPERLINK("http://exon.niaid.nih.gov/transcriptome/T_rubida/S1/links/NR/Triru-contig_190-NR.txt","hypothetical protein F59E12.9")</f>
        <v>hypothetical protein F59E12.9</v>
      </c>
      <c r="W352" t="str">
        <f>HYPERLINK("http://www.ncbi.nlm.nih.gov/sutils/blink.cgi?pid=17534591","3E-004")</f>
        <v>3E-004</v>
      </c>
      <c r="X352" t="str">
        <f>HYPERLINK("http://www.ncbi.nlm.nih.gov/protein/17534591","gi|17534591")</f>
        <v>gi|17534591</v>
      </c>
      <c r="Y352">
        <v>50.8</v>
      </c>
      <c r="Z352">
        <v>176</v>
      </c>
      <c r="AA352">
        <v>1621</v>
      </c>
      <c r="AB352">
        <v>31</v>
      </c>
      <c r="AC352">
        <v>11</v>
      </c>
      <c r="AD352">
        <v>127</v>
      </c>
      <c r="AE352">
        <v>7</v>
      </c>
      <c r="AF352">
        <v>1332</v>
      </c>
      <c r="AG352">
        <v>337</v>
      </c>
      <c r="AH352">
        <v>1</v>
      </c>
      <c r="AI352">
        <v>1</v>
      </c>
      <c r="AJ352" t="s">
        <v>11</v>
      </c>
      <c r="AK352">
        <v>4.5449999999999999</v>
      </c>
      <c r="AL352" t="s">
        <v>1385</v>
      </c>
      <c r="AM352" t="s">
        <v>1819</v>
      </c>
      <c r="AN352" t="s">
        <v>1820</v>
      </c>
      <c r="AO352" s="1" t="str">
        <f>HYPERLINK("http://exon.niaid.nih.gov/transcriptome/T_rubida/S1/links/SWISSP/Triru-contig_190-SWISSP.txt","Inverted formin-2")</f>
        <v>Inverted formin-2</v>
      </c>
      <c r="AP352" t="str">
        <f>HYPERLINK("http://www.uniprot.org/uniprot/Q27J81","0.006")</f>
        <v>0.006</v>
      </c>
      <c r="AQ352" t="s">
        <v>1821</v>
      </c>
      <c r="AR352">
        <v>42</v>
      </c>
      <c r="AS352">
        <v>98</v>
      </c>
      <c r="AT352">
        <v>31</v>
      </c>
      <c r="AU352">
        <v>8</v>
      </c>
      <c r="AV352">
        <v>73</v>
      </c>
      <c r="AW352">
        <v>12</v>
      </c>
      <c r="AX352">
        <v>421</v>
      </c>
      <c r="AY352">
        <v>355</v>
      </c>
      <c r="AZ352">
        <v>1</v>
      </c>
      <c r="BA352">
        <v>1</v>
      </c>
      <c r="BB352" t="s">
        <v>11</v>
      </c>
      <c r="BC352">
        <v>2.0409999999999999</v>
      </c>
      <c r="BD352" t="s">
        <v>704</v>
      </c>
      <c r="BE352" t="s">
        <v>1233</v>
      </c>
      <c r="BF352" t="s">
        <v>1822</v>
      </c>
      <c r="BG352" t="s">
        <v>1823</v>
      </c>
      <c r="BH352" s="1" t="s">
        <v>1824</v>
      </c>
      <c r="BI352">
        <f>HYPERLINK("http://exon.niaid.nih.gov/transcriptome/T_rubida/S1/links/GO/Triru-contig_190-GO.txt",0.00001)</f>
        <v>1.0000000000000001E-5</v>
      </c>
      <c r="BJ352" s="1" t="str">
        <f>HYPERLINK("http://exon.niaid.nih.gov/transcriptome/T_rubida/S1/links/CDD/Triru-contig_190-CDD.txt","Drf_FH1")</f>
        <v>Drf_FH1</v>
      </c>
      <c r="BK352" t="str">
        <f>HYPERLINK("http://www.ncbi.nlm.nih.gov/Structure/cdd/cddsrv.cgi?uid=pfam06346&amp;version=v4.0","0.026")</f>
        <v>0.026</v>
      </c>
      <c r="BL352" t="s">
        <v>1825</v>
      </c>
      <c r="BM352" s="1" t="str">
        <f>HYPERLINK("http://exon.niaid.nih.gov/transcriptome/T_rubida/S1/links/KOG/Triru-contig_190-KOG.txt","mRNA cleavage factor I subunit/CPSF subunit")</f>
        <v>mRNA cleavage factor I subunit/CPSF subunit</v>
      </c>
      <c r="BN352" t="str">
        <f>HYPERLINK("http://www.ncbi.nlm.nih.gov/COG/grace/shokog.cgi?KOG4849","0.012")</f>
        <v>0.012</v>
      </c>
      <c r="BO352" t="s">
        <v>1002</v>
      </c>
      <c r="BP352" s="1" t="str">
        <f>HYPERLINK("http://exon.niaid.nih.gov/transcriptome/T_rubida/S1/links/PFAM/Triru-contig_190-PFAM.txt","Drf_FH1")</f>
        <v>Drf_FH1</v>
      </c>
      <c r="BQ352" t="str">
        <f>HYPERLINK("http://pfam.sanger.ac.uk/family?acc=PF06346","0.005")</f>
        <v>0.005</v>
      </c>
      <c r="BR352" s="1" t="str">
        <f>HYPERLINK("http://exon.niaid.nih.gov/transcriptome/T_rubida/S1/links/SMART/Triru-contig_190-SMART.txt","Amelogenin")</f>
        <v>Amelogenin</v>
      </c>
      <c r="BS352" t="str">
        <f>HYPERLINK("http://smart.embl-heidelberg.de/smart/do_annotation.pl?DOMAIN=Amelogenin&amp;BLAST=DUMMY","0.025")</f>
        <v>0.025</v>
      </c>
      <c r="BT352" s="1" t="str">
        <f>HYPERLINK("http://exon.niaid.nih.gov/transcriptome/T_rubida/S1/links/PRK/Triru-contig_190-PRK.txt","NADH dehydrogenase subunit 5")</f>
        <v>NADH dehydrogenase subunit 5</v>
      </c>
      <c r="BU352">
        <v>1.7999999999999999E-2</v>
      </c>
      <c r="BV352" s="1" t="s">
        <v>57</v>
      </c>
      <c r="BW352" t="s">
        <v>57</v>
      </c>
      <c r="BX352" s="1" t="s">
        <v>57</v>
      </c>
      <c r="BY352" t="s">
        <v>57</v>
      </c>
    </row>
    <row r="353" spans="1:77">
      <c r="A353" t="str">
        <f>HYPERLINK("http://exon.niaid.nih.gov/transcriptome/T_rubida/S1/links/Triru/Triru-contig_566.txt","Triru-contig_566")</f>
        <v>Triru-contig_566</v>
      </c>
      <c r="B353">
        <v>1</v>
      </c>
      <c r="C353" t="str">
        <f>HYPERLINK("http://exon.niaid.nih.gov/transcriptome/T_rubida/S1/links/Triru/Triru-5-48-asb-566.txt","Contig-566")</f>
        <v>Contig-566</v>
      </c>
      <c r="D353" t="str">
        <f>HYPERLINK("http://exon.niaid.nih.gov/transcriptome/T_rubida/S1/links/Triru/Triru-5-48-566-CLU.txt","Contig566")</f>
        <v>Contig566</v>
      </c>
      <c r="E353" t="str">
        <f>HYPERLINK("http://exon.niaid.nih.gov/transcriptome/T_rubida/S1/links/Triru/Triru-5-48-566-qual.txt","56.1")</f>
        <v>56.1</v>
      </c>
      <c r="F353">
        <v>1.1000000000000001</v>
      </c>
      <c r="G353">
        <v>50.8</v>
      </c>
      <c r="H353">
        <v>343</v>
      </c>
      <c r="I353" t="s">
        <v>578</v>
      </c>
      <c r="J353">
        <v>343</v>
      </c>
      <c r="K353">
        <v>362</v>
      </c>
      <c r="L353">
        <v>339</v>
      </c>
      <c r="M353" t="s">
        <v>5604</v>
      </c>
      <c r="N353" s="15">
        <v>3</v>
      </c>
      <c r="O353" s="14" t="str">
        <f>HYPERLINK("http://exon.niaid.nih.gov/transcriptome/T_rubida/S1/links/Sigp/TRIRU-CONTIG_566-SigP.txt","Cyt")</f>
        <v>Cyt</v>
      </c>
      <c r="Q353" s="5" t="s">
        <v>4827</v>
      </c>
      <c r="R353" t="s">
        <v>4828</v>
      </c>
      <c r="V353" s="1" t="str">
        <f>HYPERLINK("http://exon.niaid.nih.gov/transcriptome/T_rubida/S1/links/NR/Triru-contig_566-NR.txt","KH-domain protein, putative")</f>
        <v>KH-domain protein, putative</v>
      </c>
      <c r="W353" t="str">
        <f>HYPERLINK("http://www.ncbi.nlm.nih.gov/sutils/blink.cgi?pid=242022033","3E-004")</f>
        <v>3E-004</v>
      </c>
      <c r="X353" t="str">
        <f>HYPERLINK("http://www.ncbi.nlm.nih.gov/protein/242022033","gi|242022033")</f>
        <v>gi|242022033</v>
      </c>
      <c r="Y353">
        <v>48.9</v>
      </c>
      <c r="Z353">
        <v>53</v>
      </c>
      <c r="AA353">
        <v>338</v>
      </c>
      <c r="AB353">
        <v>45</v>
      </c>
      <c r="AC353">
        <v>16</v>
      </c>
      <c r="AD353">
        <v>36</v>
      </c>
      <c r="AE353">
        <v>0</v>
      </c>
      <c r="AF353">
        <v>266</v>
      </c>
      <c r="AG353">
        <v>60</v>
      </c>
      <c r="AH353">
        <v>1</v>
      </c>
      <c r="AI353">
        <v>3</v>
      </c>
      <c r="AJ353" t="s">
        <v>11</v>
      </c>
      <c r="AL353" t="s">
        <v>1177</v>
      </c>
      <c r="AM353" t="s">
        <v>4292</v>
      </c>
      <c r="AN353" t="s">
        <v>4293</v>
      </c>
      <c r="AO353" s="1" t="str">
        <f>HYPERLINK("http://exon.niaid.nih.gov/transcriptome/T_rubida/S1/links/SWISSP/Triru-contig_566-SWISSP.txt","Protein held out wings")</f>
        <v>Protein held out wings</v>
      </c>
      <c r="AP353" t="str">
        <f>HYPERLINK("http://www.uniprot.org/uniprot/O01367","0.039")</f>
        <v>0.039</v>
      </c>
      <c r="AQ353" t="s">
        <v>4294</v>
      </c>
      <c r="AR353">
        <v>37</v>
      </c>
      <c r="AS353">
        <v>48</v>
      </c>
      <c r="AT353">
        <v>40</v>
      </c>
      <c r="AU353">
        <v>12</v>
      </c>
      <c r="AV353">
        <v>36</v>
      </c>
      <c r="AW353">
        <v>6</v>
      </c>
      <c r="AX353">
        <v>320</v>
      </c>
      <c r="AY353">
        <v>69</v>
      </c>
      <c r="AZ353">
        <v>1</v>
      </c>
      <c r="BA353">
        <v>3</v>
      </c>
      <c r="BB353" t="s">
        <v>11</v>
      </c>
      <c r="BD353" t="s">
        <v>704</v>
      </c>
      <c r="BE353" t="s">
        <v>1125</v>
      </c>
      <c r="BF353" t="s">
        <v>4295</v>
      </c>
      <c r="BG353" t="s">
        <v>4296</v>
      </c>
      <c r="BH353" s="1" t="s">
        <v>57</v>
      </c>
      <c r="BI353" t="s">
        <v>57</v>
      </c>
      <c r="BJ353" s="1" t="str">
        <f>HYPERLINK("http://exon.niaid.nih.gov/transcriptome/T_rubida/S1/links/CDD/Triru-contig_566-CDD.txt","PHA03142")</f>
        <v>PHA03142</v>
      </c>
      <c r="BK353" t="str">
        <f>HYPERLINK("http://www.ncbi.nlm.nih.gov/Structure/cdd/cddsrv.cgi?uid=PHA03142&amp;version=v4.0","0.018")</f>
        <v>0.018</v>
      </c>
      <c r="BL353" t="s">
        <v>4297</v>
      </c>
      <c r="BM353" s="1" t="str">
        <f>HYPERLINK("http://exon.niaid.nih.gov/transcriptome/T_rubida/S1/links/KOG/Triru-contig_566-KOG.txt","Ultrahigh sulfur keratin-associated protein")</f>
        <v>Ultrahigh sulfur keratin-associated protein</v>
      </c>
      <c r="BN353" t="str">
        <f>HYPERLINK("http://www.ncbi.nlm.nih.gov/COG/grace/shokog.cgi?KOG4726","0.002")</f>
        <v>0.002</v>
      </c>
      <c r="BO353" t="s">
        <v>1916</v>
      </c>
      <c r="BP353" s="1" t="str">
        <f>HYPERLINK("http://exon.niaid.nih.gov/transcriptome/T_rubida/S1/links/PFAM/Triru-contig_566-PFAM.txt","Keratin_B2")</f>
        <v>Keratin_B2</v>
      </c>
      <c r="BQ353" t="str">
        <f>HYPERLINK("http://pfam.sanger.ac.uk/family?acc=PF01500","0.095")</f>
        <v>0.095</v>
      </c>
      <c r="BR353" s="1" t="str">
        <f>HYPERLINK("http://exon.niaid.nih.gov/transcriptome/T_rubida/S1/links/SMART/Triru-contig_566-SMART.txt","IBR")</f>
        <v>IBR</v>
      </c>
      <c r="BS353" t="str">
        <f>HYPERLINK("http://smart.embl-heidelberg.de/smart/do_annotation.pl?DOMAIN=IBR&amp;BLAST=DUMMY","0.13")</f>
        <v>0.13</v>
      </c>
      <c r="BT353" s="1" t="str">
        <f>HYPERLINK("http://exon.niaid.nih.gov/transcriptome/T_rubida/S1/links/PRK/Triru-contig_566-PRK.txt","helicase-primase primase subunit BSLF1")</f>
        <v>helicase-primase primase subunit BSLF1</v>
      </c>
      <c r="BU353">
        <v>8.0000000000000002E-3</v>
      </c>
      <c r="BV353" s="1" t="s">
        <v>57</v>
      </c>
      <c r="BW353" t="s">
        <v>57</v>
      </c>
      <c r="BX353" s="1" t="s">
        <v>57</v>
      </c>
      <c r="BY353" t="s">
        <v>57</v>
      </c>
    </row>
    <row r="354" spans="1:77">
      <c r="A354" t="str">
        <f>HYPERLINK("http://exon.niaid.nih.gov/transcriptome/T_rubida/S1/links/Triru/Triru-contig_527.txt","Triru-contig_527")</f>
        <v>Triru-contig_527</v>
      </c>
      <c r="B354">
        <v>1</v>
      </c>
      <c r="C354" t="str">
        <f>HYPERLINK("http://exon.niaid.nih.gov/transcriptome/T_rubida/S1/links/Triru/Triru-5-48-asb-527.txt","Contig-527")</f>
        <v>Contig-527</v>
      </c>
      <c r="D354" t="str">
        <f>HYPERLINK("http://exon.niaid.nih.gov/transcriptome/T_rubida/S1/links/Triru/Triru-5-48-527-CLU.txt","Contig527")</f>
        <v>Contig527</v>
      </c>
      <c r="E354" t="str">
        <f>HYPERLINK("http://exon.niaid.nih.gov/transcriptome/T_rubida/S1/links/Triru/Triru-5-48-527-qual.txt","52.3")</f>
        <v>52.3</v>
      </c>
      <c r="F354">
        <v>0.6</v>
      </c>
      <c r="G354">
        <v>73.5</v>
      </c>
      <c r="H354">
        <v>151</v>
      </c>
      <c r="I354" t="s">
        <v>539</v>
      </c>
      <c r="J354">
        <v>151</v>
      </c>
      <c r="K354">
        <v>170</v>
      </c>
      <c r="L354">
        <v>78</v>
      </c>
      <c r="M354" t="s">
        <v>5500</v>
      </c>
      <c r="N354" s="15">
        <v>3</v>
      </c>
      <c r="Q354" s="5" t="s">
        <v>4827</v>
      </c>
      <c r="R354" t="s">
        <v>4828</v>
      </c>
      <c r="V354" s="1" t="str">
        <f>HYPERLINK("http://exon.niaid.nih.gov/transcriptome/T_rubida/S1/links/NR/Triru-contig_527-NR.txt","unknown")</f>
        <v>unknown</v>
      </c>
      <c r="W354" t="str">
        <f>HYPERLINK("http://www.ncbi.nlm.nih.gov/sutils/blink.cgi?pid=110456566","4E-004")</f>
        <v>4E-004</v>
      </c>
      <c r="X354" t="str">
        <f>HYPERLINK("http://www.ncbi.nlm.nih.gov/protein/110456566","gi|110456566")</f>
        <v>gi|110456566</v>
      </c>
      <c r="Y354">
        <v>48.1</v>
      </c>
      <c r="Z354">
        <v>24</v>
      </c>
      <c r="AA354">
        <v>217</v>
      </c>
      <c r="AB354">
        <v>80</v>
      </c>
      <c r="AC354">
        <v>12</v>
      </c>
      <c r="AD354">
        <v>5</v>
      </c>
      <c r="AE354">
        <v>0</v>
      </c>
      <c r="AF354">
        <v>193</v>
      </c>
      <c r="AG354">
        <v>24</v>
      </c>
      <c r="AH354">
        <v>1</v>
      </c>
      <c r="AI354">
        <v>3</v>
      </c>
      <c r="AJ354" t="s">
        <v>11</v>
      </c>
      <c r="AL354" t="s">
        <v>1334</v>
      </c>
      <c r="AM354" t="s">
        <v>4046</v>
      </c>
      <c r="AN354" t="s">
        <v>4047</v>
      </c>
      <c r="AO354" s="1" t="str">
        <f>HYPERLINK("http://exon.niaid.nih.gov/transcriptome/T_rubida/S1/links/SWISSP/Triru-contig_527-SWISSP.txt","Pyridine nucleotide-disulfide oxidoreductase domain-containing protein 1")</f>
        <v>Pyridine nucleotide-disulfide oxidoreductase domain-containing protein 1</v>
      </c>
      <c r="AP354" t="str">
        <f>HYPERLINK("http://www.uniprot.org/uniprot/Q3TMV7","0.008")</f>
        <v>0.008</v>
      </c>
      <c r="AQ354" t="s">
        <v>4048</v>
      </c>
      <c r="AR354">
        <v>39.299999999999997</v>
      </c>
      <c r="AS354">
        <v>24</v>
      </c>
      <c r="AT354">
        <v>60</v>
      </c>
      <c r="AU354">
        <v>5</v>
      </c>
      <c r="AV354">
        <v>10</v>
      </c>
      <c r="AW354">
        <v>0</v>
      </c>
      <c r="AX354">
        <v>474</v>
      </c>
      <c r="AY354">
        <v>24</v>
      </c>
      <c r="AZ354">
        <v>1</v>
      </c>
      <c r="BA354">
        <v>3</v>
      </c>
      <c r="BB354" t="s">
        <v>11</v>
      </c>
      <c r="BD354" t="s">
        <v>704</v>
      </c>
      <c r="BE354" t="s">
        <v>807</v>
      </c>
      <c r="BF354" t="s">
        <v>4049</v>
      </c>
      <c r="BG354" t="s">
        <v>4050</v>
      </c>
      <c r="BH354" s="1" t="s">
        <v>57</v>
      </c>
      <c r="BI354" t="s">
        <v>57</v>
      </c>
      <c r="BJ354" s="1" t="str">
        <f>HYPERLINK("http://exon.niaid.nih.gov/transcriptome/T_rubida/S1/links/CDD/Triru-contig_527-CDD.txt","ND2")</f>
        <v>ND2</v>
      </c>
      <c r="BK354" t="str">
        <f>HYPERLINK("http://www.ncbi.nlm.nih.gov/Structure/cdd/cddsrv.cgi?uid=MTH00160&amp;version=v4.0","1.5")</f>
        <v>1.5</v>
      </c>
      <c r="BL354" t="s">
        <v>4051</v>
      </c>
      <c r="BM354" s="1" t="str">
        <f>HYPERLINK("http://exon.niaid.nih.gov/transcriptome/T_rubida/S1/links/KOG/Triru-contig_527-KOG.txt","Predicted integral membrane protein")</f>
        <v>Predicted integral membrane protein</v>
      </c>
      <c r="BN354" t="str">
        <f>HYPERLINK("http://www.ncbi.nlm.nih.gov/COG/grace/shokog.cgi?KOG3912","1.8")</f>
        <v>1.8</v>
      </c>
      <c r="BO354" t="s">
        <v>750</v>
      </c>
      <c r="BP354" s="1" t="str">
        <f>HYPERLINK("http://exon.niaid.nih.gov/transcriptome/T_rubida/S1/links/PFAM/Triru-contig_527-PFAM.txt","DUF1430")</f>
        <v>DUF1430</v>
      </c>
      <c r="BQ354" t="str">
        <f>HYPERLINK("http://pfam.sanger.ac.uk/family?acc=PF07242","0.32")</f>
        <v>0.32</v>
      </c>
      <c r="BR354" s="1" t="str">
        <f>HYPERLINK("http://exon.niaid.nih.gov/transcriptome/T_rubida/S1/links/SMART/Triru-contig_527-SMART.txt","Agglutinin")</f>
        <v>Agglutinin</v>
      </c>
      <c r="BS354" t="str">
        <f>HYPERLINK("http://smart.embl-heidelberg.de/smart/do_annotation.pl?DOMAIN=Agglutinin&amp;BLAST=DUMMY","0.59")</f>
        <v>0.59</v>
      </c>
      <c r="BT354" s="1" t="str">
        <f>HYPERLINK("http://exon.niaid.nih.gov/transcriptome/T_rubida/S1/links/PRK/Triru-contig_527-PRK.txt","NADH dehydrogenase subunit 2")</f>
        <v>NADH dehydrogenase subunit 2</v>
      </c>
      <c r="BU354">
        <v>0.53</v>
      </c>
      <c r="BV354" s="1" t="s">
        <v>57</v>
      </c>
      <c r="BW354" t="s">
        <v>57</v>
      </c>
      <c r="BX354" s="1" t="s">
        <v>57</v>
      </c>
      <c r="BY354" t="s">
        <v>57</v>
      </c>
    </row>
    <row r="355" spans="1:77">
      <c r="A355" t="str">
        <f>HYPERLINK("http://exon.niaid.nih.gov/transcriptome/T_rubida/S1/links/Triru/Triru-contig_251.txt","Triru-contig_251")</f>
        <v>Triru-contig_251</v>
      </c>
      <c r="B355">
        <v>1</v>
      </c>
      <c r="C355" t="str">
        <f>HYPERLINK("http://exon.niaid.nih.gov/transcriptome/T_rubida/S1/links/Triru/Triru-5-48-asb-251.txt","Contig-251")</f>
        <v>Contig-251</v>
      </c>
      <c r="D355" t="str">
        <f>HYPERLINK("http://exon.niaid.nih.gov/transcriptome/T_rubida/S1/links/Triru/Triru-5-48-251-CLU.txt","Contig251")</f>
        <v>Contig251</v>
      </c>
      <c r="E355" t="str">
        <f>HYPERLINK("http://exon.niaid.nih.gov/transcriptome/T_rubida/S1/links/Triru/Triru-5-48-251-qual.txt","59.5")</f>
        <v>59.5</v>
      </c>
      <c r="F355" t="s">
        <v>10</v>
      </c>
      <c r="G355">
        <v>63.2</v>
      </c>
      <c r="H355">
        <v>144</v>
      </c>
      <c r="I355" t="s">
        <v>263</v>
      </c>
      <c r="J355">
        <v>144</v>
      </c>
      <c r="K355">
        <v>163</v>
      </c>
      <c r="L355">
        <v>156</v>
      </c>
      <c r="M355" t="s">
        <v>5510</v>
      </c>
      <c r="N355" s="15">
        <v>3</v>
      </c>
      <c r="O355" s="14" t="str">
        <f>HYPERLINK("http://exon.niaid.nih.gov/transcriptome/T_rubida/S1/links/Sigp/TRIRU-CONTIG_251-SigP.txt","Cyt")</f>
        <v>Cyt</v>
      </c>
      <c r="Q355" s="5" t="s">
        <v>4827</v>
      </c>
      <c r="R355" t="s">
        <v>4828</v>
      </c>
      <c r="V355" s="1" t="str">
        <f>HYPERLINK("http://exon.niaid.nih.gov/transcriptome/T_rubida/S1/links/NR/Triru-contig_251-NR.txt","GK22993")</f>
        <v>GK22993</v>
      </c>
      <c r="W355" t="str">
        <f>HYPERLINK("http://www.ncbi.nlm.nih.gov/sutils/blink.cgi?pid=195455494","5E-004")</f>
        <v>5E-004</v>
      </c>
      <c r="X355" t="str">
        <f>HYPERLINK("http://www.ncbi.nlm.nih.gov/protein/195455494","gi|195455494")</f>
        <v>gi|195455494</v>
      </c>
      <c r="Y355">
        <v>48.1</v>
      </c>
      <c r="Z355">
        <v>45</v>
      </c>
      <c r="AA355">
        <v>1316</v>
      </c>
      <c r="AB355">
        <v>36</v>
      </c>
      <c r="AC355">
        <v>3</v>
      </c>
      <c r="AD355">
        <v>29</v>
      </c>
      <c r="AE355">
        <v>0</v>
      </c>
      <c r="AF355">
        <v>1012</v>
      </c>
      <c r="AG355">
        <v>6</v>
      </c>
      <c r="AH355">
        <v>1</v>
      </c>
      <c r="AI355">
        <v>3</v>
      </c>
      <c r="AJ355" t="s">
        <v>11</v>
      </c>
      <c r="AL355" t="s">
        <v>2181</v>
      </c>
      <c r="AM355" t="s">
        <v>2182</v>
      </c>
      <c r="AN355" t="s">
        <v>2183</v>
      </c>
      <c r="AO355" s="1" t="str">
        <f>HYPERLINK("http://exon.niaid.nih.gov/transcriptome/T_rubida/S1/links/SWISSP/Triru-contig_251-SWISSP.txt","Vigilin")</f>
        <v>Vigilin</v>
      </c>
      <c r="AP355" t="str">
        <f>HYPERLINK("http://www.uniprot.org/uniprot/Q9Z1A6","0.039")</f>
        <v>0.039</v>
      </c>
      <c r="AQ355" t="s">
        <v>2184</v>
      </c>
      <c r="AR355">
        <v>37</v>
      </c>
      <c r="AS355">
        <v>331</v>
      </c>
      <c r="AT355">
        <v>36</v>
      </c>
      <c r="AU355">
        <v>26</v>
      </c>
      <c r="AV355">
        <v>28</v>
      </c>
      <c r="AW355">
        <v>0</v>
      </c>
      <c r="AX355">
        <v>312</v>
      </c>
      <c r="AY355">
        <v>6</v>
      </c>
      <c r="AZ355">
        <v>3</v>
      </c>
      <c r="BA355">
        <v>3</v>
      </c>
      <c r="BB355" t="s">
        <v>11</v>
      </c>
      <c r="BD355" t="s">
        <v>704</v>
      </c>
      <c r="BE355" t="s">
        <v>1164</v>
      </c>
      <c r="BF355" t="s">
        <v>2185</v>
      </c>
      <c r="BG355" t="s">
        <v>2186</v>
      </c>
      <c r="BH355" s="1" t="s">
        <v>57</v>
      </c>
      <c r="BI355" t="s">
        <v>57</v>
      </c>
      <c r="BJ355" s="1" t="str">
        <f>HYPERLINK("http://exon.niaid.nih.gov/transcriptome/T_rubida/S1/links/CDD/Triru-contig_251-CDD.txt","vigilin_like_KH")</f>
        <v>vigilin_like_KH</v>
      </c>
      <c r="BK355" t="str">
        <f>HYPERLINK("http://www.ncbi.nlm.nih.gov/Structure/cdd/cddsrv.cgi?uid=cd02394&amp;version=v4.0","2E-008")</f>
        <v>2E-008</v>
      </c>
      <c r="BL355" t="s">
        <v>2187</v>
      </c>
      <c r="BM355" s="1" t="str">
        <f>HYPERLINK("http://exon.niaid.nih.gov/transcriptome/T_rubida/S1/links/KOG/Triru-contig_251-KOG.txt","K-homology type RNA binding proteins")</f>
        <v>K-homology type RNA binding proteins</v>
      </c>
      <c r="BN355" t="str">
        <f>HYPERLINK("http://www.ncbi.nlm.nih.gov/COG/grace/shokog.cgi?KOG1676","0.005")</f>
        <v>0.005</v>
      </c>
      <c r="BO355" t="s">
        <v>1002</v>
      </c>
      <c r="BP355" s="1" t="str">
        <f>HYPERLINK("http://exon.niaid.nih.gov/transcriptome/T_rubida/S1/links/PFAM/Triru-contig_251-PFAM.txt","KH_1")</f>
        <v>KH_1</v>
      </c>
      <c r="BQ355" t="str">
        <f>HYPERLINK("http://pfam.sanger.ac.uk/family?acc=PF00013","6E-007")</f>
        <v>6E-007</v>
      </c>
      <c r="BR355" s="1" t="str">
        <f>HYPERLINK("http://exon.niaid.nih.gov/transcriptome/T_rubida/S1/links/SMART/Triru-contig_251-SMART.txt","KH")</f>
        <v>KH</v>
      </c>
      <c r="BS355" t="str">
        <f>HYPERLINK("http://smart.embl-heidelberg.de/smart/do_annotation.pl?DOMAIN=KH&amp;BLAST=DUMMY","2E-008")</f>
        <v>2E-008</v>
      </c>
      <c r="BT355" s="1" t="str">
        <f>HYPERLINK("http://exon.niaid.nih.gov/transcriptome/T_rubida/S1/links/PRK/Triru-contig_251-PRK.txt","ribosomal RNA large subunit methyltransferase N")</f>
        <v>ribosomal RNA large subunit methyltransferase N</v>
      </c>
      <c r="BU355">
        <v>0.69</v>
      </c>
      <c r="BV355" s="1" t="s">
        <v>57</v>
      </c>
      <c r="BW355" t="s">
        <v>57</v>
      </c>
      <c r="BX355" s="1" t="s">
        <v>57</v>
      </c>
      <c r="BY355" t="s">
        <v>57</v>
      </c>
    </row>
    <row r="356" spans="1:77">
      <c r="A356" t="str">
        <f>HYPERLINK("http://exon.niaid.nih.gov/transcriptome/T_rubida/S1/links/Triru/Triru-contig_186.txt","Triru-contig_186")</f>
        <v>Triru-contig_186</v>
      </c>
      <c r="B356">
        <v>1</v>
      </c>
      <c r="C356" t="str">
        <f>HYPERLINK("http://exon.niaid.nih.gov/transcriptome/T_rubida/S1/links/Triru/Triru-5-48-asb-186.txt","Contig-186")</f>
        <v>Contig-186</v>
      </c>
      <c r="D356" t="str">
        <f>HYPERLINK("http://exon.niaid.nih.gov/transcriptome/T_rubida/S1/links/Triru/Triru-5-48-186-CLU.txt","Contig186")</f>
        <v>Contig186</v>
      </c>
      <c r="E356" t="str">
        <f>HYPERLINK("http://exon.niaid.nih.gov/transcriptome/T_rubida/S1/links/Triru/Triru-5-48-186-qual.txt","44.6")</f>
        <v>44.6</v>
      </c>
      <c r="F356" t="s">
        <v>10</v>
      </c>
      <c r="G356">
        <v>64.099999999999994</v>
      </c>
      <c r="H356">
        <v>148</v>
      </c>
      <c r="I356" t="s">
        <v>198</v>
      </c>
      <c r="J356">
        <v>148</v>
      </c>
      <c r="K356">
        <v>167</v>
      </c>
      <c r="L356">
        <v>123</v>
      </c>
      <c r="M356" t="s">
        <v>5680</v>
      </c>
      <c r="N356" s="15">
        <v>2</v>
      </c>
      <c r="Q356" s="5" t="s">
        <v>4827</v>
      </c>
      <c r="R356" t="s">
        <v>4828</v>
      </c>
      <c r="V356" s="1" t="str">
        <f>HYPERLINK("http://exon.niaid.nih.gov/transcriptome/T_rubida/S1/links/NR/Triru-contig_186-NR.txt","60S ribosomal protein L8")</f>
        <v>60S ribosomal protein L8</v>
      </c>
      <c r="W356" t="str">
        <f>HYPERLINK("http://www.ncbi.nlm.nih.gov/sutils/blink.cgi?pid=149689084","8E-004")</f>
        <v>8E-004</v>
      </c>
      <c r="X356" t="str">
        <f>HYPERLINK("http://www.ncbi.nlm.nih.gov/protein/149689084","gi|149689084")</f>
        <v>gi|149689084</v>
      </c>
      <c r="Y356">
        <v>47.4</v>
      </c>
      <c r="Z356">
        <v>30</v>
      </c>
      <c r="AA356">
        <v>258</v>
      </c>
      <c r="AB356">
        <v>77</v>
      </c>
      <c r="AC356">
        <v>12</v>
      </c>
      <c r="AD356">
        <v>7</v>
      </c>
      <c r="AE356">
        <v>0</v>
      </c>
      <c r="AF356">
        <v>228</v>
      </c>
      <c r="AG356">
        <v>4</v>
      </c>
      <c r="AH356">
        <v>1</v>
      </c>
      <c r="AI356">
        <v>1</v>
      </c>
      <c r="AJ356" t="s">
        <v>11</v>
      </c>
      <c r="AL356" t="s">
        <v>1067</v>
      </c>
      <c r="AM356" t="s">
        <v>1790</v>
      </c>
      <c r="AN356" t="s">
        <v>1413</v>
      </c>
      <c r="AO356" s="1" t="str">
        <f>HYPERLINK("http://exon.niaid.nih.gov/transcriptome/T_rubida/S1/links/SWISSP/Triru-contig_186-SWISSP.txt","60S ribosomal protein L8")</f>
        <v>60S ribosomal protein L8</v>
      </c>
      <c r="AP356" t="str">
        <f>HYPERLINK("http://www.uniprot.org/uniprot/Q95V39","5E-004")</f>
        <v>5E-004</v>
      </c>
      <c r="AQ356" t="s">
        <v>1791</v>
      </c>
      <c r="AR356">
        <v>43.1</v>
      </c>
      <c r="AS356">
        <v>27</v>
      </c>
      <c r="AT356">
        <v>78</v>
      </c>
      <c r="AU356">
        <v>11</v>
      </c>
      <c r="AV356">
        <v>6</v>
      </c>
      <c r="AW356">
        <v>0</v>
      </c>
      <c r="AX356">
        <v>228</v>
      </c>
      <c r="AY356">
        <v>4</v>
      </c>
      <c r="AZ356">
        <v>1</v>
      </c>
      <c r="BA356">
        <v>1</v>
      </c>
      <c r="BB356" t="s">
        <v>11</v>
      </c>
      <c r="BD356" t="s">
        <v>704</v>
      </c>
      <c r="BE356" t="s">
        <v>1246</v>
      </c>
      <c r="BF356" t="s">
        <v>1792</v>
      </c>
      <c r="BG356" t="s">
        <v>1793</v>
      </c>
      <c r="BH356" s="1" t="s">
        <v>57</v>
      </c>
      <c r="BI356" t="s">
        <v>57</v>
      </c>
      <c r="BJ356" s="1" t="str">
        <f>HYPERLINK("http://exon.niaid.nih.gov/transcriptome/T_rubida/S1/links/CDD/Triru-contig_186-CDD.txt","PTZ00180")</f>
        <v>PTZ00180</v>
      </c>
      <c r="BK356" t="str">
        <f>HYPERLINK("http://www.ncbi.nlm.nih.gov/Structure/cdd/cddsrv.cgi?uid=PTZ00180&amp;version=v4.0","0.030")</f>
        <v>0.030</v>
      </c>
      <c r="BL356" t="s">
        <v>1794</v>
      </c>
      <c r="BM356" s="1" t="str">
        <f>HYPERLINK("http://exon.niaid.nih.gov/transcriptome/T_rubida/S1/links/KOG/Triru-contig_186-KOG.txt","60s ribosomal protein L2/L8")</f>
        <v>60s ribosomal protein L2/L8</v>
      </c>
      <c r="BN356" t="str">
        <f>HYPERLINK("http://www.ncbi.nlm.nih.gov/COG/grace/shokog.cgi?KOG2309","0.003")</f>
        <v>0.003</v>
      </c>
      <c r="BO356" t="s">
        <v>1185</v>
      </c>
      <c r="BP356" s="1" t="str">
        <f>HYPERLINK("http://exon.niaid.nih.gov/transcriptome/T_rubida/S1/links/PFAM/Triru-contig_186-PFAM.txt","DUF1561")</f>
        <v>DUF1561</v>
      </c>
      <c r="BQ356" t="str">
        <f>HYPERLINK("http://pfam.sanger.ac.uk/family?acc=PF07598","0.71")</f>
        <v>0.71</v>
      </c>
      <c r="BR356" s="1" t="str">
        <f>HYPERLINK("http://exon.niaid.nih.gov/transcriptome/T_rubida/S1/links/SMART/Triru-contig_186-SMART.txt","MCM")</f>
        <v>MCM</v>
      </c>
      <c r="BS356" t="str">
        <f>HYPERLINK("http://smart.embl-heidelberg.de/smart/do_annotation.pl?DOMAIN=MCM&amp;BLAST=DUMMY","0.12")</f>
        <v>0.12</v>
      </c>
      <c r="BT356" s="1" t="str">
        <f>HYPERLINK("http://exon.niaid.nih.gov/transcriptome/T_rubida/S1/links/PRK/Triru-contig_186-PRK.txt","60S ribosomal protein L8")</f>
        <v>60S ribosomal protein L8</v>
      </c>
      <c r="BU356">
        <v>1.0999999999999999E-2</v>
      </c>
      <c r="BV356" s="1" t="s">
        <v>57</v>
      </c>
      <c r="BW356" t="s">
        <v>57</v>
      </c>
      <c r="BX356" s="1" t="s">
        <v>57</v>
      </c>
      <c r="BY356" t="s">
        <v>57</v>
      </c>
    </row>
    <row r="357" spans="1:77">
      <c r="A357" t="str">
        <f>HYPERLINK("http://exon.niaid.nih.gov/transcriptome/T_rubida/S1/links/Triru/Triru-contig_215.txt","Triru-contig_215")</f>
        <v>Triru-contig_215</v>
      </c>
      <c r="B357">
        <v>1</v>
      </c>
      <c r="C357" t="str">
        <f>HYPERLINK("http://exon.niaid.nih.gov/transcriptome/T_rubida/S1/links/Triru/Triru-5-48-asb-215.txt","Contig-215")</f>
        <v>Contig-215</v>
      </c>
      <c r="D357" t="str">
        <f>HYPERLINK("http://exon.niaid.nih.gov/transcriptome/T_rubida/S1/links/Triru/Triru-5-48-215-CLU.txt","Contig215")</f>
        <v>Contig215</v>
      </c>
      <c r="E357" t="str">
        <f>HYPERLINK("http://exon.niaid.nih.gov/transcriptome/T_rubida/S1/links/Triru/Triru-5-48-215-qual.txt","57.")</f>
        <v>57.</v>
      </c>
      <c r="F357" t="s">
        <v>10</v>
      </c>
      <c r="G357">
        <v>78.3</v>
      </c>
      <c r="H357">
        <v>336</v>
      </c>
      <c r="I357" t="s">
        <v>227</v>
      </c>
      <c r="J357">
        <v>336</v>
      </c>
      <c r="K357">
        <v>355</v>
      </c>
      <c r="L357">
        <v>123</v>
      </c>
      <c r="M357" t="s">
        <v>5690</v>
      </c>
      <c r="N357" s="15">
        <v>2</v>
      </c>
      <c r="Q357" s="5" t="s">
        <v>4827</v>
      </c>
      <c r="R357" t="s">
        <v>4828</v>
      </c>
      <c r="V357" s="1" t="str">
        <f>HYPERLINK("http://exon.niaid.nih.gov/transcriptome/T_rubida/S1/links/NR/Triru-contig_215-NR.txt","hypothetical protein")</f>
        <v>hypothetical protein</v>
      </c>
      <c r="W357" t="str">
        <f>HYPERLINK("http://www.ncbi.nlm.nih.gov/sutils/blink.cgi?pid=71744388","8E-004")</f>
        <v>8E-004</v>
      </c>
      <c r="X357" t="str">
        <f>HYPERLINK("http://www.ncbi.nlm.nih.gov/protein/71744388","gi|71744388")</f>
        <v>gi|71744388</v>
      </c>
      <c r="Y357">
        <v>47.4</v>
      </c>
      <c r="Z357">
        <v>82</v>
      </c>
      <c r="AA357">
        <v>250</v>
      </c>
      <c r="AB357">
        <v>32</v>
      </c>
      <c r="AC357">
        <v>33</v>
      </c>
      <c r="AD357">
        <v>56</v>
      </c>
      <c r="AE357">
        <v>3</v>
      </c>
      <c r="AF357">
        <v>153</v>
      </c>
      <c r="AG357">
        <v>25</v>
      </c>
      <c r="AH357">
        <v>1</v>
      </c>
      <c r="AI357">
        <v>1</v>
      </c>
      <c r="AJ357" t="s">
        <v>11</v>
      </c>
      <c r="AK357">
        <v>4.8780000000000001</v>
      </c>
      <c r="AL357" t="s">
        <v>1958</v>
      </c>
      <c r="AM357" t="s">
        <v>1959</v>
      </c>
      <c r="AN357" t="s">
        <v>1960</v>
      </c>
      <c r="AO357" s="1" t="str">
        <f>HYPERLINK("http://exon.niaid.nih.gov/transcriptome/T_rubida/S1/links/SWISSP/Triru-contig_215-SWISSP.txt","Transcriptional regulator ATRX (Fragment)")</f>
        <v>Transcriptional regulator ATRX (Fragment)</v>
      </c>
      <c r="AP357" t="str">
        <f>HYPERLINK("http://www.uniprot.org/uniprot/P82798","0.11")</f>
        <v>0.11</v>
      </c>
      <c r="AQ357" t="s">
        <v>1961</v>
      </c>
      <c r="AR357">
        <v>35.4</v>
      </c>
      <c r="AS357">
        <v>80</v>
      </c>
      <c r="AT357">
        <v>34</v>
      </c>
      <c r="AU357">
        <v>16</v>
      </c>
      <c r="AV357">
        <v>54</v>
      </c>
      <c r="AW357">
        <v>13</v>
      </c>
      <c r="AX357">
        <v>390</v>
      </c>
      <c r="AY357">
        <v>40</v>
      </c>
      <c r="AZ357">
        <v>1</v>
      </c>
      <c r="BA357">
        <v>1</v>
      </c>
      <c r="BB357" t="s">
        <v>11</v>
      </c>
      <c r="BC357">
        <v>5</v>
      </c>
      <c r="BD357" t="s">
        <v>704</v>
      </c>
      <c r="BE357" t="s">
        <v>1962</v>
      </c>
      <c r="BF357" t="s">
        <v>1963</v>
      </c>
      <c r="BG357" t="s">
        <v>1964</v>
      </c>
      <c r="BH357" s="1" t="s">
        <v>57</v>
      </c>
      <c r="BI357" t="s">
        <v>57</v>
      </c>
      <c r="BJ357" s="1" t="str">
        <f>HYPERLINK("http://exon.niaid.nih.gov/transcriptome/T_rubida/S1/links/CDD/Triru-contig_215-CDD.txt","ND6")</f>
        <v>ND6</v>
      </c>
      <c r="BK357" t="str">
        <f>HYPERLINK("http://www.ncbi.nlm.nih.gov/Structure/cdd/cddsrv.cgi?uid=MTH00064&amp;version=v4.0","6E-004")</f>
        <v>6E-004</v>
      </c>
      <c r="BL357" t="s">
        <v>1965</v>
      </c>
      <c r="BM357" s="1" t="str">
        <f>HYPERLINK("http://exon.niaid.nih.gov/transcriptome/T_rubida/S1/links/KOG/Triru-contig_215-KOG.txt","Presenilin")</f>
        <v>Presenilin</v>
      </c>
      <c r="BN357" t="str">
        <f>HYPERLINK("http://www.ncbi.nlm.nih.gov/COG/grace/shokog.cgi?KOG2736","0.034")</f>
        <v>0.034</v>
      </c>
      <c r="BO357" t="s">
        <v>728</v>
      </c>
      <c r="BP357" s="1" t="str">
        <f>HYPERLINK("http://exon.niaid.nih.gov/transcriptome/T_rubida/S1/links/PFAM/Triru-contig_215-PFAM.txt","Presenilin")</f>
        <v>Presenilin</v>
      </c>
      <c r="BQ357" t="str">
        <f>HYPERLINK("http://pfam.sanger.ac.uk/family?acc=PF01080","0.003")</f>
        <v>0.003</v>
      </c>
      <c r="BR357" s="1" t="str">
        <f>HYPERLINK("http://exon.niaid.nih.gov/transcriptome/T_rubida/S1/links/SMART/Triru-contig_215-SMART.txt","PSN")</f>
        <v>PSN</v>
      </c>
      <c r="BS357" t="str">
        <f>HYPERLINK("http://smart.embl-heidelberg.de/smart/do_annotation.pl?DOMAIN=PSN&amp;BLAST=DUMMY","0.017")</f>
        <v>0.017</v>
      </c>
      <c r="BT357" s="1" t="str">
        <f>HYPERLINK("http://exon.niaid.nih.gov/transcriptome/T_rubida/S1/links/PRK/Triru-contig_215-PRK.txt","NADH dehydrogenase subunit 6")</f>
        <v>NADH dehydrogenase subunit 6</v>
      </c>
      <c r="BU357" s="2">
        <v>2.0000000000000001E-4</v>
      </c>
      <c r="BV357" s="1" t="s">
        <v>57</v>
      </c>
      <c r="BW357" t="s">
        <v>57</v>
      </c>
      <c r="BX357" s="1" t="s">
        <v>57</v>
      </c>
      <c r="BY357" t="s">
        <v>57</v>
      </c>
    </row>
    <row r="358" spans="1:77">
      <c r="A358" t="str">
        <f>HYPERLINK("http://exon.niaid.nih.gov/transcriptome/T_rubida/S1/links/Triru/Triru-contig_504.txt","Triru-contig_504")</f>
        <v>Triru-contig_504</v>
      </c>
      <c r="B358">
        <v>1</v>
      </c>
      <c r="C358" t="str">
        <f>HYPERLINK("http://exon.niaid.nih.gov/transcriptome/T_rubida/S1/links/Triru/Triru-5-48-asb-504.txt","Contig-504")</f>
        <v>Contig-504</v>
      </c>
      <c r="D358" t="str">
        <f>HYPERLINK("http://exon.niaid.nih.gov/transcriptome/T_rubida/S1/links/Triru/Triru-5-48-504-CLU.txt","Contig504")</f>
        <v>Contig504</v>
      </c>
      <c r="E358" t="str">
        <f>HYPERLINK("http://exon.niaid.nih.gov/transcriptome/T_rubida/S1/links/Triru/Triru-5-48-504-qual.txt","62.9")</f>
        <v>62.9</v>
      </c>
      <c r="F358">
        <v>0.2</v>
      </c>
      <c r="G358">
        <v>50.6</v>
      </c>
      <c r="H358">
        <v>449</v>
      </c>
      <c r="I358" t="s">
        <v>516</v>
      </c>
      <c r="J358">
        <v>449</v>
      </c>
      <c r="K358">
        <v>468</v>
      </c>
      <c r="L358">
        <v>201</v>
      </c>
      <c r="M358" t="s">
        <v>5582</v>
      </c>
      <c r="N358" s="15">
        <v>1</v>
      </c>
      <c r="Q358" s="5" t="s">
        <v>4827</v>
      </c>
      <c r="R358" t="s">
        <v>4828</v>
      </c>
      <c r="V358" s="1" t="str">
        <f>HYPERLINK("http://exon.niaid.nih.gov/transcriptome/T_rubida/S1/links/NR/Triru-contig_504-NR.txt","similar to myosin-rhogap protein, myr")</f>
        <v>similar to myosin-rhogap protein, myr</v>
      </c>
      <c r="W358" t="str">
        <f>HYPERLINK("http://www.ncbi.nlm.nih.gov/sutils/blink.cgi?pid=156548458","0.001")</f>
        <v>0.001</v>
      </c>
      <c r="X358" t="str">
        <f>HYPERLINK("http://www.ncbi.nlm.nih.gov/protein/156548458","gi|156548458")</f>
        <v>gi|156548458</v>
      </c>
      <c r="Y358">
        <v>35.4</v>
      </c>
      <c r="Z358">
        <v>88</v>
      </c>
      <c r="AA358">
        <v>2292</v>
      </c>
      <c r="AB358">
        <v>45</v>
      </c>
      <c r="AC358">
        <v>4</v>
      </c>
      <c r="AD358">
        <v>20</v>
      </c>
      <c r="AE358">
        <v>0</v>
      </c>
      <c r="AF358">
        <v>2176</v>
      </c>
      <c r="AG358">
        <v>4</v>
      </c>
      <c r="AH358">
        <v>2</v>
      </c>
      <c r="AI358">
        <v>3</v>
      </c>
      <c r="AJ358" t="s">
        <v>888</v>
      </c>
      <c r="AL358" t="s">
        <v>1330</v>
      </c>
      <c r="AM358" t="s">
        <v>3889</v>
      </c>
      <c r="AN358" t="s">
        <v>3890</v>
      </c>
      <c r="AO358" s="1" t="str">
        <f>HYPERLINK("http://exon.niaid.nih.gov/transcriptome/T_rubida/S1/links/SWISSP/Triru-contig_504-SWISSP.txt","Cerberus")</f>
        <v>Cerberus</v>
      </c>
      <c r="AP358" t="str">
        <f>HYPERLINK("http://www.uniprot.org/uniprot/O55233","11")</f>
        <v>11</v>
      </c>
      <c r="AQ358" t="s">
        <v>3891</v>
      </c>
      <c r="AR358">
        <v>29.3</v>
      </c>
      <c r="AS358">
        <v>31</v>
      </c>
      <c r="AT358">
        <v>39</v>
      </c>
      <c r="AU358">
        <v>12</v>
      </c>
      <c r="AV358">
        <v>20</v>
      </c>
      <c r="AW358">
        <v>0</v>
      </c>
      <c r="AX358">
        <v>194</v>
      </c>
      <c r="AY358">
        <v>138</v>
      </c>
      <c r="AZ358">
        <v>1</v>
      </c>
      <c r="BA358">
        <v>3</v>
      </c>
      <c r="BB358" t="s">
        <v>11</v>
      </c>
      <c r="BD358" t="s">
        <v>704</v>
      </c>
      <c r="BE358" t="s">
        <v>807</v>
      </c>
      <c r="BF358" t="s">
        <v>3892</v>
      </c>
      <c r="BG358" t="s">
        <v>3893</v>
      </c>
      <c r="BH358" s="1" t="s">
        <v>57</v>
      </c>
      <c r="BI358" t="s">
        <v>57</v>
      </c>
      <c r="BJ358" s="1" t="str">
        <f>HYPERLINK("http://exon.niaid.nih.gov/transcriptome/T_rubida/S1/links/CDD/Triru-contig_504-CDD.txt","arabinose_DH_li")</f>
        <v>arabinose_DH_li</v>
      </c>
      <c r="BK358" t="str">
        <f>HYPERLINK("http://www.ncbi.nlm.nih.gov/Structure/cdd/cddsrv.cgi?uid=cd05284&amp;version=v4.0","0.29")</f>
        <v>0.29</v>
      </c>
      <c r="BL358" t="s">
        <v>3894</v>
      </c>
      <c r="BM358" s="1" t="str">
        <f>HYPERLINK("http://exon.niaid.nih.gov/transcriptome/T_rubida/S1/links/KOG/Triru-contig_504-KOG.txt","Involved in anesthetic response in C.elegans")</f>
        <v>Involved in anesthetic response in C.elegans</v>
      </c>
      <c r="BN358" t="str">
        <f>HYPERLINK("http://www.ncbi.nlm.nih.gov/COG/grace/shokog.cgi?KOG4820","0.17")</f>
        <v>0.17</v>
      </c>
      <c r="BO358" t="s">
        <v>750</v>
      </c>
      <c r="BP358" s="1" t="str">
        <f>HYPERLINK("http://exon.niaid.nih.gov/transcriptome/T_rubida/S1/links/PFAM/Triru-contig_504-PFAM.txt","DUF2085")</f>
        <v>DUF2085</v>
      </c>
      <c r="BQ358" t="str">
        <f>HYPERLINK("http://pfam.sanger.ac.uk/family?acc=PF09858","0.077")</f>
        <v>0.077</v>
      </c>
      <c r="BR358" s="1" t="str">
        <f>HYPERLINK("http://exon.niaid.nih.gov/transcriptome/T_rubida/S1/links/SMART/Triru-contig_504-SMART.txt","DM6")</f>
        <v>DM6</v>
      </c>
      <c r="BS358" t="str">
        <f>HYPERLINK("http://smart.embl-heidelberg.de/smart/do_annotation.pl?DOMAIN=DM6&amp;BLAST=DUMMY","0.10")</f>
        <v>0.10</v>
      </c>
      <c r="BT358" s="1" t="str">
        <f>HYPERLINK("http://exon.niaid.nih.gov/transcriptome/T_rubida/S1/links/PRK/Triru-contig_504-PRK.txt","acetyl-CoA decarbonylase/synthase complex subunit alpha")</f>
        <v>acetyl-CoA decarbonylase/synthase complex subunit alpha</v>
      </c>
      <c r="BU358">
        <v>1.7</v>
      </c>
      <c r="BV358" s="1" t="s">
        <v>57</v>
      </c>
      <c r="BW358" t="s">
        <v>57</v>
      </c>
      <c r="BX358" s="1" t="s">
        <v>57</v>
      </c>
      <c r="BY358" t="s">
        <v>57</v>
      </c>
    </row>
    <row r="359" spans="1:77">
      <c r="A359" t="str">
        <f>HYPERLINK("http://exon.niaid.nih.gov/transcriptome/T_rubida/S1/links/Triru/Triru-contig_65.txt","Triru-contig_65")</f>
        <v>Triru-contig_65</v>
      </c>
      <c r="B359">
        <v>5</v>
      </c>
      <c r="C359" t="str">
        <f>HYPERLINK("http://exon.niaid.nih.gov/transcriptome/T_rubida/S1/links/Triru/Triru-5-48-asb-65.txt","Contig-65")</f>
        <v>Contig-65</v>
      </c>
      <c r="D359" t="str">
        <f>HYPERLINK("http://exon.niaid.nih.gov/transcriptome/T_rubida/S1/links/Triru/Triru-5-48-65-CLU.txt","Contig65")</f>
        <v>Contig65</v>
      </c>
      <c r="E359" t="str">
        <f>HYPERLINK("http://exon.niaid.nih.gov/transcriptome/T_rubida/S1/links/Triru/Triru-5-48-65-qual.txt","88.1")</f>
        <v>88.1</v>
      </c>
      <c r="F359" t="s">
        <v>10</v>
      </c>
      <c r="G359">
        <v>68.2</v>
      </c>
      <c r="H359">
        <v>346</v>
      </c>
      <c r="I359" t="s">
        <v>77</v>
      </c>
      <c r="J359">
        <v>339</v>
      </c>
      <c r="K359">
        <v>365</v>
      </c>
      <c r="L359">
        <v>195</v>
      </c>
      <c r="M359" t="s">
        <v>5677</v>
      </c>
      <c r="N359" s="15">
        <v>2</v>
      </c>
      <c r="O359" s="14" t="str">
        <f>HYPERLINK("http://exon.niaid.nih.gov/transcriptome/T_rubida/S1/links/Sigp/TRIRU-CONTIG_65-SigP.txt","Cyt")</f>
        <v>Cyt</v>
      </c>
      <c r="Q359" s="5" t="s">
        <v>4827</v>
      </c>
      <c r="R359" t="s">
        <v>4828</v>
      </c>
      <c r="V359" s="1" t="str">
        <f>HYPERLINK("http://exon.niaid.nih.gov/transcriptome/T_rubida/S1/links/NR/Triru-contig_65-NR.txt","unnamed protein product")</f>
        <v>unnamed protein product</v>
      </c>
      <c r="W359" t="str">
        <f>HYPERLINK("http://www.ncbi.nlm.nih.gov/sutils/blink.cgi?pid=270046200","0.001")</f>
        <v>0.001</v>
      </c>
      <c r="X359" t="str">
        <f>HYPERLINK("http://www.ncbi.nlm.nih.gov/protein/270046200","gi|270046200")</f>
        <v>gi|270046200</v>
      </c>
      <c r="Y359">
        <v>46.6</v>
      </c>
      <c r="Z359">
        <v>40</v>
      </c>
      <c r="AA359">
        <v>200</v>
      </c>
      <c r="AB359">
        <v>56</v>
      </c>
      <c r="AC359">
        <v>21</v>
      </c>
      <c r="AD359">
        <v>18</v>
      </c>
      <c r="AE359">
        <v>1</v>
      </c>
      <c r="AF359">
        <v>160</v>
      </c>
      <c r="AG359">
        <v>42</v>
      </c>
      <c r="AH359">
        <v>1</v>
      </c>
      <c r="AI359">
        <v>3</v>
      </c>
      <c r="AJ359" t="s">
        <v>11</v>
      </c>
      <c r="AL359" t="s">
        <v>700</v>
      </c>
      <c r="AM359" t="s">
        <v>1024</v>
      </c>
      <c r="AN359" t="s">
        <v>1025</v>
      </c>
      <c r="AO359" s="1" t="str">
        <f>HYPERLINK("http://exon.niaid.nih.gov/transcriptome/T_rubida/S1/links/SWISSP/Triru-contig_65-SWISSP.txt","Lon protease")</f>
        <v>Lon protease</v>
      </c>
      <c r="AP359" t="str">
        <f>HYPERLINK("http://www.uniprot.org/uniprot/Q72UP9","4.7")</f>
        <v>4.7</v>
      </c>
      <c r="AQ359" t="s">
        <v>1026</v>
      </c>
      <c r="AR359">
        <v>30</v>
      </c>
      <c r="AS359">
        <v>55</v>
      </c>
      <c r="AT359">
        <v>35</v>
      </c>
      <c r="AU359">
        <v>7</v>
      </c>
      <c r="AV359">
        <v>38</v>
      </c>
      <c r="AW359">
        <v>0</v>
      </c>
      <c r="AX359">
        <v>47</v>
      </c>
      <c r="AY359">
        <v>46</v>
      </c>
      <c r="AZ359">
        <v>1</v>
      </c>
      <c r="BA359">
        <v>1</v>
      </c>
      <c r="BB359" t="s">
        <v>11</v>
      </c>
      <c r="BC359">
        <v>1.8180000000000001</v>
      </c>
      <c r="BD359" t="s">
        <v>704</v>
      </c>
      <c r="BE359" t="s">
        <v>1027</v>
      </c>
      <c r="BF359" t="s">
        <v>1028</v>
      </c>
      <c r="BG359" t="s">
        <v>1029</v>
      </c>
      <c r="BH359" s="1" t="s">
        <v>57</v>
      </c>
      <c r="BI359" t="s">
        <v>57</v>
      </c>
      <c r="BJ359" s="1" t="str">
        <f>HYPERLINK("http://exon.niaid.nih.gov/transcriptome/T_rubida/S1/links/CDD/Triru-contig_65-CDD.txt","trkD")</f>
        <v>trkD</v>
      </c>
      <c r="BK359" t="str">
        <f>HYPERLINK("http://www.ncbi.nlm.nih.gov/Structure/cdd/cddsrv.cgi?uid=PRK10745&amp;version=v4.0","0.048")</f>
        <v>0.048</v>
      </c>
      <c r="BL359" t="s">
        <v>1030</v>
      </c>
      <c r="BM359" s="1" t="str">
        <f>HYPERLINK("http://exon.niaid.nih.gov/transcriptome/T_rubida/S1/links/KOG/Triru-contig_65-KOG.txt","Voltage-gated Ca2+ channels, alpha1 subunits")</f>
        <v>Voltage-gated Ca2+ channels, alpha1 subunits</v>
      </c>
      <c r="BN359" t="str">
        <f>HYPERLINK("http://www.ncbi.nlm.nih.gov/COG/grace/shokog.cgi?KOG2301","6E-004")</f>
        <v>6E-004</v>
      </c>
      <c r="BO359" t="s">
        <v>720</v>
      </c>
      <c r="BP359" s="1" t="str">
        <f>HYPERLINK("http://exon.niaid.nih.gov/transcriptome/T_rubida/S1/links/PFAM/Triru-contig_65-PFAM.txt","Bunya_G2")</f>
        <v>Bunya_G2</v>
      </c>
      <c r="BQ359" t="str">
        <f>HYPERLINK("http://pfam.sanger.ac.uk/family?acc=PF03563","0.082")</f>
        <v>0.082</v>
      </c>
      <c r="BR359" s="1" t="str">
        <f>HYPERLINK("http://exon.niaid.nih.gov/transcriptome/T_rubida/S1/links/SMART/Triru-contig_65-SMART.txt","AIP3")</f>
        <v>AIP3</v>
      </c>
      <c r="BS359" t="str">
        <f>HYPERLINK("http://smart.embl-heidelberg.de/smart/do_annotation.pl?DOMAIN=AIP3&amp;BLAST=DUMMY","0.16")</f>
        <v>0.16</v>
      </c>
      <c r="BT359" s="1" t="str">
        <f>HYPERLINK("http://exon.niaid.nih.gov/transcriptome/T_rubida/S1/links/PRK/Triru-contig_65-PRK.txt","potassium transport protein Kup")</f>
        <v>potassium transport protein Kup</v>
      </c>
      <c r="BU359">
        <v>2.1999999999999999E-2</v>
      </c>
      <c r="BV359" s="1" t="s">
        <v>57</v>
      </c>
      <c r="BW359" t="s">
        <v>57</v>
      </c>
      <c r="BX359" s="1" t="s">
        <v>57</v>
      </c>
      <c r="BY359" t="s">
        <v>57</v>
      </c>
    </row>
    <row r="360" spans="1:77">
      <c r="A360" t="str">
        <f>HYPERLINK("http://exon.niaid.nih.gov/transcriptome/T_rubida/S1/links/Triru/Triru-contig_355.txt","Triru-contig_355")</f>
        <v>Triru-contig_355</v>
      </c>
      <c r="B360">
        <v>1</v>
      </c>
      <c r="C360" t="str">
        <f>HYPERLINK("http://exon.niaid.nih.gov/transcriptome/T_rubida/S1/links/Triru/Triru-5-48-asb-355.txt","Contig-355")</f>
        <v>Contig-355</v>
      </c>
      <c r="D360" t="str">
        <f>HYPERLINK("http://exon.niaid.nih.gov/transcriptome/T_rubida/S1/links/Triru/Triru-5-48-355-CLU.txt","Contig355")</f>
        <v>Contig355</v>
      </c>
      <c r="E360" t="str">
        <f>HYPERLINK("http://exon.niaid.nih.gov/transcriptome/T_rubida/S1/links/Triru/Triru-5-48-355-qual.txt","16.1")</f>
        <v>16.1</v>
      </c>
      <c r="F360" t="s">
        <v>10</v>
      </c>
      <c r="G360">
        <v>61.5</v>
      </c>
      <c r="H360">
        <v>438</v>
      </c>
      <c r="I360" t="s">
        <v>367</v>
      </c>
      <c r="J360">
        <v>438</v>
      </c>
      <c r="K360">
        <v>457</v>
      </c>
      <c r="L360">
        <v>324</v>
      </c>
      <c r="M360" t="s">
        <v>5681</v>
      </c>
      <c r="N360" s="15">
        <v>2</v>
      </c>
      <c r="O360" s="14" t="str">
        <f>HYPERLINK("http://exon.niaid.nih.gov/transcriptome/T_rubida/S1/links/Sigp/TRIRU-CONTIG_355-SigP.txt","Cyt")</f>
        <v>Cyt</v>
      </c>
      <c r="Q360" s="5" t="s">
        <v>4827</v>
      </c>
      <c r="R360" t="s">
        <v>4828</v>
      </c>
      <c r="V360" s="1" t="str">
        <f>HYPERLINK("http://exon.niaid.nih.gov/transcriptome/T_rubida/S1/links/NR/Triru-contig_355-NR.txt","lipocalin-like TiLipo37")</f>
        <v>lipocalin-like TiLipo37</v>
      </c>
      <c r="W360" t="str">
        <f>HYPERLINK("http://www.ncbi.nlm.nih.gov/sutils/blink.cgi?pid=34421652","0.001")</f>
        <v>0.001</v>
      </c>
      <c r="X360" t="str">
        <f>HYPERLINK("http://www.ncbi.nlm.nih.gov/protein/34421652","gi|34421652")</f>
        <v>gi|34421652</v>
      </c>
      <c r="Y360">
        <v>47</v>
      </c>
      <c r="Z360">
        <v>63</v>
      </c>
      <c r="AA360">
        <v>178</v>
      </c>
      <c r="AB360">
        <v>40</v>
      </c>
      <c r="AC360">
        <v>36</v>
      </c>
      <c r="AD360">
        <v>40</v>
      </c>
      <c r="AE360">
        <v>0</v>
      </c>
      <c r="AF360">
        <v>82</v>
      </c>
      <c r="AG360">
        <v>101</v>
      </c>
      <c r="AH360">
        <v>1</v>
      </c>
      <c r="AI360">
        <v>2</v>
      </c>
      <c r="AJ360" t="s">
        <v>11</v>
      </c>
      <c r="AL360" t="s">
        <v>1067</v>
      </c>
      <c r="AM360" t="s">
        <v>2887</v>
      </c>
      <c r="AN360" t="s">
        <v>2888</v>
      </c>
      <c r="AO360" s="1" t="str">
        <f>HYPERLINK("http://exon.niaid.nih.gov/transcriptome/T_rubida/S1/links/SWISSP/Triru-contig_355-SWISSP.txt","Procalin")</f>
        <v>Procalin</v>
      </c>
      <c r="AP360" t="str">
        <f>HYPERLINK("http://www.uniprot.org/uniprot/Q9U6R6","0.93")</f>
        <v>0.93</v>
      </c>
      <c r="AQ360" t="s">
        <v>703</v>
      </c>
      <c r="AR360">
        <v>32.700000000000003</v>
      </c>
      <c r="AS360">
        <v>78</v>
      </c>
      <c r="AT360">
        <v>26</v>
      </c>
      <c r="AU360">
        <v>47</v>
      </c>
      <c r="AV360">
        <v>59</v>
      </c>
      <c r="AW360">
        <v>0</v>
      </c>
      <c r="AX360">
        <v>65</v>
      </c>
      <c r="AY360">
        <v>56</v>
      </c>
      <c r="AZ360">
        <v>1</v>
      </c>
      <c r="BA360">
        <v>2</v>
      </c>
      <c r="BB360" t="s">
        <v>11</v>
      </c>
      <c r="BD360" t="s">
        <v>704</v>
      </c>
      <c r="BE360" t="s">
        <v>705</v>
      </c>
      <c r="BF360" t="s">
        <v>2889</v>
      </c>
      <c r="BG360" t="s">
        <v>2890</v>
      </c>
      <c r="BH360" s="1" t="s">
        <v>57</v>
      </c>
      <c r="BI360" t="s">
        <v>57</v>
      </c>
      <c r="BJ360" s="1" t="str">
        <f>HYPERLINK("http://exon.niaid.nih.gov/transcriptome/T_rubida/S1/links/CDD/Triru-contig_355-CDD.txt","ComEC_N-term")</f>
        <v>ComEC_N-term</v>
      </c>
      <c r="BK360" t="str">
        <f>HYPERLINK("http://www.ncbi.nlm.nih.gov/Structure/cdd/cddsrv.cgi?uid=TIGR00360&amp;version=v4.0","1.0")</f>
        <v>1.0</v>
      </c>
      <c r="BL360" t="s">
        <v>2891</v>
      </c>
      <c r="BM360" s="1" t="str">
        <f>HYPERLINK("http://exon.niaid.nih.gov/transcriptome/T_rubida/S1/links/KOG/Triru-contig_355-KOG.txt","Thiamine pyrophosphate-requiring enzyme")</f>
        <v>Thiamine pyrophosphate-requiring enzyme</v>
      </c>
      <c r="BN360" t="str">
        <f>HYPERLINK("http://www.ncbi.nlm.nih.gov/COG/grace/shokog.cgi?KOG4166","0.58")</f>
        <v>0.58</v>
      </c>
      <c r="BO360" t="s">
        <v>2892</v>
      </c>
      <c r="BP360" s="1" t="str">
        <f>HYPERLINK("http://exon.niaid.nih.gov/transcriptome/T_rubida/S1/links/PFAM/Triru-contig_355-PFAM.txt","PigN")</f>
        <v>PigN</v>
      </c>
      <c r="BQ360" t="str">
        <f>HYPERLINK("http://pfam.sanger.ac.uk/family?acc=PF04987","0.61")</f>
        <v>0.61</v>
      </c>
      <c r="BR360" s="1" t="str">
        <f>HYPERLINK("http://exon.niaid.nih.gov/transcriptome/T_rubida/S1/links/SMART/Triru-contig_355-SMART.txt","eIF6")</f>
        <v>eIF6</v>
      </c>
      <c r="BS360" t="str">
        <f>HYPERLINK("http://smart.embl-heidelberg.de/smart/do_annotation.pl?DOMAIN=eIF6&amp;BLAST=DUMMY","0.10")</f>
        <v>0.10</v>
      </c>
      <c r="BT360" s="1" t="str">
        <f>HYPERLINK("http://exon.niaid.nih.gov/transcriptome/T_rubida/S1/links/PRK/Triru-contig_355-PRK.txt","light-harvesting complex IChlorophyll A-B binding protein Lhca1")</f>
        <v>light-harvesting complex IChlorophyll A-B binding protein Lhca1</v>
      </c>
      <c r="BU360">
        <v>1.3</v>
      </c>
      <c r="BV360" s="1" t="s">
        <v>57</v>
      </c>
      <c r="BW360" t="s">
        <v>57</v>
      </c>
      <c r="BX360" s="1" t="s">
        <v>57</v>
      </c>
      <c r="BY360" t="s">
        <v>57</v>
      </c>
    </row>
    <row r="361" spans="1:77">
      <c r="A361" t="str">
        <f>HYPERLINK("http://exon.niaid.nih.gov/transcriptome/T_rubida/S1/links/Triru/Triru-contig_162.txt","Triru-contig_162")</f>
        <v>Triru-contig_162</v>
      </c>
      <c r="B361">
        <v>1</v>
      </c>
      <c r="C361" t="str">
        <f>HYPERLINK("http://exon.niaid.nih.gov/transcriptome/T_rubida/S1/links/Triru/Triru-5-48-asb-162.txt","Contig-162")</f>
        <v>Contig-162</v>
      </c>
      <c r="D361" t="str">
        <f>HYPERLINK("http://exon.niaid.nih.gov/transcriptome/T_rubida/S1/links/Triru/Triru-5-48-162-CLU.txt","Contig162")</f>
        <v>Contig162</v>
      </c>
      <c r="E361" t="str">
        <f>HYPERLINK("http://exon.niaid.nih.gov/transcriptome/T_rubida/S1/links/Triru/Triru-5-48-162-qual.txt","62.9")</f>
        <v>62.9</v>
      </c>
      <c r="F361" t="s">
        <v>10</v>
      </c>
      <c r="G361">
        <v>72.400000000000006</v>
      </c>
      <c r="H361">
        <v>260</v>
      </c>
      <c r="I361" t="s">
        <v>174</v>
      </c>
      <c r="J361">
        <v>260</v>
      </c>
      <c r="K361">
        <v>279</v>
      </c>
      <c r="L361">
        <v>114</v>
      </c>
      <c r="M361" t="s">
        <v>5465</v>
      </c>
      <c r="N361" s="15">
        <v>3</v>
      </c>
      <c r="Q361" s="5" t="s">
        <v>4827</v>
      </c>
      <c r="R361" t="s">
        <v>4828</v>
      </c>
      <c r="V361" s="1" t="str">
        <f>HYPERLINK("http://exon.niaid.nih.gov/transcriptome/T_rubida/S1/links/NR/Triru-contig_162-NR.txt","Probable ATPase inhibitor B0546.1, mitochondrial")</f>
        <v>Probable ATPase inhibitor B0546.1, mitochondrial</v>
      </c>
      <c r="W361" t="str">
        <f>HYPERLINK("http://www.ncbi.nlm.nih.gov/sutils/blink.cgi?pid=307182737","0.002")</f>
        <v>0.002</v>
      </c>
      <c r="X361" t="str">
        <f>HYPERLINK("http://www.ncbi.nlm.nih.gov/protein/307182737","gi|307182737")</f>
        <v>gi|307182737</v>
      </c>
      <c r="Y361">
        <v>45.8</v>
      </c>
      <c r="Z361">
        <v>30</v>
      </c>
      <c r="AA361">
        <v>406</v>
      </c>
      <c r="AB361">
        <v>54</v>
      </c>
      <c r="AC361">
        <v>8</v>
      </c>
      <c r="AD361">
        <v>14</v>
      </c>
      <c r="AE361">
        <v>0</v>
      </c>
      <c r="AF361">
        <v>369</v>
      </c>
      <c r="AG361">
        <v>8</v>
      </c>
      <c r="AH361">
        <v>1</v>
      </c>
      <c r="AI361">
        <v>2</v>
      </c>
      <c r="AJ361" t="s">
        <v>11</v>
      </c>
      <c r="AL361" t="s">
        <v>1650</v>
      </c>
      <c r="AM361" t="s">
        <v>1651</v>
      </c>
      <c r="AN361" t="s">
        <v>1652</v>
      </c>
      <c r="AO361" s="1" t="str">
        <f>HYPERLINK("http://exon.niaid.nih.gov/transcriptome/T_rubida/S1/links/SWISSP/Triru-contig_162-SWISSP.txt","Flap endonuclease 1")</f>
        <v>Flap endonuclease 1</v>
      </c>
      <c r="AP361" t="str">
        <f>HYPERLINK("http://www.uniprot.org/uniprot/Q8ZYN2","31")</f>
        <v>31</v>
      </c>
      <c r="AQ361" t="s">
        <v>1653</v>
      </c>
      <c r="AR361">
        <v>27.3</v>
      </c>
      <c r="AS361">
        <v>32</v>
      </c>
      <c r="AT361">
        <v>42</v>
      </c>
      <c r="AU361">
        <v>10</v>
      </c>
      <c r="AV361">
        <v>19</v>
      </c>
      <c r="AW361">
        <v>0</v>
      </c>
      <c r="AX361">
        <v>308</v>
      </c>
      <c r="AY361">
        <v>11</v>
      </c>
      <c r="AZ361">
        <v>1</v>
      </c>
      <c r="BA361">
        <v>2</v>
      </c>
      <c r="BB361" t="s">
        <v>11</v>
      </c>
      <c r="BD361" t="s">
        <v>704</v>
      </c>
      <c r="BE361" t="s">
        <v>1654</v>
      </c>
      <c r="BF361" t="s">
        <v>1655</v>
      </c>
      <c r="BG361" t="s">
        <v>1656</v>
      </c>
      <c r="BH361" s="1" t="s">
        <v>57</v>
      </c>
      <c r="BI361" t="s">
        <v>57</v>
      </c>
      <c r="BJ361" s="1" t="str">
        <f>HYPERLINK("http://exon.niaid.nih.gov/transcriptome/T_rubida/S1/links/CDD/Triru-contig_162-CDD.txt","PLDc_yTdp1_2")</f>
        <v>PLDc_yTdp1_2</v>
      </c>
      <c r="BK361" t="str">
        <f>HYPERLINK("http://www.ncbi.nlm.nih.gov/Structure/cdd/cddsrv.cgi?uid=cd09196&amp;version=v4.0","0.16")</f>
        <v>0.16</v>
      </c>
      <c r="BL361" t="s">
        <v>1657</v>
      </c>
      <c r="BM361" s="1" t="str">
        <f>HYPERLINK("http://exon.niaid.nih.gov/transcriptome/T_rubida/S1/links/KOG/Triru-contig_162-KOG.txt","Cystoskeletal protein Tektin")</f>
        <v>Cystoskeletal protein Tektin</v>
      </c>
      <c r="BN361" t="str">
        <f>HYPERLINK("http://www.ncbi.nlm.nih.gov/COG/grace/shokog.cgi?KOG2685","0.26")</f>
        <v>0.26</v>
      </c>
      <c r="BO361" t="s">
        <v>867</v>
      </c>
      <c r="BP361" s="1" t="str">
        <f>HYPERLINK("http://exon.niaid.nih.gov/transcriptome/T_rubida/S1/links/PFAM/Triru-contig_162-PFAM.txt","DUF1624")</f>
        <v>DUF1624</v>
      </c>
      <c r="BQ361" t="str">
        <f>HYPERLINK("http://pfam.sanger.ac.uk/family?acc=PF07786","0.16")</f>
        <v>0.16</v>
      </c>
      <c r="BR361" s="1" t="str">
        <f>HYPERLINK("http://exon.niaid.nih.gov/transcriptome/T_rubida/S1/links/SMART/Triru-contig_162-SMART.txt","ArfGap")</f>
        <v>ArfGap</v>
      </c>
      <c r="BS361" t="str">
        <f>HYPERLINK("http://smart.embl-heidelberg.de/smart/do_annotation.pl?DOMAIN=ArfGap&amp;BLAST=DUMMY","0.13")</f>
        <v>0.13</v>
      </c>
      <c r="BT361" s="1" t="str">
        <f>HYPERLINK("http://exon.niaid.nih.gov/transcriptome/T_rubida/S1/links/PRK/Triru-contig_162-PRK.txt","conjugal transfer protein TrbL")</f>
        <v>conjugal transfer protein TrbL</v>
      </c>
      <c r="BU361">
        <v>0.27</v>
      </c>
      <c r="BV361" s="1" t="s">
        <v>57</v>
      </c>
      <c r="BW361" t="s">
        <v>57</v>
      </c>
      <c r="BX361" s="1" t="s">
        <v>57</v>
      </c>
      <c r="BY361" t="s">
        <v>57</v>
      </c>
    </row>
    <row r="362" spans="1:77">
      <c r="A362" t="str">
        <f>HYPERLINK("http://exon.niaid.nih.gov/transcriptome/T_rubida/S1/links/Triru/Triru-contig_176.txt","Triru-contig_176")</f>
        <v>Triru-contig_176</v>
      </c>
      <c r="B362">
        <v>1</v>
      </c>
      <c r="C362" t="str">
        <f>HYPERLINK("http://exon.niaid.nih.gov/transcriptome/T_rubida/S1/links/Triru/Triru-5-48-asb-176.txt","Contig-176")</f>
        <v>Contig-176</v>
      </c>
      <c r="D362" t="str">
        <f>HYPERLINK("http://exon.niaid.nih.gov/transcriptome/T_rubida/S1/links/Triru/Triru-5-48-176-CLU.txt","Contig176")</f>
        <v>Contig176</v>
      </c>
      <c r="E362" t="str">
        <f>HYPERLINK("http://exon.niaid.nih.gov/transcriptome/T_rubida/S1/links/Triru/Triru-5-48-176-qual.txt","15.8")</f>
        <v>15.8</v>
      </c>
      <c r="F362" t="s">
        <v>10</v>
      </c>
      <c r="G362">
        <v>69.099999999999994</v>
      </c>
      <c r="H362">
        <v>269</v>
      </c>
      <c r="I362" t="s">
        <v>188</v>
      </c>
      <c r="J362">
        <v>269</v>
      </c>
      <c r="K362">
        <v>288</v>
      </c>
      <c r="L362">
        <v>135</v>
      </c>
      <c r="M362" t="s">
        <v>5450</v>
      </c>
      <c r="N362" s="15">
        <v>1</v>
      </c>
      <c r="O362" s="14" t="str">
        <f>HYPERLINK("http://exon.niaid.nih.gov/transcriptome/T_rubida/S1/links/Sigp/TRIRU-CONTIG_176-SigP.txt","Cyt")</f>
        <v>Cyt</v>
      </c>
      <c r="Q362" s="5" t="s">
        <v>4827</v>
      </c>
      <c r="R362" t="s">
        <v>4828</v>
      </c>
      <c r="V362" s="1" t="str">
        <f>HYPERLINK("http://exon.niaid.nih.gov/transcriptome/T_rubida/S1/links/NR/Triru-contig_176-NR.txt","cytidine deaminase")</f>
        <v>cytidine deaminase</v>
      </c>
      <c r="W362" t="str">
        <f>HYPERLINK("http://www.ncbi.nlm.nih.gov/sutils/blink.cgi?pid=114051311","0.003")</f>
        <v>0.003</v>
      </c>
      <c r="X362" t="str">
        <f>HYPERLINK("http://www.ncbi.nlm.nih.gov/protein/114051311","gi|114051311")</f>
        <v>gi|114051311</v>
      </c>
      <c r="Y362">
        <v>45.4</v>
      </c>
      <c r="Z362">
        <v>40</v>
      </c>
      <c r="AA362">
        <v>186</v>
      </c>
      <c r="AB362">
        <v>46</v>
      </c>
      <c r="AC362">
        <v>22</v>
      </c>
      <c r="AD362">
        <v>22</v>
      </c>
      <c r="AE362">
        <v>0</v>
      </c>
      <c r="AF362">
        <v>136</v>
      </c>
      <c r="AG362">
        <v>7</v>
      </c>
      <c r="AH362">
        <v>1</v>
      </c>
      <c r="AI362">
        <v>1</v>
      </c>
      <c r="AJ362" t="s">
        <v>11</v>
      </c>
      <c r="AL362" t="s">
        <v>1289</v>
      </c>
      <c r="AM362" t="s">
        <v>1745</v>
      </c>
      <c r="AN362" t="s">
        <v>1746</v>
      </c>
      <c r="AO362" s="1" t="str">
        <f>HYPERLINK("http://exon.niaid.nih.gov/transcriptome/T_rubida/S1/links/SWISSP/Triru-contig_176-SWISSP.txt","Putative structural protein VP3")</f>
        <v>Putative structural protein VP3</v>
      </c>
      <c r="AP362" t="str">
        <f>HYPERLINK("http://www.uniprot.org/uniprot/Q8QV02","4.7")</f>
        <v>4.7</v>
      </c>
      <c r="AQ362" t="s">
        <v>1747</v>
      </c>
      <c r="AR362">
        <v>30</v>
      </c>
      <c r="AS362">
        <v>42</v>
      </c>
      <c r="AT362">
        <v>37</v>
      </c>
      <c r="AU362">
        <v>4</v>
      </c>
      <c r="AV362">
        <v>30</v>
      </c>
      <c r="AW362">
        <v>0</v>
      </c>
      <c r="AX362">
        <v>776</v>
      </c>
      <c r="AY362">
        <v>9</v>
      </c>
      <c r="AZ362">
        <v>1</v>
      </c>
      <c r="BA362">
        <v>3</v>
      </c>
      <c r="BB362" t="s">
        <v>11</v>
      </c>
      <c r="BC362">
        <v>7.1429999999999998</v>
      </c>
      <c r="BD362" t="s">
        <v>704</v>
      </c>
      <c r="BE362" t="s">
        <v>1748</v>
      </c>
      <c r="BF362" t="s">
        <v>1749</v>
      </c>
      <c r="BG362" t="s">
        <v>1750</v>
      </c>
      <c r="BH362" s="1" t="s">
        <v>57</v>
      </c>
      <c r="BI362" t="s">
        <v>57</v>
      </c>
      <c r="BJ362" s="1" t="str">
        <f>HYPERLINK("http://exon.niaid.nih.gov/transcriptome/T_rubida/S1/links/CDD/Triru-contig_176-CDD.txt","dnd_rel_methyl")</f>
        <v>dnd_rel_methyl</v>
      </c>
      <c r="BK362" t="str">
        <f>HYPERLINK("http://www.ncbi.nlm.nih.gov/Structure/cdd/cddsrv.cgi?uid=TIGR04096&amp;version=v4.0","0.25")</f>
        <v>0.25</v>
      </c>
      <c r="BL362" t="s">
        <v>1751</v>
      </c>
      <c r="BM362" s="1" t="str">
        <f>HYPERLINK("http://exon.niaid.nih.gov/transcriptome/T_rubida/S1/links/KOG/Triru-contig_176-KOG.txt","Nuclear pore complex, Nup133 component (sc Nup133)")</f>
        <v>Nuclear pore complex, Nup133 component (sc Nup133)</v>
      </c>
      <c r="BN362" t="str">
        <f>HYPERLINK("http://www.ncbi.nlm.nih.gov/COG/grace/shokog.cgi?KOG4121","0.78")</f>
        <v>0.78</v>
      </c>
      <c r="BO362" t="s">
        <v>1111</v>
      </c>
      <c r="BP362" s="1" t="str">
        <f>HYPERLINK("http://exon.niaid.nih.gov/transcriptome/T_rubida/S1/links/PFAM/Triru-contig_176-PFAM.txt","DUF2705")</f>
        <v>DUF2705</v>
      </c>
      <c r="BQ362" t="str">
        <f>HYPERLINK("http://pfam.sanger.ac.uk/family?acc=PF10920","0.51")</f>
        <v>0.51</v>
      </c>
      <c r="BR362" s="1" t="str">
        <f>HYPERLINK("http://exon.niaid.nih.gov/transcriptome/T_rubida/S1/links/SMART/Triru-contig_176-SMART.txt","DENN")</f>
        <v>DENN</v>
      </c>
      <c r="BS362" t="str">
        <f>HYPERLINK("http://smart.embl-heidelberg.de/smart/do_annotation.pl?DOMAIN=DENN&amp;BLAST=DUMMY","0.12")</f>
        <v>0.12</v>
      </c>
      <c r="BT362" s="1" t="str">
        <f>HYPERLINK("http://exon.niaid.nih.gov/transcriptome/T_rubida/S1/links/PRK/Triru-contig_176-PRK.txt","putative arabinose transporter")</f>
        <v>putative arabinose transporter</v>
      </c>
      <c r="BU362">
        <v>0.25</v>
      </c>
      <c r="BV362" s="1" t="s">
        <v>57</v>
      </c>
      <c r="BW362" t="s">
        <v>57</v>
      </c>
      <c r="BX362" s="1" t="s">
        <v>57</v>
      </c>
      <c r="BY362" t="s">
        <v>57</v>
      </c>
    </row>
    <row r="363" spans="1:77">
      <c r="A363" t="str">
        <f>HYPERLINK("http://exon.niaid.nih.gov/transcriptome/T_rubida/S1/links/Triru/Triru-contig_132.txt","Triru-contig_132")</f>
        <v>Triru-contig_132</v>
      </c>
      <c r="B363">
        <v>2</v>
      </c>
      <c r="C363" t="str">
        <f>HYPERLINK("http://exon.niaid.nih.gov/transcriptome/T_rubida/S1/links/Triru/Triru-5-48-asb-132.txt","Contig-132")</f>
        <v>Contig-132</v>
      </c>
      <c r="D363" t="str">
        <f>HYPERLINK("http://exon.niaid.nih.gov/transcriptome/T_rubida/S1/links/Triru/Triru-5-48-132-CLU.txt","Contig132")</f>
        <v>Contig132</v>
      </c>
      <c r="E363" t="str">
        <f>HYPERLINK("http://exon.niaid.nih.gov/transcriptome/T_rubida/S1/links/Triru/Triru-5-48-132-qual.txt","67.1")</f>
        <v>67.1</v>
      </c>
      <c r="F363" t="s">
        <v>10</v>
      </c>
      <c r="G363">
        <v>67.599999999999994</v>
      </c>
      <c r="H363">
        <v>194</v>
      </c>
      <c r="I363" t="s">
        <v>144</v>
      </c>
      <c r="J363">
        <v>194</v>
      </c>
      <c r="K363">
        <v>213</v>
      </c>
      <c r="L363">
        <v>132</v>
      </c>
      <c r="M363" t="s">
        <v>5685</v>
      </c>
      <c r="N363" s="15">
        <v>3</v>
      </c>
      <c r="Q363" s="5" t="s">
        <v>4827</v>
      </c>
      <c r="R363" t="s">
        <v>4828</v>
      </c>
      <c r="V363" s="1" t="str">
        <f>HYPERLINK("http://exon.niaid.nih.gov/transcriptome/T_rubida/S1/links/NR/Triru-contig_132-NR.txt","hypothetical protein TcasGA2_TC001176")</f>
        <v>hypothetical protein TcasGA2_TC001176</v>
      </c>
      <c r="W363" t="str">
        <f>HYPERLINK("http://www.ncbi.nlm.nih.gov/sutils/blink.cgi?pid=270002201","0.003")</f>
        <v>0.003</v>
      </c>
      <c r="X363" t="str">
        <f>HYPERLINK("http://www.ncbi.nlm.nih.gov/protein/270002201","gi|270002201")</f>
        <v>gi|270002201</v>
      </c>
      <c r="Y363">
        <v>45.4</v>
      </c>
      <c r="Z363">
        <v>34</v>
      </c>
      <c r="AA363">
        <v>66</v>
      </c>
      <c r="AB363">
        <v>57</v>
      </c>
      <c r="AC363">
        <v>53</v>
      </c>
      <c r="AD363">
        <v>15</v>
      </c>
      <c r="AE363">
        <v>2</v>
      </c>
      <c r="AF363">
        <v>30</v>
      </c>
      <c r="AG363">
        <v>38</v>
      </c>
      <c r="AH363">
        <v>1</v>
      </c>
      <c r="AI363">
        <v>2</v>
      </c>
      <c r="AJ363" t="s">
        <v>11</v>
      </c>
      <c r="AL363" t="s">
        <v>1483</v>
      </c>
      <c r="AM363" t="s">
        <v>1484</v>
      </c>
      <c r="AN363" t="s">
        <v>1485</v>
      </c>
      <c r="AO363" s="1" t="str">
        <f>HYPERLINK("http://exon.niaid.nih.gov/transcriptome/T_rubida/S1/links/SWISSP/Triru-contig_132-SWISSP.txt","Transcriptional regulatory protein EDS1")</f>
        <v>Transcriptional regulatory protein EDS1</v>
      </c>
      <c r="AP363" t="str">
        <f>HYPERLINK("http://www.uniprot.org/uniprot/P38073","23")</f>
        <v>23</v>
      </c>
      <c r="AQ363" t="s">
        <v>1486</v>
      </c>
      <c r="AR363">
        <v>27.7</v>
      </c>
      <c r="AS363">
        <v>24</v>
      </c>
      <c r="AT363">
        <v>44</v>
      </c>
      <c r="AU363">
        <v>3</v>
      </c>
      <c r="AV363">
        <v>14</v>
      </c>
      <c r="AW363">
        <v>2</v>
      </c>
      <c r="AX363">
        <v>306</v>
      </c>
      <c r="AY363">
        <v>53</v>
      </c>
      <c r="AZ363">
        <v>1</v>
      </c>
      <c r="BA363">
        <v>2</v>
      </c>
      <c r="BB363" t="s">
        <v>11</v>
      </c>
      <c r="BD363" t="s">
        <v>704</v>
      </c>
      <c r="BE363" t="s">
        <v>1487</v>
      </c>
      <c r="BF363" t="s">
        <v>1488</v>
      </c>
      <c r="BG363" t="s">
        <v>1489</v>
      </c>
      <c r="BH363" s="1" t="s">
        <v>57</v>
      </c>
      <c r="BI363" t="s">
        <v>57</v>
      </c>
      <c r="BJ363" s="1" t="str">
        <f>HYPERLINK("http://exon.niaid.nih.gov/transcriptome/T_rubida/S1/links/CDD/Triru-contig_132-CDD.txt","TMPIT")</f>
        <v>TMPIT</v>
      </c>
      <c r="BK363" t="str">
        <f>HYPERLINK("http://www.ncbi.nlm.nih.gov/Structure/cdd/cddsrv.cgi?uid=pfam07851&amp;version=v4.0","0.34")</f>
        <v>0.34</v>
      </c>
      <c r="BL363" t="s">
        <v>1490</v>
      </c>
      <c r="BM363" s="1" t="str">
        <f>HYPERLINK("http://exon.niaid.nih.gov/transcriptome/T_rubida/S1/links/KOG/Triru-contig_132-KOG.txt","Predicted beta-mannosidase")</f>
        <v>Predicted beta-mannosidase</v>
      </c>
      <c r="BN363" t="str">
        <f>HYPERLINK("http://www.ncbi.nlm.nih.gov/COG/grace/shokog.cgi?KOG2230","0.40")</f>
        <v>0.40</v>
      </c>
      <c r="BO363" t="s">
        <v>946</v>
      </c>
      <c r="BP363" s="1" t="str">
        <f>HYPERLINK("http://exon.niaid.nih.gov/transcriptome/T_rubida/S1/links/PFAM/Triru-contig_132-PFAM.txt","TMPIT")</f>
        <v>TMPIT</v>
      </c>
      <c r="BQ363" t="str">
        <f>HYPERLINK("http://pfam.sanger.ac.uk/family?acc=PF07851","0.072")</f>
        <v>0.072</v>
      </c>
      <c r="BR363" s="1" t="str">
        <f>HYPERLINK("http://exon.niaid.nih.gov/transcriptome/T_rubida/S1/links/SMART/Triru-contig_132-SMART.txt","MANEC")</f>
        <v>MANEC</v>
      </c>
      <c r="BS363" t="str">
        <f>HYPERLINK("http://smart.embl-heidelberg.de/smart/do_annotation.pl?DOMAIN=MANEC&amp;BLAST=DUMMY","0.24")</f>
        <v>0.24</v>
      </c>
      <c r="BT363" s="1" t="str">
        <f>HYPERLINK("http://exon.niaid.nih.gov/transcriptome/T_rubida/S1/links/PRK/Triru-contig_132-PRK.txt","NADH dehydrogenase subunit 3")</f>
        <v>NADH dehydrogenase subunit 3</v>
      </c>
      <c r="BU363">
        <v>0.14000000000000001</v>
      </c>
      <c r="BV363" s="1" t="s">
        <v>57</v>
      </c>
      <c r="BW363" t="s">
        <v>57</v>
      </c>
      <c r="BX363" s="1" t="s">
        <v>57</v>
      </c>
      <c r="BY363" t="s">
        <v>57</v>
      </c>
    </row>
    <row r="364" spans="1:77">
      <c r="A364" t="str">
        <f>HYPERLINK("http://exon.niaid.nih.gov/transcriptome/T_rubida/S1/links/Triru/Triru-contig_562.txt","Triru-contig_562")</f>
        <v>Triru-contig_562</v>
      </c>
      <c r="B364">
        <v>1</v>
      </c>
      <c r="C364" t="str">
        <f>HYPERLINK("http://exon.niaid.nih.gov/transcriptome/T_rubida/S1/links/Triru/Triru-5-48-asb-562.txt","Contig-562")</f>
        <v>Contig-562</v>
      </c>
      <c r="D364" t="str">
        <f>HYPERLINK("http://exon.niaid.nih.gov/transcriptome/T_rubida/S1/links/Triru/Triru-5-48-562-CLU.txt","Contig562")</f>
        <v>Contig562</v>
      </c>
      <c r="E364" t="str">
        <f>HYPERLINK("http://exon.niaid.nih.gov/transcriptome/T_rubida/S1/links/Triru/Triru-5-48-562-qual.txt","49.2")</f>
        <v>49.2</v>
      </c>
      <c r="F364" t="s">
        <v>10</v>
      </c>
      <c r="G364">
        <v>58.3</v>
      </c>
      <c r="H364">
        <v>180</v>
      </c>
      <c r="I364" t="s">
        <v>574</v>
      </c>
      <c r="J364">
        <v>180</v>
      </c>
      <c r="K364">
        <v>199</v>
      </c>
      <c r="L364">
        <v>198</v>
      </c>
      <c r="M364" t="s">
        <v>5691</v>
      </c>
      <c r="N364" s="15">
        <v>1</v>
      </c>
      <c r="Q364" s="5" t="s">
        <v>4827</v>
      </c>
      <c r="R364" t="s">
        <v>4828</v>
      </c>
      <c r="V364" s="1" t="str">
        <f>HYPERLINK("http://exon.niaid.nih.gov/transcriptome/T_rubida/S1/links/NR/Triru-contig_562-NR.txt","T. brucei spp.-specific protein")</f>
        <v>T. brucei spp.-specific protein</v>
      </c>
      <c r="W364" t="str">
        <f>HYPERLINK("http://www.ncbi.nlm.nih.gov/sutils/blink.cgi?pid=261331295","0.004")</f>
        <v>0.004</v>
      </c>
      <c r="X364" t="str">
        <f>HYPERLINK("http://www.ncbi.nlm.nih.gov/protein/261331295","gi|261331295")</f>
        <v>gi|261331295</v>
      </c>
      <c r="Y364">
        <v>28.9</v>
      </c>
      <c r="Z364">
        <v>103</v>
      </c>
      <c r="AA364">
        <v>151</v>
      </c>
      <c r="AB364">
        <v>100</v>
      </c>
      <c r="AC364">
        <v>69</v>
      </c>
      <c r="AD364">
        <v>0</v>
      </c>
      <c r="AE364">
        <v>0</v>
      </c>
      <c r="AF364">
        <v>22</v>
      </c>
      <c r="AG364">
        <v>62</v>
      </c>
      <c r="AH364">
        <v>17</v>
      </c>
      <c r="AI364">
        <v>2</v>
      </c>
      <c r="AJ364" t="s">
        <v>888</v>
      </c>
      <c r="AL364" t="s">
        <v>1888</v>
      </c>
      <c r="AM364" t="s">
        <v>4268</v>
      </c>
      <c r="AN364" t="s">
        <v>4269</v>
      </c>
      <c r="AO364" s="1" t="str">
        <f>HYPERLINK("http://exon.niaid.nih.gov/transcriptome/T_rubida/S1/links/SWISSP/Triru-contig_562-SWISSP.txt","Putative uncharacterized protein C18orf15")</f>
        <v>Putative uncharacterized protein C18orf15</v>
      </c>
      <c r="AP364" t="str">
        <f>HYPERLINK("http://www.uniprot.org/uniprot/Q96N68","0.13")</f>
        <v>0.13</v>
      </c>
      <c r="AQ364" t="s">
        <v>4270</v>
      </c>
      <c r="AR364">
        <v>28.1</v>
      </c>
      <c r="AS364">
        <v>46</v>
      </c>
      <c r="AT364">
        <v>42</v>
      </c>
      <c r="AU364">
        <v>26</v>
      </c>
      <c r="AV364">
        <v>15</v>
      </c>
      <c r="AW364">
        <v>0</v>
      </c>
      <c r="AX364">
        <v>127</v>
      </c>
      <c r="AY364">
        <v>86</v>
      </c>
      <c r="AZ364">
        <v>6</v>
      </c>
      <c r="BA364">
        <v>3</v>
      </c>
      <c r="BB364" t="s">
        <v>888</v>
      </c>
      <c r="BD364" t="s">
        <v>704</v>
      </c>
      <c r="BE364" t="s">
        <v>1233</v>
      </c>
      <c r="BF364" t="s">
        <v>4271</v>
      </c>
      <c r="BG364" t="s">
        <v>4272</v>
      </c>
      <c r="BH364" s="1" t="s">
        <v>57</v>
      </c>
      <c r="BI364" t="s">
        <v>57</v>
      </c>
      <c r="BJ364" s="1" t="str">
        <f>HYPERLINK("http://exon.niaid.nih.gov/transcriptome/T_rubida/S1/links/CDD/Triru-contig_562-CDD.txt","HTTM")</f>
        <v>HTTM</v>
      </c>
      <c r="BK364" t="str">
        <f>HYPERLINK("http://www.ncbi.nlm.nih.gov/Structure/cdd/cddsrv.cgi?uid=smart00752&amp;version=v4.0","0.083")</f>
        <v>0.083</v>
      </c>
      <c r="BL364" t="s">
        <v>4273</v>
      </c>
      <c r="BM364" s="1" t="str">
        <f>HYPERLINK("http://exon.niaid.nih.gov/transcriptome/T_rubida/S1/links/KOG/Triru-contig_562-KOG.txt","Iron transporter")</f>
        <v>Iron transporter</v>
      </c>
      <c r="BN364" t="str">
        <f>HYPERLINK("http://www.ncbi.nlm.nih.gov/COG/grace/shokog.cgi?KOG2601","0.23")</f>
        <v>0.23</v>
      </c>
      <c r="BO364" t="s">
        <v>849</v>
      </c>
      <c r="BP364" s="1" t="str">
        <f>HYPERLINK("http://exon.niaid.nih.gov/transcriptome/T_rubida/S1/links/PFAM/Triru-contig_562-PFAM.txt","Papilloma_E5")</f>
        <v>Papilloma_E5</v>
      </c>
      <c r="BQ364" t="str">
        <f>HYPERLINK("http://pfam.sanger.ac.uk/family?acc=PF03025","0.50")</f>
        <v>0.50</v>
      </c>
      <c r="BR364" s="1" t="str">
        <f>HYPERLINK("http://exon.niaid.nih.gov/transcriptome/T_rubida/S1/links/SMART/Triru-contig_562-SMART.txt","HTTM")</f>
        <v>HTTM</v>
      </c>
      <c r="BS364" t="str">
        <f>HYPERLINK("http://smart.embl-heidelberg.de/smart/do_annotation.pl?DOMAIN=HTTM&amp;BLAST=DUMMY","8E-004")</f>
        <v>8E-004</v>
      </c>
      <c r="BT364" s="1" t="str">
        <f>HYPERLINK("http://exon.niaid.nih.gov/transcriptome/T_rubida/S1/links/PRK/Triru-contig_562-PRK.txt","5-amino-6-(5-phosphoribosylamino)uracil reductase")</f>
        <v>5-amino-6-(5-phosphoribosylamino)uracil reductase</v>
      </c>
      <c r="BU364">
        <v>0.57999999999999996</v>
      </c>
      <c r="BV364" s="1" t="s">
        <v>57</v>
      </c>
      <c r="BW364" t="s">
        <v>57</v>
      </c>
      <c r="BX364" s="1" t="s">
        <v>57</v>
      </c>
      <c r="BY364" t="s">
        <v>57</v>
      </c>
    </row>
    <row r="365" spans="1:77">
      <c r="A365" t="str">
        <f>HYPERLINK("http://exon.niaid.nih.gov/transcriptome/T_rubida/S1/links/Triru/Triru-contig_491.txt","Triru-contig_491")</f>
        <v>Triru-contig_491</v>
      </c>
      <c r="B365">
        <v>1</v>
      </c>
      <c r="C365" t="str">
        <f>HYPERLINK("http://exon.niaid.nih.gov/transcriptome/T_rubida/S1/links/Triru/Triru-5-48-asb-491.txt","Contig-491")</f>
        <v>Contig-491</v>
      </c>
      <c r="D365" t="str">
        <f>HYPERLINK("http://exon.niaid.nih.gov/transcriptome/T_rubida/S1/links/Triru/Triru-5-48-491-CLU.txt","Contig491")</f>
        <v>Contig491</v>
      </c>
      <c r="E365" t="str">
        <f>HYPERLINK("http://exon.niaid.nih.gov/transcriptome/T_rubida/S1/links/Triru/Triru-5-48-491-qual.txt","24.5")</f>
        <v>24.5</v>
      </c>
      <c r="F365" t="s">
        <v>10</v>
      </c>
      <c r="G365">
        <v>53</v>
      </c>
      <c r="H365">
        <v>466</v>
      </c>
      <c r="I365" t="s">
        <v>503</v>
      </c>
      <c r="J365">
        <v>466</v>
      </c>
      <c r="K365">
        <v>485</v>
      </c>
      <c r="L365">
        <v>171</v>
      </c>
      <c r="M365" t="s">
        <v>5583</v>
      </c>
      <c r="N365" s="15">
        <v>2</v>
      </c>
      <c r="Q365" s="5" t="s">
        <v>4827</v>
      </c>
      <c r="R365" t="s">
        <v>4828</v>
      </c>
      <c r="V365" s="1" t="str">
        <f>HYPERLINK("http://exon.niaid.nih.gov/transcriptome/T_rubida/S1/links/NR/Triru-contig_491-NR.txt","similar to Lian-Aa1 retrotransposon protein")</f>
        <v>similar to Lian-Aa1 retrotransposon protein</v>
      </c>
      <c r="W365" t="str">
        <f>HYPERLINK("http://www.ncbi.nlm.nih.gov/sutils/blink.cgi?pid=156540942","0.005")</f>
        <v>0.005</v>
      </c>
      <c r="X365" t="str">
        <f>HYPERLINK("http://www.ncbi.nlm.nih.gov/protein/156540942","gi|156540942")</f>
        <v>gi|156540942</v>
      </c>
      <c r="Y365">
        <v>44.7</v>
      </c>
      <c r="Z365">
        <v>81</v>
      </c>
      <c r="AA365">
        <v>1153</v>
      </c>
      <c r="AB365">
        <v>36</v>
      </c>
      <c r="AC365">
        <v>7</v>
      </c>
      <c r="AD365">
        <v>52</v>
      </c>
      <c r="AE365">
        <v>3</v>
      </c>
      <c r="AF365">
        <v>1050</v>
      </c>
      <c r="AG365">
        <v>65</v>
      </c>
      <c r="AH365">
        <v>1</v>
      </c>
      <c r="AI365">
        <v>2</v>
      </c>
      <c r="AJ365" t="s">
        <v>11</v>
      </c>
      <c r="AK365">
        <v>1.2350000000000001</v>
      </c>
      <c r="AL365" t="s">
        <v>1330</v>
      </c>
      <c r="AM365" t="s">
        <v>3806</v>
      </c>
      <c r="AN365" t="s">
        <v>3807</v>
      </c>
      <c r="AO365" s="1" t="str">
        <f>HYPERLINK("http://exon.niaid.nih.gov/transcriptome/T_rubida/S1/links/SWISSP/Triru-contig_491-SWISSP.txt","Putative ribonuclease H protein At1g65750")</f>
        <v>Putative ribonuclease H protein At1g65750</v>
      </c>
      <c r="AP365" t="str">
        <f>HYPERLINK("http://www.uniprot.org/uniprot/P0C2F6","20")</f>
        <v>20</v>
      </c>
      <c r="AQ365" t="s">
        <v>3808</v>
      </c>
      <c r="AR365">
        <v>28.5</v>
      </c>
      <c r="AS365">
        <v>21</v>
      </c>
      <c r="AT365">
        <v>45</v>
      </c>
      <c r="AU365">
        <v>4</v>
      </c>
      <c r="AV365">
        <v>12</v>
      </c>
      <c r="AW365">
        <v>0</v>
      </c>
      <c r="AX365">
        <v>327</v>
      </c>
      <c r="AY365">
        <v>188</v>
      </c>
      <c r="AZ365">
        <v>1</v>
      </c>
      <c r="BA365">
        <v>2</v>
      </c>
      <c r="BB365" t="s">
        <v>11</v>
      </c>
      <c r="BD365" t="s">
        <v>704</v>
      </c>
      <c r="BE365" t="s">
        <v>906</v>
      </c>
      <c r="BF365" t="s">
        <v>3809</v>
      </c>
      <c r="BG365" t="s">
        <v>3810</v>
      </c>
      <c r="BH365" s="1" t="s">
        <v>57</v>
      </c>
      <c r="BI365" t="s">
        <v>57</v>
      </c>
      <c r="BJ365" s="1" t="str">
        <f>HYPERLINK("http://exon.niaid.nih.gov/transcriptome/T_rubida/S1/links/CDD/Triru-contig_491-CDD.txt","PRK08064")</f>
        <v>PRK08064</v>
      </c>
      <c r="BK365" t="str">
        <f>HYPERLINK("http://www.ncbi.nlm.nih.gov/Structure/cdd/cddsrv.cgi?uid=PRK08064&amp;version=v4.0","0.59")</f>
        <v>0.59</v>
      </c>
      <c r="BL365" t="s">
        <v>3811</v>
      </c>
      <c r="BM365" s="1" t="str">
        <f>HYPERLINK("http://exon.niaid.nih.gov/transcriptome/T_rubida/S1/links/KOG/Triru-contig_491-KOG.txt","Natriuretic peptide receptor, guanylate cyclase")</f>
        <v>Natriuretic peptide receptor, guanylate cyclase</v>
      </c>
      <c r="BN365" t="str">
        <f>HYPERLINK("http://www.ncbi.nlm.nih.gov/COG/grace/shokog.cgi?KOG1023","0.42")</f>
        <v>0.42</v>
      </c>
      <c r="BO365" t="s">
        <v>728</v>
      </c>
      <c r="BP365" s="1" t="str">
        <f>HYPERLINK("http://exon.niaid.nih.gov/transcriptome/T_rubida/S1/links/PFAM/Triru-contig_491-PFAM.txt","DUF2085")</f>
        <v>DUF2085</v>
      </c>
      <c r="BQ365" t="str">
        <f>HYPERLINK("http://pfam.sanger.ac.uk/family?acc=PF09858","0.20")</f>
        <v>0.20</v>
      </c>
      <c r="BR365" s="1" t="str">
        <f>HYPERLINK("http://exon.niaid.nih.gov/transcriptome/T_rubida/S1/links/SMART/Triru-contig_491-SMART.txt","RINGv")</f>
        <v>RINGv</v>
      </c>
      <c r="BS365" t="str">
        <f>HYPERLINK("http://smart.embl-heidelberg.de/smart/do_annotation.pl?DOMAIN=RINGv&amp;BLAST=DUMMY","0.12")</f>
        <v>0.12</v>
      </c>
      <c r="BT365" s="1" t="str">
        <f>HYPERLINK("http://exon.niaid.nih.gov/transcriptome/T_rubida/S1/links/PRK/Triru-contig_491-PRK.txt","cystathionine beta-lyase")</f>
        <v>cystathionine beta-lyase</v>
      </c>
      <c r="BU365">
        <v>0.27</v>
      </c>
      <c r="BV365" s="1" t="s">
        <v>57</v>
      </c>
      <c r="BW365" t="s">
        <v>57</v>
      </c>
      <c r="BX365" s="1" t="s">
        <v>57</v>
      </c>
      <c r="BY365" t="s">
        <v>57</v>
      </c>
    </row>
    <row r="366" spans="1:77">
      <c r="A366" t="str">
        <f>HYPERLINK("http://exon.niaid.nih.gov/transcriptome/T_rubida/S1/links/Triru/Triru-contig_50.txt","Triru-contig_50")</f>
        <v>Triru-contig_50</v>
      </c>
      <c r="B366">
        <v>1</v>
      </c>
      <c r="C366" t="str">
        <f>HYPERLINK("http://exon.niaid.nih.gov/transcriptome/T_rubida/S1/links/Triru/Triru-5-48-asb-50.txt","Contig-50")</f>
        <v>Contig-50</v>
      </c>
      <c r="D366" t="str">
        <f>HYPERLINK("http://exon.niaid.nih.gov/transcriptome/T_rubida/S1/links/Triru/Triru-5-48-50-CLU.txt","Contig50")</f>
        <v>Contig50</v>
      </c>
      <c r="E366" t="str">
        <f>HYPERLINK("http://exon.niaid.nih.gov/transcriptome/T_rubida/S1/links/Triru/Triru-5-48-50-qual.txt","22.")</f>
        <v>22.</v>
      </c>
      <c r="F366">
        <v>0.2</v>
      </c>
      <c r="G366">
        <v>64.7</v>
      </c>
      <c r="H366">
        <v>463</v>
      </c>
      <c r="I366" t="s">
        <v>62</v>
      </c>
      <c r="J366">
        <v>463</v>
      </c>
      <c r="K366">
        <v>482</v>
      </c>
      <c r="L366">
        <v>111</v>
      </c>
      <c r="M366" t="s">
        <v>5674</v>
      </c>
      <c r="N366" s="15">
        <v>2</v>
      </c>
      <c r="Q366" s="5" t="s">
        <v>4827</v>
      </c>
      <c r="R366" t="s">
        <v>4828</v>
      </c>
      <c r="V366" s="1" t="str">
        <f>HYPERLINK("http://exon.niaid.nih.gov/transcriptome/T_rubida/S1/links/NR/Triru-contig_50-NR.txt","salivary lipocalin")</f>
        <v>salivary lipocalin</v>
      </c>
      <c r="W366" t="str">
        <f>HYPERLINK("http://www.ncbi.nlm.nih.gov/sutils/blink.cgi?pid=111379913","0.005")</f>
        <v>0.005</v>
      </c>
      <c r="X366" t="str">
        <f>HYPERLINK("http://www.ncbi.nlm.nih.gov/protein/111379913","gi|111379913")</f>
        <v>gi|111379913</v>
      </c>
      <c r="Y366">
        <v>44.7</v>
      </c>
      <c r="Z366">
        <v>75</v>
      </c>
      <c r="AA366">
        <v>179</v>
      </c>
      <c r="AB366">
        <v>35</v>
      </c>
      <c r="AC366">
        <v>42</v>
      </c>
      <c r="AD366">
        <v>50</v>
      </c>
      <c r="AE366">
        <v>1</v>
      </c>
      <c r="AF366">
        <v>97</v>
      </c>
      <c r="AG366">
        <v>23</v>
      </c>
      <c r="AH366">
        <v>1</v>
      </c>
      <c r="AI366">
        <v>2</v>
      </c>
      <c r="AJ366" t="s">
        <v>11</v>
      </c>
      <c r="AK366">
        <v>2.6669999999999998</v>
      </c>
      <c r="AL366" t="s">
        <v>938</v>
      </c>
      <c r="AM366" t="s">
        <v>939</v>
      </c>
      <c r="AN366" t="s">
        <v>940</v>
      </c>
      <c r="AO366" s="1" t="str">
        <f>HYPERLINK("http://exon.niaid.nih.gov/transcriptome/T_rubida/S1/links/SWISSP/Triru-contig_50-SWISSP.txt","Beta-fructofuranosidase, insoluble isoenzyme 3")</f>
        <v>Beta-fructofuranosidase, insoluble isoenzyme 3</v>
      </c>
      <c r="AP366" t="str">
        <f>HYPERLINK("http://www.uniprot.org/uniprot/Q39693","20")</f>
        <v>20</v>
      </c>
      <c r="AQ366" t="s">
        <v>941</v>
      </c>
      <c r="AR366">
        <v>28.5</v>
      </c>
      <c r="AS366">
        <v>27</v>
      </c>
      <c r="AT366">
        <v>42</v>
      </c>
      <c r="AU366">
        <v>5</v>
      </c>
      <c r="AV366">
        <v>16</v>
      </c>
      <c r="AW366">
        <v>0</v>
      </c>
      <c r="AX366">
        <v>309</v>
      </c>
      <c r="AY366">
        <v>84</v>
      </c>
      <c r="AZ366">
        <v>1</v>
      </c>
      <c r="BA366">
        <v>3</v>
      </c>
      <c r="BB366" t="s">
        <v>11</v>
      </c>
      <c r="BC366">
        <v>3.7040000000000002</v>
      </c>
      <c r="BD366" t="s">
        <v>704</v>
      </c>
      <c r="BE366" t="s">
        <v>942</v>
      </c>
      <c r="BF366" t="s">
        <v>943</v>
      </c>
      <c r="BG366" t="s">
        <v>944</v>
      </c>
      <c r="BH366" s="1" t="s">
        <v>57</v>
      </c>
      <c r="BI366" t="s">
        <v>57</v>
      </c>
      <c r="BJ366" s="1" t="str">
        <f>HYPERLINK("http://exon.niaid.nih.gov/transcriptome/T_rubida/S1/links/CDD/Triru-contig_50-CDD.txt","PHA02962")</f>
        <v>PHA02962</v>
      </c>
      <c r="BK366" t="str">
        <f>HYPERLINK("http://www.ncbi.nlm.nih.gov/Structure/cdd/cddsrv.cgi?uid=PHA02962&amp;version=v4.0","1.0")</f>
        <v>1.0</v>
      </c>
      <c r="BL366" t="s">
        <v>945</v>
      </c>
      <c r="BM366" s="1" t="str">
        <f>HYPERLINK("http://exon.niaid.nih.gov/transcriptome/T_rubida/S1/links/KOG/Triru-contig_50-KOG.txt","Sugar (pentulose and hexulose) kinases")</f>
        <v>Sugar (pentulose and hexulose) kinases</v>
      </c>
      <c r="BN366" t="str">
        <f>HYPERLINK("http://www.ncbi.nlm.nih.gov/COG/grace/shokog.cgi?KOG2531","1.00")</f>
        <v>1.00</v>
      </c>
      <c r="BO366" t="s">
        <v>946</v>
      </c>
      <c r="BP366" s="1" t="str">
        <f>HYPERLINK("http://exon.niaid.nih.gov/transcriptome/T_rubida/S1/links/PFAM/Triru-contig_50-PFAM.txt","Chordopox_A20R")</f>
        <v>Chordopox_A20R</v>
      </c>
      <c r="BQ366" t="str">
        <f>HYPERLINK("http://pfam.sanger.ac.uk/family?acc=PF05941","0.36")</f>
        <v>0.36</v>
      </c>
      <c r="BR366" s="1" t="str">
        <f>HYPERLINK("http://exon.niaid.nih.gov/transcriptome/T_rubida/S1/links/SMART/Triru-contig_50-SMART.txt","BASIC")</f>
        <v>BASIC</v>
      </c>
      <c r="BS366" t="str">
        <f>HYPERLINK("http://smart.embl-heidelberg.de/smart/do_annotation.pl?DOMAIN=BASIC&amp;BLAST=DUMMY","0.18")</f>
        <v>0.18</v>
      </c>
      <c r="BT366" s="1" t="str">
        <f>HYPERLINK("http://exon.niaid.nih.gov/transcriptome/T_rubida/S1/links/PRK/Triru-contig_50-PRK.txt","hypothetical protein")</f>
        <v>hypothetical protein</v>
      </c>
      <c r="BU366">
        <v>0.46</v>
      </c>
      <c r="BV366" s="1" t="s">
        <v>57</v>
      </c>
      <c r="BW366" t="s">
        <v>57</v>
      </c>
      <c r="BX366" s="1" t="s">
        <v>57</v>
      </c>
      <c r="BY366" t="s">
        <v>57</v>
      </c>
    </row>
    <row r="367" spans="1:77">
      <c r="A367" t="str">
        <f>HYPERLINK("http://exon.niaid.nih.gov/transcriptome/T_rubida/S1/links/Triru/Triru-contig_470.txt","Triru-contig_470")</f>
        <v>Triru-contig_470</v>
      </c>
      <c r="B367">
        <v>1</v>
      </c>
      <c r="C367" t="str">
        <f>HYPERLINK("http://exon.niaid.nih.gov/transcriptome/T_rubida/S1/links/Triru/Triru-5-48-asb-470.txt","Contig-470")</f>
        <v>Contig-470</v>
      </c>
      <c r="D367" t="str">
        <f>HYPERLINK("http://exon.niaid.nih.gov/transcriptome/T_rubida/S1/links/Triru/Triru-5-48-470-CLU.txt","Contig470")</f>
        <v>Contig470</v>
      </c>
      <c r="E367" t="str">
        <f>HYPERLINK("http://exon.niaid.nih.gov/transcriptome/T_rubida/S1/links/Triru/Triru-5-48-470-qual.txt","57.6")</f>
        <v>57.6</v>
      </c>
      <c r="F367" t="s">
        <v>10</v>
      </c>
      <c r="G367">
        <v>57.6</v>
      </c>
      <c r="H367">
        <v>186</v>
      </c>
      <c r="I367" t="s">
        <v>482</v>
      </c>
      <c r="J367">
        <v>186</v>
      </c>
      <c r="K367">
        <v>205</v>
      </c>
      <c r="L367">
        <v>159</v>
      </c>
      <c r="M367" t="s">
        <v>5434</v>
      </c>
      <c r="N367" s="15">
        <v>1</v>
      </c>
      <c r="Q367" s="5" t="s">
        <v>4827</v>
      </c>
      <c r="R367" t="s">
        <v>4828</v>
      </c>
      <c r="V367" s="1" t="str">
        <f>HYPERLINK("http://exon.niaid.nih.gov/transcriptome/T_rubida/S1/links/NR/Triru-contig_470-NR.txt","AGAP010933-PA")</f>
        <v>AGAP010933-PA</v>
      </c>
      <c r="W367" t="str">
        <f>HYPERLINK("http://www.ncbi.nlm.nih.gov/sutils/blink.cgi?pid=57970204","0.006")</f>
        <v>0.006</v>
      </c>
      <c r="X367" t="str">
        <f>HYPERLINK("http://www.ncbi.nlm.nih.gov/protein/57970204","gi|57970204")</f>
        <v>gi|57970204</v>
      </c>
      <c r="Y367">
        <v>44.3</v>
      </c>
      <c r="Z367">
        <v>35</v>
      </c>
      <c r="AA367">
        <v>158</v>
      </c>
      <c r="AB367">
        <v>63</v>
      </c>
      <c r="AC367">
        <v>23</v>
      </c>
      <c r="AD367">
        <v>13</v>
      </c>
      <c r="AE367">
        <v>0</v>
      </c>
      <c r="AF367">
        <v>117</v>
      </c>
      <c r="AG367">
        <v>1</v>
      </c>
      <c r="AH367">
        <v>1</v>
      </c>
      <c r="AI367">
        <v>1</v>
      </c>
      <c r="AJ367" t="s">
        <v>11</v>
      </c>
      <c r="AL367" t="s">
        <v>2549</v>
      </c>
      <c r="AM367" t="s">
        <v>3656</v>
      </c>
      <c r="AN367" t="s">
        <v>3657</v>
      </c>
      <c r="AO367" s="1" t="str">
        <f>HYPERLINK("http://exon.niaid.nih.gov/transcriptome/T_rubida/S1/links/SWISSP/Triru-contig_470-SWISSP.txt","40S ribosomal protein S19")</f>
        <v>40S ribosomal protein S19</v>
      </c>
      <c r="AP367" t="str">
        <f>HYPERLINK("http://www.uniprot.org/uniprot/Q8ITC3","0.010")</f>
        <v>0.010</v>
      </c>
      <c r="AQ367" t="s">
        <v>3658</v>
      </c>
      <c r="AR367">
        <v>38.9</v>
      </c>
      <c r="AS367">
        <v>28</v>
      </c>
      <c r="AT367">
        <v>55</v>
      </c>
      <c r="AU367">
        <v>20</v>
      </c>
      <c r="AV367">
        <v>13</v>
      </c>
      <c r="AW367">
        <v>0</v>
      </c>
      <c r="AX367">
        <v>116</v>
      </c>
      <c r="AY367">
        <v>1</v>
      </c>
      <c r="AZ367">
        <v>1</v>
      </c>
      <c r="BA367">
        <v>1</v>
      </c>
      <c r="BB367" t="s">
        <v>11</v>
      </c>
      <c r="BD367" t="s">
        <v>704</v>
      </c>
      <c r="BE367" t="s">
        <v>3659</v>
      </c>
      <c r="BF367" t="s">
        <v>3660</v>
      </c>
      <c r="BG367" t="s">
        <v>3661</v>
      </c>
      <c r="BH367" s="1" t="s">
        <v>57</v>
      </c>
      <c r="BI367" t="s">
        <v>57</v>
      </c>
      <c r="BJ367" s="1" t="str">
        <f>HYPERLINK("http://exon.niaid.nih.gov/transcriptome/T_rubida/S1/links/CDD/Triru-contig_470-CDD.txt","Ribosomal_S19e")</f>
        <v>Ribosomal_S19e</v>
      </c>
      <c r="BK367" t="str">
        <f>HYPERLINK("http://www.ncbi.nlm.nih.gov/Structure/cdd/cddsrv.cgi?uid=pfam01090&amp;version=v4.0","8E-004")</f>
        <v>8E-004</v>
      </c>
      <c r="BL367" t="s">
        <v>3662</v>
      </c>
      <c r="BM367" s="1" t="str">
        <f>HYPERLINK("http://exon.niaid.nih.gov/transcriptome/T_rubida/S1/links/KOG/Triru-contig_470-KOG.txt","40S ribosomal protein S19")</f>
        <v>40S ribosomal protein S19</v>
      </c>
      <c r="BN367" t="str">
        <f>HYPERLINK("http://www.ncbi.nlm.nih.gov/COG/grace/shokog.cgi?KOG3411","7E-004")</f>
        <v>7E-004</v>
      </c>
      <c r="BO367" t="s">
        <v>1185</v>
      </c>
      <c r="BP367" s="1" t="str">
        <f>HYPERLINK("http://exon.niaid.nih.gov/transcriptome/T_rubida/S1/links/PFAM/Triru-contig_470-PFAM.txt","Ribosomal_S19e")</f>
        <v>Ribosomal_S19e</v>
      </c>
      <c r="BQ367" t="str">
        <f>HYPERLINK("http://pfam.sanger.ac.uk/family?acc=PF01090","2E-004")</f>
        <v>2E-004</v>
      </c>
      <c r="BR367" s="1" t="str">
        <f>HYPERLINK("http://exon.niaid.nih.gov/transcriptome/T_rubida/S1/links/SMART/Triru-contig_470-SMART.txt","KISc")</f>
        <v>KISc</v>
      </c>
      <c r="BS367" t="str">
        <f>HYPERLINK("http://smart.embl-heidelberg.de/smart/do_annotation.pl?DOMAIN=KISc&amp;BLAST=DUMMY","0.058")</f>
        <v>0.058</v>
      </c>
      <c r="BT367" s="1" t="str">
        <f>HYPERLINK("http://exon.niaid.nih.gov/transcriptome/T_rubida/S1/links/PRK/Triru-contig_470-PRK.txt","protoheme IX farnesyltransferase")</f>
        <v>protoheme IX farnesyltransferase</v>
      </c>
      <c r="BU367">
        <v>0.78</v>
      </c>
      <c r="BV367" s="1" t="s">
        <v>57</v>
      </c>
      <c r="BW367" t="s">
        <v>57</v>
      </c>
      <c r="BX367" s="1" t="s">
        <v>57</v>
      </c>
      <c r="BY367" t="s">
        <v>57</v>
      </c>
    </row>
    <row r="368" spans="1:77">
      <c r="A368" t="str">
        <f>HYPERLINK("http://exon.niaid.nih.gov/transcriptome/T_rubida/S1/links/Triru/Triru-contig_590.txt","Triru-contig_590")</f>
        <v>Triru-contig_590</v>
      </c>
      <c r="B368">
        <v>1</v>
      </c>
      <c r="C368" t="str">
        <f>HYPERLINK("http://exon.niaid.nih.gov/transcriptome/T_rubida/S1/links/Triru/Triru-5-48-asb-590.txt","Contig-590")</f>
        <v>Contig-590</v>
      </c>
      <c r="D368" t="str">
        <f>HYPERLINK("http://exon.niaid.nih.gov/transcriptome/T_rubida/S1/links/Triru/Triru-5-48-590-CLU.txt","Contig590")</f>
        <v>Contig590</v>
      </c>
      <c r="E368" t="str">
        <f>HYPERLINK("http://exon.niaid.nih.gov/transcriptome/T_rubida/S1/links/Triru/Triru-5-48-590-qual.txt","37.3")</f>
        <v>37.3</v>
      </c>
      <c r="F368" t="s">
        <v>10</v>
      </c>
      <c r="G368">
        <v>69.5</v>
      </c>
      <c r="H368">
        <v>490</v>
      </c>
      <c r="I368" t="s">
        <v>602</v>
      </c>
      <c r="J368">
        <v>490</v>
      </c>
      <c r="K368">
        <v>509</v>
      </c>
      <c r="L368">
        <v>177</v>
      </c>
      <c r="M368" t="s">
        <v>5439</v>
      </c>
      <c r="N368" s="15">
        <v>2</v>
      </c>
      <c r="Q368" s="5" t="s">
        <v>4827</v>
      </c>
      <c r="R368" t="s">
        <v>4828</v>
      </c>
      <c r="V368" s="1" t="str">
        <f>HYPERLINK("http://exon.niaid.nih.gov/transcriptome/T_rubida/S1/links/NR/Triru-contig_590-NR.txt","predicted protein")</f>
        <v>predicted protein</v>
      </c>
      <c r="W368" t="str">
        <f>HYPERLINK("http://www.ncbi.nlm.nih.gov/sutils/blink.cgi?pid=297819664","0.011")</f>
        <v>0.011</v>
      </c>
      <c r="X368" t="str">
        <f>HYPERLINK("http://www.ncbi.nlm.nih.gov/protein/297819664","gi|297819664")</f>
        <v>gi|297819664</v>
      </c>
      <c r="Y368">
        <v>43.5</v>
      </c>
      <c r="Z368">
        <v>53</v>
      </c>
      <c r="AA368">
        <v>67</v>
      </c>
      <c r="AB368">
        <v>40</v>
      </c>
      <c r="AC368">
        <v>81</v>
      </c>
      <c r="AD368">
        <v>32</v>
      </c>
      <c r="AE368">
        <v>0</v>
      </c>
      <c r="AF368">
        <v>2</v>
      </c>
      <c r="AG368">
        <v>251</v>
      </c>
      <c r="AH368">
        <v>1</v>
      </c>
      <c r="AI368">
        <v>2</v>
      </c>
      <c r="AJ368" t="s">
        <v>11</v>
      </c>
      <c r="AK368">
        <v>1.887</v>
      </c>
      <c r="AL368" t="s">
        <v>3860</v>
      </c>
      <c r="AM368" t="s">
        <v>4438</v>
      </c>
      <c r="AN368" t="s">
        <v>4439</v>
      </c>
      <c r="AO368" s="1" t="str">
        <f>HYPERLINK("http://exon.niaid.nih.gov/transcriptome/T_rubida/S1/links/SWISSP/Triru-contig_590-SWISSP.txt","Uncharacterized transporter bbp_411")</f>
        <v>Uncharacterized transporter bbp_411</v>
      </c>
      <c r="AP368" t="str">
        <f>HYPERLINK("http://www.uniprot.org/uniprot/Q89AA9","0.94")</f>
        <v>0.94</v>
      </c>
      <c r="AQ368" t="s">
        <v>3787</v>
      </c>
      <c r="AR368">
        <v>33.1</v>
      </c>
      <c r="AS368">
        <v>69</v>
      </c>
      <c r="AT368">
        <v>34</v>
      </c>
      <c r="AU368">
        <v>18</v>
      </c>
      <c r="AV368">
        <v>47</v>
      </c>
      <c r="AW368">
        <v>2</v>
      </c>
      <c r="AX368">
        <v>160</v>
      </c>
      <c r="AY368">
        <v>199</v>
      </c>
      <c r="AZ368">
        <v>1</v>
      </c>
      <c r="BA368">
        <v>1</v>
      </c>
      <c r="BB368" t="s">
        <v>11</v>
      </c>
      <c r="BC368">
        <v>4.3479999999999999</v>
      </c>
      <c r="BD368" t="s">
        <v>704</v>
      </c>
      <c r="BE368" t="s">
        <v>1741</v>
      </c>
      <c r="BF368" t="s">
        <v>4440</v>
      </c>
      <c r="BG368" t="s">
        <v>4441</v>
      </c>
      <c r="BH368" s="1" t="s">
        <v>57</v>
      </c>
      <c r="BI368" t="s">
        <v>57</v>
      </c>
      <c r="BJ368" s="1" t="str">
        <f>HYPERLINK("http://exon.niaid.nih.gov/transcriptome/T_rubida/S1/links/CDD/Triru-contig_590-CDD.txt","ND2")</f>
        <v>ND2</v>
      </c>
      <c r="BK368" t="str">
        <f>HYPERLINK("http://www.ncbi.nlm.nih.gov/Structure/cdd/cddsrv.cgi?uid=MTH00091&amp;version=v4.0","0.003")</f>
        <v>0.003</v>
      </c>
      <c r="BL368" t="s">
        <v>4442</v>
      </c>
      <c r="BM368" s="1" t="str">
        <f>HYPERLINK("http://exon.niaid.nih.gov/transcriptome/T_rubida/S1/links/KOG/Triru-contig_590-KOG.txt","Metalloprotease")</f>
        <v>Metalloprotease</v>
      </c>
      <c r="BN368" t="str">
        <f>HYPERLINK("http://www.ncbi.nlm.nih.gov/COG/grace/shokog.cgi?KOG2719","0.22")</f>
        <v>0.22</v>
      </c>
      <c r="BO368" t="s">
        <v>750</v>
      </c>
      <c r="BP368" s="1" t="str">
        <f>HYPERLINK("http://exon.niaid.nih.gov/transcriptome/T_rubida/S1/links/PFAM/Triru-contig_590-PFAM.txt","Oxidored_q4")</f>
        <v>Oxidored_q4</v>
      </c>
      <c r="BQ368" t="str">
        <f>HYPERLINK("http://pfam.sanger.ac.uk/family?acc=PF00507","0.015")</f>
        <v>0.015</v>
      </c>
      <c r="BR368" s="1" t="str">
        <f>HYPERLINK("http://exon.niaid.nih.gov/transcriptome/T_rubida/S1/links/SMART/Triru-contig_590-SMART.txt","DENN")</f>
        <v>DENN</v>
      </c>
      <c r="BS368" t="str">
        <f>HYPERLINK("http://smart.embl-heidelberg.de/smart/do_annotation.pl?DOMAIN=DENN&amp;BLAST=DUMMY","0.077")</f>
        <v>0.077</v>
      </c>
      <c r="BT368" s="1" t="str">
        <f>HYPERLINK("http://exon.niaid.nih.gov/transcriptome/T_rubida/S1/links/PRK/Triru-contig_590-PRK.txt","NADH dehydrogenase subunit 2")</f>
        <v>NADH dehydrogenase subunit 2</v>
      </c>
      <c r="BU368">
        <v>1E-3</v>
      </c>
      <c r="BV368" s="1" t="s">
        <v>57</v>
      </c>
      <c r="BW368" t="s">
        <v>57</v>
      </c>
      <c r="BX368" s="1" t="s">
        <v>57</v>
      </c>
      <c r="BY368" t="s">
        <v>57</v>
      </c>
    </row>
    <row r="369" spans="1:77">
      <c r="A369" t="str">
        <f>HYPERLINK("http://exon.niaid.nih.gov/transcriptome/T_rubida/S1/links/Triru/Triru-contig_549.txt","Triru-contig_549")</f>
        <v>Triru-contig_549</v>
      </c>
      <c r="B369">
        <v>1</v>
      </c>
      <c r="C369" t="str">
        <f>HYPERLINK("http://exon.niaid.nih.gov/transcriptome/T_rubida/S1/links/Triru/Triru-5-48-asb-549.txt","Contig-549")</f>
        <v>Contig-549</v>
      </c>
      <c r="D369" t="str">
        <f>HYPERLINK("http://exon.niaid.nih.gov/transcriptome/T_rubida/S1/links/Triru/Triru-5-48-549-CLU.txt","Contig549")</f>
        <v>Contig549</v>
      </c>
      <c r="E369" t="str">
        <f>HYPERLINK("http://exon.niaid.nih.gov/transcriptome/T_rubida/S1/links/Triru/Triru-5-48-549-qual.txt","17.6")</f>
        <v>17.6</v>
      </c>
      <c r="F369" t="s">
        <v>10</v>
      </c>
      <c r="G369">
        <v>64.599999999999994</v>
      </c>
      <c r="H369">
        <v>736</v>
      </c>
      <c r="I369" t="s">
        <v>561</v>
      </c>
      <c r="J369">
        <v>736</v>
      </c>
      <c r="K369">
        <v>755</v>
      </c>
      <c r="L369">
        <v>171</v>
      </c>
      <c r="M369" t="s">
        <v>5513</v>
      </c>
      <c r="N369" s="15">
        <v>1</v>
      </c>
      <c r="Q369" s="5" t="s">
        <v>4827</v>
      </c>
      <c r="R369" t="s">
        <v>4828</v>
      </c>
      <c r="V369" s="1" t="str">
        <f>HYPERLINK("http://exon.niaid.nih.gov/transcriptome/T_rubida/S1/links/NR/Triru-contig_549-NR.txt","hypothetical protein")</f>
        <v>hypothetical protein</v>
      </c>
      <c r="W369" t="str">
        <f>HYPERLINK("http://www.ncbi.nlm.nih.gov/sutils/blink.cgi?pid=167388980","0.011")</f>
        <v>0.011</v>
      </c>
      <c r="X369" t="str">
        <f>HYPERLINK("http://www.ncbi.nlm.nih.gov/protein/167388980","gi|167388980")</f>
        <v>gi|167388980</v>
      </c>
      <c r="Y369">
        <v>45.1</v>
      </c>
      <c r="Z369">
        <v>83</v>
      </c>
      <c r="AA369">
        <v>132</v>
      </c>
      <c r="AB369">
        <v>34</v>
      </c>
      <c r="AC369">
        <v>64</v>
      </c>
      <c r="AD369">
        <v>62</v>
      </c>
      <c r="AE369">
        <v>5</v>
      </c>
      <c r="AF369">
        <v>16</v>
      </c>
      <c r="AG369">
        <v>462</v>
      </c>
      <c r="AH369">
        <v>1</v>
      </c>
      <c r="AI369">
        <v>3</v>
      </c>
      <c r="AJ369" t="s">
        <v>11</v>
      </c>
      <c r="AK369">
        <v>4.819</v>
      </c>
      <c r="AL369" t="s">
        <v>3324</v>
      </c>
      <c r="AM369" t="s">
        <v>4182</v>
      </c>
      <c r="AN369" t="s">
        <v>4183</v>
      </c>
      <c r="AO369" s="1" t="str">
        <f>HYPERLINK("http://exon.niaid.nih.gov/transcriptome/T_rubida/S1/links/SWISSP/Triru-contig_549-SWISSP.txt","Lactose permease (Fragment)")</f>
        <v>Lactose permease (Fragment)</v>
      </c>
      <c r="AP369" t="str">
        <f>HYPERLINK("http://www.uniprot.org/uniprot/P59832","0.42")</f>
        <v>0.42</v>
      </c>
      <c r="AQ369" t="s">
        <v>4184</v>
      </c>
      <c r="AR369">
        <v>35.4</v>
      </c>
      <c r="AS369">
        <v>46</v>
      </c>
      <c r="AT369">
        <v>36</v>
      </c>
      <c r="AU369">
        <v>36</v>
      </c>
      <c r="AV369">
        <v>31</v>
      </c>
      <c r="AW369">
        <v>0</v>
      </c>
      <c r="AX369">
        <v>16</v>
      </c>
      <c r="AY369">
        <v>537</v>
      </c>
      <c r="AZ369">
        <v>1</v>
      </c>
      <c r="BA369">
        <v>3</v>
      </c>
      <c r="BB369" t="s">
        <v>11</v>
      </c>
      <c r="BC369">
        <v>4.3479999999999999</v>
      </c>
      <c r="BD369" t="s">
        <v>704</v>
      </c>
      <c r="BE369" t="s">
        <v>2038</v>
      </c>
      <c r="BF369" t="s">
        <v>4185</v>
      </c>
      <c r="BG369" t="s">
        <v>4186</v>
      </c>
      <c r="BH369" s="1" t="s">
        <v>57</v>
      </c>
      <c r="BI369" t="s">
        <v>57</v>
      </c>
      <c r="BJ369" s="1" t="str">
        <f>HYPERLINK("http://exon.niaid.nih.gov/transcriptome/T_rubida/S1/links/CDD/Triru-contig_549-CDD.txt","Nucleoplasmin")</f>
        <v>Nucleoplasmin</v>
      </c>
      <c r="BK369" t="str">
        <f>HYPERLINK("http://www.ncbi.nlm.nih.gov/Structure/cdd/cddsrv.cgi?uid=pfam03066&amp;version=v4.0","0.002")</f>
        <v>0.002</v>
      </c>
      <c r="BL369" t="s">
        <v>4187</v>
      </c>
      <c r="BM369" s="1" t="str">
        <f>HYPERLINK("http://exon.niaid.nih.gov/transcriptome/T_rubida/S1/links/KOG/Triru-contig_549-KOG.txt","Predicted DHHC-type Zn-finger protein")</f>
        <v>Predicted DHHC-type Zn-finger protein</v>
      </c>
      <c r="BN369" t="str">
        <f>HYPERLINK("http://www.ncbi.nlm.nih.gov/COG/grace/shokog.cgi?KOG1315","0.075")</f>
        <v>0.075</v>
      </c>
      <c r="BO369" t="s">
        <v>750</v>
      </c>
      <c r="BP369" s="1" t="str">
        <f>HYPERLINK("http://exon.niaid.nih.gov/transcriptome/T_rubida/S1/links/PFAM/Triru-contig_549-PFAM.txt","Nucleoplasmin")</f>
        <v>Nucleoplasmin</v>
      </c>
      <c r="BQ369" t="str">
        <f>HYPERLINK("http://pfam.sanger.ac.uk/family?acc=PF03066","4E-004")</f>
        <v>4E-004</v>
      </c>
      <c r="BR369" s="1" t="str">
        <f>HYPERLINK("http://exon.niaid.nih.gov/transcriptome/T_rubida/S1/links/SMART/Triru-contig_549-SMART.txt","HTTM")</f>
        <v>HTTM</v>
      </c>
      <c r="BS369" t="str">
        <f>HYPERLINK("http://smart.embl-heidelberg.de/smart/do_annotation.pl?DOMAIN=HTTM&amp;BLAST=DUMMY","0.012")</f>
        <v>0.012</v>
      </c>
      <c r="BT369" s="1" t="str">
        <f>HYPERLINK("http://exon.niaid.nih.gov/transcriptome/T_rubida/S1/links/PRK/Triru-contig_549-PRK.txt","NADH dehydrogenase subunit 5")</f>
        <v>NADH dehydrogenase subunit 5</v>
      </c>
      <c r="BU369">
        <v>2E-3</v>
      </c>
      <c r="BV369" s="1" t="s">
        <v>57</v>
      </c>
      <c r="BW369" t="s">
        <v>57</v>
      </c>
      <c r="BX369" s="1" t="s">
        <v>57</v>
      </c>
      <c r="BY369" t="s">
        <v>57</v>
      </c>
    </row>
    <row r="370" spans="1:77">
      <c r="A370" t="str">
        <f>HYPERLINK("http://exon.niaid.nih.gov/transcriptome/T_rubida/S1/links/Triru/Triru-contig_428.txt","Triru-contig_428")</f>
        <v>Triru-contig_428</v>
      </c>
      <c r="B370">
        <v>1</v>
      </c>
      <c r="C370" t="str">
        <f>HYPERLINK("http://exon.niaid.nih.gov/transcriptome/T_rubida/S1/links/Triru/Triru-5-48-asb-428.txt","Contig-428")</f>
        <v>Contig-428</v>
      </c>
      <c r="D370" t="str">
        <f>HYPERLINK("http://exon.niaid.nih.gov/transcriptome/T_rubida/S1/links/Triru/Triru-5-48-428-CLU.txt","Contig428")</f>
        <v>Contig428</v>
      </c>
      <c r="E370" t="str">
        <f>HYPERLINK("http://exon.niaid.nih.gov/transcriptome/T_rubida/S1/links/Triru/Triru-5-48-428-qual.txt","57.4")</f>
        <v>57.4</v>
      </c>
      <c r="F370" t="s">
        <v>10</v>
      </c>
      <c r="G370">
        <v>56.1</v>
      </c>
      <c r="H370">
        <v>748</v>
      </c>
      <c r="I370" t="s">
        <v>440</v>
      </c>
      <c r="J370">
        <v>748</v>
      </c>
      <c r="K370">
        <v>767</v>
      </c>
      <c r="L370">
        <v>204</v>
      </c>
      <c r="M370" t="s">
        <v>5584</v>
      </c>
      <c r="N370" s="15">
        <v>2</v>
      </c>
      <c r="Q370" s="5" t="s">
        <v>4827</v>
      </c>
      <c r="R370" t="s">
        <v>4828</v>
      </c>
      <c r="V370" s="1" t="str">
        <f>HYPERLINK("http://exon.niaid.nih.gov/transcriptome/T_rubida/S1/links/NR/Triru-contig_428-NR.txt","similar to myosin-rhogap protein, myr")</f>
        <v>similar to myosin-rhogap protein, myr</v>
      </c>
      <c r="W370" t="str">
        <f>HYPERLINK("http://www.ncbi.nlm.nih.gov/sutils/blink.cgi?pid=156548458","0.011")</f>
        <v>0.011</v>
      </c>
      <c r="X370" t="str">
        <f>HYPERLINK("http://www.ncbi.nlm.nih.gov/protein/156548458","gi|156548458")</f>
        <v>gi|156548458</v>
      </c>
      <c r="Y370">
        <v>45.1</v>
      </c>
      <c r="Z370">
        <v>154</v>
      </c>
      <c r="AA370">
        <v>2292</v>
      </c>
      <c r="AB370">
        <v>25</v>
      </c>
      <c r="AC370">
        <v>7</v>
      </c>
      <c r="AD370">
        <v>128</v>
      </c>
      <c r="AE370">
        <v>15</v>
      </c>
      <c r="AF370">
        <v>2021</v>
      </c>
      <c r="AG370">
        <v>185</v>
      </c>
      <c r="AH370">
        <v>1</v>
      </c>
      <c r="AI370">
        <v>2</v>
      </c>
      <c r="AJ370" t="s">
        <v>11</v>
      </c>
      <c r="AK370">
        <v>2.597</v>
      </c>
      <c r="AL370" t="s">
        <v>1330</v>
      </c>
      <c r="AM370" t="s">
        <v>3379</v>
      </c>
      <c r="AN370" t="s">
        <v>3380</v>
      </c>
      <c r="AO370" s="1" t="str">
        <f>HYPERLINK("http://exon.niaid.nih.gov/transcriptome/T_rubida/S1/links/SWISSP/Triru-contig_428-SWISSP.txt","Ribonuclease H")</f>
        <v>Ribonuclease H</v>
      </c>
      <c r="AP370" t="str">
        <f>HYPERLINK("http://www.uniprot.org/uniprot/Q1MKH6","8.1")</f>
        <v>8.1</v>
      </c>
      <c r="AQ370" t="s">
        <v>3381</v>
      </c>
      <c r="AR370">
        <v>31.2</v>
      </c>
      <c r="AS370">
        <v>24</v>
      </c>
      <c r="AT370">
        <v>56</v>
      </c>
      <c r="AU370">
        <v>17</v>
      </c>
      <c r="AV370">
        <v>11</v>
      </c>
      <c r="AW370">
        <v>0</v>
      </c>
      <c r="AX370">
        <v>114</v>
      </c>
      <c r="AY370">
        <v>470</v>
      </c>
      <c r="AZ370">
        <v>1</v>
      </c>
      <c r="BA370">
        <v>2</v>
      </c>
      <c r="BB370" t="s">
        <v>11</v>
      </c>
      <c r="BD370" t="s">
        <v>704</v>
      </c>
      <c r="BE370" t="s">
        <v>3382</v>
      </c>
      <c r="BF370" t="s">
        <v>3383</v>
      </c>
      <c r="BG370" t="s">
        <v>3384</v>
      </c>
      <c r="BH370" s="1" t="s">
        <v>57</v>
      </c>
      <c r="BI370" t="s">
        <v>57</v>
      </c>
      <c r="BJ370" s="1" t="str">
        <f>HYPERLINK("http://exon.niaid.nih.gov/transcriptome/T_rubida/S1/links/CDD/Triru-contig_428-CDD.txt","Rnase_HI_RT_non")</f>
        <v>Rnase_HI_RT_non</v>
      </c>
      <c r="BK370" t="str">
        <f>HYPERLINK("http://www.ncbi.nlm.nih.gov/Structure/cdd/cddsrv.cgi?uid=cd09276&amp;version=v4.0","9E-004")</f>
        <v>9E-004</v>
      </c>
      <c r="BL370" t="s">
        <v>3385</v>
      </c>
      <c r="BM370" s="1" t="str">
        <f>HYPERLINK("http://exon.niaid.nih.gov/transcriptome/T_rubida/S1/links/KOG/Triru-contig_428-KOG.txt","Ubiquitin-protein ligase")</f>
        <v>Ubiquitin-protein ligase</v>
      </c>
      <c r="BN370" t="str">
        <f>HYPERLINK("http://www.ncbi.nlm.nih.gov/COG/grace/shokog.cgi?KOG0420","0.012")</f>
        <v>0.012</v>
      </c>
      <c r="BO370" t="s">
        <v>954</v>
      </c>
      <c r="BP370" s="1" t="str">
        <f>HYPERLINK("http://exon.niaid.nih.gov/transcriptome/T_rubida/S1/links/PFAM/Triru-contig_428-PFAM.txt","RNase_H")</f>
        <v>RNase_H</v>
      </c>
      <c r="BQ370" t="str">
        <f>HYPERLINK("http://pfam.sanger.ac.uk/family?acc=PF00075","0.068")</f>
        <v>0.068</v>
      </c>
      <c r="BR370" s="1" t="str">
        <f>HYPERLINK("http://exon.niaid.nih.gov/transcriptome/T_rubida/S1/links/SMART/Triru-contig_428-SMART.txt","IFabd")</f>
        <v>IFabd</v>
      </c>
      <c r="BS370" t="str">
        <f>HYPERLINK("http://smart.embl-heidelberg.de/smart/do_annotation.pl?DOMAIN=IFabd&amp;BLAST=DUMMY","0.10")</f>
        <v>0.10</v>
      </c>
      <c r="BT370" s="1" t="str">
        <f>HYPERLINK("http://exon.niaid.nih.gov/transcriptome/T_rubida/S1/links/PRK/Triru-contig_428-PRK.txt","ribonuclease H")</f>
        <v>ribonuclease H</v>
      </c>
      <c r="BU370">
        <v>0.72</v>
      </c>
      <c r="BV370" s="1" t="s">
        <v>57</v>
      </c>
      <c r="BW370" t="s">
        <v>57</v>
      </c>
      <c r="BX370" s="1" t="s">
        <v>57</v>
      </c>
      <c r="BY370" t="s">
        <v>57</v>
      </c>
    </row>
    <row r="371" spans="1:77">
      <c r="A371" t="str">
        <f>HYPERLINK("http://exon.niaid.nih.gov/transcriptome/T_rubida/S1/links/Triru/Triru-contig_69.txt","Triru-contig_69")</f>
        <v>Triru-contig_69</v>
      </c>
      <c r="B371">
        <v>1</v>
      </c>
      <c r="C371" t="str">
        <f>HYPERLINK("http://exon.niaid.nih.gov/transcriptome/T_rubida/S1/links/Triru/Triru-5-48-asb-69.txt","Contig-69")</f>
        <v>Contig-69</v>
      </c>
      <c r="D371" t="str">
        <f>HYPERLINK("http://exon.niaid.nih.gov/transcriptome/T_rubida/S1/links/Triru/Triru-5-48-69-CLU.txt","Contig69")</f>
        <v>Contig69</v>
      </c>
      <c r="E371" t="str">
        <f>HYPERLINK("http://exon.niaid.nih.gov/transcriptome/T_rubida/S1/links/Triru/Triru-5-48-69-qual.txt","60.5")</f>
        <v>60.5</v>
      </c>
      <c r="F371" t="s">
        <v>10</v>
      </c>
      <c r="G371">
        <v>69.5</v>
      </c>
      <c r="H371">
        <v>296</v>
      </c>
      <c r="I371" t="s">
        <v>81</v>
      </c>
      <c r="J371">
        <v>296</v>
      </c>
      <c r="K371">
        <v>315</v>
      </c>
      <c r="L371">
        <v>195</v>
      </c>
      <c r="M371" t="s">
        <v>5678</v>
      </c>
      <c r="N371" s="15">
        <v>1</v>
      </c>
      <c r="O371" s="14" t="str">
        <f>HYPERLINK("http://exon.niaid.nih.gov/transcriptome/T_rubida/S1/links/Sigp/TRIRU-CONTIG_69-SigP.txt","Cyt")</f>
        <v>Cyt</v>
      </c>
      <c r="Q371" s="5" t="s">
        <v>4827</v>
      </c>
      <c r="R371" t="s">
        <v>4828</v>
      </c>
      <c r="V371" s="1" t="str">
        <f>HYPERLINK("http://exon.niaid.nih.gov/transcriptome/T_rubida/S1/links/NR/Triru-contig_69-NR.txt","unnamed protein product")</f>
        <v>unnamed protein product</v>
      </c>
      <c r="W371" t="str">
        <f>HYPERLINK("http://www.ncbi.nlm.nih.gov/sutils/blink.cgi?pid=270046200","0.011")</f>
        <v>0.011</v>
      </c>
      <c r="X371" t="str">
        <f>HYPERLINK("http://www.ncbi.nlm.nih.gov/protein/270046200","gi|270046200")</f>
        <v>gi|270046200</v>
      </c>
      <c r="Y371">
        <v>43.5</v>
      </c>
      <c r="Z371">
        <v>28</v>
      </c>
      <c r="AA371">
        <v>200</v>
      </c>
      <c r="AB371">
        <v>65</v>
      </c>
      <c r="AC371">
        <v>15</v>
      </c>
      <c r="AD371">
        <v>10</v>
      </c>
      <c r="AE371">
        <v>0</v>
      </c>
      <c r="AF371">
        <v>172</v>
      </c>
      <c r="AG371">
        <v>32</v>
      </c>
      <c r="AH371">
        <v>1</v>
      </c>
      <c r="AI371">
        <v>2</v>
      </c>
      <c r="AJ371" t="s">
        <v>11</v>
      </c>
      <c r="AL371" t="s">
        <v>700</v>
      </c>
      <c r="AM371" t="s">
        <v>1046</v>
      </c>
      <c r="AN371" t="s">
        <v>1047</v>
      </c>
      <c r="AO371" s="1" t="str">
        <f>HYPERLINK("http://exon.niaid.nih.gov/transcriptome/T_rubida/S1/links/SWISSP/Triru-contig_69-SWISSP.txt","Thymidylate kinase")</f>
        <v>Thymidylate kinase</v>
      </c>
      <c r="AP371" t="str">
        <f>HYPERLINK("http://www.uniprot.org/uniprot/Q8EUV4","8.0")</f>
        <v>8.0</v>
      </c>
      <c r="AQ371" t="s">
        <v>1048</v>
      </c>
      <c r="AR371">
        <v>29.3</v>
      </c>
      <c r="AS371">
        <v>33</v>
      </c>
      <c r="AT371">
        <v>47</v>
      </c>
      <c r="AU371">
        <v>16</v>
      </c>
      <c r="AV371">
        <v>18</v>
      </c>
      <c r="AW371">
        <v>0</v>
      </c>
      <c r="AX371">
        <v>98</v>
      </c>
      <c r="AY371">
        <v>72</v>
      </c>
      <c r="AZ371">
        <v>1</v>
      </c>
      <c r="BA371">
        <v>3</v>
      </c>
      <c r="BB371" t="s">
        <v>11</v>
      </c>
      <c r="BC371">
        <v>3.03</v>
      </c>
      <c r="BD371" t="s">
        <v>704</v>
      </c>
      <c r="BE371" t="s">
        <v>1049</v>
      </c>
      <c r="BF371" t="s">
        <v>1050</v>
      </c>
      <c r="BG371" t="s">
        <v>1051</v>
      </c>
      <c r="BH371" s="1" t="s">
        <v>57</v>
      </c>
      <c r="BI371" t="s">
        <v>57</v>
      </c>
      <c r="BJ371" s="1" t="str">
        <f>HYPERLINK("http://exon.niaid.nih.gov/transcriptome/T_rubida/S1/links/CDD/Triru-contig_69-CDD.txt","trkD")</f>
        <v>trkD</v>
      </c>
      <c r="BK371" t="str">
        <f>HYPERLINK("http://www.ncbi.nlm.nih.gov/Structure/cdd/cddsrv.cgi?uid=PRK10745&amp;version=v4.0","0.034")</f>
        <v>0.034</v>
      </c>
      <c r="BL371" t="s">
        <v>1052</v>
      </c>
      <c r="BM371" s="1" t="str">
        <f>HYPERLINK("http://exon.niaid.nih.gov/transcriptome/T_rubida/S1/links/KOG/Triru-contig_69-KOG.txt","Voltage-gated Ca2+ channels, alpha1 subunits")</f>
        <v>Voltage-gated Ca2+ channels, alpha1 subunits</v>
      </c>
      <c r="BN371" t="str">
        <f>HYPERLINK("http://www.ncbi.nlm.nih.gov/COG/grace/shokog.cgi?KOG2301","0.039")</f>
        <v>0.039</v>
      </c>
      <c r="BO371" t="s">
        <v>720</v>
      </c>
      <c r="BP371" s="1" t="str">
        <f>HYPERLINK("http://exon.niaid.nih.gov/transcriptome/T_rubida/S1/links/PFAM/Triru-contig_69-PFAM.txt","Bunya_G2")</f>
        <v>Bunya_G2</v>
      </c>
      <c r="BQ371" t="str">
        <f>HYPERLINK("http://pfam.sanger.ac.uk/family?acc=PF03563","0.073")</f>
        <v>0.073</v>
      </c>
      <c r="BR371" s="1" t="str">
        <f>HYPERLINK("http://exon.niaid.nih.gov/transcriptome/T_rubida/S1/links/SMART/Triru-contig_69-SMART.txt","LNS2")</f>
        <v>LNS2</v>
      </c>
      <c r="BS371" t="str">
        <f>HYPERLINK("http://smart.embl-heidelberg.de/smart/do_annotation.pl?DOMAIN=LNS2&amp;BLAST=DUMMY","0.11")</f>
        <v>0.11</v>
      </c>
      <c r="BT371" s="1" t="str">
        <f>HYPERLINK("http://exon.niaid.nih.gov/transcriptome/T_rubida/S1/links/PRK/Triru-contig_69-PRK.txt","potassium transport protein Kup")</f>
        <v>potassium transport protein Kup</v>
      </c>
      <c r="BU371">
        <v>1.2E-2</v>
      </c>
      <c r="BV371" s="1" t="s">
        <v>57</v>
      </c>
      <c r="BW371" t="s">
        <v>57</v>
      </c>
      <c r="BX371" s="1" t="s">
        <v>57</v>
      </c>
      <c r="BY371" t="s">
        <v>57</v>
      </c>
    </row>
    <row r="372" spans="1:77">
      <c r="A372" t="str">
        <f>HYPERLINK("http://exon.niaid.nih.gov/transcriptome/T_rubida/S1/links/Triru/Triru-contig_370.txt","Triru-contig_370")</f>
        <v>Triru-contig_370</v>
      </c>
      <c r="B372">
        <v>1</v>
      </c>
      <c r="C372" t="str">
        <f>HYPERLINK("http://exon.niaid.nih.gov/transcriptome/T_rubida/S1/links/Triru/Triru-5-48-asb-370.txt","Contig-370")</f>
        <v>Contig-370</v>
      </c>
      <c r="D372" t="str">
        <f>HYPERLINK("http://exon.niaid.nih.gov/transcriptome/T_rubida/S1/links/Triru/Triru-5-48-370-CLU.txt","Contig370")</f>
        <v>Contig370</v>
      </c>
      <c r="E372" t="str">
        <f>HYPERLINK("http://exon.niaid.nih.gov/transcriptome/T_rubida/S1/links/Triru/Triru-5-48-370-qual.txt","15.4")</f>
        <v>15.4</v>
      </c>
      <c r="F372">
        <v>1.2</v>
      </c>
      <c r="G372">
        <v>61.1</v>
      </c>
      <c r="H372" t="s">
        <v>57</v>
      </c>
      <c r="I372" t="s">
        <v>382</v>
      </c>
      <c r="J372" t="s">
        <v>57</v>
      </c>
      <c r="K372">
        <v>813</v>
      </c>
      <c r="L372">
        <v>237</v>
      </c>
      <c r="M372" t="s">
        <v>5648</v>
      </c>
      <c r="N372" s="15">
        <v>3</v>
      </c>
      <c r="Q372" s="5" t="s">
        <v>4827</v>
      </c>
      <c r="R372" t="s">
        <v>4828</v>
      </c>
      <c r="V372" s="1" t="str">
        <f>HYPERLINK("http://exon.niaid.nih.gov/transcriptome/T_rubida/S1/links/NR/Triru-contig_370-NR.txt","SJCHGC09076 protein")</f>
        <v>SJCHGC09076 protein</v>
      </c>
      <c r="W372" t="str">
        <f>HYPERLINK("http://www.ncbi.nlm.nih.gov/sutils/blink.cgi?pid=56756781","0.012")</f>
        <v>0.012</v>
      </c>
      <c r="X372" t="str">
        <f>HYPERLINK("http://www.ncbi.nlm.nih.gov/protein/56756781","gi|56756781")</f>
        <v>gi|56756781</v>
      </c>
      <c r="Y372">
        <v>45.1</v>
      </c>
      <c r="Z372">
        <v>54</v>
      </c>
      <c r="AA372">
        <v>109</v>
      </c>
      <c r="AB372">
        <v>47</v>
      </c>
      <c r="AC372">
        <v>50</v>
      </c>
      <c r="AD372">
        <v>24</v>
      </c>
      <c r="AE372">
        <v>0</v>
      </c>
      <c r="AF372">
        <v>38</v>
      </c>
      <c r="AG372">
        <v>407</v>
      </c>
      <c r="AH372">
        <v>3</v>
      </c>
      <c r="AI372">
        <v>2</v>
      </c>
      <c r="AJ372" t="s">
        <v>888</v>
      </c>
      <c r="AK372">
        <v>1.8520000000000001</v>
      </c>
      <c r="AL372" t="s">
        <v>2286</v>
      </c>
      <c r="AM372" t="s">
        <v>2980</v>
      </c>
      <c r="AN372" t="s">
        <v>2981</v>
      </c>
      <c r="AO372" s="1" t="str">
        <f>HYPERLINK("http://exon.niaid.nih.gov/transcriptome/T_rubida/S1/links/SWISSP/Triru-contig_370-SWISSP.txt","Vacuolar protein sorting-associated protein 37C")</f>
        <v>Vacuolar protein sorting-associated protein 37C</v>
      </c>
      <c r="AP372" t="str">
        <f>HYPERLINK("http://www.uniprot.org/uniprot/Q8R105","0.28")</f>
        <v>0.28</v>
      </c>
      <c r="AQ372" t="s">
        <v>2982</v>
      </c>
      <c r="AR372">
        <v>36.200000000000003</v>
      </c>
      <c r="AS372">
        <v>47</v>
      </c>
      <c r="AT372">
        <v>40</v>
      </c>
      <c r="AU372">
        <v>14</v>
      </c>
      <c r="AV372">
        <v>31</v>
      </c>
      <c r="AW372">
        <v>2</v>
      </c>
      <c r="AX372">
        <v>288</v>
      </c>
      <c r="AY372">
        <v>447</v>
      </c>
      <c r="AZ372">
        <v>1</v>
      </c>
      <c r="BA372">
        <v>3</v>
      </c>
      <c r="BB372" t="s">
        <v>11</v>
      </c>
      <c r="BD372" t="s">
        <v>704</v>
      </c>
      <c r="BE372" t="s">
        <v>807</v>
      </c>
      <c r="BF372" t="s">
        <v>2983</v>
      </c>
      <c r="BG372" t="s">
        <v>2984</v>
      </c>
      <c r="BH372" s="1" t="s">
        <v>57</v>
      </c>
      <c r="BI372" t="s">
        <v>57</v>
      </c>
      <c r="BJ372" s="1" t="str">
        <f>HYPERLINK("http://exon.niaid.nih.gov/transcriptome/T_rubida/S1/links/CDD/Triru-contig_370-CDD.txt","DUF1980")</f>
        <v>DUF1980</v>
      </c>
      <c r="BK372" t="str">
        <f>HYPERLINK("http://www.ncbi.nlm.nih.gov/Structure/cdd/cddsrv.cgi?uid=pfam09323&amp;version=v4.0","6E-004")</f>
        <v>6E-004</v>
      </c>
      <c r="BL372" t="s">
        <v>2985</v>
      </c>
      <c r="BM372" s="1" t="str">
        <f>HYPERLINK("http://exon.niaid.nih.gov/transcriptome/T_rubida/S1/links/KOG/Triru-contig_370-KOG.txt","Sequence-specific single-stranded-DNA-binding protein")</f>
        <v>Sequence-specific single-stranded-DNA-binding protein</v>
      </c>
      <c r="BN372" t="str">
        <f>HYPERLINK("http://www.ncbi.nlm.nih.gov/COG/grace/shokog.cgi?KOG4594","0.032")</f>
        <v>0.032</v>
      </c>
      <c r="BO372" t="s">
        <v>2986</v>
      </c>
      <c r="BP372" s="1" t="str">
        <f>HYPERLINK("http://exon.niaid.nih.gov/transcriptome/T_rubida/S1/links/PFAM/Triru-contig_370-PFAM.txt","DUF1980")</f>
        <v>DUF1980</v>
      </c>
      <c r="BQ372" t="str">
        <f>HYPERLINK("http://pfam.sanger.ac.uk/family?acc=PF09323","1E-004")</f>
        <v>1E-004</v>
      </c>
      <c r="BR372" s="1" t="str">
        <f>HYPERLINK("http://exon.niaid.nih.gov/transcriptome/T_rubida/S1/links/SMART/Triru-contig_370-SMART.txt","HMG17")</f>
        <v>HMG17</v>
      </c>
      <c r="BS372" t="str">
        <f>HYPERLINK("http://smart.embl-heidelberg.de/smart/do_annotation.pl?DOMAIN=HMG17&amp;BLAST=DUMMY","0.044")</f>
        <v>0.044</v>
      </c>
      <c r="BT372" s="1" t="str">
        <f>HYPERLINK("http://exon.niaid.nih.gov/transcriptome/T_rubida/S1/links/PRK/Triru-contig_370-PRK.txt","site-specific tyrosine recombinase XerD-like protein")</f>
        <v>site-specific tyrosine recombinase XerD-like protein</v>
      </c>
      <c r="BU372">
        <v>0.42</v>
      </c>
      <c r="BV372" s="1" t="s">
        <v>57</v>
      </c>
      <c r="BW372" t="s">
        <v>57</v>
      </c>
      <c r="BX372" s="1" t="s">
        <v>57</v>
      </c>
      <c r="BY372" t="s">
        <v>57</v>
      </c>
    </row>
    <row r="373" spans="1:77">
      <c r="A373" t="str">
        <f>HYPERLINK("http://exon.niaid.nih.gov/transcriptome/T_rubida/S1/links/Triru/Triru-contig_404.txt","Triru-contig_404")</f>
        <v>Triru-contig_404</v>
      </c>
      <c r="B373">
        <v>1</v>
      </c>
      <c r="C373" t="str">
        <f>HYPERLINK("http://exon.niaid.nih.gov/transcriptome/T_rubida/S1/links/Triru/Triru-5-48-asb-404.txt","Contig-404")</f>
        <v>Contig-404</v>
      </c>
      <c r="D373" t="str">
        <f>HYPERLINK("http://exon.niaid.nih.gov/transcriptome/T_rubida/S1/links/Triru/Triru-5-48-404-CLU.txt","Contig404")</f>
        <v>Contig404</v>
      </c>
      <c r="E373" t="str">
        <f>HYPERLINK("http://exon.niaid.nih.gov/transcriptome/T_rubida/S1/links/Triru/Triru-5-48-404-qual.txt","19.5")</f>
        <v>19.5</v>
      </c>
      <c r="F373" t="s">
        <v>10</v>
      </c>
      <c r="G373">
        <v>70.400000000000006</v>
      </c>
      <c r="H373">
        <v>901</v>
      </c>
      <c r="I373" t="s">
        <v>416</v>
      </c>
      <c r="J373">
        <v>901</v>
      </c>
      <c r="K373">
        <v>920</v>
      </c>
      <c r="L373">
        <v>384</v>
      </c>
      <c r="M373" t="s">
        <v>5532</v>
      </c>
      <c r="N373" s="15">
        <v>1</v>
      </c>
      <c r="O373" s="14" t="str">
        <f>HYPERLINK("http://exon.niaid.nih.gov/transcriptome/T_rubida/S1/links/Sigp/TRIRU-CONTIG_404-SigP.txt","Cyt")</f>
        <v>Cyt</v>
      </c>
      <c r="Q373" s="5" t="s">
        <v>4827</v>
      </c>
      <c r="R373" t="s">
        <v>4828</v>
      </c>
      <c r="V373" s="1" t="str">
        <f>HYPERLINK("http://exon.niaid.nih.gov/transcriptome/T_rubida/S1/links/NR/Triru-contig_404-NR.txt","hypothetical protein HAN_3g485")</f>
        <v>hypothetical protein HAN_3g485</v>
      </c>
      <c r="W373" t="str">
        <f>HYPERLINK("http://www.ncbi.nlm.nih.gov/sutils/blink.cgi?pid=160331811","0.013")</f>
        <v>0.013</v>
      </c>
      <c r="X373" t="str">
        <f>HYPERLINK("http://www.ncbi.nlm.nih.gov/protein/160331811","gi|160331811")</f>
        <v>gi|160331811</v>
      </c>
      <c r="Y373">
        <v>33.5</v>
      </c>
      <c r="Z373">
        <v>175</v>
      </c>
      <c r="AA373">
        <v>391</v>
      </c>
      <c r="AB373">
        <v>31</v>
      </c>
      <c r="AC373">
        <v>45</v>
      </c>
      <c r="AD373">
        <v>87</v>
      </c>
      <c r="AE373">
        <v>5</v>
      </c>
      <c r="AF373">
        <v>78</v>
      </c>
      <c r="AG373">
        <v>164</v>
      </c>
      <c r="AH373">
        <v>2</v>
      </c>
      <c r="AI373">
        <v>1</v>
      </c>
      <c r="AJ373" t="s">
        <v>888</v>
      </c>
      <c r="AK373">
        <v>0.57099999999999995</v>
      </c>
      <c r="AL373" t="s">
        <v>2236</v>
      </c>
      <c r="AM373" t="s">
        <v>3220</v>
      </c>
      <c r="AN373" t="s">
        <v>3221</v>
      </c>
      <c r="AO373" s="1" t="str">
        <f>HYPERLINK("http://exon.niaid.nih.gov/transcriptome/T_rubida/S1/links/SWISSP/Triru-contig_404-SWISSP.txt","DNA gyrase subunit B")</f>
        <v>DNA gyrase subunit B</v>
      </c>
      <c r="AP373" t="str">
        <f>HYPERLINK("http://www.uniprot.org/uniprot/Q89B37","8.3")</f>
        <v>8.3</v>
      </c>
      <c r="AQ373" t="s">
        <v>3222</v>
      </c>
      <c r="AR373">
        <v>31.6</v>
      </c>
      <c r="AS373">
        <v>34</v>
      </c>
      <c r="AT373">
        <v>45</v>
      </c>
      <c r="AU373">
        <v>4</v>
      </c>
      <c r="AV373">
        <v>19</v>
      </c>
      <c r="AW373">
        <v>0</v>
      </c>
      <c r="AX373">
        <v>213</v>
      </c>
      <c r="AY373">
        <v>651</v>
      </c>
      <c r="AZ373">
        <v>1</v>
      </c>
      <c r="BA373">
        <v>3</v>
      </c>
      <c r="BB373" t="s">
        <v>11</v>
      </c>
      <c r="BD373" t="s">
        <v>704</v>
      </c>
      <c r="BE373" t="s">
        <v>1741</v>
      </c>
      <c r="BF373" t="s">
        <v>3223</v>
      </c>
      <c r="BG373" t="s">
        <v>3224</v>
      </c>
      <c r="BH373" s="1" t="s">
        <v>57</v>
      </c>
      <c r="BI373" t="s">
        <v>57</v>
      </c>
      <c r="BJ373" s="1" t="str">
        <f>HYPERLINK("http://exon.niaid.nih.gov/transcriptome/T_rubida/S1/links/CDD/Triru-contig_404-CDD.txt","malE")</f>
        <v>malE</v>
      </c>
      <c r="BK373" t="str">
        <f>HYPERLINK("http://www.ncbi.nlm.nih.gov/Structure/cdd/cddsrv.cgi?uid=PRK09474&amp;version=v4.0","0.004")</f>
        <v>0.004</v>
      </c>
      <c r="BL373" t="s">
        <v>3225</v>
      </c>
      <c r="BM373" s="1" t="str">
        <f>HYPERLINK("http://exon.niaid.nih.gov/transcriptome/T_rubida/S1/links/KOG/Triru-contig_404-KOG.txt","Multidrug resistance-associated protein/mitoxantrone resistance protein, ABC superfamily")</f>
        <v>Multidrug resistance-associated protein/mitoxantrone resistance protein, ABC superfamily</v>
      </c>
      <c r="BN373" t="str">
        <f>HYPERLINK("http://www.ncbi.nlm.nih.gov/COG/grace/shokog.cgi?KOG0054","0.046")</f>
        <v>0.046</v>
      </c>
      <c r="BO373" t="s">
        <v>1130</v>
      </c>
      <c r="BP373" s="1" t="str">
        <f>HYPERLINK("http://exon.niaid.nih.gov/transcriptome/T_rubida/S1/links/PFAM/Triru-contig_404-PFAM.txt","COPI_assoc")</f>
        <v>COPI_assoc</v>
      </c>
      <c r="BQ373" t="str">
        <f>HYPERLINK("http://pfam.sanger.ac.uk/family?acc=PF08507","0.011")</f>
        <v>0.011</v>
      </c>
      <c r="BR373" s="1" t="str">
        <f>HYPERLINK("http://exon.niaid.nih.gov/transcriptome/T_rubida/S1/links/SMART/Triru-contig_404-SMART.txt","PSN")</f>
        <v>PSN</v>
      </c>
      <c r="BS373" t="str">
        <f>HYPERLINK("http://smart.embl-heidelberg.de/smart/do_annotation.pl?DOMAIN=PSN&amp;BLAST=DUMMY","0.005")</f>
        <v>0.005</v>
      </c>
      <c r="BT373" s="1" t="str">
        <f>HYPERLINK("http://exon.niaid.nih.gov/transcriptome/T_rubida/S1/links/PRK/Triru-contig_404-PRK.txt","maltose ABC transporter periplasmic protein")</f>
        <v>maltose ABC transporter periplasmic protein</v>
      </c>
      <c r="BU373">
        <v>2E-3</v>
      </c>
      <c r="BV373" s="1" t="s">
        <v>57</v>
      </c>
      <c r="BW373" t="s">
        <v>57</v>
      </c>
      <c r="BX373" s="1" t="s">
        <v>57</v>
      </c>
      <c r="BY373" t="s">
        <v>57</v>
      </c>
    </row>
    <row r="374" spans="1:77">
      <c r="A374" t="str">
        <f>HYPERLINK("http://exon.niaid.nih.gov/transcriptome/T_rubida/S1/links/Triru/Triru-contig_447.txt","Triru-contig_447")</f>
        <v>Triru-contig_447</v>
      </c>
      <c r="B374">
        <v>1</v>
      </c>
      <c r="C374" t="str">
        <f>HYPERLINK("http://exon.niaid.nih.gov/transcriptome/T_rubida/S1/links/Triru/Triru-5-48-asb-447.txt","Contig-447")</f>
        <v>Contig-447</v>
      </c>
      <c r="D374" t="str">
        <f>HYPERLINK("http://exon.niaid.nih.gov/transcriptome/T_rubida/S1/links/Triru/Triru-5-48-447-CLU.txt","Contig447")</f>
        <v>Contig447</v>
      </c>
      <c r="E374" t="str">
        <f>HYPERLINK("http://exon.niaid.nih.gov/transcriptome/T_rubida/S1/links/Triru/Triru-5-48-447-qual.txt","31.7")</f>
        <v>31.7</v>
      </c>
      <c r="F374" t="s">
        <v>10</v>
      </c>
      <c r="G374">
        <v>65.2</v>
      </c>
      <c r="H374">
        <v>913</v>
      </c>
      <c r="I374" t="s">
        <v>459</v>
      </c>
      <c r="J374">
        <v>913</v>
      </c>
      <c r="K374">
        <v>932</v>
      </c>
      <c r="L374">
        <v>561</v>
      </c>
      <c r="M374" t="s">
        <v>5518</v>
      </c>
      <c r="N374" s="15">
        <v>3</v>
      </c>
      <c r="Q374" s="5" t="s">
        <v>4827</v>
      </c>
      <c r="R374" t="s">
        <v>4828</v>
      </c>
      <c r="V374" s="1" t="str">
        <f>HYPERLINK("http://exon.niaid.nih.gov/transcriptome/T_rubida/S1/links/NR/Triru-contig_447-NR.txt","hypothetical protein EBI_27034")</f>
        <v>hypothetical protein EBI_27034</v>
      </c>
      <c r="W374" t="str">
        <f>HYPERLINK("http://www.ncbi.nlm.nih.gov/sutils/blink.cgi?pid=269861553","0.016")</f>
        <v>0.016</v>
      </c>
      <c r="X374" t="str">
        <f>HYPERLINK("http://www.ncbi.nlm.nih.gov/protein/269861553","gi|269861553")</f>
        <v>gi|269861553</v>
      </c>
      <c r="Y374">
        <v>45.1</v>
      </c>
      <c r="Z374">
        <v>94</v>
      </c>
      <c r="AA374">
        <v>209</v>
      </c>
      <c r="AB374">
        <v>40</v>
      </c>
      <c r="AC374">
        <v>45</v>
      </c>
      <c r="AD374">
        <v>58</v>
      </c>
      <c r="AE374">
        <v>19</v>
      </c>
      <c r="AF374">
        <v>28</v>
      </c>
      <c r="AG374">
        <v>404</v>
      </c>
      <c r="AH374">
        <v>1</v>
      </c>
      <c r="AI374">
        <v>2</v>
      </c>
      <c r="AJ374" t="s">
        <v>11</v>
      </c>
      <c r="AK374">
        <v>1.0640000000000001</v>
      </c>
      <c r="AL374" t="s">
        <v>3510</v>
      </c>
      <c r="AM374" t="s">
        <v>3511</v>
      </c>
      <c r="AN374" t="s">
        <v>3512</v>
      </c>
      <c r="AO374" s="1" t="str">
        <f>HYPERLINK("http://exon.niaid.nih.gov/transcriptome/T_rubida/S1/links/SWISSP/Triru-contig_447-SWISSP.txt","Superoxide dismutase")</f>
        <v>Superoxide dismutase</v>
      </c>
      <c r="AP374" t="str">
        <f>HYPERLINK("http://www.uniprot.org/uniprot/Q9ZD15","2.2")</f>
        <v>2.2</v>
      </c>
      <c r="AQ374" t="s">
        <v>3513</v>
      </c>
      <c r="AR374">
        <v>33.5</v>
      </c>
      <c r="AS374">
        <v>45</v>
      </c>
      <c r="AT374">
        <v>37</v>
      </c>
      <c r="AU374">
        <v>22</v>
      </c>
      <c r="AV374">
        <v>33</v>
      </c>
      <c r="AW374">
        <v>0</v>
      </c>
      <c r="AX374">
        <v>89</v>
      </c>
      <c r="AY374">
        <v>506</v>
      </c>
      <c r="AZ374">
        <v>1</v>
      </c>
      <c r="BA374">
        <v>2</v>
      </c>
      <c r="BB374" t="s">
        <v>11</v>
      </c>
      <c r="BC374">
        <v>2.222</v>
      </c>
      <c r="BD374" t="s">
        <v>704</v>
      </c>
      <c r="BE374" t="s">
        <v>3514</v>
      </c>
      <c r="BF374" t="s">
        <v>3515</v>
      </c>
      <c r="BG374" t="s">
        <v>3516</v>
      </c>
      <c r="BH374" s="1" t="s">
        <v>57</v>
      </c>
      <c r="BI374" t="s">
        <v>57</v>
      </c>
      <c r="BJ374" s="1" t="str">
        <f>HYPERLINK("http://exon.niaid.nih.gov/transcriptome/T_rubida/S1/links/CDD/Triru-contig_447-CDD.txt","PRK08418")</f>
        <v>PRK08418</v>
      </c>
      <c r="BK374" t="str">
        <f>HYPERLINK("http://www.ncbi.nlm.nih.gov/Structure/cdd/cddsrv.cgi?uid=PRK08418&amp;version=v4.0","0.092")</f>
        <v>0.092</v>
      </c>
      <c r="BL374" t="s">
        <v>3517</v>
      </c>
      <c r="BM374" s="1" t="str">
        <f>HYPERLINK("http://exon.niaid.nih.gov/transcriptome/T_rubida/S1/links/KOG/Triru-contig_447-KOG.txt","GPI-alpha-mannosyltransferase III (GPI10/PIG-B) involved in glycosylphosphatidylinositol anchor biosynthesis")</f>
        <v>GPI-alpha-mannosyltransferase III (GPI10/PIG-B) involved in glycosylphosphatidylinositol anchor biosynthesis</v>
      </c>
      <c r="BN374" t="str">
        <f>HYPERLINK("http://www.ncbi.nlm.nih.gov/COG/grace/shokog.cgi?KOG1771","0.015")</f>
        <v>0.015</v>
      </c>
      <c r="BO374" t="s">
        <v>3518</v>
      </c>
      <c r="BP374" s="1" t="str">
        <f>HYPERLINK("http://exon.niaid.nih.gov/transcriptome/T_rubida/S1/links/PFAM/Triru-contig_447-PFAM.txt","TLD")</f>
        <v>TLD</v>
      </c>
      <c r="BQ374" t="str">
        <f>HYPERLINK("http://pfam.sanger.ac.uk/family?acc=PF07534","0.020")</f>
        <v>0.020</v>
      </c>
      <c r="BR374" s="1" t="str">
        <f>HYPERLINK("http://exon.niaid.nih.gov/transcriptome/T_rubida/S1/links/SMART/Triru-contig_447-SMART.txt","MeTrc")</f>
        <v>MeTrc</v>
      </c>
      <c r="BS374" t="str">
        <f>HYPERLINK("http://smart.embl-heidelberg.de/smart/do_annotation.pl?DOMAIN=MeTrc&amp;BLAST=DUMMY","0.024")</f>
        <v>0.024</v>
      </c>
      <c r="BT374" s="1" t="str">
        <f>HYPERLINK("http://exon.niaid.nih.gov/transcriptome/T_rubida/S1/links/PRK/Triru-contig_447-PRK.txt","chlorohydrolase")</f>
        <v>chlorohydrolase</v>
      </c>
      <c r="BU374">
        <v>0.04</v>
      </c>
      <c r="BV374" s="1" t="s">
        <v>57</v>
      </c>
      <c r="BW374" t="s">
        <v>57</v>
      </c>
      <c r="BX374" s="1" t="s">
        <v>57</v>
      </c>
      <c r="BY374" t="s">
        <v>57</v>
      </c>
    </row>
    <row r="375" spans="1:77">
      <c r="A375" t="str">
        <f>HYPERLINK("http://exon.niaid.nih.gov/transcriptome/T_rubida/S1/links/Triru/Triru-contig_552.txt","Triru-contig_552")</f>
        <v>Triru-contig_552</v>
      </c>
      <c r="B375">
        <v>1</v>
      </c>
      <c r="C375" t="str">
        <f>HYPERLINK("http://exon.niaid.nih.gov/transcriptome/T_rubida/S1/links/Triru/Triru-5-48-asb-552.txt","Contig-552")</f>
        <v>Contig-552</v>
      </c>
      <c r="D375" t="str">
        <f>HYPERLINK("http://exon.niaid.nih.gov/transcriptome/T_rubida/S1/links/Triru/Triru-5-48-552-CLU.txt","Contig552")</f>
        <v>Contig552</v>
      </c>
      <c r="E375" t="str">
        <f>HYPERLINK("http://exon.niaid.nih.gov/transcriptome/T_rubida/S1/links/Triru/Triru-5-48-552-qual.txt","61.1")</f>
        <v>61.1</v>
      </c>
      <c r="F375" t="s">
        <v>10</v>
      </c>
      <c r="G375">
        <v>64.099999999999994</v>
      </c>
      <c r="H375">
        <v>296</v>
      </c>
      <c r="I375" t="s">
        <v>564</v>
      </c>
      <c r="J375">
        <v>296</v>
      </c>
      <c r="K375">
        <v>315</v>
      </c>
      <c r="L375">
        <v>285</v>
      </c>
      <c r="M375" t="s">
        <v>5557</v>
      </c>
      <c r="N375" s="15">
        <v>1</v>
      </c>
      <c r="Q375" s="5" t="s">
        <v>4827</v>
      </c>
      <c r="R375" t="s">
        <v>4828</v>
      </c>
      <c r="V375" s="1" t="str">
        <f>HYPERLINK("http://exon.niaid.nih.gov/transcriptome/T_rubida/S1/links/NR/Triru-contig_552-NR.txt","hypothetical protein LMHCC_2589")</f>
        <v>hypothetical protein LMHCC_2589</v>
      </c>
      <c r="W375" t="str">
        <f>HYPERLINK("http://www.ncbi.nlm.nih.gov/sutils/blink.cgi?pid=217965860","0.019")</f>
        <v>0.019</v>
      </c>
      <c r="X375" t="str">
        <f>HYPERLINK("http://www.ncbi.nlm.nih.gov/protein/217965860","gi|217965860")</f>
        <v>gi|217965860</v>
      </c>
      <c r="Y375">
        <v>42.7</v>
      </c>
      <c r="Z375">
        <v>84</v>
      </c>
      <c r="AA375">
        <v>250</v>
      </c>
      <c r="AB375">
        <v>27</v>
      </c>
      <c r="AC375">
        <v>34</v>
      </c>
      <c r="AD375">
        <v>62</v>
      </c>
      <c r="AE375">
        <v>1</v>
      </c>
      <c r="AF375">
        <v>33</v>
      </c>
      <c r="AG375">
        <v>13</v>
      </c>
      <c r="AH375">
        <v>1</v>
      </c>
      <c r="AI375">
        <v>1</v>
      </c>
      <c r="AJ375" t="s">
        <v>11</v>
      </c>
      <c r="AL375" t="s">
        <v>4204</v>
      </c>
      <c r="AM375" t="s">
        <v>4205</v>
      </c>
      <c r="AN375" t="s">
        <v>4206</v>
      </c>
      <c r="AO375" s="1" t="str">
        <f>HYPERLINK("http://exon.niaid.nih.gov/transcriptome/T_rubida/S1/links/SWISSP/Triru-contig_552-SWISSP.txt","Paramyosin")</f>
        <v>Paramyosin</v>
      </c>
      <c r="AP375" t="str">
        <f>HYPERLINK("http://www.uniprot.org/uniprot/O96064","0.006")</f>
        <v>0.006</v>
      </c>
      <c r="AQ375" t="s">
        <v>4207</v>
      </c>
      <c r="AR375">
        <v>39.700000000000003</v>
      </c>
      <c r="AS375">
        <v>53</v>
      </c>
      <c r="AT375">
        <v>40</v>
      </c>
      <c r="AU375">
        <v>6</v>
      </c>
      <c r="AV375">
        <v>33</v>
      </c>
      <c r="AW375">
        <v>0</v>
      </c>
      <c r="AX375">
        <v>112</v>
      </c>
      <c r="AY375">
        <v>112</v>
      </c>
      <c r="AZ375">
        <v>1</v>
      </c>
      <c r="BA375">
        <v>1</v>
      </c>
      <c r="BB375" t="s">
        <v>11</v>
      </c>
      <c r="BD375" t="s">
        <v>704</v>
      </c>
      <c r="BE375" t="s">
        <v>4208</v>
      </c>
      <c r="BF375" t="s">
        <v>4209</v>
      </c>
      <c r="BG375" t="s">
        <v>4210</v>
      </c>
      <c r="BH375" s="1" t="s">
        <v>57</v>
      </c>
      <c r="BI375" t="s">
        <v>57</v>
      </c>
      <c r="BJ375" s="1" t="str">
        <f>HYPERLINK("http://exon.niaid.nih.gov/transcriptome/T_rubida/S1/links/CDD/Triru-contig_552-CDD.txt","DUF3796")</f>
        <v>DUF3796</v>
      </c>
      <c r="BK375" t="str">
        <f>HYPERLINK("http://www.ncbi.nlm.nih.gov/Structure/cdd/cddsrv.cgi?uid=pfam12676&amp;version=v4.0","4E-004")</f>
        <v>4E-004</v>
      </c>
      <c r="BL375" t="s">
        <v>4211</v>
      </c>
      <c r="BM375" s="1" t="str">
        <f>HYPERLINK("http://exon.niaid.nih.gov/transcriptome/T_rubida/S1/links/KOG/Triru-contig_552-KOG.txt","Major facilitator superfamily permease - Cdc91p")</f>
        <v>Major facilitator superfamily permease - Cdc91p</v>
      </c>
      <c r="BN375" t="str">
        <f>HYPERLINK("http://www.ncbi.nlm.nih.gov/COG/grace/shokog.cgi?KOG2552","0.008")</f>
        <v>0.008</v>
      </c>
      <c r="BO375" t="s">
        <v>750</v>
      </c>
      <c r="BP375" s="1" t="str">
        <f>HYPERLINK("http://exon.niaid.nih.gov/transcriptome/T_rubida/S1/links/PFAM/Triru-contig_552-PFAM.txt","DUF3796")</f>
        <v>DUF3796</v>
      </c>
      <c r="BQ375" t="str">
        <f>HYPERLINK("http://pfam.sanger.ac.uk/family?acc=PF12676","8E-005")</f>
        <v>8E-005</v>
      </c>
      <c r="BR375" s="1" t="str">
        <f>HYPERLINK("http://exon.niaid.nih.gov/transcriptome/T_rubida/S1/links/SMART/Triru-contig_552-SMART.txt","PSN")</f>
        <v>PSN</v>
      </c>
      <c r="BS375" t="str">
        <f>HYPERLINK("http://smart.embl-heidelberg.de/smart/do_annotation.pl?DOMAIN=PSN&amp;BLAST=DUMMY","4E-005")</f>
        <v>4E-005</v>
      </c>
      <c r="BT375" s="1" t="str">
        <f>HYPERLINK("http://exon.niaid.nih.gov/transcriptome/T_rubida/S1/links/PRK/Triru-contig_552-PRK.txt","NADH dehydrogenase subunit 2")</f>
        <v>NADH dehydrogenase subunit 2</v>
      </c>
      <c r="BU375" s="2">
        <v>2.0000000000000001E-4</v>
      </c>
      <c r="BV375" s="1" t="s">
        <v>57</v>
      </c>
      <c r="BW375" t="s">
        <v>57</v>
      </c>
      <c r="BX375" s="1" t="s">
        <v>57</v>
      </c>
      <c r="BY375" t="s">
        <v>57</v>
      </c>
    </row>
    <row r="376" spans="1:77">
      <c r="A376" t="str">
        <f>HYPERLINK("http://exon.niaid.nih.gov/transcriptome/T_rubida/S1/links/Triru/Triru-contig_541.txt","Triru-contig_541")</f>
        <v>Triru-contig_541</v>
      </c>
      <c r="B376">
        <v>1</v>
      </c>
      <c r="C376" t="str">
        <f>HYPERLINK("http://exon.niaid.nih.gov/transcriptome/T_rubida/S1/links/Triru/Triru-5-48-asb-541.txt","Contig-541")</f>
        <v>Contig-541</v>
      </c>
      <c r="D376" t="str">
        <f>HYPERLINK("http://exon.niaid.nih.gov/transcriptome/T_rubida/S1/links/Triru/Triru-5-48-541-CLU.txt","Contig541")</f>
        <v>Contig541</v>
      </c>
      <c r="E376" t="str">
        <f>HYPERLINK("http://exon.niaid.nih.gov/transcriptome/T_rubida/S1/links/Triru/Triru-5-48-541-qual.txt","61.")</f>
        <v>61.</v>
      </c>
      <c r="F376" t="s">
        <v>10</v>
      </c>
      <c r="G376">
        <v>76.599999999999994</v>
      </c>
      <c r="H376">
        <v>425</v>
      </c>
      <c r="I376" t="s">
        <v>553</v>
      </c>
      <c r="J376">
        <v>425</v>
      </c>
      <c r="K376">
        <v>444</v>
      </c>
      <c r="L376">
        <v>237</v>
      </c>
      <c r="M376" t="s">
        <v>5558</v>
      </c>
      <c r="N376" s="15">
        <v>3</v>
      </c>
      <c r="Q376" s="5" t="s">
        <v>4827</v>
      </c>
      <c r="R376" t="s">
        <v>4828</v>
      </c>
      <c r="V376" s="1" t="str">
        <f>HYPERLINK("http://exon.niaid.nih.gov/transcriptome/T_rubida/S1/links/NR/Triru-contig_541-NR.txt","hypothetical protein LOAG_10613")</f>
        <v>hypothetical protein LOAG_10613</v>
      </c>
      <c r="W376" t="str">
        <f>HYPERLINK("http://www.ncbi.nlm.nih.gov/sutils/blink.cgi?pid=312089276","0.025")</f>
        <v>0.025</v>
      </c>
      <c r="X376" t="str">
        <f>HYPERLINK("http://www.ncbi.nlm.nih.gov/protein/312089276","gi|312089276")</f>
        <v>gi|312089276</v>
      </c>
      <c r="Y376">
        <v>42.4</v>
      </c>
      <c r="Z376">
        <v>162</v>
      </c>
      <c r="AA376">
        <v>172</v>
      </c>
      <c r="AB376">
        <v>33</v>
      </c>
      <c r="AC376">
        <v>95</v>
      </c>
      <c r="AD376">
        <v>71</v>
      </c>
      <c r="AE376">
        <v>6</v>
      </c>
      <c r="AF376">
        <v>3</v>
      </c>
      <c r="AG376">
        <v>88</v>
      </c>
      <c r="AH376">
        <v>3</v>
      </c>
      <c r="AI376">
        <v>1</v>
      </c>
      <c r="AJ376" t="s">
        <v>11</v>
      </c>
      <c r="AK376">
        <v>4.3209999999999997</v>
      </c>
      <c r="AL376" t="s">
        <v>2021</v>
      </c>
      <c r="AM376" t="s">
        <v>4134</v>
      </c>
      <c r="AN376" t="s">
        <v>4135</v>
      </c>
      <c r="AO376" s="1" t="str">
        <f>HYPERLINK("http://exon.niaid.nih.gov/transcriptome/T_rubida/S1/links/SWISSP/Triru-contig_541-SWISSP.txt","Clathrin light chain")</f>
        <v>Clathrin light chain</v>
      </c>
      <c r="AP376" t="str">
        <f>HYPERLINK("http://www.uniprot.org/uniprot/Q9VWA1","2.5")</f>
        <v>2.5</v>
      </c>
      <c r="AQ376" t="s">
        <v>4136</v>
      </c>
      <c r="AR376">
        <v>31.2</v>
      </c>
      <c r="AS376">
        <v>22</v>
      </c>
      <c r="AT376">
        <v>60</v>
      </c>
      <c r="AU376">
        <v>11</v>
      </c>
      <c r="AV376">
        <v>9</v>
      </c>
      <c r="AW376">
        <v>0</v>
      </c>
      <c r="AX376">
        <v>197</v>
      </c>
      <c r="AY376">
        <v>3</v>
      </c>
      <c r="AZ376">
        <v>1</v>
      </c>
      <c r="BA376">
        <v>3</v>
      </c>
      <c r="BB376" t="s">
        <v>11</v>
      </c>
      <c r="BC376">
        <v>4.5449999999999999</v>
      </c>
      <c r="BD376" t="s">
        <v>704</v>
      </c>
      <c r="BE376" t="s">
        <v>1125</v>
      </c>
      <c r="BF376" t="s">
        <v>4137</v>
      </c>
      <c r="BG376" t="s">
        <v>4138</v>
      </c>
      <c r="BH376" s="1" t="s">
        <v>57</v>
      </c>
      <c r="BI376" t="s">
        <v>57</v>
      </c>
      <c r="BJ376" s="1" t="str">
        <f>HYPERLINK("http://exon.niaid.nih.gov/transcriptome/T_rubida/S1/links/CDD/Triru-contig_541-CDD.txt","7TM_GPCR_Srz")</f>
        <v>7TM_GPCR_Srz</v>
      </c>
      <c r="BK376" t="str">
        <f>HYPERLINK("http://www.ncbi.nlm.nih.gov/Structure/cdd/cddsrv.cgi?uid=pfam10325&amp;version=v4.0","9E-005")</f>
        <v>9E-005</v>
      </c>
      <c r="BL376" t="s">
        <v>4139</v>
      </c>
      <c r="BM376" s="1" t="str">
        <f>HYPERLINK("http://exon.niaid.nih.gov/transcriptome/T_rubida/S1/links/KOG/Triru-contig_541-KOG.txt","Ankyrin repeat and DHHC-type Zn-finger domain containing proteins")</f>
        <v>Ankyrin repeat and DHHC-type Zn-finger domain containing proteins</v>
      </c>
      <c r="BN376" t="str">
        <f>HYPERLINK("http://www.ncbi.nlm.nih.gov/COG/grace/shokog.cgi?KOG0509","0.016")</f>
        <v>0.016</v>
      </c>
      <c r="BO376" t="s">
        <v>750</v>
      </c>
      <c r="BP376" s="1" t="str">
        <f>HYPERLINK("http://exon.niaid.nih.gov/transcriptome/T_rubida/S1/links/PFAM/Triru-contig_541-PFAM.txt","7TM_GPCR_Srz")</f>
        <v>7TM_GPCR_Srz</v>
      </c>
      <c r="BQ376" t="str">
        <f>HYPERLINK("http://pfam.sanger.ac.uk/family?acc=PF10325","2E-005")</f>
        <v>2E-005</v>
      </c>
      <c r="BR376" s="1" t="str">
        <f>HYPERLINK("http://exon.niaid.nih.gov/transcriptome/T_rubida/S1/links/SMART/Triru-contig_541-SMART.txt","AgrB")</f>
        <v>AgrB</v>
      </c>
      <c r="BS376" t="str">
        <f>HYPERLINK("http://smart.embl-heidelberg.de/smart/do_annotation.pl?DOMAIN=AgrB&amp;BLAST=DUMMY","0.011")</f>
        <v>0.011</v>
      </c>
      <c r="BT376" s="1" t="str">
        <f>HYPERLINK("http://exon.niaid.nih.gov/transcriptome/T_rubida/S1/links/PRK/Triru-contig_541-PRK.txt","NADH dehydrogenase subunit 5")</f>
        <v>NADH dehydrogenase subunit 5</v>
      </c>
      <c r="BU376">
        <v>1.9E-2</v>
      </c>
      <c r="BV376" s="1" t="s">
        <v>57</v>
      </c>
      <c r="BW376" t="s">
        <v>57</v>
      </c>
      <c r="BX376" s="1" t="s">
        <v>57</v>
      </c>
      <c r="BY376" t="s">
        <v>57</v>
      </c>
    </row>
    <row r="377" spans="1:77">
      <c r="A377" t="str">
        <f>HYPERLINK("http://exon.niaid.nih.gov/transcriptome/T_rubida/S1/links/Triru/Triru-contig_178.txt","Triru-contig_178")</f>
        <v>Triru-contig_178</v>
      </c>
      <c r="B377">
        <v>1</v>
      </c>
      <c r="C377" t="str">
        <f>HYPERLINK("http://exon.niaid.nih.gov/transcriptome/T_rubida/S1/links/Triru/Triru-5-48-asb-178.txt","Contig-178")</f>
        <v>Contig-178</v>
      </c>
      <c r="D377" t="str">
        <f>HYPERLINK("http://exon.niaid.nih.gov/transcriptome/T_rubida/S1/links/Triru/Triru-5-48-178-CLU.txt","Contig178")</f>
        <v>Contig178</v>
      </c>
      <c r="E377" t="str">
        <f>HYPERLINK("http://exon.niaid.nih.gov/transcriptome/T_rubida/S1/links/Triru/Triru-5-48-178-qual.txt","57.8")</f>
        <v>57.8</v>
      </c>
      <c r="F377">
        <v>0.2</v>
      </c>
      <c r="G377">
        <v>62.3</v>
      </c>
      <c r="H377">
        <v>517</v>
      </c>
      <c r="I377" t="s">
        <v>190</v>
      </c>
      <c r="J377">
        <v>517</v>
      </c>
      <c r="K377">
        <v>536</v>
      </c>
      <c r="L377">
        <v>204</v>
      </c>
      <c r="M377" t="s">
        <v>5657</v>
      </c>
      <c r="N377" s="15">
        <v>3</v>
      </c>
      <c r="Q377" s="5" t="s">
        <v>4827</v>
      </c>
      <c r="R377" t="s">
        <v>4828</v>
      </c>
      <c r="V377" s="1" t="str">
        <f>HYPERLINK("http://exon.niaid.nih.gov/transcriptome/T_rubida/S1/links/NR/Triru-contig_178-NR.txt","similar to endonuclease-reverse transcriptase")</f>
        <v>similar to endonuclease-reverse transcriptase</v>
      </c>
      <c r="W377" t="str">
        <f>HYPERLINK("http://www.ncbi.nlm.nih.gov/sutils/blink.cgi?pid=115966118","0.027")</f>
        <v>0.027</v>
      </c>
      <c r="X377" t="str">
        <f>HYPERLINK("http://www.ncbi.nlm.nih.gov/protein/115966118","gi|115966118")</f>
        <v>gi|115966118</v>
      </c>
      <c r="Y377">
        <v>31.6</v>
      </c>
      <c r="Z377">
        <v>95</v>
      </c>
      <c r="AA377">
        <v>555</v>
      </c>
      <c r="AB377">
        <v>51</v>
      </c>
      <c r="AC377">
        <v>17</v>
      </c>
      <c r="AD377">
        <v>13</v>
      </c>
      <c r="AE377">
        <v>0</v>
      </c>
      <c r="AF377">
        <v>151</v>
      </c>
      <c r="AG377">
        <v>226</v>
      </c>
      <c r="AH377">
        <v>3</v>
      </c>
      <c r="AI377">
        <v>1</v>
      </c>
      <c r="AJ377" t="s">
        <v>888</v>
      </c>
      <c r="AL377" t="s">
        <v>1752</v>
      </c>
      <c r="AM377" t="s">
        <v>1753</v>
      </c>
      <c r="AN377" t="s">
        <v>1754</v>
      </c>
      <c r="AO377" s="1" t="str">
        <f>HYPERLINK("http://exon.niaid.nih.gov/transcriptome/T_rubida/S1/links/SWISSP/Triru-contig_178-SWISSP.txt","Flagellar transcriptional regulator FlhC")</f>
        <v>Flagellar transcriptional regulator FlhC</v>
      </c>
      <c r="AP377" t="str">
        <f>HYPERLINK("http://www.uniprot.org/uniprot/Q39LF8","4.0")</f>
        <v>4.0</v>
      </c>
      <c r="AQ377" t="s">
        <v>1755</v>
      </c>
      <c r="AR377">
        <v>31.2</v>
      </c>
      <c r="AS377">
        <v>45</v>
      </c>
      <c r="AT377">
        <v>32</v>
      </c>
      <c r="AU377">
        <v>20</v>
      </c>
      <c r="AV377">
        <v>36</v>
      </c>
      <c r="AW377">
        <v>0</v>
      </c>
      <c r="AX377">
        <v>6</v>
      </c>
      <c r="AY377">
        <v>36</v>
      </c>
      <c r="AZ377">
        <v>1</v>
      </c>
      <c r="BA377">
        <v>3</v>
      </c>
      <c r="BB377" t="s">
        <v>11</v>
      </c>
      <c r="BD377" t="s">
        <v>704</v>
      </c>
      <c r="BE377" t="s">
        <v>1756</v>
      </c>
      <c r="BF377" t="s">
        <v>1757</v>
      </c>
      <c r="BG377" t="s">
        <v>1758</v>
      </c>
      <c r="BH377" s="1" t="s">
        <v>57</v>
      </c>
      <c r="BI377" t="s">
        <v>57</v>
      </c>
      <c r="BJ377" s="1" t="str">
        <f>HYPERLINK("http://exon.niaid.nih.gov/transcriptome/T_rubida/S1/links/CDD/Triru-contig_178-CDD.txt","RT_nLTR_like")</f>
        <v>RT_nLTR_like</v>
      </c>
      <c r="BK377" t="str">
        <f>HYPERLINK("http://www.ncbi.nlm.nih.gov/Structure/cdd/cddsrv.cgi?uid=cd01650&amp;version=v4.0","0.050")</f>
        <v>0.050</v>
      </c>
      <c r="BL377" t="s">
        <v>1759</v>
      </c>
      <c r="BM377" s="1" t="str">
        <f>HYPERLINK("http://exon.niaid.nih.gov/transcriptome/T_rubida/S1/links/KOG/Triru-contig_178-KOG.txt","Proteins containing regions of low-complexity")</f>
        <v>Proteins containing regions of low-complexity</v>
      </c>
      <c r="BN377" t="str">
        <f>HYPERLINK("http://www.ncbi.nlm.nih.gov/COG/grace/shokog.cgi?KOG2225","1.3")</f>
        <v>1.3</v>
      </c>
      <c r="BO377" t="s">
        <v>750</v>
      </c>
      <c r="BP377" s="1" t="str">
        <f>HYPERLINK("http://exon.niaid.nih.gov/transcriptome/T_rubida/S1/links/PFAM/Triru-contig_178-PFAM.txt","SQS_PSY")</f>
        <v>SQS_PSY</v>
      </c>
      <c r="BQ377" t="str">
        <f>HYPERLINK("http://pfam.sanger.ac.uk/family?acc=PF00494","0.79")</f>
        <v>0.79</v>
      </c>
      <c r="BR377" s="1" t="str">
        <f>HYPERLINK("http://exon.niaid.nih.gov/transcriptome/T_rubida/S1/links/SMART/Triru-contig_178-SMART.txt","Agouti")</f>
        <v>Agouti</v>
      </c>
      <c r="BS377" t="str">
        <f>HYPERLINK("http://smart.embl-heidelberg.de/smart/do_annotation.pl?DOMAIN=Agouti&amp;BLAST=DUMMY","0.29")</f>
        <v>0.29</v>
      </c>
      <c r="BT377" s="1" t="str">
        <f>HYPERLINK("http://exon.niaid.nih.gov/transcriptome/T_rubida/S1/links/PRK/Triru-contig_178-PRK.txt","hypothetical protein")</f>
        <v>hypothetical protein</v>
      </c>
      <c r="BU377">
        <v>0.84</v>
      </c>
      <c r="BV377" s="1" t="s">
        <v>57</v>
      </c>
      <c r="BW377" t="s">
        <v>57</v>
      </c>
      <c r="BX377" s="1" t="s">
        <v>57</v>
      </c>
      <c r="BY377" t="s">
        <v>57</v>
      </c>
    </row>
    <row r="378" spans="1:77">
      <c r="A378" t="str">
        <f>HYPERLINK("http://exon.niaid.nih.gov/transcriptome/T_rubida/S1/links/Triru/Triru-contig_557.txt","Triru-contig_557")</f>
        <v>Triru-contig_557</v>
      </c>
      <c r="B378">
        <v>1</v>
      </c>
      <c r="C378" t="str">
        <f>HYPERLINK("http://exon.niaid.nih.gov/transcriptome/T_rubida/S1/links/Triru/Triru-5-48-asb-557.txt","Contig-557")</f>
        <v>Contig-557</v>
      </c>
      <c r="D378" t="str">
        <f>HYPERLINK("http://exon.niaid.nih.gov/transcriptome/T_rubida/S1/links/Triru/Triru-5-48-557-CLU.txt","Contig557")</f>
        <v>Contig557</v>
      </c>
      <c r="E378" t="str">
        <f>HYPERLINK("http://exon.niaid.nih.gov/transcriptome/T_rubida/S1/links/Triru/Triru-5-48-557-qual.txt","35.6")</f>
        <v>35.6</v>
      </c>
      <c r="F378">
        <v>0.1</v>
      </c>
      <c r="G378">
        <v>69.900000000000006</v>
      </c>
      <c r="H378">
        <v>995</v>
      </c>
      <c r="I378" t="s">
        <v>569</v>
      </c>
      <c r="J378">
        <v>995</v>
      </c>
      <c r="K378">
        <v>1014</v>
      </c>
      <c r="L378">
        <v>168</v>
      </c>
      <c r="M378" t="s">
        <v>5588</v>
      </c>
      <c r="N378" s="15">
        <v>1</v>
      </c>
      <c r="O378" s="14" t="str">
        <f>HYPERLINK("http://exon.niaid.nih.gov/transcriptome/T_rubida/S1/links/Sigp/TRIRU-CONTIG_557-SigP.txt","Cyt")</f>
        <v>Cyt</v>
      </c>
      <c r="Q378" s="5" t="s">
        <v>4827</v>
      </c>
      <c r="R378" t="s">
        <v>4828</v>
      </c>
      <c r="V378" s="1" t="str">
        <f>HYPERLINK("http://exon.niaid.nih.gov/transcriptome/T_rubida/S1/links/NR/Triru-contig_557-NR.txt","hypothetical protein NEMVEDRAFT_v1g4289")</f>
        <v>hypothetical protein NEMVEDRAFT_v1g4289</v>
      </c>
      <c r="W378" t="str">
        <f>HYPERLINK("http://www.ncbi.nlm.nih.gov/sutils/blink.cgi?pid=156344748","0.031")</f>
        <v>0.031</v>
      </c>
      <c r="X378" t="str">
        <f>HYPERLINK("http://www.ncbi.nlm.nih.gov/protein/156344748","gi|156344748")</f>
        <v>gi|156344748</v>
      </c>
      <c r="Y378">
        <v>44.3</v>
      </c>
      <c r="Z378">
        <v>147</v>
      </c>
      <c r="AA378">
        <v>156</v>
      </c>
      <c r="AB378">
        <v>42</v>
      </c>
      <c r="AC378">
        <v>95</v>
      </c>
      <c r="AD378">
        <v>30</v>
      </c>
      <c r="AE378">
        <v>4</v>
      </c>
      <c r="AF378">
        <v>6</v>
      </c>
      <c r="AG378">
        <v>314</v>
      </c>
      <c r="AH378">
        <v>4</v>
      </c>
      <c r="AI378">
        <v>2</v>
      </c>
      <c r="AJ378" t="s">
        <v>11</v>
      </c>
      <c r="AK378">
        <v>0.68</v>
      </c>
      <c r="AL378" t="s">
        <v>2120</v>
      </c>
      <c r="AM378" t="s">
        <v>4238</v>
      </c>
      <c r="AN378" t="s">
        <v>4239</v>
      </c>
      <c r="AO378" s="1" t="str">
        <f>HYPERLINK("http://exon.niaid.nih.gov/transcriptome/T_rubida/S1/links/SWISSP/Triru-contig_557-SWISSP.txt","Putative histone-lysine N-methyltransferase PFF1440w")</f>
        <v>Putative histone-lysine N-methyltransferase PFF1440w</v>
      </c>
      <c r="AP378" t="str">
        <f>HYPERLINK("http://www.uniprot.org/uniprot/C6KTD2","21")</f>
        <v>21</v>
      </c>
      <c r="AQ378" t="s">
        <v>4240</v>
      </c>
      <c r="AR378">
        <v>30.4</v>
      </c>
      <c r="AS378">
        <v>68</v>
      </c>
      <c r="AT378">
        <v>31</v>
      </c>
      <c r="AU378">
        <v>1</v>
      </c>
      <c r="AV378">
        <v>48</v>
      </c>
      <c r="AW378">
        <v>4</v>
      </c>
      <c r="AX378">
        <v>5503</v>
      </c>
      <c r="AY378">
        <v>765</v>
      </c>
      <c r="AZ378">
        <v>1</v>
      </c>
      <c r="BA378">
        <v>3</v>
      </c>
      <c r="BB378" t="s">
        <v>11</v>
      </c>
      <c r="BC378">
        <v>4.4119999999999999</v>
      </c>
      <c r="BD378" t="s">
        <v>704</v>
      </c>
      <c r="BE378" t="s">
        <v>1356</v>
      </c>
      <c r="BF378" t="s">
        <v>4241</v>
      </c>
      <c r="BG378" t="s">
        <v>4242</v>
      </c>
      <c r="BH378" s="1" t="s">
        <v>57</v>
      </c>
      <c r="BI378" t="s">
        <v>57</v>
      </c>
      <c r="BJ378" s="1" t="str">
        <f>HYPERLINK("http://exon.niaid.nih.gov/transcriptome/T_rubida/S1/links/CDD/Triru-contig_557-CDD.txt","PRANC")</f>
        <v>PRANC</v>
      </c>
      <c r="BK378" t="str">
        <f>HYPERLINK("http://www.ncbi.nlm.nih.gov/Structure/cdd/cddsrv.cgi?uid=pfam09372&amp;version=v4.0","0.45")</f>
        <v>0.45</v>
      </c>
      <c r="BL378" t="s">
        <v>4243</v>
      </c>
      <c r="BM378" s="1" t="str">
        <f>HYPERLINK("http://exon.niaid.nih.gov/transcriptome/T_rubida/S1/links/KOG/Triru-contig_557-KOG.txt","Histone acetyltransferase SAGA, TRRAP/TRA1 component, PI-3 kinase superfamily")</f>
        <v>Histone acetyltransferase SAGA, TRRAP/TRA1 component, PI-3 kinase superfamily</v>
      </c>
      <c r="BN378" t="str">
        <f>HYPERLINK("http://www.ncbi.nlm.nih.gov/COG/grace/shokog.cgi?KOG0889","1.1")</f>
        <v>1.1</v>
      </c>
      <c r="BO378" t="s">
        <v>3649</v>
      </c>
      <c r="BP378" s="1" t="str">
        <f>HYPERLINK("http://exon.niaid.nih.gov/transcriptome/T_rubida/S1/links/PFAM/Triru-contig_557-PFAM.txt","PRANC")</f>
        <v>PRANC</v>
      </c>
      <c r="BQ378" t="str">
        <f>HYPERLINK("http://pfam.sanger.ac.uk/family?acc=PF09372","0.085")</f>
        <v>0.085</v>
      </c>
      <c r="BR378" s="1" t="str">
        <f>HYPERLINK("http://exon.niaid.nih.gov/transcriptome/T_rubida/S1/links/SMART/Triru-contig_557-SMART.txt","CASc")</f>
        <v>CASc</v>
      </c>
      <c r="BS378" t="str">
        <f>HYPERLINK("http://smart.embl-heidelberg.de/smart/do_annotation.pl?DOMAIN=CASc&amp;BLAST=DUMMY","0.97")</f>
        <v>0.97</v>
      </c>
      <c r="BT378" s="1" t="str">
        <f>HYPERLINK("http://exon.niaid.nih.gov/transcriptome/T_rubida/S1/links/PRK/Triru-contig_557-PRK.txt","photosystem I P700 chlorophyll a apoprotein A1")</f>
        <v>photosystem I P700 chlorophyll a apoprotein A1</v>
      </c>
      <c r="BU378">
        <v>0.35</v>
      </c>
      <c r="BV378" s="1" t="s">
        <v>57</v>
      </c>
      <c r="BW378" t="s">
        <v>57</v>
      </c>
      <c r="BX378" s="1" t="s">
        <v>57</v>
      </c>
      <c r="BY378" t="s">
        <v>57</v>
      </c>
    </row>
    <row r="379" spans="1:77">
      <c r="A379" t="str">
        <f>HYPERLINK("http://exon.niaid.nih.gov/transcriptome/T_rubida/S1/links/Triru/Triru-contig_426.txt","Triru-contig_426")</f>
        <v>Triru-contig_426</v>
      </c>
      <c r="B379">
        <v>1</v>
      </c>
      <c r="C379" t="str">
        <f>HYPERLINK("http://exon.niaid.nih.gov/transcriptome/T_rubida/S1/links/Triru/Triru-5-48-asb-426.txt","Contig-426")</f>
        <v>Contig-426</v>
      </c>
      <c r="D379" t="str">
        <f>HYPERLINK("http://exon.niaid.nih.gov/transcriptome/T_rubida/S1/links/Triru/Triru-5-48-426-CLU.txt","Contig426")</f>
        <v>Contig426</v>
      </c>
      <c r="E379" t="str">
        <f>HYPERLINK("http://exon.niaid.nih.gov/transcriptome/T_rubida/S1/links/Triru/Triru-5-48-426-qual.txt","41.9")</f>
        <v>41.9</v>
      </c>
      <c r="F379" t="s">
        <v>10</v>
      </c>
      <c r="G379">
        <v>63.4</v>
      </c>
      <c r="H379">
        <v>820</v>
      </c>
      <c r="I379" t="s">
        <v>438</v>
      </c>
      <c r="J379">
        <v>820</v>
      </c>
      <c r="K379">
        <v>839</v>
      </c>
      <c r="L379">
        <v>276</v>
      </c>
      <c r="M379" t="s">
        <v>5585</v>
      </c>
      <c r="N379" s="15">
        <v>3</v>
      </c>
      <c r="O379" s="14" t="str">
        <f>HYPERLINK("http://exon.niaid.nih.gov/transcriptome/T_rubida/S1/links/Sigp/TRIRU-CONTIG_426-SigP.txt","BL")</f>
        <v>BL</v>
      </c>
      <c r="P379" t="s">
        <v>5058</v>
      </c>
      <c r="Q379" s="5" t="s">
        <v>4827</v>
      </c>
      <c r="R379" t="s">
        <v>4828</v>
      </c>
      <c r="V379" s="1" t="str">
        <f>HYPERLINK("http://exon.niaid.nih.gov/transcriptome/T_rubida/S1/links/NR/Triru-contig_426-NR.txt","similar to Lian-Aa1 retrotransposon protein")</f>
        <v>similar to Lian-Aa1 retrotransposon protein</v>
      </c>
      <c r="W379" t="str">
        <f>HYPERLINK("http://www.ncbi.nlm.nih.gov/sutils/blink.cgi?pid=156540318","0.038")</f>
        <v>0.038</v>
      </c>
      <c r="X379" t="str">
        <f>HYPERLINK("http://www.ncbi.nlm.nih.gov/protein/156540318","gi|156540318")</f>
        <v>gi|156540318</v>
      </c>
      <c r="Y379">
        <v>43.5</v>
      </c>
      <c r="Z379">
        <v>104</v>
      </c>
      <c r="AA379">
        <v>832</v>
      </c>
      <c r="AB379">
        <v>27</v>
      </c>
      <c r="AC379">
        <v>13</v>
      </c>
      <c r="AD379">
        <v>83</v>
      </c>
      <c r="AE379">
        <v>3</v>
      </c>
      <c r="AF379">
        <v>231</v>
      </c>
      <c r="AG379">
        <v>349</v>
      </c>
      <c r="AH379">
        <v>1</v>
      </c>
      <c r="AI379">
        <v>1</v>
      </c>
      <c r="AJ379" t="s">
        <v>11</v>
      </c>
      <c r="AK379">
        <v>1.923</v>
      </c>
      <c r="AL379" t="s">
        <v>1330</v>
      </c>
      <c r="AM379" t="s">
        <v>3363</v>
      </c>
      <c r="AN379" t="s">
        <v>3364</v>
      </c>
      <c r="AO379" s="1" t="str">
        <f>HYPERLINK("http://exon.niaid.nih.gov/transcriptome/T_rubida/S1/links/SWISSP/Triru-contig_426-SWISSP.txt","Ribonuclease 3")</f>
        <v>Ribonuclease 3</v>
      </c>
      <c r="AP379" t="str">
        <f>HYPERLINK("http://www.uniprot.org/uniprot/Q73NX5","1.9")</f>
        <v>1.9</v>
      </c>
      <c r="AQ379" t="s">
        <v>3365</v>
      </c>
      <c r="AR379">
        <v>33.5</v>
      </c>
      <c r="AS379">
        <v>61</v>
      </c>
      <c r="AT379">
        <v>30</v>
      </c>
      <c r="AU379">
        <v>25</v>
      </c>
      <c r="AV379">
        <v>45</v>
      </c>
      <c r="AW379">
        <v>0</v>
      </c>
      <c r="AX379">
        <v>47</v>
      </c>
      <c r="AY379">
        <v>112</v>
      </c>
      <c r="AZ379">
        <v>1</v>
      </c>
      <c r="BA379">
        <v>1</v>
      </c>
      <c r="BB379" t="s">
        <v>11</v>
      </c>
      <c r="BC379">
        <v>1.639</v>
      </c>
      <c r="BD379" t="s">
        <v>704</v>
      </c>
      <c r="BE379" t="s">
        <v>3366</v>
      </c>
      <c r="BF379" t="s">
        <v>3367</v>
      </c>
      <c r="BG379" t="s">
        <v>3368</v>
      </c>
      <c r="BH379" s="1" t="s">
        <v>57</v>
      </c>
      <c r="BI379" t="s">
        <v>57</v>
      </c>
      <c r="BJ379" s="1" t="str">
        <f>HYPERLINK("http://exon.niaid.nih.gov/transcriptome/T_rubida/S1/links/CDD/Triru-contig_426-CDD.txt","Oxidored_q3")</f>
        <v>Oxidored_q3</v>
      </c>
      <c r="BK379" t="str">
        <f>HYPERLINK("http://www.ncbi.nlm.nih.gov/Structure/cdd/cddsrv.cgi?uid=pfam00499&amp;version=v4.0","0.13")</f>
        <v>0.13</v>
      </c>
      <c r="BL379" t="s">
        <v>3369</v>
      </c>
      <c r="BM379" s="1" t="str">
        <f>HYPERLINK("http://exon.niaid.nih.gov/transcriptome/T_rubida/S1/links/KOG/Triru-contig_426-KOG.txt","Predicted E3 ubiquitin ligase")</f>
        <v>Predicted E3 ubiquitin ligase</v>
      </c>
      <c r="BN379" t="str">
        <f>HYPERLINK("http://www.ncbi.nlm.nih.gov/COG/grace/shokog.cgi?KOG0803","0.29")</f>
        <v>0.29</v>
      </c>
      <c r="BO379" t="s">
        <v>954</v>
      </c>
      <c r="BP379" s="1" t="str">
        <f>HYPERLINK("http://exon.niaid.nih.gov/transcriptome/T_rubida/S1/links/PFAM/Triru-contig_426-PFAM.txt","Oxidored_q3")</f>
        <v>Oxidored_q3</v>
      </c>
      <c r="BQ379" t="str">
        <f>HYPERLINK("http://pfam.sanger.ac.uk/family?acc=PF00499","0.025")</f>
        <v>0.025</v>
      </c>
      <c r="BR379" s="1" t="str">
        <f>HYPERLINK("http://exon.niaid.nih.gov/transcriptome/T_rubida/S1/links/SMART/Triru-contig_426-SMART.txt","TLC")</f>
        <v>TLC</v>
      </c>
      <c r="BS379" t="str">
        <f>HYPERLINK("http://smart.embl-heidelberg.de/smart/do_annotation.pl?DOMAIN=TLC&amp;BLAST=DUMMY","0.17")</f>
        <v>0.17</v>
      </c>
      <c r="BT379" s="1" t="str">
        <f>HYPERLINK("http://exon.niaid.nih.gov/transcriptome/T_rubida/S1/links/PRK/Triru-contig_426-PRK.txt","hypothetical protein")</f>
        <v>hypothetical protein</v>
      </c>
      <c r="BU379">
        <v>0.15</v>
      </c>
      <c r="BV379" s="1" t="s">
        <v>57</v>
      </c>
      <c r="BW379" t="s">
        <v>57</v>
      </c>
      <c r="BX379" s="1" t="s">
        <v>57</v>
      </c>
      <c r="BY379" t="s">
        <v>57</v>
      </c>
    </row>
    <row r="380" spans="1:77">
      <c r="A380" t="str">
        <f>HYPERLINK("http://exon.niaid.nih.gov/transcriptome/T_rubida/S1/links/Triru/Triru-contig_420.txt","Triru-contig_420")</f>
        <v>Triru-contig_420</v>
      </c>
      <c r="B380">
        <v>1</v>
      </c>
      <c r="C380" t="str">
        <f>HYPERLINK("http://exon.niaid.nih.gov/transcriptome/T_rubida/S1/links/Triru/Triru-5-48-asb-420.txt","Contig-420")</f>
        <v>Contig-420</v>
      </c>
      <c r="D380" t="str">
        <f>HYPERLINK("http://exon.niaid.nih.gov/transcriptome/T_rubida/S1/links/Triru/Triru-5-48-420-CLU.txt","Contig420")</f>
        <v>Contig420</v>
      </c>
      <c r="E380" t="str">
        <f>HYPERLINK("http://exon.niaid.nih.gov/transcriptome/T_rubida/S1/links/Triru/Triru-5-48-420-qual.txt","44.3")</f>
        <v>44.3</v>
      </c>
      <c r="F380" t="s">
        <v>10</v>
      </c>
      <c r="G380">
        <v>75</v>
      </c>
      <c r="H380">
        <v>526</v>
      </c>
      <c r="I380" t="s">
        <v>432</v>
      </c>
      <c r="J380">
        <v>526</v>
      </c>
      <c r="K380">
        <v>545</v>
      </c>
      <c r="L380">
        <v>105</v>
      </c>
      <c r="M380" t="s">
        <v>5514</v>
      </c>
      <c r="N380" s="15">
        <v>2</v>
      </c>
      <c r="Q380" s="5" t="s">
        <v>4827</v>
      </c>
      <c r="R380" t="s">
        <v>4828</v>
      </c>
      <c r="V380" s="1" t="str">
        <f>HYPERLINK("http://exon.niaid.nih.gov/transcriptome/T_rubida/S1/links/NR/Triru-contig_420-NR.txt","hypothetical protein")</f>
        <v>hypothetical protein</v>
      </c>
      <c r="W380" t="str">
        <f>HYPERLINK("http://www.ncbi.nlm.nih.gov/sutils/blink.cgi?pid=167391587","0.041")</f>
        <v>0.041</v>
      </c>
      <c r="X380" t="str">
        <f>HYPERLINK("http://www.ncbi.nlm.nih.gov/protein/167391587","gi|167391587")</f>
        <v>gi|167391587</v>
      </c>
      <c r="Y380">
        <v>42</v>
      </c>
      <c r="Z380">
        <v>107</v>
      </c>
      <c r="AA380">
        <v>183</v>
      </c>
      <c r="AB380">
        <v>31</v>
      </c>
      <c r="AC380">
        <v>59</v>
      </c>
      <c r="AD380">
        <v>79</v>
      </c>
      <c r="AE380">
        <v>0</v>
      </c>
      <c r="AF380">
        <v>6</v>
      </c>
      <c r="AG380">
        <v>174</v>
      </c>
      <c r="AH380">
        <v>1</v>
      </c>
      <c r="AI380">
        <v>3</v>
      </c>
      <c r="AJ380" t="s">
        <v>11</v>
      </c>
      <c r="AK380">
        <v>4.673</v>
      </c>
      <c r="AL380" t="s">
        <v>3324</v>
      </c>
      <c r="AM380" t="s">
        <v>3325</v>
      </c>
      <c r="AN380" t="s">
        <v>3326</v>
      </c>
      <c r="AO380" s="1" t="str">
        <f>HYPERLINK("http://exon.niaid.nih.gov/transcriptome/T_rubida/S1/links/SWISSP/Triru-contig_420-SWISSP.txt","NADH-ubiquinone oxidoreductase chain 2")</f>
        <v>NADH-ubiquinone oxidoreductase chain 2</v>
      </c>
      <c r="AP380" t="str">
        <f>HYPERLINK("http://www.uniprot.org/uniprot/Q37376","4.2")</f>
        <v>4.2</v>
      </c>
      <c r="AQ380" t="s">
        <v>3327</v>
      </c>
      <c r="AR380">
        <v>31.2</v>
      </c>
      <c r="AS380">
        <v>74</v>
      </c>
      <c r="AT380">
        <v>28</v>
      </c>
      <c r="AU380">
        <v>14</v>
      </c>
      <c r="AV380">
        <v>64</v>
      </c>
      <c r="AW380">
        <v>0</v>
      </c>
      <c r="AX380">
        <v>37</v>
      </c>
      <c r="AY380">
        <v>222</v>
      </c>
      <c r="AZ380">
        <v>1</v>
      </c>
      <c r="BA380">
        <v>3</v>
      </c>
      <c r="BB380" t="s">
        <v>11</v>
      </c>
      <c r="BC380">
        <v>5.4050000000000002</v>
      </c>
      <c r="BD380" t="s">
        <v>704</v>
      </c>
      <c r="BE380" t="s">
        <v>2314</v>
      </c>
      <c r="BF380" t="s">
        <v>3328</v>
      </c>
      <c r="BG380" t="s">
        <v>3329</v>
      </c>
      <c r="BH380" s="1" t="s">
        <v>57</v>
      </c>
      <c r="BI380" t="s">
        <v>57</v>
      </c>
      <c r="BJ380" s="1" t="str">
        <f>HYPERLINK("http://exon.niaid.nih.gov/transcriptome/T_rubida/S1/links/CDD/Triru-contig_420-CDD.txt","ND5")</f>
        <v>ND5</v>
      </c>
      <c r="BK380" t="str">
        <f>HYPERLINK("http://www.ncbi.nlm.nih.gov/Structure/cdd/cddsrv.cgi?uid=MTH00095&amp;version=v4.0","8E-007")</f>
        <v>8E-007</v>
      </c>
      <c r="BL380" t="s">
        <v>3330</v>
      </c>
      <c r="BM380" s="1" t="str">
        <f>HYPERLINK("http://exon.niaid.nih.gov/transcriptome/T_rubida/S1/links/KOG/Triru-contig_420-KOG.txt","Predicted DHHC-type Zn-finger protein")</f>
        <v>Predicted DHHC-type Zn-finger protein</v>
      </c>
      <c r="BN380" t="str">
        <f>HYPERLINK("http://www.ncbi.nlm.nih.gov/COG/grace/shokog.cgi?KOG1315","0.005")</f>
        <v>0.005</v>
      </c>
      <c r="BO380" t="s">
        <v>750</v>
      </c>
      <c r="BP380" s="1" t="str">
        <f>HYPERLINK("http://exon.niaid.nih.gov/transcriptome/T_rubida/S1/links/PFAM/Triru-contig_420-PFAM.txt","Anoctamin")</f>
        <v>Anoctamin</v>
      </c>
      <c r="BQ380" t="str">
        <f>HYPERLINK("http://pfam.sanger.ac.uk/family?acc=PF04547","0.006")</f>
        <v>0.006</v>
      </c>
      <c r="BR380" s="1" t="str">
        <f>HYPERLINK("http://exon.niaid.nih.gov/transcriptome/T_rubida/S1/links/SMART/Triru-contig_420-SMART.txt","PSN")</f>
        <v>PSN</v>
      </c>
      <c r="BS380" t="str">
        <f>HYPERLINK("http://smart.embl-heidelberg.de/smart/do_annotation.pl?DOMAIN=PSN&amp;BLAST=DUMMY","0.13")</f>
        <v>0.13</v>
      </c>
      <c r="BT380" s="1" t="str">
        <f>HYPERLINK("http://exon.niaid.nih.gov/transcriptome/T_rubida/S1/links/PRK/Triru-contig_420-PRK.txt","NADH dehydrogenase subunit 5")</f>
        <v>NADH dehydrogenase subunit 5</v>
      </c>
      <c r="BU380" s="2">
        <v>3.9999999999999998E-7</v>
      </c>
      <c r="BV380" s="1" t="s">
        <v>57</v>
      </c>
      <c r="BW380" t="s">
        <v>57</v>
      </c>
      <c r="BX380" s="1" t="s">
        <v>57</v>
      </c>
      <c r="BY380" t="s">
        <v>57</v>
      </c>
    </row>
    <row r="381" spans="1:77">
      <c r="A381" t="str">
        <f>HYPERLINK("http://exon.niaid.nih.gov/transcriptome/T_rubida/S1/links/Triru/Triru-contig_476.txt","Triru-contig_476")</f>
        <v>Triru-contig_476</v>
      </c>
      <c r="B381">
        <v>1</v>
      </c>
      <c r="C381" t="str">
        <f>HYPERLINK("http://exon.niaid.nih.gov/transcriptome/T_rubida/S1/links/Triru/Triru-5-48-asb-476.txt","Contig-476")</f>
        <v>Contig-476</v>
      </c>
      <c r="D381" t="str">
        <f>HYPERLINK("http://exon.niaid.nih.gov/transcriptome/T_rubida/S1/links/Triru/Triru-5-48-476-CLU.txt","Contig476")</f>
        <v>Contig476</v>
      </c>
      <c r="E381" t="str">
        <f>HYPERLINK("http://exon.niaid.nih.gov/transcriptome/T_rubida/S1/links/Triru/Triru-5-48-476-qual.txt","46.1")</f>
        <v>46.1</v>
      </c>
      <c r="F381" t="s">
        <v>10</v>
      </c>
      <c r="G381">
        <v>71.5</v>
      </c>
      <c r="H381">
        <v>622</v>
      </c>
      <c r="I381" t="s">
        <v>488</v>
      </c>
      <c r="J381">
        <v>622</v>
      </c>
      <c r="K381">
        <v>641</v>
      </c>
      <c r="L381">
        <v>180</v>
      </c>
      <c r="M381" t="s">
        <v>5515</v>
      </c>
      <c r="N381" s="15">
        <v>2</v>
      </c>
      <c r="O381" s="14" t="str">
        <f>HYPERLINK("http://exon.niaid.nih.gov/transcriptome/T_rubida/S1/links/Sigp/TRIRU-CONTIG_476-SigP.txt","Cyt")</f>
        <v>Cyt</v>
      </c>
      <c r="Q381" s="5" t="s">
        <v>4827</v>
      </c>
      <c r="R381" t="s">
        <v>4828</v>
      </c>
      <c r="V381" s="1" t="str">
        <f>HYPERLINK("http://exon.niaid.nih.gov/transcriptome/T_rubida/S1/links/NR/Triru-contig_476-NR.txt","hypothetical protein")</f>
        <v>hypothetical protein</v>
      </c>
      <c r="W381" t="str">
        <f>HYPERLINK("http://www.ncbi.nlm.nih.gov/sutils/blink.cgi?pid=167391587","0.064")</f>
        <v>0.064</v>
      </c>
      <c r="X381" t="str">
        <f>HYPERLINK("http://www.ncbi.nlm.nih.gov/protein/167391587","gi|167391587")</f>
        <v>gi|167391587</v>
      </c>
      <c r="Y381">
        <v>42</v>
      </c>
      <c r="Z381">
        <v>107</v>
      </c>
      <c r="AA381">
        <v>183</v>
      </c>
      <c r="AB381">
        <v>31</v>
      </c>
      <c r="AC381">
        <v>59</v>
      </c>
      <c r="AD381">
        <v>79</v>
      </c>
      <c r="AE381">
        <v>0</v>
      </c>
      <c r="AF381">
        <v>6</v>
      </c>
      <c r="AG381">
        <v>270</v>
      </c>
      <c r="AH381">
        <v>1</v>
      </c>
      <c r="AI381">
        <v>3</v>
      </c>
      <c r="AJ381" t="s">
        <v>11</v>
      </c>
      <c r="AK381">
        <v>4.673</v>
      </c>
      <c r="AL381" t="s">
        <v>3324</v>
      </c>
      <c r="AM381" t="s">
        <v>3698</v>
      </c>
      <c r="AN381" t="s">
        <v>3699</v>
      </c>
      <c r="AO381" s="1" t="str">
        <f>HYPERLINK("http://exon.niaid.nih.gov/transcriptome/T_rubida/S1/links/SWISSP/Triru-contig_476-SWISSP.txt","rRNA 2'-O-methyltransferase fibrillarin")</f>
        <v>rRNA 2'-O-methyltransferase fibrillarin</v>
      </c>
      <c r="AP381" t="str">
        <f>HYPERLINK("http://www.uniprot.org/uniprot/Q8I1F4","2.0")</f>
        <v>2.0</v>
      </c>
      <c r="AQ381" t="s">
        <v>3700</v>
      </c>
      <c r="AR381">
        <v>32.700000000000003</v>
      </c>
      <c r="AS381">
        <v>32</v>
      </c>
      <c r="AT381">
        <v>45</v>
      </c>
      <c r="AU381">
        <v>10</v>
      </c>
      <c r="AV381">
        <v>18</v>
      </c>
      <c r="AW381">
        <v>0</v>
      </c>
      <c r="AX381">
        <v>47</v>
      </c>
      <c r="AY381">
        <v>40</v>
      </c>
      <c r="AZ381">
        <v>1</v>
      </c>
      <c r="BA381">
        <v>1</v>
      </c>
      <c r="BB381" t="s">
        <v>11</v>
      </c>
      <c r="BD381" t="s">
        <v>704</v>
      </c>
      <c r="BE381" t="s">
        <v>3701</v>
      </c>
      <c r="BF381" t="s">
        <v>3702</v>
      </c>
      <c r="BG381" t="s">
        <v>3703</v>
      </c>
      <c r="BH381" s="1" t="s">
        <v>57</v>
      </c>
      <c r="BI381" t="s">
        <v>57</v>
      </c>
      <c r="BJ381" s="1" t="str">
        <f>HYPERLINK("http://exon.niaid.nih.gov/transcriptome/T_rubida/S1/links/CDD/Triru-contig_476-CDD.txt","ND5")</f>
        <v>ND5</v>
      </c>
      <c r="BK381" t="str">
        <f>HYPERLINK("http://www.ncbi.nlm.nih.gov/Structure/cdd/cddsrv.cgi?uid=MTH00095&amp;version=v4.0","1E-006")</f>
        <v>1E-006</v>
      </c>
      <c r="BL381" t="s">
        <v>3704</v>
      </c>
      <c r="BM381" s="1" t="str">
        <f>HYPERLINK("http://exon.niaid.nih.gov/transcriptome/T_rubida/S1/links/KOG/Triru-contig_476-KOG.txt","Predicted DHHC-type Zn-finger protein")</f>
        <v>Predicted DHHC-type Zn-finger protein</v>
      </c>
      <c r="BN381" t="str">
        <f>HYPERLINK("http://www.ncbi.nlm.nih.gov/COG/grace/shokog.cgi?KOG1315","0.006")</f>
        <v>0.006</v>
      </c>
      <c r="BO381" t="s">
        <v>750</v>
      </c>
      <c r="BP381" s="1" t="str">
        <f>HYPERLINK("http://exon.niaid.nih.gov/transcriptome/T_rubida/S1/links/PFAM/Triru-contig_476-PFAM.txt","Anoctamin")</f>
        <v>Anoctamin</v>
      </c>
      <c r="BQ381" t="str">
        <f>HYPERLINK("http://pfam.sanger.ac.uk/family?acc=PF04547","0.007")</f>
        <v>0.007</v>
      </c>
      <c r="BR381" s="1" t="str">
        <f>HYPERLINK("http://exon.niaid.nih.gov/transcriptome/T_rubida/S1/links/SMART/Triru-contig_476-SMART.txt","PSN")</f>
        <v>PSN</v>
      </c>
      <c r="BS381" t="str">
        <f>HYPERLINK("http://smart.embl-heidelberg.de/smart/do_annotation.pl?DOMAIN=PSN&amp;BLAST=DUMMY","0.16")</f>
        <v>0.16</v>
      </c>
      <c r="BT381" s="1" t="str">
        <f>HYPERLINK("http://exon.niaid.nih.gov/transcriptome/T_rubida/S1/links/PRK/Triru-contig_476-PRK.txt","NADH dehydrogenase subunit 5")</f>
        <v>NADH dehydrogenase subunit 5</v>
      </c>
      <c r="BU381" s="2">
        <v>4.9999999999999998E-7</v>
      </c>
      <c r="BV381" s="1" t="s">
        <v>57</v>
      </c>
      <c r="BW381" t="s">
        <v>57</v>
      </c>
      <c r="BX381" s="1" t="s">
        <v>57</v>
      </c>
      <c r="BY381" t="s">
        <v>57</v>
      </c>
    </row>
    <row r="382" spans="1:77">
      <c r="A382" t="str">
        <f>HYPERLINK("http://exon.niaid.nih.gov/transcriptome/T_rubida/S1/links/Triru/Triru-contig_362.txt","Triru-contig_362")</f>
        <v>Triru-contig_362</v>
      </c>
      <c r="B382">
        <v>1</v>
      </c>
      <c r="C382" t="str">
        <f>HYPERLINK("http://exon.niaid.nih.gov/transcriptome/T_rubida/S1/links/Triru/Triru-5-48-asb-362.txt","Contig-362")</f>
        <v>Contig-362</v>
      </c>
      <c r="D382" t="str">
        <f>HYPERLINK("http://exon.niaid.nih.gov/transcriptome/T_rubida/S1/links/Triru/Triru-5-48-362-CLU.txt","Contig362")</f>
        <v>Contig362</v>
      </c>
      <c r="E382" t="str">
        <f>HYPERLINK("http://exon.niaid.nih.gov/transcriptome/T_rubida/S1/links/Triru/Triru-5-48-362-qual.txt","60.4")</f>
        <v>60.4</v>
      </c>
      <c r="F382" t="s">
        <v>10</v>
      </c>
      <c r="G382">
        <v>76.599999999999994</v>
      </c>
      <c r="H382">
        <v>396</v>
      </c>
      <c r="I382" t="s">
        <v>374</v>
      </c>
      <c r="J382">
        <v>396</v>
      </c>
      <c r="K382">
        <v>415</v>
      </c>
      <c r="L382">
        <v>123</v>
      </c>
      <c r="M382" t="s">
        <v>5474</v>
      </c>
      <c r="N382" s="15">
        <v>3</v>
      </c>
      <c r="Q382" s="5" t="s">
        <v>4827</v>
      </c>
      <c r="R382" t="s">
        <v>4828</v>
      </c>
      <c r="V382" s="1" t="str">
        <f>HYPERLINK("http://exon.niaid.nih.gov/transcriptome/T_rubida/S1/links/NR/Triru-contig_362-NR.txt","anthranilate synthase component I")</f>
        <v>anthranilate synthase component I</v>
      </c>
      <c r="W382" t="str">
        <f>HYPERLINK("http://www.ncbi.nlm.nih.gov/sutils/blink.cgi?pid=256370694","0.071")</f>
        <v>0.071</v>
      </c>
      <c r="X382" t="str">
        <f>HYPERLINK("http://www.ncbi.nlm.nih.gov/protein/256370694","gi|256370694")</f>
        <v>gi|256370694</v>
      </c>
      <c r="Y382">
        <v>40.799999999999997</v>
      </c>
      <c r="Z382">
        <v>77</v>
      </c>
      <c r="AA382">
        <v>471</v>
      </c>
      <c r="AB382">
        <v>30</v>
      </c>
      <c r="AC382">
        <v>17</v>
      </c>
      <c r="AD382">
        <v>56</v>
      </c>
      <c r="AE382">
        <v>2</v>
      </c>
      <c r="AF382">
        <v>23</v>
      </c>
      <c r="AG382">
        <v>114</v>
      </c>
      <c r="AH382">
        <v>1</v>
      </c>
      <c r="AI382">
        <v>3</v>
      </c>
      <c r="AJ382" t="s">
        <v>11</v>
      </c>
      <c r="AK382">
        <v>3.8959999999999999</v>
      </c>
      <c r="AL382" t="s">
        <v>2926</v>
      </c>
      <c r="AM382" t="s">
        <v>2927</v>
      </c>
      <c r="AN382" t="s">
        <v>2928</v>
      </c>
      <c r="AO382" s="1" t="str">
        <f>HYPERLINK("http://exon.niaid.nih.gov/transcriptome/T_rubida/S1/links/SWISSP/Triru-contig_362-SWISSP.txt","Copy number protein")</f>
        <v>Copy number protein</v>
      </c>
      <c r="AP382" t="str">
        <f>HYPERLINK("http://www.uniprot.org/uniprot/P18015","0.030")</f>
        <v>0.030</v>
      </c>
      <c r="AQ382" t="s">
        <v>2929</v>
      </c>
      <c r="AR382">
        <v>37.4</v>
      </c>
      <c r="AS382">
        <v>98</v>
      </c>
      <c r="AT382">
        <v>27</v>
      </c>
      <c r="AU382">
        <v>50</v>
      </c>
      <c r="AV382">
        <v>81</v>
      </c>
      <c r="AW382">
        <v>0</v>
      </c>
      <c r="AX382">
        <v>94</v>
      </c>
      <c r="AY382">
        <v>57</v>
      </c>
      <c r="AZ382">
        <v>1</v>
      </c>
      <c r="BA382">
        <v>3</v>
      </c>
      <c r="BB382" t="s">
        <v>11</v>
      </c>
      <c r="BC382">
        <v>4.0819999999999999</v>
      </c>
      <c r="BD382" t="s">
        <v>704</v>
      </c>
      <c r="BE382" t="s">
        <v>2930</v>
      </c>
      <c r="BF382" t="s">
        <v>2931</v>
      </c>
      <c r="BG382" t="s">
        <v>2932</v>
      </c>
      <c r="BH382" s="1" t="s">
        <v>57</v>
      </c>
      <c r="BI382" t="s">
        <v>57</v>
      </c>
      <c r="BJ382" s="1" t="str">
        <f>HYPERLINK("http://exon.niaid.nih.gov/transcriptome/T_rubida/S1/links/CDD/Triru-contig_362-CDD.txt","7TM_GPCR_Srz")</f>
        <v>7TM_GPCR_Srz</v>
      </c>
      <c r="BK382" t="str">
        <f>HYPERLINK("http://www.ncbi.nlm.nih.gov/Structure/cdd/cddsrv.cgi?uid=pfam10325&amp;version=v4.0","0.002")</f>
        <v>0.002</v>
      </c>
      <c r="BL382" t="s">
        <v>2933</v>
      </c>
      <c r="BM382" s="1" t="str">
        <f>HYPERLINK("http://exon.niaid.nih.gov/transcriptome/T_rubida/S1/links/KOG/Triru-contig_362-KOG.txt","Transporter, ABC superfamily (Breast cancer resistance protein)")</f>
        <v>Transporter, ABC superfamily (Breast cancer resistance protein)</v>
      </c>
      <c r="BN382" t="str">
        <f>HYPERLINK("http://www.ncbi.nlm.nih.gov/COG/grace/shokog.cgi?KOG0061","0.039")</f>
        <v>0.039</v>
      </c>
      <c r="BO382" t="s">
        <v>1130</v>
      </c>
      <c r="BP382" s="1" t="str">
        <f>HYPERLINK("http://exon.niaid.nih.gov/transcriptome/T_rubida/S1/links/PFAM/Triru-contig_362-PFAM.txt","7TM_GPCR_Srz")</f>
        <v>7TM_GPCR_Srz</v>
      </c>
      <c r="BQ382" t="str">
        <f>HYPERLINK("http://pfam.sanger.ac.uk/family?acc=PF10325","5E-004")</f>
        <v>5E-004</v>
      </c>
      <c r="BR382" s="1" t="str">
        <f>HYPERLINK("http://exon.niaid.nih.gov/transcriptome/T_rubida/S1/links/SMART/Triru-contig_362-SMART.txt","DNaseIc")</f>
        <v>DNaseIc</v>
      </c>
      <c r="BS382" t="str">
        <f>HYPERLINK("http://smart.embl-heidelberg.de/smart/do_annotation.pl?DOMAIN=DNaseIc&amp;BLAST=DUMMY","0.042")</f>
        <v>0.042</v>
      </c>
      <c r="BT382" s="1" t="str">
        <f>HYPERLINK("http://exon.niaid.nih.gov/transcriptome/T_rubida/S1/links/PRK/Triru-contig_362-PRK.txt","NADH dehydrogenase subunit 5")</f>
        <v>NADH dehydrogenase subunit 5</v>
      </c>
      <c r="BU382">
        <v>1E-3</v>
      </c>
      <c r="BV382" s="1" t="s">
        <v>57</v>
      </c>
      <c r="BW382" t="s">
        <v>57</v>
      </c>
      <c r="BX382" s="1" t="s">
        <v>57</v>
      </c>
      <c r="BY382" t="s">
        <v>57</v>
      </c>
    </row>
    <row r="383" spans="1:77">
      <c r="A383" t="str">
        <f>HYPERLINK("http://exon.niaid.nih.gov/transcriptome/T_rubida/S1/links/Triru/Triru-contig_305.txt","Triru-contig_305")</f>
        <v>Triru-contig_305</v>
      </c>
      <c r="B383">
        <v>1</v>
      </c>
      <c r="C383" t="str">
        <f>HYPERLINK("http://exon.niaid.nih.gov/transcriptome/T_rubida/S1/links/Triru/Triru-5-48-asb-305.txt","Contig-305")</f>
        <v>Contig-305</v>
      </c>
      <c r="D383" t="str">
        <f>HYPERLINK("http://exon.niaid.nih.gov/transcriptome/T_rubida/S1/links/Triru/Triru-5-48-305-CLU.txt","Contig305")</f>
        <v>Contig305</v>
      </c>
      <c r="E383" t="str">
        <f>HYPERLINK("http://exon.niaid.nih.gov/transcriptome/T_rubida/S1/links/Triru/Triru-5-48-305-qual.txt","56.2")</f>
        <v>56.2</v>
      </c>
      <c r="F383" t="s">
        <v>10</v>
      </c>
      <c r="G383">
        <v>72.900000000000006</v>
      </c>
      <c r="H383">
        <v>705</v>
      </c>
      <c r="I383" t="s">
        <v>317</v>
      </c>
      <c r="J383">
        <v>705</v>
      </c>
      <c r="K383">
        <v>724</v>
      </c>
      <c r="L383">
        <v>198</v>
      </c>
      <c r="M383" t="s">
        <v>5451</v>
      </c>
      <c r="N383" s="15">
        <v>2</v>
      </c>
      <c r="O383" s="14" t="str">
        <f>HYPERLINK("http://exon.niaid.nih.gov/transcriptome/T_rubida/S1/links/Sigp/TRIRU-CONTIG_305-SigP.txt","BL")</f>
        <v>BL</v>
      </c>
      <c r="P383" t="s">
        <v>5058</v>
      </c>
      <c r="Q383" s="5" t="s">
        <v>4827</v>
      </c>
      <c r="R383" t="s">
        <v>4828</v>
      </c>
      <c r="V383" s="1" t="str">
        <f>HYPERLINK("http://exon.niaid.nih.gov/transcriptome/T_rubida/S1/links/NR/Triru-contig_305-NR.txt","hypothetical protein BRE_1001")</f>
        <v>hypothetical protein BRE_1001</v>
      </c>
      <c r="W383" t="str">
        <f>HYPERLINK("http://www.ncbi.nlm.nih.gov/sutils/blink.cgi?pid=203288273","0.084")</f>
        <v>0.084</v>
      </c>
      <c r="X383" t="str">
        <f>HYPERLINK("http://www.ncbi.nlm.nih.gov/protein/203288273","gi|203288273")</f>
        <v>gi|203288273</v>
      </c>
      <c r="Y383">
        <v>42</v>
      </c>
      <c r="Z383">
        <v>70</v>
      </c>
      <c r="AA383">
        <v>217</v>
      </c>
      <c r="AB383">
        <v>37</v>
      </c>
      <c r="AC383">
        <v>33</v>
      </c>
      <c r="AD383">
        <v>48</v>
      </c>
      <c r="AE383">
        <v>1</v>
      </c>
      <c r="AF383">
        <v>105</v>
      </c>
      <c r="AG383">
        <v>77</v>
      </c>
      <c r="AH383">
        <v>1</v>
      </c>
      <c r="AI383">
        <v>2</v>
      </c>
      <c r="AJ383" t="s">
        <v>11</v>
      </c>
      <c r="AK383">
        <v>1.429</v>
      </c>
      <c r="AL383" t="s">
        <v>2542</v>
      </c>
      <c r="AM383" t="s">
        <v>2543</v>
      </c>
      <c r="AN383" t="s">
        <v>2544</v>
      </c>
      <c r="AO383" s="1" t="str">
        <f>HYPERLINK("http://exon.niaid.nih.gov/transcriptome/T_rubida/S1/links/SWISSP/Triru-contig_305-SWISSP.txt","NADH-ubiquinone oxidoreductase chain 5")</f>
        <v>NADH-ubiquinone oxidoreductase chain 5</v>
      </c>
      <c r="AP383" t="str">
        <f>HYPERLINK("http://www.uniprot.org/uniprot/Q36428","1.1")</f>
        <v>1.1</v>
      </c>
      <c r="AQ383" t="s">
        <v>2545</v>
      </c>
      <c r="AR383">
        <v>33.9</v>
      </c>
      <c r="AS383">
        <v>92</v>
      </c>
      <c r="AT383">
        <v>27</v>
      </c>
      <c r="AU383">
        <v>16</v>
      </c>
      <c r="AV383">
        <v>67</v>
      </c>
      <c r="AW383">
        <v>19</v>
      </c>
      <c r="AX383">
        <v>451</v>
      </c>
      <c r="AY383">
        <v>77</v>
      </c>
      <c r="AZ383">
        <v>1</v>
      </c>
      <c r="BA383">
        <v>2</v>
      </c>
      <c r="BB383" t="s">
        <v>11</v>
      </c>
      <c r="BC383">
        <v>1.087</v>
      </c>
      <c r="BD383" t="s">
        <v>704</v>
      </c>
      <c r="BE383" t="s">
        <v>1270</v>
      </c>
      <c r="BF383" t="s">
        <v>2546</v>
      </c>
      <c r="BG383" t="s">
        <v>2547</v>
      </c>
      <c r="BH383" s="1" t="s">
        <v>57</v>
      </c>
      <c r="BI383" t="s">
        <v>57</v>
      </c>
      <c r="BJ383" s="1" t="str">
        <f>HYPERLINK("http://exon.niaid.nih.gov/transcriptome/T_rubida/S1/links/CDD/Triru-contig_305-CDD.txt","ND5")</f>
        <v>ND5</v>
      </c>
      <c r="BK383" t="str">
        <f>HYPERLINK("http://www.ncbi.nlm.nih.gov/Structure/cdd/cddsrv.cgi?uid=MTH00095&amp;version=v4.0","0.024")</f>
        <v>0.024</v>
      </c>
      <c r="BL383" t="s">
        <v>2548</v>
      </c>
      <c r="BM383" s="1" t="str">
        <f>HYPERLINK("http://exon.niaid.nih.gov/transcriptome/T_rubida/S1/links/KOG/Triru-contig_305-KOG.txt","Metalloprotease")</f>
        <v>Metalloprotease</v>
      </c>
      <c r="BN383" t="str">
        <f>HYPERLINK("http://www.ncbi.nlm.nih.gov/COG/grace/shokog.cgi?KOG2719","0.11")</f>
        <v>0.11</v>
      </c>
      <c r="BO383" t="s">
        <v>750</v>
      </c>
      <c r="BP383" s="1" t="str">
        <f>HYPERLINK("http://exon.niaid.nih.gov/transcriptome/T_rubida/S1/links/PFAM/Triru-contig_305-PFAM.txt","DUF1361")</f>
        <v>DUF1361</v>
      </c>
      <c r="BQ383" t="str">
        <f>HYPERLINK("http://pfam.sanger.ac.uk/family?acc=PF07099","0.005")</f>
        <v>0.005</v>
      </c>
      <c r="BR383" s="1" t="str">
        <f>HYPERLINK("http://exon.niaid.nih.gov/transcriptome/T_rubida/S1/links/SMART/Triru-contig_305-SMART.txt","UAS")</f>
        <v>UAS</v>
      </c>
      <c r="BS383" t="str">
        <f>HYPERLINK("http://smart.embl-heidelberg.de/smart/do_annotation.pl?DOMAIN=UAS&amp;BLAST=DUMMY","0.013")</f>
        <v>0.013</v>
      </c>
      <c r="BT383" s="1" t="str">
        <f>HYPERLINK("http://exon.niaid.nih.gov/transcriptome/T_rubida/S1/links/PRK/Triru-contig_305-PRK.txt","NADH dehydrogenase subunit 5")</f>
        <v>NADH dehydrogenase subunit 5</v>
      </c>
      <c r="BU383">
        <v>0.01</v>
      </c>
      <c r="BV383" s="1" t="s">
        <v>57</v>
      </c>
      <c r="BW383" t="s">
        <v>57</v>
      </c>
      <c r="BX383" s="1" t="s">
        <v>57</v>
      </c>
      <c r="BY383" t="s">
        <v>57</v>
      </c>
    </row>
    <row r="384" spans="1:77">
      <c r="A384" t="str">
        <f>HYPERLINK("http://exon.niaid.nih.gov/transcriptome/T_rubida/S1/links/Triru/Triru-contig_204.txt","Triru-contig_204")</f>
        <v>Triru-contig_204</v>
      </c>
      <c r="B384">
        <v>1</v>
      </c>
      <c r="C384" t="str">
        <f>HYPERLINK("http://exon.niaid.nih.gov/transcriptome/T_rubida/S1/links/Triru/Triru-5-48-asb-204.txt","Contig-204")</f>
        <v>Contig-204</v>
      </c>
      <c r="D384" t="str">
        <f>HYPERLINK("http://exon.niaid.nih.gov/transcriptome/T_rubida/S1/links/Triru/Triru-5-48-204-CLU.txt","Contig204")</f>
        <v>Contig204</v>
      </c>
      <c r="E384" t="str">
        <f>HYPERLINK("http://exon.niaid.nih.gov/transcriptome/T_rubida/S1/links/Triru/Triru-5-48-204-qual.txt","39.7")</f>
        <v>39.7</v>
      </c>
      <c r="F384" t="s">
        <v>10</v>
      </c>
      <c r="G384">
        <v>60.8</v>
      </c>
      <c r="H384">
        <v>369</v>
      </c>
      <c r="I384" t="s">
        <v>216</v>
      </c>
      <c r="J384">
        <v>369</v>
      </c>
      <c r="K384">
        <v>388</v>
      </c>
      <c r="L384">
        <v>360</v>
      </c>
      <c r="M384" t="s">
        <v>5692</v>
      </c>
      <c r="N384" s="15">
        <v>1</v>
      </c>
      <c r="O384" s="14" t="str">
        <f>HYPERLINK("http://exon.niaid.nih.gov/transcriptome/T_rubida/S1/links/Sigp/TRIRU-CONTIG_204-SigP.txt","SIG")</f>
        <v>SIG</v>
      </c>
      <c r="P384" t="s">
        <v>5057</v>
      </c>
      <c r="Q384" s="5" t="s">
        <v>4827</v>
      </c>
      <c r="R384" t="s">
        <v>4828</v>
      </c>
      <c r="V384" s="1" t="str">
        <f>HYPERLINK("http://exon.niaid.nih.gov/transcriptome/T_rubida/S1/links/NR/Triru-contig_204-NR.txt","hypothetical protein, unlikely")</f>
        <v>hypothetical protein, unlikely</v>
      </c>
      <c r="W384" t="str">
        <f>HYPERLINK("http://www.ncbi.nlm.nih.gov/sutils/blink.cgi?pid=261332415","0.093")</f>
        <v>0.093</v>
      </c>
      <c r="X384" t="str">
        <f>HYPERLINK("http://www.ncbi.nlm.nih.gov/protein/261332415","gi|261332415")</f>
        <v>gi|261332415</v>
      </c>
      <c r="Y384">
        <v>40.4</v>
      </c>
      <c r="Z384">
        <v>60</v>
      </c>
      <c r="AA384">
        <v>125</v>
      </c>
      <c r="AB384">
        <v>32</v>
      </c>
      <c r="AC384">
        <v>49</v>
      </c>
      <c r="AD384">
        <v>53</v>
      </c>
      <c r="AE384">
        <v>0</v>
      </c>
      <c r="AF384">
        <v>18</v>
      </c>
      <c r="AG384">
        <v>80</v>
      </c>
      <c r="AH384">
        <v>1</v>
      </c>
      <c r="AI384">
        <v>2</v>
      </c>
      <c r="AJ384" t="s">
        <v>11</v>
      </c>
      <c r="AL384" t="s">
        <v>1888</v>
      </c>
      <c r="AM384" t="s">
        <v>1889</v>
      </c>
      <c r="AN384" t="s">
        <v>1890</v>
      </c>
      <c r="AO384" s="1" t="str">
        <f>HYPERLINK("http://exon.niaid.nih.gov/transcriptome/T_rubida/S1/links/SWISSP/Triru-contig_204-SWISSP.txt","Protein tweety homolog 3")</f>
        <v>Protein tweety homolog 3</v>
      </c>
      <c r="AP384" t="str">
        <f>HYPERLINK("http://www.uniprot.org/uniprot/Q9C0H2","0.96")</f>
        <v>0.96</v>
      </c>
      <c r="AQ384" t="s">
        <v>1891</v>
      </c>
      <c r="AR384">
        <v>32.299999999999997</v>
      </c>
      <c r="AS384">
        <v>56</v>
      </c>
      <c r="AT384">
        <v>27</v>
      </c>
      <c r="AU384">
        <v>11</v>
      </c>
      <c r="AV384">
        <v>51</v>
      </c>
      <c r="AW384">
        <v>0</v>
      </c>
      <c r="AX384">
        <v>58</v>
      </c>
      <c r="AY384">
        <v>65</v>
      </c>
      <c r="AZ384">
        <v>1</v>
      </c>
      <c r="BA384">
        <v>2</v>
      </c>
      <c r="BB384" t="s">
        <v>11</v>
      </c>
      <c r="BD384" t="s">
        <v>704</v>
      </c>
      <c r="BE384" t="s">
        <v>1233</v>
      </c>
      <c r="BF384" t="s">
        <v>1892</v>
      </c>
      <c r="BG384" t="s">
        <v>1893</v>
      </c>
      <c r="BH384" s="1" t="s">
        <v>57</v>
      </c>
      <c r="BI384" t="s">
        <v>57</v>
      </c>
      <c r="BJ384" s="1" t="str">
        <f>HYPERLINK("http://exon.niaid.nih.gov/transcriptome/T_rubida/S1/links/CDD/Triru-contig_204-CDD.txt","Rab5ip")</f>
        <v>Rab5ip</v>
      </c>
      <c r="BK384" t="str">
        <f>HYPERLINK("http://www.ncbi.nlm.nih.gov/Structure/cdd/cddsrv.cgi?uid=pfam07019&amp;version=v4.0","0.39")</f>
        <v>0.39</v>
      </c>
      <c r="BL384" t="s">
        <v>1894</v>
      </c>
      <c r="BM384" s="1" t="str">
        <f>HYPERLINK("http://exon.niaid.nih.gov/transcriptome/T_rubida/S1/links/KOG/Triru-contig_204-KOG.txt","Metallopeptidase")</f>
        <v>Metallopeptidase</v>
      </c>
      <c r="BN384" t="str">
        <f>HYPERLINK("http://www.ncbi.nlm.nih.gov/COG/grace/shokog.cgi?KOG2775","0.30")</f>
        <v>0.30</v>
      </c>
      <c r="BO384" t="s">
        <v>750</v>
      </c>
      <c r="BP384" s="1" t="str">
        <f>HYPERLINK("http://exon.niaid.nih.gov/transcriptome/T_rubida/S1/links/PFAM/Triru-contig_204-PFAM.txt","Rab5ip")</f>
        <v>Rab5ip</v>
      </c>
      <c r="BQ384" t="str">
        <f>HYPERLINK("http://pfam.sanger.ac.uk/family?acc=PF07019","0.088")</f>
        <v>0.088</v>
      </c>
      <c r="BR384" s="1" t="str">
        <f>HYPERLINK("http://exon.niaid.nih.gov/transcriptome/T_rubida/S1/links/SMART/Triru-contig_204-SMART.txt","CLb")</f>
        <v>CLb</v>
      </c>
      <c r="BS384" t="str">
        <f>HYPERLINK("http://smart.embl-heidelberg.de/smart/do_annotation.pl?DOMAIN=CLb&amp;BLAST=DUMMY","0.006")</f>
        <v>0.006</v>
      </c>
      <c r="BT384" s="1" t="str">
        <f>HYPERLINK("http://exon.niaid.nih.gov/transcriptome/T_rubida/S1/links/PRK/Triru-contig_204-PRK.txt","phosphoglycerol transferase I")</f>
        <v>phosphoglycerol transferase I</v>
      </c>
      <c r="BU384">
        <v>0.24</v>
      </c>
      <c r="BV384" s="1" t="s">
        <v>57</v>
      </c>
      <c r="BW384" t="s">
        <v>57</v>
      </c>
      <c r="BX384" s="1" t="s">
        <v>57</v>
      </c>
      <c r="BY384" t="s">
        <v>57</v>
      </c>
    </row>
    <row r="385" spans="1:77">
      <c r="A385" t="str">
        <f>HYPERLINK("http://exon.niaid.nih.gov/transcriptome/T_rubida/S1/links/Triru/Triru-contig_468.txt","Triru-contig_468")</f>
        <v>Triru-contig_468</v>
      </c>
      <c r="B385">
        <v>1</v>
      </c>
      <c r="C385" t="str">
        <f>HYPERLINK("http://exon.niaid.nih.gov/transcriptome/T_rubida/S1/links/Triru/Triru-5-48-asb-468.txt","Contig-468")</f>
        <v>Contig-468</v>
      </c>
      <c r="D385" t="str">
        <f>HYPERLINK("http://exon.niaid.nih.gov/transcriptome/T_rubida/S1/links/Triru/Triru-5-48-468-CLU.txt","Contig468")</f>
        <v>Contig468</v>
      </c>
      <c r="E385" t="str">
        <f>HYPERLINK("http://exon.niaid.nih.gov/transcriptome/T_rubida/S1/links/Triru/Triru-5-48-468-qual.txt","64.3")</f>
        <v>64.3</v>
      </c>
      <c r="F385" t="s">
        <v>10</v>
      </c>
      <c r="G385">
        <v>56.2</v>
      </c>
      <c r="H385">
        <v>424</v>
      </c>
      <c r="I385" t="s">
        <v>480</v>
      </c>
      <c r="J385">
        <v>424</v>
      </c>
      <c r="K385">
        <v>443</v>
      </c>
      <c r="L385">
        <v>222</v>
      </c>
      <c r="M385" t="s">
        <v>5586</v>
      </c>
      <c r="N385" s="15">
        <v>1</v>
      </c>
      <c r="O385" s="14" t="str">
        <f>HYPERLINK("http://exon.niaid.nih.gov/transcriptome/T_rubida/S1/links/Sigp/TRIRU-CONTIG_468-SigP.txt","Cyt")</f>
        <v>Cyt</v>
      </c>
      <c r="Q385" s="5" t="s">
        <v>4827</v>
      </c>
      <c r="R385" t="s">
        <v>4828</v>
      </c>
      <c r="V385" s="1" t="str">
        <f>HYPERLINK("http://exon.niaid.nih.gov/transcriptome/T_rubida/S1/links/NR/Triru-contig_468-NR.txt","similar to myosin-rhogap protein, myr")</f>
        <v>similar to myosin-rhogap protein, myr</v>
      </c>
      <c r="W385" t="str">
        <f>HYPERLINK("http://www.ncbi.nlm.nih.gov/sutils/blink.cgi?pid=156548458","0.095")</f>
        <v>0.095</v>
      </c>
      <c r="X385" t="str">
        <f>HYPERLINK("http://www.ncbi.nlm.nih.gov/protein/156548458","gi|156548458")</f>
        <v>gi|156548458</v>
      </c>
      <c r="Y385">
        <v>40.4</v>
      </c>
      <c r="Z385">
        <v>35</v>
      </c>
      <c r="AA385">
        <v>2292</v>
      </c>
      <c r="AB385">
        <v>50</v>
      </c>
      <c r="AC385">
        <v>2</v>
      </c>
      <c r="AD385">
        <v>18</v>
      </c>
      <c r="AE385">
        <v>0</v>
      </c>
      <c r="AF385">
        <v>2214</v>
      </c>
      <c r="AG385">
        <v>73</v>
      </c>
      <c r="AH385">
        <v>1</v>
      </c>
      <c r="AI385">
        <v>1</v>
      </c>
      <c r="AJ385" t="s">
        <v>11</v>
      </c>
      <c r="AL385" t="s">
        <v>1330</v>
      </c>
      <c r="AM385" t="s">
        <v>3642</v>
      </c>
      <c r="AN385" t="s">
        <v>3643</v>
      </c>
      <c r="AO385" s="1" t="str">
        <f>HYPERLINK("http://exon.niaid.nih.gov/transcriptome/T_rubida/S1/links/SWISSP/Triru-contig_468-SWISSP.txt","Protein translocase subunit secA")</f>
        <v>Protein translocase subunit secA</v>
      </c>
      <c r="AP385" t="str">
        <f>HYPERLINK("http://www.uniprot.org/uniprot/A0T0V8","7.2")</f>
        <v>7.2</v>
      </c>
      <c r="AQ385" t="s">
        <v>3644</v>
      </c>
      <c r="AR385">
        <v>29.6</v>
      </c>
      <c r="AS385">
        <v>25</v>
      </c>
      <c r="AT385">
        <v>44</v>
      </c>
      <c r="AU385">
        <v>3</v>
      </c>
      <c r="AV385">
        <v>16</v>
      </c>
      <c r="AW385">
        <v>0</v>
      </c>
      <c r="AX385">
        <v>552</v>
      </c>
      <c r="AY385">
        <v>254</v>
      </c>
      <c r="AZ385">
        <v>1</v>
      </c>
      <c r="BA385">
        <v>2</v>
      </c>
      <c r="BB385" t="s">
        <v>11</v>
      </c>
      <c r="BC385">
        <v>4</v>
      </c>
      <c r="BD385" t="s">
        <v>704</v>
      </c>
      <c r="BE385" t="s">
        <v>3645</v>
      </c>
      <c r="BF385" t="s">
        <v>3646</v>
      </c>
      <c r="BG385" t="s">
        <v>3647</v>
      </c>
      <c r="BH385" s="1" t="s">
        <v>57</v>
      </c>
      <c r="BI385" t="s">
        <v>57</v>
      </c>
      <c r="BJ385" s="1" t="str">
        <f>HYPERLINK("http://exon.niaid.nih.gov/transcriptome/T_rubida/S1/links/CDD/Triru-contig_468-CDD.txt","DGOK")</f>
        <v>DGOK</v>
      </c>
      <c r="BK385" t="str">
        <f>HYPERLINK("http://www.ncbi.nlm.nih.gov/Structure/cdd/cddsrv.cgi?uid=pfam05035&amp;version=v4.0","0.19")</f>
        <v>0.19</v>
      </c>
      <c r="BL385" t="s">
        <v>3648</v>
      </c>
      <c r="BM385" s="1" t="str">
        <f>HYPERLINK("http://exon.niaid.nih.gov/transcriptome/T_rubida/S1/links/KOG/Triru-contig_468-KOG.txt","Protein kinase ATM/Tel1, involved in telomere length regulation and DNA repair")</f>
        <v>Protein kinase ATM/Tel1, involved in telomere length regulation and DNA repair</v>
      </c>
      <c r="BN385" t="str">
        <f>HYPERLINK("http://www.ncbi.nlm.nih.gov/COG/grace/shokog.cgi?KOG0892","0.15")</f>
        <v>0.15</v>
      </c>
      <c r="BO385" t="s">
        <v>3649</v>
      </c>
      <c r="BP385" s="1" t="str">
        <f>HYPERLINK("http://exon.niaid.nih.gov/transcriptome/T_rubida/S1/links/PFAM/Triru-contig_468-PFAM.txt","DGOK")</f>
        <v>DGOK</v>
      </c>
      <c r="BQ385" t="str">
        <f>HYPERLINK("http://pfam.sanger.ac.uk/family?acc=PF05035","0.041")</f>
        <v>0.041</v>
      </c>
      <c r="BR385" s="1" t="str">
        <f>HYPERLINK("http://exon.niaid.nih.gov/transcriptome/T_rubida/S1/links/SMART/Triru-contig_468-SMART.txt","VWC_out")</f>
        <v>VWC_out</v>
      </c>
      <c r="BS385" t="str">
        <f>HYPERLINK("http://smart.embl-heidelberg.de/smart/do_annotation.pl?DOMAIN=VWC_out&amp;BLAST=DUMMY","0.83")</f>
        <v>0.83</v>
      </c>
      <c r="BT385" s="1" t="str">
        <f>HYPERLINK("http://exon.niaid.nih.gov/transcriptome/T_rubida/S1/links/PRK/Triru-contig_468-PRK.txt","large tegument protein UL36")</f>
        <v>large tegument protein UL36</v>
      </c>
      <c r="BU385">
        <v>0.33</v>
      </c>
      <c r="BV385" s="1" t="s">
        <v>57</v>
      </c>
      <c r="BW385" t="s">
        <v>57</v>
      </c>
      <c r="BX385" s="1" t="s">
        <v>57</v>
      </c>
      <c r="BY385" t="s">
        <v>57</v>
      </c>
    </row>
    <row r="386" spans="1:77">
      <c r="A386" t="str">
        <f>HYPERLINK("http://exon.niaid.nih.gov/transcriptome/T_rubida/S1/links/Triru/Triru-contig_365.txt","Triru-contig_365")</f>
        <v>Triru-contig_365</v>
      </c>
      <c r="B386">
        <v>1</v>
      </c>
      <c r="C386" t="str">
        <f>HYPERLINK("http://exon.niaid.nih.gov/transcriptome/T_rubida/S1/links/Triru/Triru-5-48-asb-365.txt","Contig-365")</f>
        <v>Contig-365</v>
      </c>
      <c r="D386" t="str">
        <f>HYPERLINK("http://exon.niaid.nih.gov/transcriptome/T_rubida/S1/links/Triru/Triru-5-48-365-CLU.txt","Contig365")</f>
        <v>Contig365</v>
      </c>
      <c r="E386" t="str">
        <f>HYPERLINK("http://exon.niaid.nih.gov/transcriptome/T_rubida/S1/links/Triru/Triru-5-48-365-qual.txt","58.4")</f>
        <v>58.4</v>
      </c>
      <c r="F386" t="s">
        <v>10</v>
      </c>
      <c r="G386">
        <v>71.7</v>
      </c>
      <c r="H386">
        <v>292</v>
      </c>
      <c r="I386" t="s">
        <v>377</v>
      </c>
      <c r="J386">
        <v>292</v>
      </c>
      <c r="K386">
        <v>311</v>
      </c>
      <c r="L386">
        <v>123</v>
      </c>
      <c r="M386" t="s">
        <v>5432</v>
      </c>
      <c r="N386" s="15">
        <v>1</v>
      </c>
      <c r="Q386" s="5" t="s">
        <v>4827</v>
      </c>
      <c r="R386" t="s">
        <v>4828</v>
      </c>
      <c r="V386" s="1" t="str">
        <f>HYPERLINK("http://exon.niaid.nih.gov/transcriptome/T_rubida/S1/links/NR/Triru-contig_365-NR.txt","hypothetical protein AND_03253")</f>
        <v>hypothetical protein AND_03253</v>
      </c>
      <c r="W386" t="str">
        <f>HYPERLINK("http://www.ncbi.nlm.nih.gov/sutils/blink.cgi?pid=312383582","0.12")</f>
        <v>0.12</v>
      </c>
      <c r="X386" t="str">
        <f>HYPERLINK("http://www.ncbi.nlm.nih.gov/protein/312383582","gi|312383582")</f>
        <v>gi|312383582</v>
      </c>
      <c r="Y386">
        <v>40</v>
      </c>
      <c r="Z386">
        <v>20</v>
      </c>
      <c r="AA386">
        <v>340</v>
      </c>
      <c r="AB386">
        <v>80</v>
      </c>
      <c r="AC386">
        <v>6</v>
      </c>
      <c r="AD386">
        <v>4</v>
      </c>
      <c r="AE386">
        <v>0</v>
      </c>
      <c r="AF386">
        <v>320</v>
      </c>
      <c r="AG386">
        <v>66</v>
      </c>
      <c r="AH386">
        <v>1</v>
      </c>
      <c r="AI386">
        <v>3</v>
      </c>
      <c r="AJ386" t="s">
        <v>11</v>
      </c>
      <c r="AL386" t="s">
        <v>2946</v>
      </c>
      <c r="AM386" t="s">
        <v>2947</v>
      </c>
      <c r="AN386" t="s">
        <v>2948</v>
      </c>
      <c r="AO386" s="1" t="str">
        <f>HYPERLINK("http://exon.niaid.nih.gov/transcriptome/T_rubida/S1/links/SWISSP/Triru-contig_365-SWISSP.txt","Tyrosine-protein phosphatase 3")</f>
        <v>Tyrosine-protein phosphatase 3</v>
      </c>
      <c r="AP386" t="str">
        <f>HYPERLINK("http://www.uniprot.org/uniprot/P54637","0.15")</f>
        <v>0.15</v>
      </c>
      <c r="AQ386" t="s">
        <v>2949</v>
      </c>
      <c r="AR386">
        <v>35</v>
      </c>
      <c r="AS386">
        <v>863</v>
      </c>
      <c r="AT386">
        <v>48</v>
      </c>
      <c r="AU386">
        <v>87</v>
      </c>
      <c r="AV386">
        <v>20</v>
      </c>
      <c r="AW386">
        <v>5</v>
      </c>
      <c r="AX386">
        <v>107</v>
      </c>
      <c r="AY386">
        <v>157</v>
      </c>
      <c r="AZ386">
        <v>5</v>
      </c>
      <c r="BA386">
        <v>1</v>
      </c>
      <c r="BB386" t="s">
        <v>11</v>
      </c>
      <c r="BC386">
        <v>0.23200000000000001</v>
      </c>
      <c r="BD386" t="s">
        <v>704</v>
      </c>
      <c r="BE386" t="s">
        <v>918</v>
      </c>
      <c r="BF386" t="s">
        <v>2950</v>
      </c>
      <c r="BG386" t="s">
        <v>2951</v>
      </c>
      <c r="BH386" s="1" t="s">
        <v>57</v>
      </c>
      <c r="BI386" t="s">
        <v>57</v>
      </c>
      <c r="BJ386" s="1" t="str">
        <f>HYPERLINK("http://exon.niaid.nih.gov/transcriptome/T_rubida/S1/links/CDD/Triru-contig_365-CDD.txt","ND5")</f>
        <v>ND5</v>
      </c>
      <c r="BK386" t="str">
        <f>HYPERLINK("http://www.ncbi.nlm.nih.gov/Structure/cdd/cddsrv.cgi?uid=MTH00063&amp;version=v4.0","0.007")</f>
        <v>0.007</v>
      </c>
      <c r="BL386" t="s">
        <v>2952</v>
      </c>
      <c r="BM386" s="1" t="str">
        <f>HYPERLINK("http://exon.niaid.nih.gov/transcriptome/T_rubida/S1/links/KOG/Triru-contig_365-KOG.txt","Metalloprotease")</f>
        <v>Metalloprotease</v>
      </c>
      <c r="BN386" t="str">
        <f>HYPERLINK("http://www.ncbi.nlm.nih.gov/COG/grace/shokog.cgi?KOG2719","0.28")</f>
        <v>0.28</v>
      </c>
      <c r="BO386" t="s">
        <v>750</v>
      </c>
      <c r="BP386" s="1" t="str">
        <f>HYPERLINK("http://exon.niaid.nih.gov/transcriptome/T_rubida/S1/links/PFAM/Triru-contig_365-PFAM.txt","DUF443")</f>
        <v>DUF443</v>
      </c>
      <c r="BQ386" t="str">
        <f>HYPERLINK("http://pfam.sanger.ac.uk/family?acc=PF04276","0.006")</f>
        <v>0.006</v>
      </c>
      <c r="BR386" s="1" t="str">
        <f>HYPERLINK("http://exon.niaid.nih.gov/transcriptome/T_rubida/S1/links/SMART/Triru-contig_365-SMART.txt","PSN")</f>
        <v>PSN</v>
      </c>
      <c r="BS386" t="str">
        <f>HYPERLINK("http://smart.embl-heidelberg.de/smart/do_annotation.pl?DOMAIN=PSN&amp;BLAST=DUMMY","0.066")</f>
        <v>0.066</v>
      </c>
      <c r="BT386" s="1" t="str">
        <f>HYPERLINK("http://exon.niaid.nih.gov/transcriptome/T_rubida/S1/links/PRK/Triru-contig_365-PRK.txt","NADH dehydrogenase subunit 5")</f>
        <v>NADH dehydrogenase subunit 5</v>
      </c>
      <c r="BU386">
        <v>3.0000000000000001E-3</v>
      </c>
      <c r="BV386" s="1" t="s">
        <v>57</v>
      </c>
      <c r="BW386" t="s">
        <v>57</v>
      </c>
      <c r="BX386" s="1" t="s">
        <v>57</v>
      </c>
      <c r="BY386" t="s">
        <v>57</v>
      </c>
    </row>
    <row r="387" spans="1:77">
      <c r="A387" t="str">
        <f>HYPERLINK("http://exon.niaid.nih.gov/transcriptome/T_rubida/S1/links/Triru/Triru-contig_397.txt","Triru-contig_397")</f>
        <v>Triru-contig_397</v>
      </c>
      <c r="B387">
        <v>1</v>
      </c>
      <c r="C387" t="str">
        <f>HYPERLINK("http://exon.niaid.nih.gov/transcriptome/T_rubida/S1/links/Triru/Triru-5-48-asb-397.txt","Contig-397")</f>
        <v>Contig-397</v>
      </c>
      <c r="D387" t="str">
        <f>HYPERLINK("http://exon.niaid.nih.gov/transcriptome/T_rubida/S1/links/Triru/Triru-5-48-397-CLU.txt","Contig397")</f>
        <v>Contig397</v>
      </c>
      <c r="E387" t="str">
        <f>HYPERLINK("http://exon.niaid.nih.gov/transcriptome/T_rubida/S1/links/Triru/Triru-5-48-397-qual.txt","58.8")</f>
        <v>58.8</v>
      </c>
      <c r="F387" t="s">
        <v>10</v>
      </c>
      <c r="G387">
        <v>77</v>
      </c>
      <c r="H387">
        <v>543</v>
      </c>
      <c r="I387" t="s">
        <v>409</v>
      </c>
      <c r="J387">
        <v>543</v>
      </c>
      <c r="K387">
        <v>562</v>
      </c>
      <c r="L387">
        <v>123</v>
      </c>
      <c r="M387" t="s">
        <v>5600</v>
      </c>
      <c r="N387" s="15">
        <v>2</v>
      </c>
      <c r="Q387" s="5" t="s">
        <v>4827</v>
      </c>
      <c r="R387" t="s">
        <v>4828</v>
      </c>
      <c r="V387" s="1" t="str">
        <f>HYPERLINK("http://exon.niaid.nih.gov/transcriptome/T_rubida/S1/links/NR/Triru-contig_397-NR.txt","heme maturase")</f>
        <v>heme maturase</v>
      </c>
      <c r="W387" t="str">
        <f>HYPERLINK("http://www.ncbi.nlm.nih.gov/sutils/blink.cgi?pid=299830290","0.13")</f>
        <v>0.13</v>
      </c>
      <c r="X387" t="str">
        <f>HYPERLINK("http://www.ncbi.nlm.nih.gov/protein/299830290","gi|299830290")</f>
        <v>gi|299830290</v>
      </c>
      <c r="Y387">
        <v>40.4</v>
      </c>
      <c r="Z387">
        <v>90</v>
      </c>
      <c r="AA387">
        <v>447</v>
      </c>
      <c r="AB387">
        <v>30</v>
      </c>
      <c r="AC387">
        <v>20</v>
      </c>
      <c r="AD387">
        <v>67</v>
      </c>
      <c r="AE387">
        <v>2</v>
      </c>
      <c r="AF387">
        <v>255</v>
      </c>
      <c r="AG387">
        <v>92</v>
      </c>
      <c r="AH387">
        <v>1</v>
      </c>
      <c r="AI387">
        <v>2</v>
      </c>
      <c r="AJ387" t="s">
        <v>11</v>
      </c>
      <c r="AK387">
        <v>3.3330000000000002</v>
      </c>
      <c r="AL387" t="s">
        <v>3172</v>
      </c>
      <c r="AM387" t="s">
        <v>3173</v>
      </c>
      <c r="AN387" t="s">
        <v>3174</v>
      </c>
      <c r="AO387" s="1" t="str">
        <f>HYPERLINK("http://exon.niaid.nih.gov/transcriptome/T_rubida/S1/links/SWISSP/Triru-contig_397-SWISSP.txt","NADH-ubiquinone oxidoreductase chain 6")</f>
        <v>NADH-ubiquinone oxidoreductase chain 6</v>
      </c>
      <c r="AP387" t="str">
        <f>HYPERLINK("http://www.uniprot.org/uniprot/P07709","0.69")</f>
        <v>0.69</v>
      </c>
      <c r="AQ387" t="s">
        <v>3175</v>
      </c>
      <c r="AR387">
        <v>33.9</v>
      </c>
      <c r="AS387">
        <v>77</v>
      </c>
      <c r="AT387">
        <v>31</v>
      </c>
      <c r="AU387">
        <v>45</v>
      </c>
      <c r="AV387">
        <v>54</v>
      </c>
      <c r="AW387">
        <v>0</v>
      </c>
      <c r="AX387">
        <v>19</v>
      </c>
      <c r="AY387">
        <v>122</v>
      </c>
      <c r="AZ387">
        <v>1</v>
      </c>
      <c r="BA387">
        <v>2</v>
      </c>
      <c r="BB387" t="s">
        <v>11</v>
      </c>
      <c r="BC387">
        <v>3.8959999999999999</v>
      </c>
      <c r="BD387" t="s">
        <v>704</v>
      </c>
      <c r="BE387" t="s">
        <v>1172</v>
      </c>
      <c r="BF387" t="s">
        <v>3176</v>
      </c>
      <c r="BG387" t="s">
        <v>3177</v>
      </c>
      <c r="BH387" s="1" t="s">
        <v>57</v>
      </c>
      <c r="BI387" t="s">
        <v>57</v>
      </c>
      <c r="BJ387" s="1" t="str">
        <f>HYPERLINK("http://exon.niaid.nih.gov/transcriptome/T_rubida/S1/links/CDD/Triru-contig_397-CDD.txt","TIGR03766")</f>
        <v>TIGR03766</v>
      </c>
      <c r="BK387" t="str">
        <f>HYPERLINK("http://www.ncbi.nlm.nih.gov/Structure/cdd/cddsrv.cgi?uid=TIGR03766&amp;version=v4.0","4E-004")</f>
        <v>4E-004</v>
      </c>
      <c r="BL387" t="s">
        <v>3178</v>
      </c>
      <c r="BM387" s="1" t="str">
        <f>HYPERLINK("http://exon.niaid.nih.gov/transcriptome/T_rubida/S1/links/KOG/Triru-contig_397-KOG.txt","Na+-independent Cl/HCO3 exchanger AE1 and related transporters (SLC4 family)")</f>
        <v>Na+-independent Cl/HCO3 exchanger AE1 and related transporters (SLC4 family)</v>
      </c>
      <c r="BN387" t="str">
        <f>HYPERLINK("http://www.ncbi.nlm.nih.gov/COG/grace/shokog.cgi?KOG1172","0.34")</f>
        <v>0.34</v>
      </c>
      <c r="BO387" t="s">
        <v>849</v>
      </c>
      <c r="BP387" s="1" t="str">
        <f>HYPERLINK("http://exon.niaid.nih.gov/transcriptome/T_rubida/S1/links/PFAM/Triru-contig_397-PFAM.txt","7TM_GPCR_Srz")</f>
        <v>7TM_GPCR_Srz</v>
      </c>
      <c r="BQ387" t="str">
        <f>HYPERLINK("http://pfam.sanger.ac.uk/family?acc=PF10325","7E-004")</f>
        <v>7E-004</v>
      </c>
      <c r="BR387" s="1" t="str">
        <f>HYPERLINK("http://exon.niaid.nih.gov/transcriptome/T_rubida/S1/links/SMART/Triru-contig_397-SMART.txt","PSN")</f>
        <v>PSN</v>
      </c>
      <c r="BS387" t="str">
        <f>HYPERLINK("http://smart.embl-heidelberg.de/smart/do_annotation.pl?DOMAIN=PSN&amp;BLAST=DUMMY","0.039")</f>
        <v>0.039</v>
      </c>
      <c r="BT387" s="1" t="str">
        <f>HYPERLINK("http://exon.niaid.nih.gov/transcriptome/T_rubida/S1/links/PRK/Triru-contig_397-PRK.txt","NADH dehydrogenase subunit 5")</f>
        <v>NADH dehydrogenase subunit 5</v>
      </c>
      <c r="BU387">
        <v>1E-3</v>
      </c>
      <c r="BV387" s="1" t="s">
        <v>57</v>
      </c>
      <c r="BW387" t="s">
        <v>57</v>
      </c>
      <c r="BX387" s="1" t="s">
        <v>57</v>
      </c>
      <c r="BY387" t="s">
        <v>57</v>
      </c>
    </row>
    <row r="388" spans="1:77">
      <c r="A388" t="str">
        <f>HYPERLINK("http://exon.niaid.nih.gov/transcriptome/T_rubida/S1/links/Triru/Triru-contig_512.txt","Triru-contig_512")</f>
        <v>Triru-contig_512</v>
      </c>
      <c r="B388">
        <v>1</v>
      </c>
      <c r="C388" t="str">
        <f>HYPERLINK("http://exon.niaid.nih.gov/transcriptome/T_rubida/S1/links/Triru/Triru-5-48-asb-512.txt","Contig-512")</f>
        <v>Contig-512</v>
      </c>
      <c r="D388" t="str">
        <f>HYPERLINK("http://exon.niaid.nih.gov/transcriptome/T_rubida/S1/links/Triru/Triru-5-48-512-CLU.txt","Contig512")</f>
        <v>Contig512</v>
      </c>
      <c r="E388" t="str">
        <f>HYPERLINK("http://exon.niaid.nih.gov/transcriptome/T_rubida/S1/links/Triru/Triru-5-48-512-qual.txt","34.8")</f>
        <v>34.8</v>
      </c>
      <c r="F388" t="s">
        <v>10</v>
      </c>
      <c r="G388">
        <v>78.599999999999994</v>
      </c>
      <c r="H388">
        <v>724</v>
      </c>
      <c r="I388" t="s">
        <v>524</v>
      </c>
      <c r="J388">
        <v>724</v>
      </c>
      <c r="K388">
        <v>743</v>
      </c>
      <c r="L388">
        <v>123</v>
      </c>
      <c r="M388" t="s">
        <v>5471</v>
      </c>
      <c r="N388" s="15">
        <v>2</v>
      </c>
      <c r="Q388" s="5" t="s">
        <v>4827</v>
      </c>
      <c r="R388" t="s">
        <v>4828</v>
      </c>
      <c r="V388" s="1" t="str">
        <f>HYPERLINK("http://exon.niaid.nih.gov/transcriptome/T_rubida/S1/links/NR/Triru-contig_512-NR.txt","valyl-tRNA synthetase")</f>
        <v>valyl-tRNA synthetase</v>
      </c>
      <c r="W388" t="str">
        <f>HYPERLINK("http://www.ncbi.nlm.nih.gov/sutils/blink.cgi?pid=13186346","0.15")</f>
        <v>0.15</v>
      </c>
      <c r="X388" t="str">
        <f>HYPERLINK("http://www.ncbi.nlm.nih.gov/protein/13186346","gi|13186346")</f>
        <v>gi|13186346</v>
      </c>
      <c r="Y388">
        <v>41.2</v>
      </c>
      <c r="Z388">
        <v>145</v>
      </c>
      <c r="AA388">
        <v>270</v>
      </c>
      <c r="AB388">
        <v>33</v>
      </c>
      <c r="AC388">
        <v>54</v>
      </c>
      <c r="AD388">
        <v>101</v>
      </c>
      <c r="AE388">
        <v>21</v>
      </c>
      <c r="AF388">
        <v>125</v>
      </c>
      <c r="AG388">
        <v>224</v>
      </c>
      <c r="AH388">
        <v>1</v>
      </c>
      <c r="AI388">
        <v>2</v>
      </c>
      <c r="AJ388" t="s">
        <v>11</v>
      </c>
      <c r="AK388">
        <v>4.8280000000000003</v>
      </c>
      <c r="AL388" t="s">
        <v>3945</v>
      </c>
      <c r="AM388" t="s">
        <v>3946</v>
      </c>
      <c r="AN388" t="s">
        <v>3947</v>
      </c>
      <c r="AO388" s="1" t="str">
        <f>HYPERLINK("http://exon.niaid.nih.gov/transcriptome/T_rubida/S1/links/SWISSP/Triru-contig_512-SWISSP.txt","Protein dopey homolog PFC0245c")</f>
        <v>Protein dopey homolog PFC0245c</v>
      </c>
      <c r="AP388" t="str">
        <f>HYPERLINK("http://www.uniprot.org/uniprot/O97239","7.7")</f>
        <v>7.7</v>
      </c>
      <c r="AQ388" t="s">
        <v>3948</v>
      </c>
      <c r="AR388">
        <v>31.2</v>
      </c>
      <c r="AS388">
        <v>124</v>
      </c>
      <c r="AT388">
        <v>26</v>
      </c>
      <c r="AU388">
        <v>3</v>
      </c>
      <c r="AV388">
        <v>103</v>
      </c>
      <c r="AW388">
        <v>11</v>
      </c>
      <c r="AX388">
        <v>1881</v>
      </c>
      <c r="AY388">
        <v>245</v>
      </c>
      <c r="AZ388">
        <v>1</v>
      </c>
      <c r="BA388">
        <v>2</v>
      </c>
      <c r="BB388" t="s">
        <v>11</v>
      </c>
      <c r="BC388">
        <v>5.6449999999999996</v>
      </c>
      <c r="BD388" t="s">
        <v>704</v>
      </c>
      <c r="BE388" t="s">
        <v>1356</v>
      </c>
      <c r="BF388" t="s">
        <v>3949</v>
      </c>
      <c r="BG388" t="s">
        <v>3950</v>
      </c>
      <c r="BH388" s="1" t="s">
        <v>57</v>
      </c>
      <c r="BI388" t="s">
        <v>57</v>
      </c>
      <c r="BJ388" s="1" t="str">
        <f>HYPERLINK("http://exon.niaid.nih.gov/transcriptome/T_rubida/S1/links/CDD/Triru-contig_512-CDD.txt","ND5")</f>
        <v>ND5</v>
      </c>
      <c r="BK388" t="str">
        <f>HYPERLINK("http://www.ncbi.nlm.nih.gov/Structure/cdd/cddsrv.cgi?uid=MTH00095&amp;version=v4.0","3E-008")</f>
        <v>3E-008</v>
      </c>
      <c r="BL388" t="s">
        <v>3951</v>
      </c>
      <c r="BM388" s="1" t="str">
        <f>HYPERLINK("http://exon.niaid.nih.gov/transcriptome/T_rubida/S1/links/KOG/Triru-contig_512-KOG.txt","Predicted DHHC-type Zn-finger protein")</f>
        <v>Predicted DHHC-type Zn-finger protein</v>
      </c>
      <c r="BN388" t="str">
        <f>HYPERLINK("http://www.ncbi.nlm.nih.gov/COG/grace/shokog.cgi?KOG1315","0.072")</f>
        <v>0.072</v>
      </c>
      <c r="BO388" t="s">
        <v>750</v>
      </c>
      <c r="BP388" s="1" t="str">
        <f>HYPERLINK("http://exon.niaid.nih.gov/transcriptome/T_rubida/S1/links/PFAM/Triru-contig_512-PFAM.txt","7TM_GPCR_Srz")</f>
        <v>7TM_GPCR_Srz</v>
      </c>
      <c r="BQ388" t="str">
        <f>HYPERLINK("http://pfam.sanger.ac.uk/family?acc=PF10325","2E-004")</f>
        <v>2E-004</v>
      </c>
      <c r="BR388" s="1" t="str">
        <f>HYPERLINK("http://exon.niaid.nih.gov/transcriptome/T_rubida/S1/links/SMART/Triru-contig_512-SMART.txt","AgrB")</f>
        <v>AgrB</v>
      </c>
      <c r="BS388" t="str">
        <f>HYPERLINK("http://smart.embl-heidelberg.de/smart/do_annotation.pl?DOMAIN=AgrB&amp;BLAST=DUMMY","0.095")</f>
        <v>0.095</v>
      </c>
      <c r="BT388" s="1" t="str">
        <f>HYPERLINK("http://exon.niaid.nih.gov/transcriptome/T_rubida/S1/links/PRK/Triru-contig_512-PRK.txt","NADH dehydrogenase subunit 5")</f>
        <v>NADH dehydrogenase subunit 5</v>
      </c>
      <c r="BU388" s="2">
        <v>1E-8</v>
      </c>
      <c r="BV388" s="1" t="s">
        <v>57</v>
      </c>
      <c r="BW388" t="s">
        <v>57</v>
      </c>
      <c r="BX388" s="1" t="s">
        <v>57</v>
      </c>
      <c r="BY388" t="s">
        <v>57</v>
      </c>
    </row>
    <row r="389" spans="1:77">
      <c r="A389" t="str">
        <f>HYPERLINK("http://exon.niaid.nih.gov/transcriptome/T_rubida/S1/links/Triru/Triru-contig_502.txt","Triru-contig_502")</f>
        <v>Triru-contig_502</v>
      </c>
      <c r="B389">
        <v>1</v>
      </c>
      <c r="C389" t="str">
        <f>HYPERLINK("http://exon.niaid.nih.gov/transcriptome/T_rubida/S1/links/Triru/Triru-5-48-asb-502.txt","Contig-502")</f>
        <v>Contig-502</v>
      </c>
      <c r="D389" t="str">
        <f>HYPERLINK("http://exon.niaid.nih.gov/transcriptome/T_rubida/S1/links/Triru/Triru-5-48-502-CLU.txt","Contig502")</f>
        <v>Contig502</v>
      </c>
      <c r="E389" t="str">
        <f>HYPERLINK("http://exon.niaid.nih.gov/transcriptome/T_rubida/S1/links/Triru/Triru-5-48-502-qual.txt","62.6")</f>
        <v>62.6</v>
      </c>
      <c r="F389" t="s">
        <v>10</v>
      </c>
      <c r="G389">
        <v>77.400000000000006</v>
      </c>
      <c r="H389">
        <v>374</v>
      </c>
      <c r="I389" t="s">
        <v>514</v>
      </c>
      <c r="J389">
        <v>374</v>
      </c>
      <c r="K389">
        <v>393</v>
      </c>
      <c r="L389">
        <v>138</v>
      </c>
      <c r="M389" t="s">
        <v>5618</v>
      </c>
      <c r="N389" s="15">
        <v>1</v>
      </c>
      <c r="Q389" s="5" t="s">
        <v>4827</v>
      </c>
      <c r="R389" t="s">
        <v>4828</v>
      </c>
      <c r="V389" s="1" t="str">
        <f>HYPERLINK("http://exon.niaid.nih.gov/transcriptome/T_rubida/S1/links/NR/Triru-contig_502-NR.txt","conserved Plasmodium membrane protein")</f>
        <v>conserved Plasmodium membrane protein</v>
      </c>
      <c r="W389" t="str">
        <f>HYPERLINK("http://www.ncbi.nlm.nih.gov/sutils/blink.cgi?pid=124806958","0.15")</f>
        <v>0.15</v>
      </c>
      <c r="X389" t="str">
        <f>HYPERLINK("http://www.ncbi.nlm.nih.gov/protein/124806958","gi|124806958")</f>
        <v>gi|124806958</v>
      </c>
      <c r="Y389">
        <v>31.6</v>
      </c>
      <c r="Z389">
        <v>92</v>
      </c>
      <c r="AA389">
        <v>672</v>
      </c>
      <c r="AB389">
        <v>40</v>
      </c>
      <c r="AC389">
        <v>14</v>
      </c>
      <c r="AD389">
        <v>18</v>
      </c>
      <c r="AE389">
        <v>0</v>
      </c>
      <c r="AF389">
        <v>410</v>
      </c>
      <c r="AG389">
        <v>85</v>
      </c>
      <c r="AH389">
        <v>2</v>
      </c>
      <c r="AI389">
        <v>1</v>
      </c>
      <c r="AJ389" t="s">
        <v>888</v>
      </c>
      <c r="AL389" t="s">
        <v>1103</v>
      </c>
      <c r="AM389" t="s">
        <v>3874</v>
      </c>
      <c r="AN389" t="s">
        <v>3875</v>
      </c>
      <c r="AO389" s="1" t="str">
        <f>HYPERLINK("http://exon.niaid.nih.gov/transcriptome/T_rubida/S1/links/SWISSP/Triru-contig_502-SWISSP.txt","DNA-directed RNA polymerase subunit beta")</f>
        <v>DNA-directed RNA polymerase subunit beta</v>
      </c>
      <c r="AP389" t="str">
        <f>HYPERLINK("http://www.uniprot.org/uniprot/Q4MY95","0.43")</f>
        <v>0.43</v>
      </c>
      <c r="AQ389" t="s">
        <v>3876</v>
      </c>
      <c r="AR389">
        <v>33.5</v>
      </c>
      <c r="AS389">
        <v>75</v>
      </c>
      <c r="AT389">
        <v>31</v>
      </c>
      <c r="AU389">
        <v>8</v>
      </c>
      <c r="AV389">
        <v>61</v>
      </c>
      <c r="AW389">
        <v>0</v>
      </c>
      <c r="AX389">
        <v>17</v>
      </c>
      <c r="AY389">
        <v>28</v>
      </c>
      <c r="AZ389">
        <v>1</v>
      </c>
      <c r="BA389">
        <v>1</v>
      </c>
      <c r="BB389" t="s">
        <v>11</v>
      </c>
      <c r="BC389">
        <v>2.6669999999999998</v>
      </c>
      <c r="BD389" t="s">
        <v>704</v>
      </c>
      <c r="BE389" t="s">
        <v>3877</v>
      </c>
      <c r="BF389" t="s">
        <v>3878</v>
      </c>
      <c r="BG389" t="s">
        <v>3879</v>
      </c>
      <c r="BH389" s="1" t="s">
        <v>57</v>
      </c>
      <c r="BI389" t="s">
        <v>57</v>
      </c>
      <c r="BJ389" s="1" t="str">
        <f>HYPERLINK("http://exon.niaid.nih.gov/transcriptome/T_rubida/S1/links/CDD/Triru-contig_502-CDD.txt","ND2")</f>
        <v>ND2</v>
      </c>
      <c r="BK389" t="str">
        <f>HYPERLINK("http://www.ncbi.nlm.nih.gov/Structure/cdd/cddsrv.cgi?uid=MTH00059&amp;version=v4.0","0.004")</f>
        <v>0.004</v>
      </c>
      <c r="BL389" t="s">
        <v>3880</v>
      </c>
      <c r="BM389" s="1" t="str">
        <f>HYPERLINK("http://exon.niaid.nih.gov/transcriptome/T_rubida/S1/links/KOG/Triru-contig_502-KOG.txt","Predicted membrane protein (patched superfamily)")</f>
        <v>Predicted membrane protein (patched superfamily)</v>
      </c>
      <c r="BN389" t="str">
        <f>HYPERLINK("http://www.ncbi.nlm.nih.gov/COG/grace/shokog.cgi?KOG1934","0.68")</f>
        <v>0.68</v>
      </c>
      <c r="BO389" t="s">
        <v>750</v>
      </c>
      <c r="BP389" s="1" t="str">
        <f>HYPERLINK("http://exon.niaid.nih.gov/transcriptome/T_rubida/S1/links/PFAM/Triru-contig_502-PFAM.txt","DUF1157")</f>
        <v>DUF1157</v>
      </c>
      <c r="BQ389" t="str">
        <f>HYPERLINK("http://pfam.sanger.ac.uk/family?acc=PF06636","0.067")</f>
        <v>0.067</v>
      </c>
      <c r="BR389" s="1" t="str">
        <f>HYPERLINK("http://exon.niaid.nih.gov/transcriptome/T_rubida/S1/links/SMART/Triru-contig_502-SMART.txt","DM11")</f>
        <v>DM11</v>
      </c>
      <c r="BS389" t="str">
        <f>HYPERLINK("http://smart.embl-heidelberg.de/smart/do_annotation.pl?DOMAIN=DM11&amp;BLAST=DUMMY","0.29")</f>
        <v>0.29</v>
      </c>
      <c r="BT389" s="1" t="str">
        <f>HYPERLINK("http://exon.niaid.nih.gov/transcriptome/T_rubida/S1/links/PRK/Triru-contig_502-PRK.txt","NADH dehydrogenase subunit 2")</f>
        <v>NADH dehydrogenase subunit 2</v>
      </c>
      <c r="BU389">
        <v>2E-3</v>
      </c>
      <c r="BV389" s="1" t="s">
        <v>57</v>
      </c>
      <c r="BW389" t="s">
        <v>57</v>
      </c>
      <c r="BX389" s="1" t="s">
        <v>57</v>
      </c>
      <c r="BY389" t="s">
        <v>57</v>
      </c>
    </row>
    <row r="390" spans="1:77">
      <c r="A390" t="str">
        <f>HYPERLINK("http://exon.niaid.nih.gov/transcriptome/T_rubida/S1/links/Triru/Triru-contig_403.txt","Triru-contig_403")</f>
        <v>Triru-contig_403</v>
      </c>
      <c r="B390">
        <v>1</v>
      </c>
      <c r="C390" t="str">
        <f>HYPERLINK("http://exon.niaid.nih.gov/transcriptome/T_rubida/S1/links/Triru/Triru-5-48-asb-403.txt","Contig-403")</f>
        <v>Contig-403</v>
      </c>
      <c r="D390" t="str">
        <f>HYPERLINK("http://exon.niaid.nih.gov/transcriptome/T_rubida/S1/links/Triru/Triru-5-48-403-CLU.txt","Contig403")</f>
        <v>Contig403</v>
      </c>
      <c r="E390" t="str">
        <f>HYPERLINK("http://exon.niaid.nih.gov/transcriptome/T_rubida/S1/links/Triru/Triru-5-48-403-qual.txt","51.5")</f>
        <v>51.5</v>
      </c>
      <c r="F390">
        <v>0.3</v>
      </c>
      <c r="G390">
        <v>70.8</v>
      </c>
      <c r="H390">
        <v>724</v>
      </c>
      <c r="I390" t="s">
        <v>415</v>
      </c>
      <c r="J390">
        <v>724</v>
      </c>
      <c r="K390">
        <v>743</v>
      </c>
      <c r="L390">
        <v>240</v>
      </c>
      <c r="M390" t="s">
        <v>5660</v>
      </c>
      <c r="N390" s="15">
        <v>1</v>
      </c>
      <c r="Q390" s="5" t="s">
        <v>4827</v>
      </c>
      <c r="R390" t="s">
        <v>4828</v>
      </c>
      <c r="V390" s="1" t="str">
        <f>HYPERLINK("http://exon.niaid.nih.gov/transcriptome/T_rubida/S1/links/NR/Triru-contig_403-NR.txt","Leucine Rich Repeat family protein")</f>
        <v>Leucine Rich Repeat family protein</v>
      </c>
      <c r="W390" t="str">
        <f>HYPERLINK("http://www.ncbi.nlm.nih.gov/sutils/blink.cgi?pid=118372037","0.15")</f>
        <v>0.15</v>
      </c>
      <c r="X390" t="str">
        <f>HYPERLINK("http://www.ncbi.nlm.nih.gov/protein/118372037","gi|118372037")</f>
        <v>gi|118372037</v>
      </c>
      <c r="Y390">
        <v>41.2</v>
      </c>
      <c r="Z390">
        <v>86</v>
      </c>
      <c r="AA390">
        <v>1526</v>
      </c>
      <c r="AB390">
        <v>33</v>
      </c>
      <c r="AC390">
        <v>6</v>
      </c>
      <c r="AD390">
        <v>58</v>
      </c>
      <c r="AE390">
        <v>1</v>
      </c>
      <c r="AF390">
        <v>1033</v>
      </c>
      <c r="AG390">
        <v>265</v>
      </c>
      <c r="AH390">
        <v>1</v>
      </c>
      <c r="AI390">
        <v>1</v>
      </c>
      <c r="AJ390" t="s">
        <v>11</v>
      </c>
      <c r="AK390">
        <v>1.163</v>
      </c>
      <c r="AL390" t="s">
        <v>2366</v>
      </c>
      <c r="AM390" t="s">
        <v>3213</v>
      </c>
      <c r="AN390" t="s">
        <v>3214</v>
      </c>
      <c r="AO390" s="1" t="str">
        <f>HYPERLINK("http://exon.niaid.nih.gov/transcriptome/T_rubida/S1/links/SWISSP/Triru-contig_403-SWISSP.txt","Leucyl-tRNA synthetase")</f>
        <v>Leucyl-tRNA synthetase</v>
      </c>
      <c r="AP390" t="str">
        <f>HYPERLINK("http://www.uniprot.org/uniprot/Q7VBZ5","2.7")</f>
        <v>2.7</v>
      </c>
      <c r="AQ390" t="s">
        <v>3215</v>
      </c>
      <c r="AR390">
        <v>32.700000000000003</v>
      </c>
      <c r="AS390">
        <v>69</v>
      </c>
      <c r="AT390">
        <v>35</v>
      </c>
      <c r="AU390">
        <v>8</v>
      </c>
      <c r="AV390">
        <v>45</v>
      </c>
      <c r="AW390">
        <v>5</v>
      </c>
      <c r="AX390">
        <v>715</v>
      </c>
      <c r="AY390">
        <v>316</v>
      </c>
      <c r="AZ390">
        <v>1</v>
      </c>
      <c r="BA390">
        <v>1</v>
      </c>
      <c r="BB390" t="s">
        <v>11</v>
      </c>
      <c r="BD390" t="s">
        <v>704</v>
      </c>
      <c r="BE390" t="s">
        <v>3216</v>
      </c>
      <c r="BF390" t="s">
        <v>3217</v>
      </c>
      <c r="BG390" t="s">
        <v>3218</v>
      </c>
      <c r="BH390" s="1" t="s">
        <v>57</v>
      </c>
      <c r="BI390" t="s">
        <v>57</v>
      </c>
      <c r="BJ390" s="1" t="str">
        <f>HYPERLINK("http://exon.niaid.nih.gov/transcriptome/T_rubida/S1/links/CDD/Triru-contig_403-CDD.txt","COG5409")</f>
        <v>COG5409</v>
      </c>
      <c r="BK390" t="str">
        <f>HYPERLINK("http://www.ncbi.nlm.nih.gov/Structure/cdd/cddsrv.cgi?uid=COG5409&amp;version=v4.0","0.22")</f>
        <v>0.22</v>
      </c>
      <c r="BL390" t="s">
        <v>3219</v>
      </c>
      <c r="BM390" s="1" t="str">
        <f>HYPERLINK("http://exon.niaid.nih.gov/transcriptome/T_rubida/S1/links/KOG/Triru-contig_403-KOG.txt","Sodium-neurotransmitter symporter")</f>
        <v>Sodium-neurotransmitter symporter</v>
      </c>
      <c r="BN390" t="str">
        <f>HYPERLINK("http://www.ncbi.nlm.nih.gov/COG/grace/shokog.cgi?KOG3659","0.070")</f>
        <v>0.070</v>
      </c>
      <c r="BO390" t="s">
        <v>728</v>
      </c>
      <c r="BP390" s="1" t="str">
        <f>HYPERLINK("http://exon.niaid.nih.gov/transcriptome/T_rubida/S1/links/PFAM/Triru-contig_403-PFAM.txt","K_tetra")</f>
        <v>K_tetra</v>
      </c>
      <c r="BQ390" t="str">
        <f>HYPERLINK("http://pfam.sanger.ac.uk/family?acc=PF02214","0.13")</f>
        <v>0.13</v>
      </c>
      <c r="BR390" s="1" t="str">
        <f>HYPERLINK("http://exon.niaid.nih.gov/transcriptome/T_rubida/S1/links/SMART/Triru-contig_403-SMART.txt","MIF4G")</f>
        <v>MIF4G</v>
      </c>
      <c r="BS390" t="str">
        <f>HYPERLINK("http://smart.embl-heidelberg.de/smart/do_annotation.pl?DOMAIN=MIF4G&amp;BLAST=DUMMY","0.017")</f>
        <v>0.017</v>
      </c>
      <c r="BT390" s="1" t="str">
        <f>HYPERLINK("http://exon.niaid.nih.gov/transcriptome/T_rubida/S1/links/PRK/Triru-contig_403-PRK.txt","ABC transporter G family member")</f>
        <v>ABC transporter G family member</v>
      </c>
      <c r="BU390">
        <v>0.33</v>
      </c>
      <c r="BV390" s="1" t="s">
        <v>57</v>
      </c>
      <c r="BW390" t="s">
        <v>57</v>
      </c>
      <c r="BX390" s="1" t="s">
        <v>57</v>
      </c>
      <c r="BY390" t="s">
        <v>57</v>
      </c>
    </row>
    <row r="391" spans="1:77">
      <c r="A391" t="str">
        <f>HYPERLINK("http://exon.niaid.nih.gov/transcriptome/T_rubida/S1/links/Triru/Triru-contig_332.txt","Triru-contig_332")</f>
        <v>Triru-contig_332</v>
      </c>
      <c r="B391">
        <v>1</v>
      </c>
      <c r="C391" t="str">
        <f>HYPERLINK("http://exon.niaid.nih.gov/transcriptome/T_rubida/S1/links/Triru/Triru-5-48-asb-332.txt","Contig-332")</f>
        <v>Contig-332</v>
      </c>
      <c r="D391" t="str">
        <f>HYPERLINK("http://exon.niaid.nih.gov/transcriptome/T_rubida/S1/links/Triru/Triru-5-48-332-CLU.txt","Contig332")</f>
        <v>Contig332</v>
      </c>
      <c r="E391" t="str">
        <f>HYPERLINK("http://exon.niaid.nih.gov/transcriptome/T_rubida/S1/links/Triru/Triru-5-48-332-qual.txt","57.8")</f>
        <v>57.8</v>
      </c>
      <c r="F391" t="s">
        <v>10</v>
      </c>
      <c r="G391">
        <v>72</v>
      </c>
      <c r="H391">
        <v>520</v>
      </c>
      <c r="I391" t="s">
        <v>344</v>
      </c>
      <c r="J391">
        <v>520</v>
      </c>
      <c r="K391">
        <v>539</v>
      </c>
      <c r="L391">
        <v>174</v>
      </c>
      <c r="M391" t="s">
        <v>5466</v>
      </c>
      <c r="N391" s="15">
        <v>3</v>
      </c>
      <c r="Q391" s="5" t="s">
        <v>4827</v>
      </c>
      <c r="R391" t="s">
        <v>4828</v>
      </c>
      <c r="V391" s="1" t="str">
        <f>HYPERLINK("http://exon.niaid.nih.gov/transcriptome/T_rubida/S1/links/NR/Triru-contig_332-NR.txt","hypothetical protein EAG_12773")</f>
        <v>hypothetical protein EAG_12773</v>
      </c>
      <c r="W391" t="str">
        <f>HYPERLINK("http://www.ncbi.nlm.nih.gov/sutils/blink.cgi?pid=307184750","0.20")</f>
        <v>0.20</v>
      </c>
      <c r="X391" t="str">
        <f>HYPERLINK("http://www.ncbi.nlm.nih.gov/protein/307184750","gi|307184750")</f>
        <v>gi|307184750</v>
      </c>
      <c r="Y391">
        <v>39.700000000000003</v>
      </c>
      <c r="Z391">
        <v>283</v>
      </c>
      <c r="AA391">
        <v>290</v>
      </c>
      <c r="AB391">
        <v>31</v>
      </c>
      <c r="AC391">
        <v>98</v>
      </c>
      <c r="AD391">
        <v>80</v>
      </c>
      <c r="AE391">
        <v>0</v>
      </c>
      <c r="AF391">
        <v>3</v>
      </c>
      <c r="AG391">
        <v>84</v>
      </c>
      <c r="AH391">
        <v>10</v>
      </c>
      <c r="AI391">
        <v>3</v>
      </c>
      <c r="AJ391" t="s">
        <v>11</v>
      </c>
      <c r="AK391">
        <v>1.06</v>
      </c>
      <c r="AL391" t="s">
        <v>1650</v>
      </c>
      <c r="AM391" t="s">
        <v>2726</v>
      </c>
      <c r="AN391" t="s">
        <v>2727</v>
      </c>
      <c r="AO391" s="1" t="str">
        <f>HYPERLINK("http://exon.niaid.nih.gov/transcriptome/T_rubida/S1/links/SWISSP/Triru-contig_332-SWISSP.txt","Protein FPV096")</f>
        <v>Protein FPV096</v>
      </c>
      <c r="AP391" t="str">
        <f>HYPERLINK("http://www.uniprot.org/uniprot/Q9J5C4","7.0")</f>
        <v>7.0</v>
      </c>
      <c r="AQ391" t="s">
        <v>2728</v>
      </c>
      <c r="AR391">
        <v>30.4</v>
      </c>
      <c r="AS391">
        <v>61</v>
      </c>
      <c r="AT391">
        <v>27</v>
      </c>
      <c r="AU391">
        <v>11</v>
      </c>
      <c r="AV391">
        <v>45</v>
      </c>
      <c r="AW391">
        <v>0</v>
      </c>
      <c r="AX391">
        <v>8</v>
      </c>
      <c r="AY391">
        <v>230</v>
      </c>
      <c r="AZ391">
        <v>1</v>
      </c>
      <c r="BA391">
        <v>2</v>
      </c>
      <c r="BB391" t="s">
        <v>11</v>
      </c>
      <c r="BC391">
        <v>1.639</v>
      </c>
      <c r="BD391" t="s">
        <v>704</v>
      </c>
      <c r="BE391" t="s">
        <v>2729</v>
      </c>
      <c r="BF391" t="s">
        <v>2730</v>
      </c>
      <c r="BG391" t="s">
        <v>2731</v>
      </c>
      <c r="BH391" s="1" t="s">
        <v>57</v>
      </c>
      <c r="BI391" t="s">
        <v>57</v>
      </c>
      <c r="BJ391" s="1" t="str">
        <f>HYPERLINK("http://exon.niaid.nih.gov/transcriptome/T_rubida/S1/links/CDD/Triru-contig_332-CDD.txt","TatC")</f>
        <v>TatC</v>
      </c>
      <c r="BK391" t="str">
        <f>HYPERLINK("http://www.ncbi.nlm.nih.gov/Structure/cdd/cddsrv.cgi?uid=pfam00902&amp;version=v4.0","0.014")</f>
        <v>0.014</v>
      </c>
      <c r="BL391" t="s">
        <v>2732</v>
      </c>
      <c r="BM391" s="1" t="str">
        <f>HYPERLINK("http://exon.niaid.nih.gov/transcriptome/T_rubida/S1/links/KOG/Triru-contig_332-KOG.txt","Mucolipidin and related proteins (TRML subfamily of transient receptor potential proteins)")</f>
        <v>Mucolipidin and related proteins (TRML subfamily of transient receptor potential proteins)</v>
      </c>
      <c r="BN391" t="str">
        <f>HYPERLINK("http://www.ncbi.nlm.nih.gov/COG/grace/shokog.cgi?KOG3733","0.15")</f>
        <v>0.15</v>
      </c>
      <c r="BO391" t="s">
        <v>849</v>
      </c>
      <c r="BP391" s="1" t="str">
        <f>HYPERLINK("http://exon.niaid.nih.gov/transcriptome/T_rubida/S1/links/PFAM/Triru-contig_332-PFAM.txt","TatC")</f>
        <v>TatC</v>
      </c>
      <c r="BQ391" t="str">
        <f>HYPERLINK("http://pfam.sanger.ac.uk/family?acc=PF00902","0.003")</f>
        <v>0.003</v>
      </c>
      <c r="BR391" s="1" t="str">
        <f>HYPERLINK("http://exon.niaid.nih.gov/transcriptome/T_rubida/S1/links/SMART/Triru-contig_332-SMART.txt","AgrB")</f>
        <v>AgrB</v>
      </c>
      <c r="BS391" t="str">
        <f>HYPERLINK("http://smart.embl-heidelberg.de/smart/do_annotation.pl?DOMAIN=AgrB&amp;BLAST=DUMMY","0.20")</f>
        <v>0.20</v>
      </c>
      <c r="BT391" s="1" t="str">
        <f>HYPERLINK("http://exon.niaid.nih.gov/transcriptome/T_rubida/S1/links/PRK/Triru-contig_332-PRK.txt","NADH dehydrogenase subunit 4")</f>
        <v>NADH dehydrogenase subunit 4</v>
      </c>
      <c r="BU391">
        <v>9.0999999999999998E-2</v>
      </c>
      <c r="BV391" s="1" t="s">
        <v>57</v>
      </c>
      <c r="BW391" t="s">
        <v>57</v>
      </c>
      <c r="BX391" s="1" t="s">
        <v>57</v>
      </c>
      <c r="BY391" t="s">
        <v>57</v>
      </c>
    </row>
    <row r="392" spans="1:77">
      <c r="A392" t="str">
        <f>HYPERLINK("http://exon.niaid.nih.gov/transcriptome/T_rubida/S1/links/Triru/Triru-contig_433.txt","Triru-contig_433")</f>
        <v>Triru-contig_433</v>
      </c>
      <c r="B392">
        <v>1</v>
      </c>
      <c r="C392" t="str">
        <f>HYPERLINK("http://exon.niaid.nih.gov/transcriptome/T_rubida/S1/links/Triru/Triru-5-48-asb-433.txt","Contig-433")</f>
        <v>Contig-433</v>
      </c>
      <c r="D392" t="str">
        <f>HYPERLINK("http://exon.niaid.nih.gov/transcriptome/T_rubida/S1/links/Triru/Triru-5-48-433-CLU.txt","Contig433")</f>
        <v>Contig433</v>
      </c>
      <c r="E392" t="str">
        <f>HYPERLINK("http://exon.niaid.nih.gov/transcriptome/T_rubida/S1/links/Triru/Triru-5-48-433-qual.txt","22.4")</f>
        <v>22.4</v>
      </c>
      <c r="F392" t="s">
        <v>10</v>
      </c>
      <c r="G392">
        <v>62.7</v>
      </c>
      <c r="H392" t="s">
        <v>57</v>
      </c>
      <c r="I392" t="s">
        <v>445</v>
      </c>
      <c r="J392" t="s">
        <v>57</v>
      </c>
      <c r="K392">
        <v>668</v>
      </c>
      <c r="L392">
        <v>192</v>
      </c>
      <c r="M392" t="s">
        <v>5666</v>
      </c>
      <c r="N392" s="15">
        <v>3</v>
      </c>
      <c r="O392" s="14" t="str">
        <f>HYPERLINK("http://exon.niaid.nih.gov/transcriptome/T_rubida/S1/links/Sigp/TRIRU-CONTIG_433-SigP.txt","Cyt")</f>
        <v>Cyt</v>
      </c>
      <c r="Q392" s="5" t="s">
        <v>4827</v>
      </c>
      <c r="R392" t="s">
        <v>4828</v>
      </c>
      <c r="V392" s="1" t="str">
        <f>HYPERLINK("http://exon.niaid.nih.gov/transcriptome/T_rubida/S1/links/NR/Triru-contig_433-NR.txt","unnamed protein product")</f>
        <v>unnamed protein product</v>
      </c>
      <c r="W392" t="str">
        <f>HYPERLINK("http://www.ncbi.nlm.nih.gov/sutils/blink.cgi?pid=47228117","0.20")</f>
        <v>0.20</v>
      </c>
      <c r="X392" t="str">
        <f>HYPERLINK("http://www.ncbi.nlm.nih.gov/protein/47228117","gi|47228117")</f>
        <v>gi|47228117</v>
      </c>
      <c r="Y392">
        <v>40.4</v>
      </c>
      <c r="Z392">
        <v>115</v>
      </c>
      <c r="AA392">
        <v>462</v>
      </c>
      <c r="AB392">
        <v>26</v>
      </c>
      <c r="AC392">
        <v>25</v>
      </c>
      <c r="AD392">
        <v>85</v>
      </c>
      <c r="AE392">
        <v>4</v>
      </c>
      <c r="AF392">
        <v>1</v>
      </c>
      <c r="AG392">
        <v>129</v>
      </c>
      <c r="AH392">
        <v>1</v>
      </c>
      <c r="AI392">
        <v>3</v>
      </c>
      <c r="AJ392" t="s">
        <v>11</v>
      </c>
      <c r="AK392">
        <v>1.7390000000000001</v>
      </c>
      <c r="AL392" t="s">
        <v>2627</v>
      </c>
      <c r="AM392" t="s">
        <v>3409</v>
      </c>
      <c r="AN392" t="s">
        <v>3410</v>
      </c>
      <c r="AO392" s="1" t="str">
        <f>HYPERLINK("http://exon.niaid.nih.gov/transcriptome/T_rubida/S1/links/SWISSP/Triru-contig_433-SWISSP.txt","GLC7-interacting protein 1")</f>
        <v>GLC7-interacting protein 1</v>
      </c>
      <c r="AP392" t="str">
        <f>HYPERLINK("http://www.uniprot.org/uniprot/P38229","0.75")</f>
        <v>0.75</v>
      </c>
      <c r="AQ392" t="s">
        <v>3411</v>
      </c>
      <c r="AR392">
        <v>34.299999999999997</v>
      </c>
      <c r="AS392">
        <v>118</v>
      </c>
      <c r="AT392">
        <v>27</v>
      </c>
      <c r="AU392">
        <v>19</v>
      </c>
      <c r="AV392">
        <v>98</v>
      </c>
      <c r="AW392">
        <v>0</v>
      </c>
      <c r="AX392">
        <v>395</v>
      </c>
      <c r="AY392">
        <v>231</v>
      </c>
      <c r="AZ392">
        <v>1</v>
      </c>
      <c r="BA392">
        <v>3</v>
      </c>
      <c r="BB392" t="s">
        <v>11</v>
      </c>
      <c r="BC392">
        <v>1.6950000000000001</v>
      </c>
      <c r="BD392" t="s">
        <v>704</v>
      </c>
      <c r="BE392" t="s">
        <v>1487</v>
      </c>
      <c r="BF392" t="s">
        <v>3412</v>
      </c>
      <c r="BG392" t="s">
        <v>3413</v>
      </c>
      <c r="BH392" s="1" t="s">
        <v>57</v>
      </c>
      <c r="BI392" t="s">
        <v>57</v>
      </c>
      <c r="BJ392" s="1" t="str">
        <f>HYPERLINK("http://exon.niaid.nih.gov/transcriptome/T_rubida/S1/links/CDD/Triru-contig_433-CDD.txt","CDC27")</f>
        <v>CDC27</v>
      </c>
      <c r="BK392" t="str">
        <f>HYPERLINK("http://www.ncbi.nlm.nih.gov/Structure/cdd/cddsrv.cgi?uid=pfam09507&amp;version=v4.0","1E-005")</f>
        <v>1E-005</v>
      </c>
      <c r="BL392" t="s">
        <v>3414</v>
      </c>
      <c r="BM392" s="1" t="str">
        <f>HYPERLINK("http://exon.niaid.nih.gov/transcriptome/T_rubida/S1/links/KOG/Triru-contig_433-KOG.txt","Predicted exonuclease")</f>
        <v>Predicted exonuclease</v>
      </c>
      <c r="BN392" t="str">
        <f>HYPERLINK("http://www.ncbi.nlm.nih.gov/COG/grace/shokog.cgi?KOG0542","0.44")</f>
        <v>0.44</v>
      </c>
      <c r="BO392" t="s">
        <v>785</v>
      </c>
      <c r="BP392" s="1" t="str">
        <f>HYPERLINK("http://exon.niaid.nih.gov/transcriptome/T_rubida/S1/links/PFAM/Triru-contig_433-PFAM.txt","CDC27")</f>
        <v>CDC27</v>
      </c>
      <c r="BQ392" t="str">
        <f>HYPERLINK("http://pfam.sanger.ac.uk/family?acc=PF09507","3E-006")</f>
        <v>3E-006</v>
      </c>
      <c r="BR392" s="1" t="str">
        <f>HYPERLINK("http://exon.niaid.nih.gov/transcriptome/T_rubida/S1/links/SMART/Triru-contig_433-SMART.txt","PSN")</f>
        <v>PSN</v>
      </c>
      <c r="BS392" t="str">
        <f>HYPERLINK("http://smart.embl-heidelberg.de/smart/do_annotation.pl?DOMAIN=PSN&amp;BLAST=DUMMY","0.20")</f>
        <v>0.20</v>
      </c>
      <c r="BT392" s="1" t="str">
        <f>HYPERLINK("http://exon.niaid.nih.gov/transcriptome/T_rubida/S1/links/PRK/Triru-contig_433-PRK.txt","cytochrome c oxidase subunit II")</f>
        <v>cytochrome c oxidase subunit II</v>
      </c>
      <c r="BU392">
        <v>0.19</v>
      </c>
      <c r="BV392" s="1" t="s">
        <v>57</v>
      </c>
      <c r="BW392" t="s">
        <v>57</v>
      </c>
      <c r="BX392" s="1" t="s">
        <v>57</v>
      </c>
      <c r="BY392" t="s">
        <v>57</v>
      </c>
    </row>
    <row r="393" spans="1:77">
      <c r="A393" t="str">
        <f>HYPERLINK("http://exon.niaid.nih.gov/transcriptome/T_rubida/S1/links/Triru/Triru-contig_437.txt","Triru-contig_437")</f>
        <v>Triru-contig_437</v>
      </c>
      <c r="B393">
        <v>1</v>
      </c>
      <c r="C393" t="str">
        <f>HYPERLINK("http://exon.niaid.nih.gov/transcriptome/T_rubida/S1/links/Triru/Triru-5-48-asb-437.txt","Contig-437")</f>
        <v>Contig-437</v>
      </c>
      <c r="D393" t="str">
        <f>HYPERLINK("http://exon.niaid.nih.gov/transcriptome/T_rubida/S1/links/Triru/Triru-5-48-437-CLU.txt","Contig437")</f>
        <v>Contig437</v>
      </c>
      <c r="E393" t="str">
        <f>HYPERLINK("http://exon.niaid.nih.gov/transcriptome/T_rubida/S1/links/Triru/Triru-5-48-437-qual.txt","57.5")</f>
        <v>57.5</v>
      </c>
      <c r="F393" t="s">
        <v>10</v>
      </c>
      <c r="G393">
        <v>63.7</v>
      </c>
      <c r="H393">
        <v>339</v>
      </c>
      <c r="I393" t="s">
        <v>449</v>
      </c>
      <c r="J393">
        <v>339</v>
      </c>
      <c r="K393">
        <v>358</v>
      </c>
      <c r="L393">
        <v>153</v>
      </c>
      <c r="M393" t="s">
        <v>5421</v>
      </c>
      <c r="N393" s="15">
        <v>1</v>
      </c>
      <c r="Q393" s="5" t="s">
        <v>4827</v>
      </c>
      <c r="R393" t="s">
        <v>4828</v>
      </c>
      <c r="V393" s="1" t="str">
        <f>HYPERLINK("http://exon.niaid.nih.gov/transcriptome/T_rubida/S1/links/NR/Triru-contig_437-NR.txt","Triple functional domain protein")</f>
        <v>Triple functional domain protein</v>
      </c>
      <c r="W393" t="str">
        <f>HYPERLINK("http://www.ncbi.nlm.nih.gov/sutils/blink.cgi?pid=332029109","0.21")</f>
        <v>0.21</v>
      </c>
      <c r="X393" t="str">
        <f>HYPERLINK("http://www.ncbi.nlm.nih.gov/protein/332029109","gi|332029109")</f>
        <v>gi|332029109</v>
      </c>
      <c r="Y393">
        <v>39.299999999999997</v>
      </c>
      <c r="Z393">
        <v>21</v>
      </c>
      <c r="AA393">
        <v>1559</v>
      </c>
      <c r="AB393">
        <v>77</v>
      </c>
      <c r="AC393">
        <v>1</v>
      </c>
      <c r="AD393">
        <v>5</v>
      </c>
      <c r="AE393">
        <v>0</v>
      </c>
      <c r="AF393">
        <v>852</v>
      </c>
      <c r="AG393">
        <v>38</v>
      </c>
      <c r="AH393">
        <v>1</v>
      </c>
      <c r="AI393">
        <v>2</v>
      </c>
      <c r="AJ393" t="s">
        <v>11</v>
      </c>
      <c r="AL393" t="s">
        <v>2597</v>
      </c>
      <c r="AM393" t="s">
        <v>3435</v>
      </c>
      <c r="AN393" t="s">
        <v>3436</v>
      </c>
      <c r="AO393" s="1" t="str">
        <f>HYPERLINK("http://exon.niaid.nih.gov/transcriptome/T_rubida/S1/links/SWISSP/Triru-contig_437-SWISSP.txt","3-ketosteroid-9-alpha-hydroxylase oxygenase subunit")</f>
        <v>3-ketosteroid-9-alpha-hydroxylase oxygenase subunit</v>
      </c>
      <c r="AP393" t="str">
        <f>HYPERLINK("http://www.uniprot.org/uniprot/A0R4R3","0.96")</f>
        <v>0.96</v>
      </c>
      <c r="AQ393" t="s">
        <v>3437</v>
      </c>
      <c r="AR393">
        <v>32.299999999999997</v>
      </c>
      <c r="AS393">
        <v>57</v>
      </c>
      <c r="AT393">
        <v>32</v>
      </c>
      <c r="AU393">
        <v>15</v>
      </c>
      <c r="AV393">
        <v>40</v>
      </c>
      <c r="AW393">
        <v>2</v>
      </c>
      <c r="AX393">
        <v>268</v>
      </c>
      <c r="AY393">
        <v>10</v>
      </c>
      <c r="AZ393">
        <v>1</v>
      </c>
      <c r="BA393">
        <v>1</v>
      </c>
      <c r="BB393" t="s">
        <v>11</v>
      </c>
      <c r="BC393">
        <v>1.754</v>
      </c>
      <c r="BD393" t="s">
        <v>704</v>
      </c>
      <c r="BE393" t="s">
        <v>3438</v>
      </c>
      <c r="BF393" t="s">
        <v>3439</v>
      </c>
      <c r="BG393" t="s">
        <v>3440</v>
      </c>
      <c r="BH393" s="1" t="s">
        <v>57</v>
      </c>
      <c r="BI393" t="s">
        <v>57</v>
      </c>
      <c r="BJ393" s="1" t="str">
        <f>HYPERLINK("http://exon.niaid.nih.gov/transcriptome/T_rubida/S1/links/CDD/Triru-contig_437-CDD.txt","DUF2463")</f>
        <v>DUF2463</v>
      </c>
      <c r="BK393" t="str">
        <f>HYPERLINK("http://www.ncbi.nlm.nih.gov/Structure/cdd/cddsrv.cgi?uid=pfam09591&amp;version=v4.0","0.012")</f>
        <v>0.012</v>
      </c>
      <c r="BL393" t="s">
        <v>3441</v>
      </c>
      <c r="BM393" s="1" t="str">
        <f>HYPERLINK("http://exon.niaid.nih.gov/transcriptome/T_rubida/S1/links/KOG/Triru-contig_437-KOG.txt","20S proteasome, regulatory subunit alpha type PSMA3/PRE10")</f>
        <v>20S proteasome, regulatory subunit alpha type PSMA3/PRE10</v>
      </c>
      <c r="BN393" t="str">
        <f>HYPERLINK("http://www.ncbi.nlm.nih.gov/COG/grace/shokog.cgi?KOG0184","0.24")</f>
        <v>0.24</v>
      </c>
      <c r="BO393" t="s">
        <v>954</v>
      </c>
      <c r="BP393" s="1" t="str">
        <f>HYPERLINK("http://exon.niaid.nih.gov/transcriptome/T_rubida/S1/links/PFAM/Triru-contig_437-PFAM.txt","DUF2463")</f>
        <v>DUF2463</v>
      </c>
      <c r="BQ393" t="str">
        <f>HYPERLINK("http://pfam.sanger.ac.uk/family?acc=PF09591","0.003")</f>
        <v>0.003</v>
      </c>
      <c r="BR393" s="1" t="str">
        <f>HYPERLINK("http://exon.niaid.nih.gov/transcriptome/T_rubida/S1/links/SMART/Triru-contig_437-SMART.txt","HX")</f>
        <v>HX</v>
      </c>
      <c r="BS393" t="str">
        <f>HYPERLINK("http://smart.embl-heidelberg.de/smart/do_annotation.pl?DOMAIN=HX&amp;BLAST=DUMMY","0.55")</f>
        <v>0.55</v>
      </c>
      <c r="BT393" s="1" t="str">
        <f>HYPERLINK("http://exon.niaid.nih.gov/transcriptome/T_rubida/S1/links/PRK/Triru-contig_437-PRK.txt","NADH dehydrogenase subunit 2")</f>
        <v>NADH dehydrogenase subunit 2</v>
      </c>
      <c r="BU393">
        <v>6.7000000000000004E-2</v>
      </c>
      <c r="BV393" s="1" t="s">
        <v>57</v>
      </c>
      <c r="BW393" t="s">
        <v>57</v>
      </c>
      <c r="BX393" s="1" t="s">
        <v>57</v>
      </c>
      <c r="BY393" t="s">
        <v>57</v>
      </c>
    </row>
    <row r="394" spans="1:77">
      <c r="A394" t="str">
        <f>HYPERLINK("http://exon.niaid.nih.gov/transcriptome/T_rubida/S1/links/Triru/Triru-contig_216.txt","Triru-contig_216")</f>
        <v>Triru-contig_216</v>
      </c>
      <c r="B394">
        <v>1</v>
      </c>
      <c r="C394" t="str">
        <f>HYPERLINK("http://exon.niaid.nih.gov/transcriptome/T_rubida/S1/links/Triru/Triru-5-48-asb-216.txt","Contig-216")</f>
        <v>Contig-216</v>
      </c>
      <c r="D394" t="str">
        <f>HYPERLINK("http://exon.niaid.nih.gov/transcriptome/T_rubida/S1/links/Triru/Triru-5-48-216-CLU.txt","Contig216")</f>
        <v>Contig216</v>
      </c>
      <c r="E394" t="str">
        <f>HYPERLINK("http://exon.niaid.nih.gov/transcriptome/T_rubida/S1/links/Triru/Triru-5-48-216-qual.txt","56.2")</f>
        <v>56.2</v>
      </c>
      <c r="F394" t="s">
        <v>10</v>
      </c>
      <c r="G394">
        <v>73.8</v>
      </c>
      <c r="H394">
        <v>164</v>
      </c>
      <c r="I394" t="s">
        <v>228</v>
      </c>
      <c r="J394">
        <v>164</v>
      </c>
      <c r="K394">
        <v>183</v>
      </c>
      <c r="L394">
        <v>123</v>
      </c>
      <c r="M394" t="s">
        <v>5425</v>
      </c>
      <c r="N394" s="15">
        <v>2</v>
      </c>
      <c r="Q394" s="5" t="s">
        <v>4827</v>
      </c>
      <c r="R394" t="s">
        <v>4828</v>
      </c>
      <c r="V394" s="1" t="str">
        <f>HYPERLINK("http://exon.niaid.nih.gov/transcriptome/T_rubida/S1/links/NR/Triru-contig_216-NR.txt","39S ribosomal protein L13-like")</f>
        <v>39S ribosomal protein L13-like</v>
      </c>
      <c r="W394" t="str">
        <f>HYPERLINK("http://www.ncbi.nlm.nih.gov/sutils/blink.cgi?pid=240849099","0.21")</f>
        <v>0.21</v>
      </c>
      <c r="X394" t="str">
        <f>HYPERLINK("http://www.ncbi.nlm.nih.gov/protein/240849099","gi|240849099")</f>
        <v>gi|240849099</v>
      </c>
      <c r="Y394">
        <v>39.299999999999997</v>
      </c>
      <c r="Z394">
        <v>26</v>
      </c>
      <c r="AA394">
        <v>180</v>
      </c>
      <c r="AB394">
        <v>59</v>
      </c>
      <c r="AC394">
        <v>15</v>
      </c>
      <c r="AD394">
        <v>11</v>
      </c>
      <c r="AE394">
        <v>1</v>
      </c>
      <c r="AF394">
        <v>151</v>
      </c>
      <c r="AG394">
        <v>17</v>
      </c>
      <c r="AH394">
        <v>1</v>
      </c>
      <c r="AI394">
        <v>2</v>
      </c>
      <c r="AJ394" t="s">
        <v>11</v>
      </c>
      <c r="AL394" t="s">
        <v>1160</v>
      </c>
      <c r="AM394" t="s">
        <v>1966</v>
      </c>
      <c r="AN394" t="s">
        <v>1967</v>
      </c>
      <c r="AO394" s="1" t="str">
        <f>HYPERLINK("http://exon.niaid.nih.gov/transcriptome/T_rubida/S1/links/SWISSP/Triru-contig_216-SWISSP.txt","39S ribosomal protein L13, mitochondrial")</f>
        <v>39S ribosomal protein L13, mitochondrial</v>
      </c>
      <c r="AP394" t="str">
        <f>HYPERLINK("http://www.uniprot.org/uniprot/Q9VJ38","18")</f>
        <v>18</v>
      </c>
      <c r="AQ394" t="s">
        <v>1968</v>
      </c>
      <c r="AR394">
        <v>28.1</v>
      </c>
      <c r="AS394">
        <v>27</v>
      </c>
      <c r="AT394">
        <v>42</v>
      </c>
      <c r="AU394">
        <v>16</v>
      </c>
      <c r="AV394">
        <v>16</v>
      </c>
      <c r="AW394">
        <v>1</v>
      </c>
      <c r="AX394">
        <v>151</v>
      </c>
      <c r="AY394">
        <v>17</v>
      </c>
      <c r="AZ394">
        <v>1</v>
      </c>
      <c r="BA394">
        <v>2</v>
      </c>
      <c r="BB394" t="s">
        <v>11</v>
      </c>
      <c r="BD394" t="s">
        <v>704</v>
      </c>
      <c r="BE394" t="s">
        <v>1125</v>
      </c>
      <c r="BF394" t="s">
        <v>1969</v>
      </c>
      <c r="BG394" t="s">
        <v>1970</v>
      </c>
      <c r="BH394" s="1" t="s">
        <v>57</v>
      </c>
      <c r="BI394" t="s">
        <v>57</v>
      </c>
      <c r="BJ394" s="1" t="str">
        <f>HYPERLINK("http://exon.niaid.nih.gov/transcriptome/T_rubida/S1/links/CDD/Triru-contig_216-CDD.txt","FlaD")</f>
        <v>FlaD</v>
      </c>
      <c r="BK394" t="str">
        <f>HYPERLINK("http://www.ncbi.nlm.nih.gov/Structure/cdd/cddsrv.cgi?uid=COG3351&amp;version=v4.0","0.16")</f>
        <v>0.16</v>
      </c>
      <c r="BL394" t="s">
        <v>1971</v>
      </c>
      <c r="BM394" s="1" t="str">
        <f>HYPERLINK("http://exon.niaid.nih.gov/transcriptome/T_rubida/S1/links/KOG/Triru-contig_216-KOG.txt","Sterol O-acyltransferase/Diacylglycerol O-acyltransferase")</f>
        <v>Sterol O-acyltransferase/Diacylglycerol O-acyltransferase</v>
      </c>
      <c r="BN394" t="str">
        <f>HYPERLINK("http://www.ncbi.nlm.nih.gov/COG/grace/shokog.cgi?KOG0380","1.0")</f>
        <v>1.0</v>
      </c>
      <c r="BO394" t="s">
        <v>709</v>
      </c>
      <c r="BP394" s="1" t="str">
        <f>HYPERLINK("http://exon.niaid.nih.gov/transcriptome/T_rubida/S1/links/PFAM/Triru-contig_216-PFAM.txt","DNA_gyraseB")</f>
        <v>DNA_gyraseB</v>
      </c>
      <c r="BQ394" t="str">
        <f>HYPERLINK("http://pfam.sanger.ac.uk/family?acc=PF00204","0.56")</f>
        <v>0.56</v>
      </c>
      <c r="BR394" s="1" t="str">
        <f>HYPERLINK("http://exon.niaid.nih.gov/transcriptome/T_rubida/S1/links/SMART/Triru-contig_216-SMART.txt","RHO")</f>
        <v>RHO</v>
      </c>
      <c r="BS394" t="str">
        <f>HYPERLINK("http://smart.embl-heidelberg.de/smart/do_annotation.pl?DOMAIN=RHO&amp;BLAST=DUMMY","0.79")</f>
        <v>0.79</v>
      </c>
      <c r="BT394" s="1" t="str">
        <f>HYPERLINK("http://exon.niaid.nih.gov/transcriptome/T_rubida/S1/links/PRK/Triru-contig_216-PRK.txt","3-oxoacyl-(acyl carrier protein) synthase I")</f>
        <v>3-oxoacyl-(acyl carrier protein) synthase I</v>
      </c>
      <c r="BU394">
        <v>1.3</v>
      </c>
      <c r="BV394" s="1" t="s">
        <v>57</v>
      </c>
      <c r="BW394" t="s">
        <v>57</v>
      </c>
      <c r="BX394" s="1" t="s">
        <v>57</v>
      </c>
      <c r="BY394" t="s">
        <v>57</v>
      </c>
    </row>
    <row r="395" spans="1:77">
      <c r="A395" t="str">
        <f>HYPERLINK("http://exon.niaid.nih.gov/transcriptome/T_rubida/S1/links/Triru/Triru-contig_306.txt","Triru-contig_306")</f>
        <v>Triru-contig_306</v>
      </c>
      <c r="B395">
        <v>1</v>
      </c>
      <c r="C395" t="str">
        <f>HYPERLINK("http://exon.niaid.nih.gov/transcriptome/T_rubida/S1/links/Triru/Triru-5-48-asb-306.txt","Contig-306")</f>
        <v>Contig-306</v>
      </c>
      <c r="D395" t="str">
        <f>HYPERLINK("http://exon.niaid.nih.gov/transcriptome/T_rubida/S1/links/Triru/Triru-5-48-306-CLU.txt","Contig306")</f>
        <v>Contig306</v>
      </c>
      <c r="E395" t="str">
        <f>HYPERLINK("http://exon.niaid.nih.gov/transcriptome/T_rubida/S1/links/Triru/Triru-5-48-306-qual.txt","60.5")</f>
        <v>60.5</v>
      </c>
      <c r="F395" t="s">
        <v>10</v>
      </c>
      <c r="G395">
        <v>64.3</v>
      </c>
      <c r="H395">
        <v>194</v>
      </c>
      <c r="I395" t="s">
        <v>318</v>
      </c>
      <c r="J395">
        <v>194</v>
      </c>
      <c r="K395">
        <v>213</v>
      </c>
      <c r="L395">
        <v>162</v>
      </c>
      <c r="M395" t="s">
        <v>5435</v>
      </c>
      <c r="N395" s="15">
        <v>3</v>
      </c>
      <c r="O395" s="14" t="str">
        <f>HYPERLINK("http://exon.niaid.nih.gov/transcriptome/T_rubida/S1/links/Sigp/TRIRU-CONTIG_306-SigP.txt","Cyt")</f>
        <v>Cyt</v>
      </c>
      <c r="Q395" s="5" t="s">
        <v>4827</v>
      </c>
      <c r="R395" t="s">
        <v>4828</v>
      </c>
      <c r="V395" s="1" t="str">
        <f>HYPERLINK("http://exon.niaid.nih.gov/transcriptome/T_rubida/S1/links/NR/Triru-contig_306-NR.txt","AGAP006768-PA")</f>
        <v>AGAP006768-PA</v>
      </c>
      <c r="W395" t="str">
        <f>HYPERLINK("http://www.ncbi.nlm.nih.gov/sutils/blink.cgi?pid=158286873","0.21")</f>
        <v>0.21</v>
      </c>
      <c r="X395" t="str">
        <f>HYPERLINK("http://www.ncbi.nlm.nih.gov/protein/158286873","gi|158286873")</f>
        <v>gi|158286873</v>
      </c>
      <c r="Y395">
        <v>39.299999999999997</v>
      </c>
      <c r="Z395">
        <v>23</v>
      </c>
      <c r="AA395">
        <v>562</v>
      </c>
      <c r="AB395">
        <v>66</v>
      </c>
      <c r="AC395">
        <v>4</v>
      </c>
      <c r="AD395">
        <v>8</v>
      </c>
      <c r="AE395">
        <v>0</v>
      </c>
      <c r="AF395">
        <v>536</v>
      </c>
      <c r="AG395">
        <v>6</v>
      </c>
      <c r="AH395">
        <v>1</v>
      </c>
      <c r="AI395">
        <v>3</v>
      </c>
      <c r="AJ395" t="s">
        <v>11</v>
      </c>
      <c r="AL395" t="s">
        <v>2549</v>
      </c>
      <c r="AM395" t="s">
        <v>2550</v>
      </c>
      <c r="AN395" t="s">
        <v>2551</v>
      </c>
      <c r="AO395" s="1" t="str">
        <f>HYPERLINK("http://exon.niaid.nih.gov/transcriptome/T_rubida/S1/links/SWISSP/Triru-contig_306-SWISSP.txt","Diacylglycerol kinase alpha")</f>
        <v>Diacylglycerol kinase alpha</v>
      </c>
      <c r="AP395" t="str">
        <f>HYPERLINK("http://www.uniprot.org/uniprot/P51556","0.15")</f>
        <v>0.15</v>
      </c>
      <c r="AQ395" t="s">
        <v>2552</v>
      </c>
      <c r="AR395">
        <v>35</v>
      </c>
      <c r="AS395">
        <v>30</v>
      </c>
      <c r="AT395">
        <v>51</v>
      </c>
      <c r="AU395">
        <v>4</v>
      </c>
      <c r="AV395">
        <v>15</v>
      </c>
      <c r="AW395">
        <v>0</v>
      </c>
      <c r="AX395">
        <v>691</v>
      </c>
      <c r="AY395">
        <v>6</v>
      </c>
      <c r="AZ395">
        <v>1</v>
      </c>
      <c r="BA395">
        <v>3</v>
      </c>
      <c r="BB395" t="s">
        <v>11</v>
      </c>
      <c r="BD395" t="s">
        <v>704</v>
      </c>
      <c r="BE395" t="s">
        <v>1164</v>
      </c>
      <c r="BF395" t="s">
        <v>2553</v>
      </c>
      <c r="BG395" t="s">
        <v>2554</v>
      </c>
      <c r="BH395" s="1" t="s">
        <v>57</v>
      </c>
      <c r="BI395" t="s">
        <v>57</v>
      </c>
      <c r="BJ395" s="1" t="str">
        <f>HYPERLINK("http://exon.niaid.nih.gov/transcriptome/T_rubida/S1/links/CDD/Triru-contig_306-CDD.txt","Cwf_Cwc_15")</f>
        <v>Cwf_Cwc_15</v>
      </c>
      <c r="BK395" t="str">
        <f>HYPERLINK("http://www.ncbi.nlm.nih.gov/Structure/cdd/cddsrv.cgi?uid=pfam04889&amp;version=v4.0","0.99")</f>
        <v>0.99</v>
      </c>
      <c r="BL395" t="s">
        <v>2555</v>
      </c>
      <c r="BM395" s="1" t="str">
        <f>HYPERLINK("http://exon.niaid.nih.gov/transcriptome/T_rubida/S1/links/KOG/Triru-contig_306-KOG.txt","Diacylglycerol kinase")</f>
        <v>Diacylglycerol kinase</v>
      </c>
      <c r="BN395" t="str">
        <f>HYPERLINK("http://www.ncbi.nlm.nih.gov/COG/grace/shokog.cgi?KOG1169","2E-005")</f>
        <v>2E-005</v>
      </c>
      <c r="BO395" t="s">
        <v>2556</v>
      </c>
      <c r="BP395" s="1" t="str">
        <f>HYPERLINK("http://exon.niaid.nih.gov/transcriptome/T_rubida/S1/links/PFAM/Triru-contig_306-PFAM.txt","Cwf_Cwc_15")</f>
        <v>Cwf_Cwc_15</v>
      </c>
      <c r="BQ395" t="str">
        <f>HYPERLINK("http://pfam.sanger.ac.uk/family?acc=PF04889","0.21")</f>
        <v>0.21</v>
      </c>
      <c r="BR395" s="1" t="str">
        <f>HYPERLINK("http://exon.niaid.nih.gov/transcriptome/T_rubida/S1/links/SMART/Triru-contig_306-SMART.txt","IGc1")</f>
        <v>IGc1</v>
      </c>
      <c r="BS395" t="str">
        <f>HYPERLINK("http://smart.embl-heidelberg.de/smart/do_annotation.pl?DOMAIN=IGc1&amp;BLAST=DUMMY","0.31")</f>
        <v>0.31</v>
      </c>
      <c r="BT395" s="1" t="str">
        <f>HYPERLINK("http://exon.niaid.nih.gov/transcriptome/T_rubida/S1/links/PRK/Triru-contig_306-PRK.txt","NADH dehydrogenase subunit 2")</f>
        <v>NADH dehydrogenase subunit 2</v>
      </c>
      <c r="BU395">
        <v>0.54</v>
      </c>
      <c r="BV395" s="1" t="s">
        <v>57</v>
      </c>
      <c r="BW395" t="s">
        <v>57</v>
      </c>
      <c r="BX395" s="1" t="s">
        <v>57</v>
      </c>
      <c r="BY395" t="s">
        <v>57</v>
      </c>
    </row>
    <row r="396" spans="1:77">
      <c r="A396" t="str">
        <f>HYPERLINK("http://exon.niaid.nih.gov/transcriptome/T_rubida/S1/links/Triru/Triru-contig_515.txt","Triru-contig_515")</f>
        <v>Triru-contig_515</v>
      </c>
      <c r="B396">
        <v>1</v>
      </c>
      <c r="C396" t="str">
        <f>HYPERLINK("http://exon.niaid.nih.gov/transcriptome/T_rubida/S1/links/Triru/Triru-5-48-asb-515.txt","Contig-515")</f>
        <v>Contig-515</v>
      </c>
      <c r="D396" t="str">
        <f>HYPERLINK("http://exon.niaid.nih.gov/transcriptome/T_rubida/S1/links/Triru/Triru-5-48-515-CLU.txt","Contig515")</f>
        <v>Contig515</v>
      </c>
      <c r="E396" t="str">
        <f>HYPERLINK("http://exon.niaid.nih.gov/transcriptome/T_rubida/S1/links/Triru/Triru-5-48-515-qual.txt","65.")</f>
        <v>65.</v>
      </c>
      <c r="F396" t="s">
        <v>10</v>
      </c>
      <c r="G396">
        <v>59</v>
      </c>
      <c r="H396">
        <v>403</v>
      </c>
      <c r="I396" t="s">
        <v>527</v>
      </c>
      <c r="J396">
        <v>403</v>
      </c>
      <c r="K396">
        <v>422</v>
      </c>
      <c r="L396">
        <v>126</v>
      </c>
      <c r="M396" t="s">
        <v>5467</v>
      </c>
      <c r="N396" s="15">
        <v>2</v>
      </c>
      <c r="Q396" s="5" t="s">
        <v>4827</v>
      </c>
      <c r="R396" t="s">
        <v>4828</v>
      </c>
      <c r="V396" s="1" t="str">
        <f>HYPERLINK("http://exon.niaid.nih.gov/transcriptome/T_rubida/S1/links/NR/Triru-contig_515-NR.txt","hypothetical protein EAG_08095")</f>
        <v>hypothetical protein EAG_08095</v>
      </c>
      <c r="W396" t="str">
        <f>HYPERLINK("http://www.ncbi.nlm.nih.gov/sutils/blink.cgi?pid=307190333","0.21")</f>
        <v>0.21</v>
      </c>
      <c r="X396" t="str">
        <f>HYPERLINK("http://www.ncbi.nlm.nih.gov/protein/307190333","gi|307190333")</f>
        <v>gi|307190333</v>
      </c>
      <c r="Y396">
        <v>37</v>
      </c>
      <c r="Z396">
        <v>85</v>
      </c>
      <c r="AA396">
        <v>300</v>
      </c>
      <c r="AB396">
        <v>40</v>
      </c>
      <c r="AC396">
        <v>29</v>
      </c>
      <c r="AD396">
        <v>22</v>
      </c>
      <c r="AE396">
        <v>0</v>
      </c>
      <c r="AF396">
        <v>188</v>
      </c>
      <c r="AG396">
        <v>13</v>
      </c>
      <c r="AH396">
        <v>2</v>
      </c>
      <c r="AI396">
        <v>3</v>
      </c>
      <c r="AJ396" t="s">
        <v>888</v>
      </c>
      <c r="AK396">
        <v>1.1759999999999999</v>
      </c>
      <c r="AL396" t="s">
        <v>1650</v>
      </c>
      <c r="AM396" t="s">
        <v>3966</v>
      </c>
      <c r="AN396" t="s">
        <v>1903</v>
      </c>
      <c r="AO396" s="1" t="str">
        <f>HYPERLINK("http://exon.niaid.nih.gov/transcriptome/T_rubida/S1/links/SWISSP/Triru-contig_515-SWISSP.txt","1,4-alpha-glucan-branching enzyme")</f>
        <v>1,4-alpha-glucan-branching enzyme</v>
      </c>
      <c r="AP396" t="str">
        <f>HYPERLINK("http://www.uniprot.org/uniprot/Q1H1K2","14")</f>
        <v>14</v>
      </c>
      <c r="AQ396" t="s">
        <v>3967</v>
      </c>
      <c r="AR396">
        <v>28.5</v>
      </c>
      <c r="AS396">
        <v>46</v>
      </c>
      <c r="AT396">
        <v>44</v>
      </c>
      <c r="AU396">
        <v>6</v>
      </c>
      <c r="AV396">
        <v>26</v>
      </c>
      <c r="AW396">
        <v>5</v>
      </c>
      <c r="AX396">
        <v>416</v>
      </c>
      <c r="AY396">
        <v>225</v>
      </c>
      <c r="AZ396">
        <v>1</v>
      </c>
      <c r="BA396">
        <v>3</v>
      </c>
      <c r="BB396" t="s">
        <v>11</v>
      </c>
      <c r="BC396">
        <v>2.1739999999999999</v>
      </c>
      <c r="BD396" t="s">
        <v>704</v>
      </c>
      <c r="BE396" t="s">
        <v>3968</v>
      </c>
      <c r="BF396" t="s">
        <v>3969</v>
      </c>
      <c r="BG396" t="s">
        <v>3970</v>
      </c>
      <c r="BH396" s="1" t="s">
        <v>57</v>
      </c>
      <c r="BI396" t="s">
        <v>57</v>
      </c>
      <c r="BJ396" s="1" t="str">
        <f>HYPERLINK("http://exon.niaid.nih.gov/transcriptome/T_rubida/S1/links/CDD/Triru-contig_515-CDD.txt","PLN03180")</f>
        <v>PLN03180</v>
      </c>
      <c r="BK396" t="str">
        <f>HYPERLINK("http://www.ncbi.nlm.nih.gov/Structure/cdd/cddsrv.cgi?uid=PLN03180&amp;version=v4.0","0.44")</f>
        <v>0.44</v>
      </c>
      <c r="BL396" t="s">
        <v>3971</v>
      </c>
      <c r="BM396" s="1" t="str">
        <f>HYPERLINK("http://exon.niaid.nih.gov/transcriptome/T_rubida/S1/links/KOG/Triru-contig_515-KOG.txt","Transcription factor NF-X1, contains NFX-type Zn2+-binding and R3H domains")</f>
        <v>Transcription factor NF-X1, contains NFX-type Zn2+-binding and R3H domains</v>
      </c>
      <c r="BN396" t="str">
        <f>HYPERLINK("http://www.ncbi.nlm.nih.gov/COG/grace/shokog.cgi?KOG1952","0.32")</f>
        <v>0.32</v>
      </c>
      <c r="BO396" t="s">
        <v>790</v>
      </c>
      <c r="BP396" s="1" t="str">
        <f>HYPERLINK("http://exon.niaid.nih.gov/transcriptome/T_rubida/S1/links/PFAM/Triru-contig_515-PFAM.txt","TRM13")</f>
        <v>TRM13</v>
      </c>
      <c r="BQ396" t="str">
        <f>HYPERLINK("http://pfam.sanger.ac.uk/family?acc=PF05206","1.1")</f>
        <v>1.1</v>
      </c>
      <c r="BR396" s="1" t="str">
        <f>HYPERLINK("http://exon.niaid.nih.gov/transcriptome/T_rubida/S1/links/SMART/Triru-contig_515-SMART.txt","Ku78")</f>
        <v>Ku78</v>
      </c>
      <c r="BS396" t="str">
        <f>HYPERLINK("http://smart.embl-heidelberg.de/smart/do_annotation.pl?DOMAIN=Ku78&amp;BLAST=DUMMY","0.10")</f>
        <v>0.10</v>
      </c>
      <c r="BT396" s="1" t="str">
        <f>HYPERLINK("http://exon.niaid.nih.gov/transcriptome/T_rubida/S1/links/PRK/Triru-contig_515-PRK.txt","reversibly glycosylated polypeptide")</f>
        <v>reversibly glycosylated polypeptide</v>
      </c>
      <c r="BU396">
        <v>0.21</v>
      </c>
      <c r="BV396" s="1" t="s">
        <v>57</v>
      </c>
      <c r="BW396" t="s">
        <v>57</v>
      </c>
      <c r="BX396" s="1" t="s">
        <v>57</v>
      </c>
      <c r="BY396" t="s">
        <v>57</v>
      </c>
    </row>
    <row r="397" spans="1:77">
      <c r="A397" t="str">
        <f>HYPERLINK("http://exon.niaid.nih.gov/transcriptome/T_rubida/S1/links/Triru/Triru-contig_440.txt","Triru-contig_440")</f>
        <v>Triru-contig_440</v>
      </c>
      <c r="B397">
        <v>1</v>
      </c>
      <c r="C397" t="str">
        <f>HYPERLINK("http://exon.niaid.nih.gov/transcriptome/T_rubida/S1/links/Triru/Triru-5-48-asb-440.txt","Contig-440")</f>
        <v>Contig-440</v>
      </c>
      <c r="D397" t="str">
        <f>HYPERLINK("http://exon.niaid.nih.gov/transcriptome/T_rubida/S1/links/Triru/Triru-5-48-440-CLU.txt","Contig440")</f>
        <v>Contig440</v>
      </c>
      <c r="E397" t="str">
        <f>HYPERLINK("http://exon.niaid.nih.gov/transcriptome/T_rubida/S1/links/Triru/Triru-5-48-440-qual.txt","29.5")</f>
        <v>29.5</v>
      </c>
      <c r="F397">
        <v>0.2</v>
      </c>
      <c r="G397">
        <v>52.7</v>
      </c>
      <c r="H397">
        <v>619</v>
      </c>
      <c r="I397" t="s">
        <v>452</v>
      </c>
      <c r="J397">
        <v>619</v>
      </c>
      <c r="K397">
        <v>638</v>
      </c>
      <c r="L397">
        <v>291</v>
      </c>
      <c r="M397" t="s">
        <v>5693</v>
      </c>
      <c r="N397" s="15">
        <v>3</v>
      </c>
      <c r="O397" s="14" t="str">
        <f>HYPERLINK("http://exon.niaid.nih.gov/transcriptome/T_rubida/S1/links/Sigp/TRIRU-CONTIG_440-SigP.txt","SIG")</f>
        <v>SIG</v>
      </c>
      <c r="Q397" s="5" t="s">
        <v>4827</v>
      </c>
      <c r="R397" t="s">
        <v>4828</v>
      </c>
      <c r="V397" s="1" t="str">
        <f>HYPERLINK("http://exon.niaid.nih.gov/transcriptome/T_rubida/S1/links/NR/Triru-contig_440-NR.txt","hypothetical protein")</f>
        <v>hypothetical protein</v>
      </c>
      <c r="W397" t="str">
        <f>HYPERLINK("http://www.ncbi.nlm.nih.gov/sutils/blink.cgi?pid=74026416","0.21")</f>
        <v>0.21</v>
      </c>
      <c r="X397" t="str">
        <f>HYPERLINK("http://www.ncbi.nlm.nih.gov/protein/74026416","gi|74026416")</f>
        <v>gi|74026416</v>
      </c>
      <c r="Y397">
        <v>28.1</v>
      </c>
      <c r="Z397">
        <v>18</v>
      </c>
      <c r="AA397">
        <v>232</v>
      </c>
      <c r="AB397">
        <v>90</v>
      </c>
      <c r="AC397">
        <v>8</v>
      </c>
      <c r="AD397">
        <v>1</v>
      </c>
      <c r="AE397">
        <v>0</v>
      </c>
      <c r="AF397">
        <v>51</v>
      </c>
      <c r="AG397">
        <v>483</v>
      </c>
      <c r="AH397">
        <v>3</v>
      </c>
      <c r="AI397">
        <v>3</v>
      </c>
      <c r="AJ397" t="s">
        <v>11</v>
      </c>
      <c r="AK397">
        <v>5.556</v>
      </c>
      <c r="AL397" t="s">
        <v>1958</v>
      </c>
      <c r="AM397" t="s">
        <v>3456</v>
      </c>
      <c r="AN397" t="s">
        <v>3457</v>
      </c>
      <c r="AO397" s="1" t="str">
        <f>HYPERLINK("http://exon.niaid.nih.gov/transcriptome/T_rubida/S1/links/SWISSP/Triru-contig_440-SWISSP.txt","Putative uncharacterized protein YKL030W")</f>
        <v>Putative uncharacterized protein YKL030W</v>
      </c>
      <c r="AP397" t="str">
        <f>HYPERLINK("http://www.uniprot.org/uniprot/P36099","0.69")</f>
        <v>0.69</v>
      </c>
      <c r="AQ397" t="s">
        <v>3458</v>
      </c>
      <c r="AR397">
        <v>34.299999999999997</v>
      </c>
      <c r="AS397">
        <v>24</v>
      </c>
      <c r="AT397">
        <v>56</v>
      </c>
      <c r="AU397">
        <v>12</v>
      </c>
      <c r="AV397">
        <v>11</v>
      </c>
      <c r="AW397">
        <v>0</v>
      </c>
      <c r="AX397">
        <v>24</v>
      </c>
      <c r="AY397">
        <v>498</v>
      </c>
      <c r="AZ397">
        <v>1</v>
      </c>
      <c r="BA397">
        <v>3</v>
      </c>
      <c r="BB397" t="s">
        <v>11</v>
      </c>
      <c r="BC397">
        <v>8.3330000000000002</v>
      </c>
      <c r="BD397" t="s">
        <v>704</v>
      </c>
      <c r="BE397" t="s">
        <v>1487</v>
      </c>
      <c r="BF397" t="s">
        <v>3459</v>
      </c>
      <c r="BG397" t="s">
        <v>3460</v>
      </c>
      <c r="BH397" s="1" t="s">
        <v>57</v>
      </c>
      <c r="BI397" t="s">
        <v>57</v>
      </c>
      <c r="BJ397" s="1" t="str">
        <f>HYPERLINK("http://exon.niaid.nih.gov/transcriptome/T_rubida/S1/links/CDD/Triru-contig_440-CDD.txt","Ribosomal_L19e")</f>
        <v>Ribosomal_L19e</v>
      </c>
      <c r="BK397" t="str">
        <f>HYPERLINK("http://www.ncbi.nlm.nih.gov/Structure/cdd/cddsrv.cgi?uid=cd00481&amp;version=v4.0","0.041")</f>
        <v>0.041</v>
      </c>
      <c r="BL397" t="s">
        <v>3461</v>
      </c>
      <c r="BM397" s="1" t="str">
        <f>HYPERLINK("http://exon.niaid.nih.gov/transcriptome/T_rubida/S1/links/KOG/Triru-contig_440-KOG.txt","Translation initiation factor 3, subunit a (eIF-3a)")</f>
        <v>Translation initiation factor 3, subunit a (eIF-3a)</v>
      </c>
      <c r="BN397" t="str">
        <f>HYPERLINK("http://www.ncbi.nlm.nih.gov/COG/grace/shokog.cgi?KOG2072","0.001")</f>
        <v>0.001</v>
      </c>
      <c r="BO397" t="s">
        <v>1185</v>
      </c>
      <c r="BP397" s="1" t="str">
        <f>HYPERLINK("http://exon.niaid.nih.gov/transcriptome/T_rubida/S1/links/PFAM/Triru-contig_440-PFAM.txt","Ribosomal_L19e")</f>
        <v>Ribosomal_L19e</v>
      </c>
      <c r="BQ397" t="str">
        <f>HYPERLINK("http://pfam.sanger.ac.uk/family?acc=PF01280","0.011")</f>
        <v>0.011</v>
      </c>
      <c r="BR397" s="1" t="str">
        <f>HYPERLINK("http://exon.niaid.nih.gov/transcriptome/T_rubida/S1/links/SMART/Triru-contig_440-SMART.txt","DM6")</f>
        <v>DM6</v>
      </c>
      <c r="BS397" t="str">
        <f>HYPERLINK("http://smart.embl-heidelberg.de/smart/do_annotation.pl?DOMAIN=DM6&amp;BLAST=DUMMY","0.16")</f>
        <v>0.16</v>
      </c>
      <c r="BT397" s="1" t="str">
        <f>HYPERLINK("http://exon.niaid.nih.gov/transcriptome/T_rubida/S1/links/PRK/Triru-contig_440-PRK.txt","50S ribosomal protein L19e")</f>
        <v>50S ribosomal protein L19e</v>
      </c>
      <c r="BU397">
        <v>0.12</v>
      </c>
      <c r="BV397" s="1" t="s">
        <v>57</v>
      </c>
      <c r="BW397" t="s">
        <v>57</v>
      </c>
      <c r="BX397" s="1" t="s">
        <v>57</v>
      </c>
      <c r="BY397" t="s">
        <v>57</v>
      </c>
    </row>
    <row r="398" spans="1:77">
      <c r="A398" t="str">
        <f>HYPERLINK("http://exon.niaid.nih.gov/transcriptome/T_rubida/S1/links/Triru/Triru-contig_389.txt","Triru-contig_389")</f>
        <v>Triru-contig_389</v>
      </c>
      <c r="B398">
        <v>1</v>
      </c>
      <c r="C398" t="str">
        <f>HYPERLINK("http://exon.niaid.nih.gov/transcriptome/T_rubida/S1/links/Triru/Triru-5-48-asb-389.txt","Contig-389")</f>
        <v>Contig-389</v>
      </c>
      <c r="D398" t="str">
        <f>HYPERLINK("http://exon.niaid.nih.gov/transcriptome/T_rubida/S1/links/Triru/Triru-5-48-389-CLU.txt","Contig389")</f>
        <v>Contig389</v>
      </c>
      <c r="E398" t="str">
        <f>HYPERLINK("http://exon.niaid.nih.gov/transcriptome/T_rubida/S1/links/Triru/Triru-5-48-389-qual.txt","55.7")</f>
        <v>55.7</v>
      </c>
      <c r="F398" t="s">
        <v>10</v>
      </c>
      <c r="G398">
        <v>77.599999999999994</v>
      </c>
      <c r="H398">
        <v>691</v>
      </c>
      <c r="I398" t="s">
        <v>401</v>
      </c>
      <c r="J398">
        <v>691</v>
      </c>
      <c r="K398">
        <v>710</v>
      </c>
      <c r="L398">
        <v>300</v>
      </c>
      <c r="M398" t="s">
        <v>5659</v>
      </c>
      <c r="N398" s="15">
        <v>1</v>
      </c>
      <c r="Q398" s="5" t="s">
        <v>4827</v>
      </c>
      <c r="R398" t="s">
        <v>4828</v>
      </c>
      <c r="V398" s="1" t="str">
        <f>HYPERLINK("http://exon.niaid.nih.gov/transcriptome/T_rubida/S1/links/NR/Triru-contig_389-NR.txt","Ymf77")</f>
        <v>Ymf77</v>
      </c>
      <c r="W398" t="str">
        <f>HYPERLINK("http://www.ncbi.nlm.nih.gov/sutils/blink.cgi?pid=114329887","0.23")</f>
        <v>0.23</v>
      </c>
      <c r="X398" t="str">
        <f>HYPERLINK("http://www.ncbi.nlm.nih.gov/protein/114329887","gi|114329887")</f>
        <v>gi|114329887</v>
      </c>
      <c r="Y398">
        <v>40.4</v>
      </c>
      <c r="Z398">
        <v>97</v>
      </c>
      <c r="AA398">
        <v>1333</v>
      </c>
      <c r="AB398">
        <v>25</v>
      </c>
      <c r="AC398">
        <v>7</v>
      </c>
      <c r="AD398">
        <v>79</v>
      </c>
      <c r="AE398">
        <v>2</v>
      </c>
      <c r="AF398">
        <v>214</v>
      </c>
      <c r="AG398">
        <v>280</v>
      </c>
      <c r="AH398">
        <v>1</v>
      </c>
      <c r="AI398">
        <v>1</v>
      </c>
      <c r="AJ398" t="s">
        <v>11</v>
      </c>
      <c r="AK398">
        <v>1.0309999999999999</v>
      </c>
      <c r="AL398" t="s">
        <v>3115</v>
      </c>
      <c r="AM398" t="s">
        <v>3116</v>
      </c>
      <c r="AN398" t="s">
        <v>3117</v>
      </c>
      <c r="AO398" s="1" t="str">
        <f>HYPERLINK("http://exon.niaid.nih.gov/transcriptome/T_rubida/S1/links/SWISSP/Triru-contig_389-SWISSP.txt","Replicase large subunit")</f>
        <v>Replicase large subunit</v>
      </c>
      <c r="AP398" t="str">
        <f>HYPERLINK("http://www.uniprot.org/uniprot/Q88920","9.3")</f>
        <v>9.3</v>
      </c>
      <c r="AQ398" t="s">
        <v>3118</v>
      </c>
      <c r="AR398">
        <v>30.8</v>
      </c>
      <c r="AS398">
        <v>110</v>
      </c>
      <c r="AT398">
        <v>24</v>
      </c>
      <c r="AU398">
        <v>7</v>
      </c>
      <c r="AV398">
        <v>86</v>
      </c>
      <c r="AW398">
        <v>19</v>
      </c>
      <c r="AX398">
        <v>221</v>
      </c>
      <c r="AY398">
        <v>214</v>
      </c>
      <c r="AZ398">
        <v>1</v>
      </c>
      <c r="BA398">
        <v>1</v>
      </c>
      <c r="BB398" t="s">
        <v>11</v>
      </c>
      <c r="BC398">
        <v>0.90900000000000003</v>
      </c>
      <c r="BD398" t="s">
        <v>704</v>
      </c>
      <c r="BE398" t="s">
        <v>3119</v>
      </c>
      <c r="BF398" t="s">
        <v>3120</v>
      </c>
      <c r="BG398" t="s">
        <v>3121</v>
      </c>
      <c r="BH398" s="1" t="s">
        <v>57</v>
      </c>
      <c r="BI398" t="s">
        <v>57</v>
      </c>
      <c r="BJ398" s="1" t="str">
        <f>HYPERLINK("http://exon.niaid.nih.gov/transcriptome/T_rubida/S1/links/CDD/Triru-contig_389-CDD.txt","ND6")</f>
        <v>ND6</v>
      </c>
      <c r="BK398" t="str">
        <f>HYPERLINK("http://www.ncbi.nlm.nih.gov/Structure/cdd/cddsrv.cgi?uid=MTH00064&amp;version=v4.0","3E-004")</f>
        <v>3E-004</v>
      </c>
      <c r="BL398" t="s">
        <v>3122</v>
      </c>
      <c r="BM398" s="1" t="str">
        <f>HYPERLINK("http://exon.niaid.nih.gov/transcriptome/T_rubida/S1/links/KOG/Triru-contig_389-KOG.txt","Nuclear division RFT1 protein")</f>
        <v>Nuclear division RFT1 protein</v>
      </c>
      <c r="BN398" t="str">
        <f>HYPERLINK("http://www.ncbi.nlm.nih.gov/COG/grace/shokog.cgi?KOG2864","0.36")</f>
        <v>0.36</v>
      </c>
      <c r="BO398" t="s">
        <v>715</v>
      </c>
      <c r="BP398" s="1" t="str">
        <f>HYPERLINK("http://exon.niaid.nih.gov/transcriptome/T_rubida/S1/links/PFAM/Triru-contig_389-PFAM.txt","DUF2972")</f>
        <v>DUF2972</v>
      </c>
      <c r="BQ398" t="str">
        <f>HYPERLINK("http://pfam.sanger.ac.uk/family?acc=PF11186","0.003")</f>
        <v>0.003</v>
      </c>
      <c r="BR398" s="1" t="str">
        <f>HYPERLINK("http://exon.niaid.nih.gov/transcriptome/T_rubida/S1/links/SMART/Triru-contig_389-SMART.txt","PSN")</f>
        <v>PSN</v>
      </c>
      <c r="BS398" t="str">
        <f>HYPERLINK("http://smart.embl-heidelberg.de/smart/do_annotation.pl?DOMAIN=PSN&amp;BLAST=DUMMY","0.15")</f>
        <v>0.15</v>
      </c>
      <c r="BT398" s="1" t="str">
        <f>HYPERLINK("http://exon.niaid.nih.gov/transcriptome/T_rubida/S1/links/PRK/Triru-contig_389-PRK.txt","NADH dehydrogenase subunit 6")</f>
        <v>NADH dehydrogenase subunit 6</v>
      </c>
      <c r="BU398" s="2">
        <v>1E-4</v>
      </c>
      <c r="BV398" s="1" t="s">
        <v>57</v>
      </c>
      <c r="BW398" t="s">
        <v>57</v>
      </c>
      <c r="BX398" s="1" t="s">
        <v>57</v>
      </c>
      <c r="BY398" t="s">
        <v>57</v>
      </c>
    </row>
    <row r="399" spans="1:77">
      <c r="A399" t="str">
        <f>HYPERLINK("http://exon.niaid.nih.gov/transcriptome/T_rubida/S1/links/Triru/Triru-contig_505.txt","Triru-contig_505")</f>
        <v>Triru-contig_505</v>
      </c>
      <c r="B399">
        <v>1</v>
      </c>
      <c r="C399" t="str">
        <f>HYPERLINK("http://exon.niaid.nih.gov/transcriptome/T_rubida/S1/links/Triru/Triru-5-48-asb-505.txt","Contig-505")</f>
        <v>Contig-505</v>
      </c>
      <c r="D399" t="str">
        <f>HYPERLINK("http://exon.niaid.nih.gov/transcriptome/T_rubida/S1/links/Triru/Triru-5-48-505-CLU.txt","Contig505")</f>
        <v>Contig505</v>
      </c>
      <c r="E399" t="str">
        <f>HYPERLINK("http://exon.niaid.nih.gov/transcriptome/T_rubida/S1/links/Triru/Triru-5-48-505-qual.txt","43.")</f>
        <v>43.</v>
      </c>
      <c r="F399" t="s">
        <v>10</v>
      </c>
      <c r="G399">
        <v>70.900000000000006</v>
      </c>
      <c r="H399">
        <v>716</v>
      </c>
      <c r="I399" t="s">
        <v>517</v>
      </c>
      <c r="J399">
        <v>716</v>
      </c>
      <c r="K399">
        <v>735</v>
      </c>
      <c r="L399">
        <v>159</v>
      </c>
      <c r="M399" t="s">
        <v>5641</v>
      </c>
      <c r="N399" s="15">
        <v>3</v>
      </c>
      <c r="Q399" s="5" t="s">
        <v>4827</v>
      </c>
      <c r="R399" t="s">
        <v>4828</v>
      </c>
      <c r="V399" s="1" t="str">
        <f>HYPERLINK("http://exon.niaid.nih.gov/transcriptome/T_rubida/S1/links/NR/Triru-contig_505-NR.txt","hypothetical protein RP621")</f>
        <v>hypothetical protein RP621</v>
      </c>
      <c r="W399" t="str">
        <f>HYPERLINK("http://www.ncbi.nlm.nih.gov/sutils/blink.cgi?pid=15604470","0.25")</f>
        <v>0.25</v>
      </c>
      <c r="X399" t="str">
        <f>HYPERLINK("http://www.ncbi.nlm.nih.gov/protein/15604470","gi|15604470")</f>
        <v>gi|15604470</v>
      </c>
      <c r="Y399">
        <v>40.4</v>
      </c>
      <c r="Z399">
        <v>136</v>
      </c>
      <c r="AA399">
        <v>253</v>
      </c>
      <c r="AB399">
        <v>27</v>
      </c>
      <c r="AC399">
        <v>54</v>
      </c>
      <c r="AD399">
        <v>112</v>
      </c>
      <c r="AE399">
        <v>2</v>
      </c>
      <c r="AF399">
        <v>82</v>
      </c>
      <c r="AG399">
        <v>161</v>
      </c>
      <c r="AH399">
        <v>1</v>
      </c>
      <c r="AI399">
        <v>2</v>
      </c>
      <c r="AJ399" t="s">
        <v>11</v>
      </c>
      <c r="AK399">
        <v>5.1470000000000002</v>
      </c>
      <c r="AL399" t="s">
        <v>3895</v>
      </c>
      <c r="AM399" t="s">
        <v>3896</v>
      </c>
      <c r="AN399" t="s">
        <v>3897</v>
      </c>
      <c r="AO399" s="1" t="str">
        <f>HYPERLINK("http://exon.niaid.nih.gov/transcriptome/T_rubida/S1/links/SWISSP/Triru-contig_505-SWISSP.txt","ATP synthase subunit a")</f>
        <v>ATP synthase subunit a</v>
      </c>
      <c r="AP399" t="str">
        <f>HYPERLINK("http://www.uniprot.org/uniprot/Q00275","3.4")</f>
        <v>3.4</v>
      </c>
      <c r="AQ399" t="s">
        <v>3898</v>
      </c>
      <c r="AR399">
        <v>32.299999999999997</v>
      </c>
      <c r="AS399">
        <v>139</v>
      </c>
      <c r="AT399">
        <v>24</v>
      </c>
      <c r="AU399">
        <v>62</v>
      </c>
      <c r="AV399">
        <v>106</v>
      </c>
      <c r="AW399">
        <v>29</v>
      </c>
      <c r="AX399">
        <v>32</v>
      </c>
      <c r="AY399">
        <v>305</v>
      </c>
      <c r="AZ399">
        <v>1</v>
      </c>
      <c r="BA399">
        <v>2</v>
      </c>
      <c r="BB399" t="s">
        <v>11</v>
      </c>
      <c r="BC399">
        <v>2.8780000000000001</v>
      </c>
      <c r="BD399" t="s">
        <v>704</v>
      </c>
      <c r="BE399" t="s">
        <v>3238</v>
      </c>
      <c r="BF399" t="s">
        <v>3899</v>
      </c>
      <c r="BG399" t="s">
        <v>3900</v>
      </c>
      <c r="BH399" s="1" t="s">
        <v>57</v>
      </c>
      <c r="BI399" t="s">
        <v>57</v>
      </c>
      <c r="BJ399" s="1" t="str">
        <f>HYPERLINK("http://exon.niaid.nih.gov/transcriptome/T_rubida/S1/links/CDD/Triru-contig_505-CDD.txt","Ion_trans")</f>
        <v>Ion_trans</v>
      </c>
      <c r="BK399" t="str">
        <f>HYPERLINK("http://www.ncbi.nlm.nih.gov/Structure/cdd/cddsrv.cgi?uid=pfam00520&amp;version=v4.0","2E-004")</f>
        <v>2E-004</v>
      </c>
      <c r="BL399" t="s">
        <v>3901</v>
      </c>
      <c r="BM399" s="1" t="str">
        <f>HYPERLINK("http://exon.niaid.nih.gov/transcriptome/T_rubida/S1/links/KOG/Triru-contig_505-KOG.txt","Voltage-gated Ca2+ channels, alpha1 subunits")</f>
        <v>Voltage-gated Ca2+ channels, alpha1 subunits</v>
      </c>
      <c r="BN399" t="str">
        <f>HYPERLINK("http://www.ncbi.nlm.nih.gov/COG/grace/shokog.cgi?KOG2301","0.012")</f>
        <v>0.012</v>
      </c>
      <c r="BO399" t="s">
        <v>720</v>
      </c>
      <c r="BP399" s="1" t="str">
        <f>HYPERLINK("http://exon.niaid.nih.gov/transcriptome/T_rubida/S1/links/PFAM/Triru-contig_505-PFAM.txt","Ion_trans")</f>
        <v>Ion_trans</v>
      </c>
      <c r="BQ399" t="str">
        <f>HYPERLINK("http://pfam.sanger.ac.uk/family?acc=PF00520","5E-005")</f>
        <v>5E-005</v>
      </c>
      <c r="BR399" s="1" t="str">
        <f>HYPERLINK("http://exon.niaid.nih.gov/transcriptome/T_rubida/S1/links/SMART/Triru-contig_505-SMART.txt","PSN")</f>
        <v>PSN</v>
      </c>
      <c r="BS399" t="str">
        <f>HYPERLINK("http://smart.embl-heidelberg.de/smart/do_annotation.pl?DOMAIN=PSN&amp;BLAST=DUMMY","0.013")</f>
        <v>0.013</v>
      </c>
      <c r="BT399" s="1" t="str">
        <f>HYPERLINK("http://exon.niaid.nih.gov/transcriptome/T_rubida/S1/links/PRK/Triru-contig_505-PRK.txt","NADH dehydrogenase subunit 6")</f>
        <v>NADH dehydrogenase subunit 6</v>
      </c>
      <c r="BU399">
        <v>4.0000000000000001E-3</v>
      </c>
      <c r="BV399" s="1" t="s">
        <v>57</v>
      </c>
      <c r="BW399" t="s">
        <v>57</v>
      </c>
      <c r="BX399" s="1" t="s">
        <v>57</v>
      </c>
      <c r="BY399" t="s">
        <v>57</v>
      </c>
    </row>
    <row r="400" spans="1:77">
      <c r="A400" t="str">
        <f>HYPERLINK("http://exon.niaid.nih.gov/transcriptome/T_rubida/S1/links/Triru/Triru-contig_421.txt","Triru-contig_421")</f>
        <v>Triru-contig_421</v>
      </c>
      <c r="B400">
        <v>1</v>
      </c>
      <c r="C400" t="str">
        <f>HYPERLINK("http://exon.niaid.nih.gov/transcriptome/T_rubida/S1/links/Triru/Triru-5-48-asb-421.txt","Contig-421")</f>
        <v>Contig-421</v>
      </c>
      <c r="D400" t="str">
        <f>HYPERLINK("http://exon.niaid.nih.gov/transcriptome/T_rubida/S1/links/Triru/Triru-5-48-421-CLU.txt","Contig421")</f>
        <v>Contig421</v>
      </c>
      <c r="E400" t="str">
        <f>HYPERLINK("http://exon.niaid.nih.gov/transcriptome/T_rubida/S1/links/Triru/Triru-5-48-421-qual.txt","40.2")</f>
        <v>40.2</v>
      </c>
      <c r="F400" t="s">
        <v>10</v>
      </c>
      <c r="G400">
        <v>81</v>
      </c>
      <c r="H400">
        <v>408</v>
      </c>
      <c r="I400" t="s">
        <v>433</v>
      </c>
      <c r="J400">
        <v>408</v>
      </c>
      <c r="K400">
        <v>427</v>
      </c>
      <c r="L400">
        <v>201</v>
      </c>
      <c r="M400" t="s">
        <v>5573</v>
      </c>
      <c r="N400" s="15">
        <v>2</v>
      </c>
      <c r="Q400" s="5" t="s">
        <v>4827</v>
      </c>
      <c r="R400" t="s">
        <v>4828</v>
      </c>
      <c r="V400" s="1" t="str">
        <f>HYPERLINK("http://exon.niaid.nih.gov/transcriptome/T_rubida/S1/links/NR/Triru-contig_421-NR.txt","ABC transporter ATP-binding-Pr1")</f>
        <v>ABC transporter ATP-binding-Pr1</v>
      </c>
      <c r="W400" t="str">
        <f>HYPERLINK("http://www.ncbi.nlm.nih.gov/sutils/blink.cgi?pid=312601566","0.27")</f>
        <v>0.27</v>
      </c>
      <c r="X400" t="str">
        <f>HYPERLINK("http://www.ncbi.nlm.nih.gov/protein/312601566","gi|312601566")</f>
        <v>gi|312601566</v>
      </c>
      <c r="Y400">
        <v>38.9</v>
      </c>
      <c r="Z400">
        <v>104</v>
      </c>
      <c r="AA400">
        <v>536</v>
      </c>
      <c r="AB400">
        <v>30</v>
      </c>
      <c r="AC400">
        <v>20</v>
      </c>
      <c r="AD400">
        <v>73</v>
      </c>
      <c r="AE400">
        <v>17</v>
      </c>
      <c r="AF400">
        <v>16</v>
      </c>
      <c r="AG400">
        <v>143</v>
      </c>
      <c r="AH400">
        <v>1</v>
      </c>
      <c r="AI400">
        <v>2</v>
      </c>
      <c r="AJ400" t="s">
        <v>11</v>
      </c>
      <c r="AK400">
        <v>3.8460000000000001</v>
      </c>
      <c r="AL400" t="s">
        <v>3331</v>
      </c>
      <c r="AM400" t="s">
        <v>3332</v>
      </c>
      <c r="AN400" t="s">
        <v>3333</v>
      </c>
      <c r="AO400" s="1" t="str">
        <f>HYPERLINK("http://exon.niaid.nih.gov/transcriptome/T_rubida/S1/links/SWISSP/Triru-contig_421-SWISSP.txt","Glycerol-3-phosphate acyltransferase")</f>
        <v>Glycerol-3-phosphate acyltransferase</v>
      </c>
      <c r="AP400" t="str">
        <f>HYPERLINK("http://www.uniprot.org/uniprot/A7Z575","0.069")</f>
        <v>0.069</v>
      </c>
      <c r="AQ400" t="s">
        <v>3334</v>
      </c>
      <c r="AR400">
        <v>36.200000000000003</v>
      </c>
      <c r="AS400">
        <v>85</v>
      </c>
      <c r="AT400">
        <v>27</v>
      </c>
      <c r="AU400">
        <v>45</v>
      </c>
      <c r="AV400">
        <v>67</v>
      </c>
      <c r="AW400">
        <v>3</v>
      </c>
      <c r="AX400">
        <v>89</v>
      </c>
      <c r="AY400">
        <v>59</v>
      </c>
      <c r="AZ400">
        <v>1</v>
      </c>
      <c r="BA400">
        <v>2</v>
      </c>
      <c r="BB400" t="s">
        <v>11</v>
      </c>
      <c r="BC400">
        <v>2.3530000000000002</v>
      </c>
      <c r="BD400" t="s">
        <v>704</v>
      </c>
      <c r="BE400" t="s">
        <v>3335</v>
      </c>
      <c r="BF400" t="s">
        <v>3336</v>
      </c>
      <c r="BG400" t="s">
        <v>3337</v>
      </c>
      <c r="BH400" s="1" t="s">
        <v>57</v>
      </c>
      <c r="BI400" t="s">
        <v>57</v>
      </c>
      <c r="BJ400" s="1" t="str">
        <f>HYPERLINK("http://exon.niaid.nih.gov/transcriptome/T_rubida/S1/links/CDD/Triru-contig_421-CDD.txt","ND5")</f>
        <v>ND5</v>
      </c>
      <c r="BK400" t="str">
        <f>HYPERLINK("http://www.ncbi.nlm.nih.gov/Structure/cdd/cddsrv.cgi?uid=MTH00095&amp;version=v4.0","4E-004")</f>
        <v>4E-004</v>
      </c>
      <c r="BL400" t="s">
        <v>3338</v>
      </c>
      <c r="BM400" s="1" t="str">
        <f>HYPERLINK("http://exon.niaid.nih.gov/transcriptome/T_rubida/S1/links/KOG/Triru-contig_421-KOG.txt","Protein transporter of the TRAM (translocating chain-associating membrane) superfamily")</f>
        <v>Protein transporter of the TRAM (translocating chain-associating membrane) superfamily</v>
      </c>
      <c r="BN400" t="str">
        <f>HYPERLINK("http://www.ncbi.nlm.nih.gov/COG/grace/shokog.cgi?KOG1607","0.74")</f>
        <v>0.74</v>
      </c>
      <c r="BO400" t="s">
        <v>1082</v>
      </c>
      <c r="BP400" s="1" t="str">
        <f>HYPERLINK("http://exon.niaid.nih.gov/transcriptome/T_rubida/S1/links/PFAM/Triru-contig_421-PFAM.txt","DUF3671")</f>
        <v>DUF3671</v>
      </c>
      <c r="BQ400" t="str">
        <f>HYPERLINK("http://pfam.sanger.ac.uk/family?acc=PF12420","0.003")</f>
        <v>0.003</v>
      </c>
      <c r="BR400" s="1" t="str">
        <f>HYPERLINK("http://exon.niaid.nih.gov/transcriptome/T_rubida/S1/links/SMART/Triru-contig_421-SMART.txt","POLBc")</f>
        <v>POLBc</v>
      </c>
      <c r="BS400" t="str">
        <f>HYPERLINK("http://smart.embl-heidelberg.de/smart/do_annotation.pl?DOMAIN=POLBc&amp;BLAST=DUMMY","0.007")</f>
        <v>0.007</v>
      </c>
      <c r="BT400" s="1" t="str">
        <f>HYPERLINK("http://exon.niaid.nih.gov/transcriptome/T_rubida/S1/links/PRK/Triru-contig_421-PRK.txt","NADH dehydrogenase subunit 5")</f>
        <v>NADH dehydrogenase subunit 5</v>
      </c>
      <c r="BU400" s="2">
        <v>2.0000000000000001E-4</v>
      </c>
      <c r="BV400" s="1" t="s">
        <v>57</v>
      </c>
      <c r="BW400" t="s">
        <v>57</v>
      </c>
      <c r="BX400" s="1" t="s">
        <v>57</v>
      </c>
      <c r="BY400" t="s">
        <v>57</v>
      </c>
    </row>
    <row r="401" spans="1:77">
      <c r="A401" t="str">
        <f>HYPERLINK("http://exon.niaid.nih.gov/transcriptome/T_rubida/S1/links/Triru/Triru-contig_201.txt","Triru-contig_201")</f>
        <v>Triru-contig_201</v>
      </c>
      <c r="B401">
        <v>1</v>
      </c>
      <c r="C401" t="str">
        <f>HYPERLINK("http://exon.niaid.nih.gov/transcriptome/T_rubida/S1/links/Triru/Triru-5-48-asb-201.txt","Contig-201")</f>
        <v>Contig-201</v>
      </c>
      <c r="D401" t="str">
        <f>HYPERLINK("http://exon.niaid.nih.gov/transcriptome/T_rubida/S1/links/Triru/Triru-5-48-201-CLU.txt","Contig201")</f>
        <v>Contig201</v>
      </c>
      <c r="E401" t="str">
        <f>HYPERLINK("http://exon.niaid.nih.gov/transcriptome/T_rubida/S1/links/Triru/Triru-5-48-201-qual.txt","55.6")</f>
        <v>55.6</v>
      </c>
      <c r="F401" t="s">
        <v>10</v>
      </c>
      <c r="G401">
        <v>80.3</v>
      </c>
      <c r="H401">
        <v>300</v>
      </c>
      <c r="I401" t="s">
        <v>213</v>
      </c>
      <c r="J401">
        <v>300</v>
      </c>
      <c r="K401">
        <v>319</v>
      </c>
      <c r="L401">
        <v>114</v>
      </c>
      <c r="M401" t="s">
        <v>5496</v>
      </c>
      <c r="N401" s="15">
        <v>2</v>
      </c>
      <c r="Q401" s="5" t="s">
        <v>4827</v>
      </c>
      <c r="R401" t="s">
        <v>4828</v>
      </c>
      <c r="V401" s="1" t="str">
        <f>HYPERLINK("http://exon.niaid.nih.gov/transcriptome/T_rubida/S1/links/NR/Triru-contig_201-NR.txt","hypothetical protein DAPPUDRAFT_316478")</f>
        <v>hypothetical protein DAPPUDRAFT_316478</v>
      </c>
      <c r="W401" t="str">
        <f>HYPERLINK("http://www.ncbi.nlm.nih.gov/sutils/blink.cgi?pid=321471685","0.28")</f>
        <v>0.28</v>
      </c>
      <c r="X401" t="str">
        <f>HYPERLINK("http://www.ncbi.nlm.nih.gov/protein/321471685","gi|321471685")</f>
        <v>gi|321471685</v>
      </c>
      <c r="Y401">
        <v>38.9</v>
      </c>
      <c r="Z401">
        <v>23</v>
      </c>
      <c r="AA401">
        <v>594</v>
      </c>
      <c r="AB401">
        <v>75</v>
      </c>
      <c r="AC401">
        <v>4</v>
      </c>
      <c r="AD401">
        <v>6</v>
      </c>
      <c r="AE401">
        <v>0</v>
      </c>
      <c r="AF401">
        <v>571</v>
      </c>
      <c r="AG401">
        <v>38</v>
      </c>
      <c r="AH401">
        <v>1</v>
      </c>
      <c r="AI401">
        <v>2</v>
      </c>
      <c r="AJ401" t="s">
        <v>11</v>
      </c>
      <c r="AL401" t="s">
        <v>1866</v>
      </c>
      <c r="AM401" t="s">
        <v>1873</v>
      </c>
      <c r="AN401" t="s">
        <v>1874</v>
      </c>
      <c r="AO401" s="1" t="str">
        <f>HYPERLINK("http://exon.niaid.nih.gov/transcriptome/T_rubida/S1/links/SWISSP/Triru-contig_201-SWISSP.txt","4-coumarate--CoA ligase-like 6")</f>
        <v>4-coumarate--CoA ligase-like 6</v>
      </c>
      <c r="AP401" t="str">
        <f>HYPERLINK("http://www.uniprot.org/uniprot/Q84P24","0.065")</f>
        <v>0.065</v>
      </c>
      <c r="AQ401" t="s">
        <v>1875</v>
      </c>
      <c r="AR401">
        <v>36.200000000000003</v>
      </c>
      <c r="AS401">
        <v>23</v>
      </c>
      <c r="AT401">
        <v>70</v>
      </c>
      <c r="AU401">
        <v>4</v>
      </c>
      <c r="AV401">
        <v>7</v>
      </c>
      <c r="AW401">
        <v>0</v>
      </c>
      <c r="AX401">
        <v>535</v>
      </c>
      <c r="AY401">
        <v>38</v>
      </c>
      <c r="AZ401">
        <v>1</v>
      </c>
      <c r="BA401">
        <v>2</v>
      </c>
      <c r="BB401" t="s">
        <v>11</v>
      </c>
      <c r="BD401" t="s">
        <v>704</v>
      </c>
      <c r="BE401" t="s">
        <v>906</v>
      </c>
      <c r="BF401" t="s">
        <v>1876</v>
      </c>
      <c r="BG401" t="s">
        <v>1877</v>
      </c>
      <c r="BH401" s="1" t="s">
        <v>57</v>
      </c>
      <c r="BI401" t="s">
        <v>57</v>
      </c>
      <c r="BJ401" s="1" t="str">
        <f>HYPERLINK("http://exon.niaid.nih.gov/transcriptome/T_rubida/S1/links/CDD/Triru-contig_201-CDD.txt","PLN02574")</f>
        <v>PLN02574</v>
      </c>
      <c r="BK401" t="str">
        <f>HYPERLINK("http://www.ncbi.nlm.nih.gov/Structure/cdd/cddsrv.cgi?uid=PLN02574&amp;version=v4.0","5E-005")</f>
        <v>5E-005</v>
      </c>
      <c r="BL401" t="s">
        <v>1878</v>
      </c>
      <c r="BM401" s="1" t="str">
        <f>HYPERLINK("http://exon.niaid.nih.gov/transcriptome/T_rubida/S1/links/KOG/Triru-contig_201-KOG.txt","Acyl-CoA synthetase")</f>
        <v>Acyl-CoA synthetase</v>
      </c>
      <c r="BN401" t="str">
        <f>HYPERLINK("http://www.ncbi.nlm.nih.gov/COG/grace/shokog.cgi?KOG1176","6E-005")</f>
        <v>6E-005</v>
      </c>
      <c r="BO401" t="s">
        <v>709</v>
      </c>
      <c r="BP401" s="1" t="str">
        <f>HYPERLINK("http://exon.niaid.nih.gov/transcriptome/T_rubida/S1/links/PFAM/Triru-contig_201-PFAM.txt","7TM_GPCR_Srz")</f>
        <v>7TM_GPCR_Srz</v>
      </c>
      <c r="BQ401" t="str">
        <f>HYPERLINK("http://pfam.sanger.ac.uk/family?acc=PF10325","0.018")</f>
        <v>0.018</v>
      </c>
      <c r="BR401" s="1" t="str">
        <f>HYPERLINK("http://exon.niaid.nih.gov/transcriptome/T_rubida/S1/links/SMART/Triru-contig_201-SMART.txt","TIR")</f>
        <v>TIR</v>
      </c>
      <c r="BS401" t="str">
        <f>HYPERLINK("http://smart.embl-heidelberg.de/smart/do_annotation.pl?DOMAIN=TIR&amp;BLAST=DUMMY","0.15")</f>
        <v>0.15</v>
      </c>
      <c r="BT401" s="1" t="str">
        <f>HYPERLINK("http://exon.niaid.nih.gov/transcriptome/T_rubida/S1/links/PRK/Triru-contig_201-PRK.txt","4-coumarate--CoA ligase-like.")</f>
        <v>4-coumarate--CoA ligase-like.</v>
      </c>
      <c r="BU401" s="2">
        <v>2.0000000000000002E-5</v>
      </c>
      <c r="BV401" s="1" t="s">
        <v>57</v>
      </c>
      <c r="BW401" t="s">
        <v>57</v>
      </c>
      <c r="BX401" s="1" t="s">
        <v>57</v>
      </c>
      <c r="BY401" t="s">
        <v>57</v>
      </c>
    </row>
    <row r="402" spans="1:77">
      <c r="A402" t="str">
        <f>HYPERLINK("http://exon.niaid.nih.gov/transcriptome/T_rubida/S1/links/Triru/Triru-contig_321.txt","Triru-contig_321")</f>
        <v>Triru-contig_321</v>
      </c>
      <c r="B402">
        <v>1</v>
      </c>
      <c r="C402" t="str">
        <f>HYPERLINK("http://exon.niaid.nih.gov/transcriptome/T_rubida/S1/links/Triru/Triru-5-48-asb-321.txt","Contig-321")</f>
        <v>Contig-321</v>
      </c>
      <c r="D402" t="str">
        <f>HYPERLINK("http://exon.niaid.nih.gov/transcriptome/T_rubida/S1/links/Triru/Triru-5-48-321-CLU.txt","Contig321")</f>
        <v>Contig321</v>
      </c>
      <c r="E402" t="str">
        <f>HYPERLINK("http://exon.niaid.nih.gov/transcriptome/T_rubida/S1/links/Triru/Triru-5-48-321-qual.txt","31.9")</f>
        <v>31.9</v>
      </c>
      <c r="F402" t="s">
        <v>10</v>
      </c>
      <c r="G402">
        <v>78.400000000000006</v>
      </c>
      <c r="H402">
        <v>445</v>
      </c>
      <c r="I402" t="s">
        <v>333</v>
      </c>
      <c r="J402">
        <v>445</v>
      </c>
      <c r="K402">
        <v>464</v>
      </c>
      <c r="L402">
        <v>219</v>
      </c>
      <c r="M402" t="s">
        <v>5478</v>
      </c>
      <c r="N402" s="15">
        <v>3</v>
      </c>
      <c r="O402" s="14" t="str">
        <f>HYPERLINK("http://exon.niaid.nih.gov/transcriptome/T_rubida/S1/links/Sigp/TRIRU-CONTIG_321-SigP.txt","Cyt")</f>
        <v>Cyt</v>
      </c>
      <c r="Q402" s="5" t="s">
        <v>4827</v>
      </c>
      <c r="R402" t="s">
        <v>4828</v>
      </c>
      <c r="V402" s="1" t="str">
        <f>HYPERLINK("http://exon.niaid.nih.gov/transcriptome/T_rubida/S1/links/NR/Triru-contig_321-NR.txt","hypothetical protein ChvulCp069")</f>
        <v>hypothetical protein ChvulCp069</v>
      </c>
      <c r="W402" t="str">
        <f>HYPERLINK("http://www.ncbi.nlm.nih.gov/sutils/blink.cgi?pid=7524826","0.47")</f>
        <v>0.47</v>
      </c>
      <c r="X402" t="str">
        <f>HYPERLINK("http://www.ncbi.nlm.nih.gov/protein/7524826","gi|7524826")</f>
        <v>gi|7524826</v>
      </c>
      <c r="Y402">
        <v>38.1</v>
      </c>
      <c r="Z402">
        <v>50</v>
      </c>
      <c r="AA402">
        <v>67</v>
      </c>
      <c r="AB402">
        <v>31</v>
      </c>
      <c r="AC402">
        <v>76</v>
      </c>
      <c r="AD402">
        <v>35</v>
      </c>
      <c r="AE402">
        <v>2</v>
      </c>
      <c r="AF402">
        <v>17</v>
      </c>
      <c r="AG402">
        <v>80</v>
      </c>
      <c r="AH402">
        <v>1</v>
      </c>
      <c r="AI402">
        <v>2</v>
      </c>
      <c r="AJ402" t="s">
        <v>11</v>
      </c>
      <c r="AK402">
        <v>6</v>
      </c>
      <c r="AL402" t="s">
        <v>2656</v>
      </c>
      <c r="AM402" t="s">
        <v>2657</v>
      </c>
      <c r="AN402" t="s">
        <v>2658</v>
      </c>
      <c r="AO402" s="1" t="str">
        <f>HYPERLINK("http://exon.niaid.nih.gov/transcriptome/T_rubida/S1/links/SWISSP/Triru-contig_321-SWISSP.txt","Flagellar biosynthetic protein fliR")</f>
        <v>Flagellar biosynthetic protein fliR</v>
      </c>
      <c r="AP402" t="str">
        <f>HYPERLINK("http://www.uniprot.org/uniprot/Q44907","4.8")</f>
        <v>4.8</v>
      </c>
      <c r="AQ402" t="s">
        <v>2659</v>
      </c>
      <c r="AR402">
        <v>30.4</v>
      </c>
      <c r="AS402">
        <v>115</v>
      </c>
      <c r="AT402">
        <v>25</v>
      </c>
      <c r="AU402">
        <v>43</v>
      </c>
      <c r="AV402">
        <v>87</v>
      </c>
      <c r="AW402">
        <v>0</v>
      </c>
      <c r="AX402">
        <v>1</v>
      </c>
      <c r="AY402">
        <v>96</v>
      </c>
      <c r="AZ402">
        <v>1</v>
      </c>
      <c r="BA402">
        <v>3</v>
      </c>
      <c r="BB402" t="s">
        <v>11</v>
      </c>
      <c r="BC402">
        <v>2.609</v>
      </c>
      <c r="BD402" t="s">
        <v>704</v>
      </c>
      <c r="BE402" t="s">
        <v>2446</v>
      </c>
      <c r="BF402" t="s">
        <v>2660</v>
      </c>
      <c r="BG402" t="s">
        <v>2661</v>
      </c>
      <c r="BH402" s="1" t="s">
        <v>57</v>
      </c>
      <c r="BI402" t="s">
        <v>57</v>
      </c>
      <c r="BJ402" s="1" t="str">
        <f>HYPERLINK("http://exon.niaid.nih.gov/transcriptome/T_rubida/S1/links/CDD/Triru-contig_321-CDD.txt","PRK09609")</f>
        <v>PRK09609</v>
      </c>
      <c r="BK402" t="str">
        <f>HYPERLINK("http://www.ncbi.nlm.nih.gov/Structure/cdd/cddsrv.cgi?uid=PRK09609&amp;version=v4.0","0.004")</f>
        <v>0.004</v>
      </c>
      <c r="BL402" t="s">
        <v>2662</v>
      </c>
      <c r="BM402" s="1" t="str">
        <f>HYPERLINK("http://exon.niaid.nih.gov/transcriptome/T_rubida/S1/links/KOG/Triru-contig_321-KOG.txt","Pleiotropic drug resistance proteins (PDR1-15), ABC superfamily")</f>
        <v>Pleiotropic drug resistance proteins (PDR1-15), ABC superfamily</v>
      </c>
      <c r="BN402" t="str">
        <f>HYPERLINK("http://www.ncbi.nlm.nih.gov/COG/grace/shokog.cgi?KOG0065","0.45")</f>
        <v>0.45</v>
      </c>
      <c r="BO402" t="s">
        <v>1130</v>
      </c>
      <c r="BP402" s="1" t="str">
        <f>HYPERLINK("http://exon.niaid.nih.gov/transcriptome/T_rubida/S1/links/PFAM/Triru-contig_321-PFAM.txt","Got1")</f>
        <v>Got1</v>
      </c>
      <c r="BQ402" t="str">
        <f>HYPERLINK("http://pfam.sanger.ac.uk/family?acc=PF04178","0.001")</f>
        <v>0.001</v>
      </c>
      <c r="BR402" s="1" t="str">
        <f>HYPERLINK("http://exon.niaid.nih.gov/transcriptome/T_rubida/S1/links/SMART/Triru-contig_321-SMART.txt","VKc")</f>
        <v>VKc</v>
      </c>
      <c r="BS402" t="str">
        <f>HYPERLINK("http://smart.embl-heidelberg.de/smart/do_annotation.pl?DOMAIN=VKc&amp;BLAST=DUMMY","0.010")</f>
        <v>0.010</v>
      </c>
      <c r="BT402" s="1" t="str">
        <f>HYPERLINK("http://exon.niaid.nih.gov/transcriptome/T_rubida/S1/links/PRK/Triru-contig_321-PRK.txt","hypothetical protein")</f>
        <v>hypothetical protein</v>
      </c>
      <c r="BU402">
        <v>2E-3</v>
      </c>
      <c r="BV402" s="1" t="s">
        <v>57</v>
      </c>
      <c r="BW402" t="s">
        <v>57</v>
      </c>
      <c r="BX402" s="1" t="s">
        <v>57</v>
      </c>
      <c r="BY402" t="s">
        <v>57</v>
      </c>
    </row>
    <row r="403" spans="1:77">
      <c r="A403" t="str">
        <f>HYPERLINK("http://exon.niaid.nih.gov/transcriptome/T_rubida/S1/links/Triru/Triru-contig_622.txt","Triru-contig_622")</f>
        <v>Triru-contig_622</v>
      </c>
      <c r="B403">
        <v>1</v>
      </c>
      <c r="C403" t="str">
        <f>HYPERLINK("http://exon.niaid.nih.gov/transcriptome/T_rubida/S1/links/Triru/Triru-5-48-asb-622.txt","Contig-622")</f>
        <v>Contig-622</v>
      </c>
      <c r="D403" t="str">
        <f>HYPERLINK("http://exon.niaid.nih.gov/transcriptome/T_rubida/S1/links/Triru/Triru-5-48-622-CLU.txt","Contig622")</f>
        <v>Contig622</v>
      </c>
      <c r="E403" t="str">
        <f>HYPERLINK("http://exon.niaid.nih.gov/transcriptome/T_rubida/S1/links/Triru/Triru-5-48-622-qual.txt","47.2")</f>
        <v>47.2</v>
      </c>
      <c r="F403" t="s">
        <v>10</v>
      </c>
      <c r="G403">
        <v>71.8</v>
      </c>
      <c r="H403">
        <v>335</v>
      </c>
      <c r="I403" t="s">
        <v>634</v>
      </c>
      <c r="J403">
        <v>335</v>
      </c>
      <c r="K403">
        <v>354</v>
      </c>
      <c r="L403">
        <v>171</v>
      </c>
      <c r="M403" t="s">
        <v>5534</v>
      </c>
      <c r="N403" s="15">
        <v>2</v>
      </c>
      <c r="O403" s="14" t="str">
        <f>HYPERLINK("http://exon.niaid.nih.gov/transcriptome/T_rubida/S1/links/Sigp/TRIRU-CONTIG_622-SigP.txt","Cyt")</f>
        <v>Cyt</v>
      </c>
      <c r="Q403" s="5" t="s">
        <v>4827</v>
      </c>
      <c r="R403" t="s">
        <v>4828</v>
      </c>
      <c r="V403" s="1" t="str">
        <f>HYPERLINK("http://exon.niaid.nih.gov/transcriptome/T_rubida/S1/links/NR/Triru-contig_622-NR.txt","NADH dehydrogenase subunit 6")</f>
        <v>NADH dehydrogenase subunit 6</v>
      </c>
      <c r="W403" t="str">
        <f>HYPERLINK("http://www.ncbi.nlm.nih.gov/sutils/blink.cgi?pid=302151403","0.47")</f>
        <v>0.47</v>
      </c>
      <c r="X403" t="str">
        <f>HYPERLINK("http://www.ncbi.nlm.nih.gov/protein/302151403","gi|302151403")</f>
        <v>gi|302151403</v>
      </c>
      <c r="Y403">
        <v>38.1</v>
      </c>
      <c r="Z403">
        <v>72</v>
      </c>
      <c r="AA403">
        <v>146</v>
      </c>
      <c r="AB403">
        <v>32</v>
      </c>
      <c r="AC403">
        <v>50</v>
      </c>
      <c r="AD403">
        <v>51</v>
      </c>
      <c r="AE403">
        <v>1</v>
      </c>
      <c r="AF403">
        <v>64</v>
      </c>
      <c r="AG403">
        <v>32</v>
      </c>
      <c r="AH403">
        <v>1</v>
      </c>
      <c r="AI403">
        <v>2</v>
      </c>
      <c r="AJ403" t="s">
        <v>11</v>
      </c>
      <c r="AK403">
        <v>2.778</v>
      </c>
      <c r="AL403" t="s">
        <v>1769</v>
      </c>
      <c r="AM403" t="s">
        <v>4632</v>
      </c>
      <c r="AN403" t="s">
        <v>4633</v>
      </c>
      <c r="AO403" s="1" t="str">
        <f>HYPERLINK("http://exon.niaid.nih.gov/transcriptome/T_rubida/S1/links/SWISSP/Triru-contig_622-SWISSP.txt","Uncharacterized tatC-like protein ymf16")</f>
        <v>Uncharacterized tatC-like protein ymf16</v>
      </c>
      <c r="AP403" t="str">
        <f>HYPERLINK("http://www.uniprot.org/uniprot/Q9TC94","0.97")</f>
        <v>0.97</v>
      </c>
      <c r="AQ403" t="s">
        <v>4634</v>
      </c>
      <c r="AR403">
        <v>32.299999999999997</v>
      </c>
      <c r="AS403">
        <v>84</v>
      </c>
      <c r="AT403">
        <v>30</v>
      </c>
      <c r="AU403">
        <v>34</v>
      </c>
      <c r="AV403">
        <v>61</v>
      </c>
      <c r="AW403">
        <v>10</v>
      </c>
      <c r="AX403">
        <v>68</v>
      </c>
      <c r="AY403">
        <v>44</v>
      </c>
      <c r="AZ403">
        <v>1</v>
      </c>
      <c r="BA403">
        <v>2</v>
      </c>
      <c r="BB403" t="s">
        <v>11</v>
      </c>
      <c r="BC403">
        <v>2.3809999999999998</v>
      </c>
      <c r="BD403" t="s">
        <v>704</v>
      </c>
      <c r="BE403" t="s">
        <v>4635</v>
      </c>
      <c r="BF403" t="s">
        <v>4636</v>
      </c>
      <c r="BG403" t="s">
        <v>4637</v>
      </c>
      <c r="BH403" s="1" t="s">
        <v>57</v>
      </c>
      <c r="BI403" t="s">
        <v>57</v>
      </c>
      <c r="BJ403" s="1" t="str">
        <f>HYPERLINK("http://exon.niaid.nih.gov/transcriptome/T_rubida/S1/links/CDD/Triru-contig_622-CDD.txt","ND4")</f>
        <v>ND4</v>
      </c>
      <c r="BK403" t="str">
        <f>HYPERLINK("http://www.ncbi.nlm.nih.gov/Structure/cdd/cddsrv.cgi?uid=MTH00205&amp;version=v4.0","6E-006")</f>
        <v>6E-006</v>
      </c>
      <c r="BL403" t="s">
        <v>4638</v>
      </c>
      <c r="BM403" s="1" t="str">
        <f>HYPERLINK("http://exon.niaid.nih.gov/transcriptome/T_rubida/S1/links/KOG/Triru-contig_622-KOG.txt","Predicted acyltransferase")</f>
        <v>Predicted acyltransferase</v>
      </c>
      <c r="BN403" t="str">
        <f>HYPERLINK("http://www.ncbi.nlm.nih.gov/COG/grace/shokog.cgi?KOG3700","0.002")</f>
        <v>0.002</v>
      </c>
      <c r="BO403" t="s">
        <v>750</v>
      </c>
      <c r="BP403" s="1" t="str">
        <f>HYPERLINK("http://exon.niaid.nih.gov/transcriptome/T_rubida/S1/links/PFAM/Triru-contig_622-PFAM.txt","Sre")</f>
        <v>Sre</v>
      </c>
      <c r="BQ403" t="str">
        <f>HYPERLINK("http://pfam.sanger.ac.uk/family?acc=PF03125","7E-004")</f>
        <v>7E-004</v>
      </c>
      <c r="BR403" s="1" t="str">
        <f>HYPERLINK("http://exon.niaid.nih.gov/transcriptome/T_rubida/S1/links/SMART/Triru-contig_622-SMART.txt","HOLI")</f>
        <v>HOLI</v>
      </c>
      <c r="BS403" t="str">
        <f>HYPERLINK("http://smart.embl-heidelberg.de/smart/do_annotation.pl?DOMAIN=HOLI&amp;BLAST=DUMMY","0.074")</f>
        <v>0.074</v>
      </c>
      <c r="BT403" s="1" t="str">
        <f>HYPERLINK("http://exon.niaid.nih.gov/transcriptome/T_rubida/S1/links/PRK/Triru-contig_622-PRK.txt","NADH dehydrogenase subunit 4")</f>
        <v>NADH dehydrogenase subunit 4</v>
      </c>
      <c r="BU403" s="2">
        <v>3.0000000000000001E-6</v>
      </c>
      <c r="BV403" s="1" t="s">
        <v>57</v>
      </c>
      <c r="BW403" t="s">
        <v>57</v>
      </c>
      <c r="BX403" s="1" t="s">
        <v>57</v>
      </c>
      <c r="BY403" t="s">
        <v>57</v>
      </c>
    </row>
    <row r="404" spans="1:77">
      <c r="A404" t="str">
        <f>HYPERLINK("http://exon.niaid.nih.gov/transcriptome/T_rubida/S1/links/Triru/Triru-contig_522.txt","Triru-contig_522")</f>
        <v>Triru-contig_522</v>
      </c>
      <c r="B404">
        <v>1</v>
      </c>
      <c r="C404" t="str">
        <f>HYPERLINK("http://exon.niaid.nih.gov/transcriptome/T_rubida/S1/links/Triru/Triru-5-48-asb-522.txt","Contig-522")</f>
        <v>Contig-522</v>
      </c>
      <c r="D404" t="str">
        <f>HYPERLINK("http://exon.niaid.nih.gov/transcriptome/T_rubida/S1/links/Triru/Triru-5-48-522-CLU.txt","Contig522")</f>
        <v>Contig522</v>
      </c>
      <c r="E404" t="str">
        <f>HYPERLINK("http://exon.niaid.nih.gov/transcriptome/T_rubida/S1/links/Triru/Triru-5-48-522-qual.txt","56.5")</f>
        <v>56.5</v>
      </c>
      <c r="F404" t="s">
        <v>10</v>
      </c>
      <c r="G404">
        <v>69.599999999999994</v>
      </c>
      <c r="H404">
        <v>474</v>
      </c>
      <c r="I404" t="s">
        <v>534</v>
      </c>
      <c r="J404">
        <v>474</v>
      </c>
      <c r="K404">
        <v>493</v>
      </c>
      <c r="L404">
        <v>243</v>
      </c>
      <c r="M404" t="s">
        <v>5540</v>
      </c>
      <c r="N404" s="15">
        <v>1</v>
      </c>
      <c r="O404" s="14" t="str">
        <f>HYPERLINK("http://exon.niaid.nih.gov/transcriptome/T_rubida/S1/links/Sigp/TRIRU-CONTIG_522-SigP.txt","Cyt")</f>
        <v>Cyt</v>
      </c>
      <c r="Q404" s="5" t="s">
        <v>4827</v>
      </c>
      <c r="R404" t="s">
        <v>4828</v>
      </c>
      <c r="V404" s="1" t="str">
        <f>HYPERLINK("http://exon.niaid.nih.gov/transcriptome/T_rubida/S1/links/NR/Triru-contig_522-NR.txt","hypothetical protein IMG5_142390")</f>
        <v>hypothetical protein IMG5_142390</v>
      </c>
      <c r="W404" t="str">
        <f>HYPERLINK("http://www.ncbi.nlm.nih.gov/sutils/blink.cgi?pid=340503522","0.47")</f>
        <v>0.47</v>
      </c>
      <c r="X404" t="str">
        <f>HYPERLINK("http://www.ncbi.nlm.nih.gov/protein/340503522","gi|340503522")</f>
        <v>gi|340503522</v>
      </c>
      <c r="Y404">
        <v>38.1</v>
      </c>
      <c r="Z404">
        <v>76</v>
      </c>
      <c r="AA404">
        <v>297</v>
      </c>
      <c r="AB404">
        <v>30</v>
      </c>
      <c r="AC404">
        <v>26</v>
      </c>
      <c r="AD404">
        <v>56</v>
      </c>
      <c r="AE404">
        <v>3</v>
      </c>
      <c r="AF404">
        <v>164</v>
      </c>
      <c r="AG404">
        <v>181</v>
      </c>
      <c r="AH404">
        <v>1</v>
      </c>
      <c r="AI404">
        <v>1</v>
      </c>
      <c r="AJ404" t="s">
        <v>11</v>
      </c>
      <c r="AK404">
        <v>2.6320000000000001</v>
      </c>
      <c r="AL404" t="s">
        <v>1593</v>
      </c>
      <c r="AM404" t="s">
        <v>4012</v>
      </c>
      <c r="AN404" t="s">
        <v>4013</v>
      </c>
      <c r="AO404" s="1" t="str">
        <f>HYPERLINK("http://exon.niaid.nih.gov/transcriptome/T_rubida/S1/links/SWISSP/Triru-contig_522-SWISSP.txt","ATP-binding cassette sub-family A member 10")</f>
        <v>ATP-binding cassette sub-family A member 10</v>
      </c>
      <c r="AP404" t="str">
        <f>HYPERLINK("http://www.uniprot.org/uniprot/Q8WWZ4","2.0")</f>
        <v>2.0</v>
      </c>
      <c r="AQ404" t="s">
        <v>4014</v>
      </c>
      <c r="AR404">
        <v>32</v>
      </c>
      <c r="AS404">
        <v>89</v>
      </c>
      <c r="AT404">
        <v>30</v>
      </c>
      <c r="AU404">
        <v>6</v>
      </c>
      <c r="AV404">
        <v>66</v>
      </c>
      <c r="AW404">
        <v>6</v>
      </c>
      <c r="AX404">
        <v>146</v>
      </c>
      <c r="AY404">
        <v>136</v>
      </c>
      <c r="AZ404">
        <v>1</v>
      </c>
      <c r="BA404">
        <v>1</v>
      </c>
      <c r="BB404" t="s">
        <v>11</v>
      </c>
      <c r="BC404">
        <v>2.2469999999999999</v>
      </c>
      <c r="BD404" t="s">
        <v>704</v>
      </c>
      <c r="BE404" t="s">
        <v>1233</v>
      </c>
      <c r="BF404" t="s">
        <v>4015</v>
      </c>
      <c r="BG404" t="s">
        <v>4016</v>
      </c>
      <c r="BH404" s="1" t="s">
        <v>57</v>
      </c>
      <c r="BI404" t="s">
        <v>57</v>
      </c>
      <c r="BJ404" s="1" t="str">
        <f>HYPERLINK("http://exon.niaid.nih.gov/transcriptome/T_rubida/S1/links/CDD/Triru-contig_522-CDD.txt","PHA03087")</f>
        <v>PHA03087</v>
      </c>
      <c r="BK404" t="str">
        <f>HYPERLINK("http://www.ncbi.nlm.nih.gov/Structure/cdd/cddsrv.cgi?uid=PHA03087&amp;version=v4.0","0.011")</f>
        <v>0.011</v>
      </c>
      <c r="BL404" t="s">
        <v>4017</v>
      </c>
      <c r="BM404" s="1" t="str">
        <f>HYPERLINK("http://exon.niaid.nih.gov/transcriptome/T_rubida/S1/links/KOG/Triru-contig_522-KOG.txt","Uncharacterized conserved protein")</f>
        <v>Uncharacterized conserved protein</v>
      </c>
      <c r="BN404" t="str">
        <f>HYPERLINK("http://www.ncbi.nlm.nih.gov/COG/grace/shokog.cgi?KOG3012","0.15")</f>
        <v>0.15</v>
      </c>
      <c r="BO404" t="s">
        <v>737</v>
      </c>
      <c r="BP404" s="1" t="str">
        <f>HYPERLINK("http://exon.niaid.nih.gov/transcriptome/T_rubida/S1/links/PFAM/Triru-contig_522-PFAM.txt","7tm_7")</f>
        <v>7tm_7</v>
      </c>
      <c r="BQ404" t="str">
        <f>HYPERLINK("http://pfam.sanger.ac.uk/family?acc=PF08395","0.007")</f>
        <v>0.007</v>
      </c>
      <c r="BR404" s="1" t="str">
        <f>HYPERLINK("http://exon.niaid.nih.gov/transcriptome/T_rubida/S1/links/SMART/Triru-contig_522-SMART.txt","ZnF_TAZ")</f>
        <v>ZnF_TAZ</v>
      </c>
      <c r="BS404" t="str">
        <f>HYPERLINK("http://smart.embl-heidelberg.de/smart/do_annotation.pl?DOMAIN=ZnF_TAZ&amp;BLAST=DUMMY","0.090")</f>
        <v>0.090</v>
      </c>
      <c r="BT404" s="1" t="str">
        <f>HYPERLINK("http://exon.niaid.nih.gov/transcriptome/T_rubida/S1/links/PRK/Triru-contig_522-PRK.txt","G protein-coupled chemokine receptor-like protein")</f>
        <v>G protein-coupled chemokine receptor-like protein</v>
      </c>
      <c r="BU404">
        <v>5.0000000000000001E-3</v>
      </c>
      <c r="BV404" s="1" t="s">
        <v>57</v>
      </c>
      <c r="BW404" t="s">
        <v>57</v>
      </c>
      <c r="BX404" s="1" t="s">
        <v>57</v>
      </c>
      <c r="BY404" t="s">
        <v>57</v>
      </c>
    </row>
    <row r="405" spans="1:77">
      <c r="A405" t="str">
        <f>HYPERLINK("http://exon.niaid.nih.gov/transcriptome/T_rubida/S1/links/Triru/Triru-contig_455.txt","Triru-contig_455")</f>
        <v>Triru-contig_455</v>
      </c>
      <c r="B405">
        <v>1</v>
      </c>
      <c r="C405" t="str">
        <f>HYPERLINK("http://exon.niaid.nih.gov/transcriptome/T_rubida/S1/links/Triru/Triru-5-48-asb-455.txt","Contig-455")</f>
        <v>Contig-455</v>
      </c>
      <c r="D405" t="str">
        <f>HYPERLINK("http://exon.niaid.nih.gov/transcriptome/T_rubida/S1/links/Triru/Triru-5-48-455-CLU.txt","Contig455")</f>
        <v>Contig455</v>
      </c>
      <c r="E405" t="str">
        <f>HYPERLINK("http://exon.niaid.nih.gov/transcriptome/T_rubida/S1/links/Triru/Triru-5-48-455-qual.txt","39.3")</f>
        <v>39.3</v>
      </c>
      <c r="F405" t="s">
        <v>10</v>
      </c>
      <c r="G405">
        <v>69.900000000000006</v>
      </c>
      <c r="H405">
        <v>429</v>
      </c>
      <c r="I405" t="s">
        <v>467</v>
      </c>
      <c r="J405">
        <v>429</v>
      </c>
      <c r="K405">
        <v>448</v>
      </c>
      <c r="L405">
        <v>273</v>
      </c>
      <c r="M405" t="s">
        <v>5566</v>
      </c>
      <c r="N405" s="15">
        <v>2</v>
      </c>
      <c r="O405" s="14" t="str">
        <f>HYPERLINK("http://exon.niaid.nih.gov/transcriptome/T_rubida/S1/links/Sigp/TRIRU-CONTIG_455-SigP.txt","BL")</f>
        <v>BL</v>
      </c>
      <c r="P405" t="s">
        <v>5059</v>
      </c>
      <c r="Q405" s="5" t="s">
        <v>4827</v>
      </c>
      <c r="R405" t="s">
        <v>4828</v>
      </c>
      <c r="V405" s="1" t="str">
        <f>HYPERLINK("http://exon.niaid.nih.gov/transcriptome/T_rubida/S1/links/NR/Triru-contig_455-NR.txt","group 1 glycosyl transferase")</f>
        <v>group 1 glycosyl transferase</v>
      </c>
      <c r="W405" t="str">
        <f>HYPERLINK("http://www.ncbi.nlm.nih.gov/sutils/blink.cgi?pid=325958643","0.47")</f>
        <v>0.47</v>
      </c>
      <c r="X405" t="str">
        <f>HYPERLINK("http://www.ncbi.nlm.nih.gov/protein/325958643","gi|325958643")</f>
        <v>gi|325958643</v>
      </c>
      <c r="Y405">
        <v>38.1</v>
      </c>
      <c r="Z405">
        <v>73</v>
      </c>
      <c r="AA405">
        <v>380</v>
      </c>
      <c r="AB405">
        <v>21</v>
      </c>
      <c r="AC405">
        <v>19</v>
      </c>
      <c r="AD405">
        <v>58</v>
      </c>
      <c r="AE405">
        <v>0</v>
      </c>
      <c r="AF405">
        <v>254</v>
      </c>
      <c r="AG405">
        <v>32</v>
      </c>
      <c r="AH405">
        <v>1</v>
      </c>
      <c r="AI405">
        <v>2</v>
      </c>
      <c r="AJ405" t="s">
        <v>11</v>
      </c>
      <c r="AL405" t="s">
        <v>3563</v>
      </c>
      <c r="AM405" t="s">
        <v>3564</v>
      </c>
      <c r="AN405" t="s">
        <v>3565</v>
      </c>
      <c r="AO405" s="1" t="str">
        <f>HYPERLINK("http://exon.niaid.nih.gov/transcriptome/T_rubida/S1/links/SWISSP/Triru-contig_455-SWISSP.txt","Leucyl-tRNA synthetase")</f>
        <v>Leucyl-tRNA synthetase</v>
      </c>
      <c r="AP405" t="str">
        <f>HYPERLINK("http://www.uniprot.org/uniprot/Q17YZ0","2.0")</f>
        <v>2.0</v>
      </c>
      <c r="AQ405" t="s">
        <v>3566</v>
      </c>
      <c r="AR405">
        <v>31.6</v>
      </c>
      <c r="AS405">
        <v>82</v>
      </c>
      <c r="AT405">
        <v>27</v>
      </c>
      <c r="AU405">
        <v>10</v>
      </c>
      <c r="AV405">
        <v>62</v>
      </c>
      <c r="AW405">
        <v>10</v>
      </c>
      <c r="AX405">
        <v>474</v>
      </c>
      <c r="AY405">
        <v>23</v>
      </c>
      <c r="AZ405">
        <v>1</v>
      </c>
      <c r="BA405">
        <v>2</v>
      </c>
      <c r="BB405" t="s">
        <v>11</v>
      </c>
      <c r="BD405" t="s">
        <v>704</v>
      </c>
      <c r="BE405" t="s">
        <v>3567</v>
      </c>
      <c r="BF405" t="s">
        <v>3568</v>
      </c>
      <c r="BG405" t="s">
        <v>3569</v>
      </c>
      <c r="BH405" s="1" t="s">
        <v>57</v>
      </c>
      <c r="BI405" t="s">
        <v>57</v>
      </c>
      <c r="BJ405" s="1" t="str">
        <f>HYPERLINK("http://exon.niaid.nih.gov/transcriptome/T_rubida/S1/links/CDD/Triru-contig_455-CDD.txt","COG5542")</f>
        <v>COG5542</v>
      </c>
      <c r="BK405" t="str">
        <f>HYPERLINK("http://www.ncbi.nlm.nih.gov/Structure/cdd/cddsrv.cgi?uid=COG5542&amp;version=v4.0","0.13")</f>
        <v>0.13</v>
      </c>
      <c r="BL405" t="s">
        <v>3570</v>
      </c>
      <c r="BM405" s="1" t="str">
        <f>HYPERLINK("http://exon.niaid.nih.gov/transcriptome/T_rubida/S1/links/KOG/Triru-contig_455-KOG.txt","Proteins containing armadillo/beta-catenin-like repeat")</f>
        <v>Proteins containing armadillo/beta-catenin-like repeat</v>
      </c>
      <c r="BN405" t="str">
        <f>HYPERLINK("http://www.ncbi.nlm.nih.gov/COG/grace/shokog.cgi?KOG1293","0.53")</f>
        <v>0.53</v>
      </c>
      <c r="BO405" t="s">
        <v>750</v>
      </c>
      <c r="BP405" s="1" t="str">
        <f>HYPERLINK("http://exon.niaid.nih.gov/transcriptome/T_rubida/S1/links/PFAM/Triru-contig_455-PFAM.txt","Spc97_Spc98")</f>
        <v>Spc97_Spc98</v>
      </c>
      <c r="BQ405" t="str">
        <f>HYPERLINK("http://pfam.sanger.ac.uk/family?acc=PF04130","0.049")</f>
        <v>0.049</v>
      </c>
      <c r="BR405" s="1" t="str">
        <f>HYPERLINK("http://exon.niaid.nih.gov/transcriptome/T_rubida/S1/links/SMART/Triru-contig_455-SMART.txt","AgrB")</f>
        <v>AgrB</v>
      </c>
      <c r="BS405" t="str">
        <f>HYPERLINK("http://smart.embl-heidelberg.de/smart/do_annotation.pl?DOMAIN=AgrB&amp;BLAST=DUMMY","0.35")</f>
        <v>0.35</v>
      </c>
      <c r="BT405" s="1" t="str">
        <f>HYPERLINK("http://exon.niaid.nih.gov/transcriptome/T_rubida/S1/links/PRK/Triru-contig_455-PRK.txt","cytochrome c oxidase subunit II")</f>
        <v>cytochrome c oxidase subunit II</v>
      </c>
      <c r="BU405">
        <v>0.11</v>
      </c>
      <c r="BV405" s="1" t="s">
        <v>57</v>
      </c>
      <c r="BW405" t="s">
        <v>57</v>
      </c>
      <c r="BX405" s="1" t="s">
        <v>57</v>
      </c>
      <c r="BY405" t="s">
        <v>57</v>
      </c>
    </row>
    <row r="406" spans="1:77">
      <c r="A406" t="str">
        <f>HYPERLINK("http://exon.niaid.nih.gov/transcriptome/T_rubida/S1/links/Triru/Triru-contig_609.txt","Triru-contig_609")</f>
        <v>Triru-contig_609</v>
      </c>
      <c r="B406">
        <v>1</v>
      </c>
      <c r="C406" t="str">
        <f>HYPERLINK("http://exon.niaid.nih.gov/transcriptome/T_rubida/S1/links/Triru/Triru-5-48-asb-609.txt","Contig-609")</f>
        <v>Contig-609</v>
      </c>
      <c r="D406" t="str">
        <f>HYPERLINK("http://exon.niaid.nih.gov/transcriptome/T_rubida/S1/links/Triru/Triru-5-48-609-CLU.txt","Contig609")</f>
        <v>Contig609</v>
      </c>
      <c r="E406" t="str">
        <f>HYPERLINK("http://exon.niaid.nih.gov/transcriptome/T_rubida/S1/links/Triru/Triru-5-48-609-qual.txt","41.5")</f>
        <v>41.5</v>
      </c>
      <c r="F406" t="s">
        <v>10</v>
      </c>
      <c r="G406">
        <v>72.400000000000006</v>
      </c>
      <c r="H406">
        <v>253</v>
      </c>
      <c r="I406" t="s">
        <v>621</v>
      </c>
      <c r="J406">
        <v>253</v>
      </c>
      <c r="K406">
        <v>272</v>
      </c>
      <c r="L406">
        <v>222</v>
      </c>
      <c r="M406" t="s">
        <v>5612</v>
      </c>
      <c r="N406" s="15">
        <v>2</v>
      </c>
      <c r="Q406" s="5" t="s">
        <v>4827</v>
      </c>
      <c r="R406" t="s">
        <v>4828</v>
      </c>
      <c r="V406" s="1" t="str">
        <f>HYPERLINK("http://exon.niaid.nih.gov/transcriptome/T_rubida/S1/links/NR/Triru-contig_609-NR.txt","hypothetical protein")</f>
        <v>hypothetical protein</v>
      </c>
      <c r="W406" t="str">
        <f>HYPERLINK("http://www.ncbi.nlm.nih.gov/sutils/blink.cgi?pid=68075389","0.47")</f>
        <v>0.47</v>
      </c>
      <c r="X406" t="str">
        <f>HYPERLINK("http://www.ncbi.nlm.nih.gov/protein/68075389","gi|68075389")</f>
        <v>gi|68075389</v>
      </c>
      <c r="Y406">
        <v>38.1</v>
      </c>
      <c r="Z406">
        <v>38</v>
      </c>
      <c r="AA406">
        <v>57</v>
      </c>
      <c r="AB406">
        <v>46</v>
      </c>
      <c r="AC406">
        <v>68</v>
      </c>
      <c r="AD406">
        <v>21</v>
      </c>
      <c r="AE406">
        <v>1</v>
      </c>
      <c r="AF406">
        <v>19</v>
      </c>
      <c r="AG406">
        <v>47</v>
      </c>
      <c r="AH406">
        <v>1</v>
      </c>
      <c r="AI406">
        <v>2</v>
      </c>
      <c r="AJ406" t="s">
        <v>11</v>
      </c>
      <c r="AL406" t="s">
        <v>2213</v>
      </c>
      <c r="AM406" t="s">
        <v>4551</v>
      </c>
      <c r="AN406" t="s">
        <v>4552</v>
      </c>
      <c r="AO406" s="1" t="str">
        <f>HYPERLINK("http://exon.niaid.nih.gov/transcriptome/T_rubida/S1/links/SWISSP/Triru-contig_609-SWISSP.txt","Uncharacterized protein PYRAB14350")</f>
        <v>Uncharacterized protein PYRAB14350</v>
      </c>
      <c r="AP406" t="str">
        <f>HYPERLINK("http://www.uniprot.org/uniprot/Q9UYS2","1.3")</f>
        <v>1.3</v>
      </c>
      <c r="AQ406" t="s">
        <v>4553</v>
      </c>
      <c r="AR406">
        <v>32</v>
      </c>
      <c r="AS406">
        <v>46</v>
      </c>
      <c r="AT406">
        <v>34</v>
      </c>
      <c r="AU406">
        <v>14</v>
      </c>
      <c r="AV406">
        <v>31</v>
      </c>
      <c r="AW406">
        <v>0</v>
      </c>
      <c r="AX406">
        <v>208</v>
      </c>
      <c r="AY406">
        <v>6</v>
      </c>
      <c r="AZ406">
        <v>1</v>
      </c>
      <c r="BA406">
        <v>3</v>
      </c>
      <c r="BB406" t="s">
        <v>11</v>
      </c>
      <c r="BC406">
        <v>2.1739999999999999</v>
      </c>
      <c r="BD406" t="s">
        <v>704</v>
      </c>
      <c r="BE406" t="s">
        <v>4554</v>
      </c>
      <c r="BF406" t="s">
        <v>4555</v>
      </c>
      <c r="BG406" t="s">
        <v>4556</v>
      </c>
      <c r="BH406" s="1" t="s">
        <v>57</v>
      </c>
      <c r="BI406" t="s">
        <v>57</v>
      </c>
      <c r="BJ406" s="1" t="str">
        <f>HYPERLINK("http://exon.niaid.nih.gov/transcriptome/T_rubida/S1/links/CDD/Triru-contig_609-CDD.txt","TraX")</f>
        <v>TraX</v>
      </c>
      <c r="BK406" t="str">
        <f>HYPERLINK("http://www.ncbi.nlm.nih.gov/Structure/cdd/cddsrv.cgi?uid=pfam05857&amp;version=v4.0","0.001")</f>
        <v>0.001</v>
      </c>
      <c r="BL406" t="s">
        <v>4557</v>
      </c>
      <c r="BM406" s="1" t="str">
        <f>HYPERLINK("http://exon.niaid.nih.gov/transcriptome/T_rubida/S1/links/KOG/Triru-contig_609-KOG.txt","Acyltransferase required for palmitoylation of Hedgehog (Hh) family of secreted signaling proteins")</f>
        <v>Acyltransferase required for palmitoylation of Hedgehog (Hh) family of secreted signaling proteins</v>
      </c>
      <c r="BN406" t="str">
        <f>HYPERLINK("http://www.ncbi.nlm.nih.gov/COG/grace/shokog.cgi?KOG3860","0.41")</f>
        <v>0.41</v>
      </c>
      <c r="BO406" t="s">
        <v>728</v>
      </c>
      <c r="BP406" s="1" t="str">
        <f>HYPERLINK("http://exon.niaid.nih.gov/transcriptome/T_rubida/S1/links/PFAM/Triru-contig_609-PFAM.txt","TraX")</f>
        <v>TraX</v>
      </c>
      <c r="BQ406" t="str">
        <f>HYPERLINK("http://pfam.sanger.ac.uk/family?acc=PF05857","3E-004")</f>
        <v>3E-004</v>
      </c>
      <c r="BR406" s="1" t="str">
        <f>HYPERLINK("http://exon.niaid.nih.gov/transcriptome/T_rubida/S1/links/SMART/Triru-contig_609-SMART.txt","DENN")</f>
        <v>DENN</v>
      </c>
      <c r="BS406" t="str">
        <f>HYPERLINK("http://smart.embl-heidelberg.de/smart/do_annotation.pl?DOMAIN=DENN&amp;BLAST=DUMMY","0.13")</f>
        <v>0.13</v>
      </c>
      <c r="BT406" s="1" t="str">
        <f>HYPERLINK("http://exon.niaid.nih.gov/transcriptome/T_rubida/S1/links/PRK/Triru-contig_609-PRK.txt","maturase K.")</f>
        <v>maturase K.</v>
      </c>
      <c r="BU406">
        <v>3.0000000000000001E-3</v>
      </c>
      <c r="BV406" s="1" t="s">
        <v>57</v>
      </c>
      <c r="BW406" t="s">
        <v>57</v>
      </c>
      <c r="BX406" s="1" t="s">
        <v>57</v>
      </c>
      <c r="BY406" t="s">
        <v>57</v>
      </c>
    </row>
    <row r="407" spans="1:77">
      <c r="A407" t="str">
        <f>HYPERLINK("http://exon.niaid.nih.gov/transcriptome/T_rubida/S1/links/Triru/Triru-contig_435.txt","Triru-contig_435")</f>
        <v>Triru-contig_435</v>
      </c>
      <c r="B407">
        <v>1</v>
      </c>
      <c r="C407" t="str">
        <f>HYPERLINK("http://exon.niaid.nih.gov/transcriptome/T_rubida/S1/links/Triru/Triru-5-48-asb-435.txt","Contig-435")</f>
        <v>Contig-435</v>
      </c>
      <c r="D407" t="str">
        <f>HYPERLINK("http://exon.niaid.nih.gov/transcriptome/T_rubida/S1/links/Triru/Triru-5-48-435-CLU.txt","Contig435")</f>
        <v>Contig435</v>
      </c>
      <c r="E407" t="str">
        <f>HYPERLINK("http://exon.niaid.nih.gov/transcriptome/T_rubida/S1/links/Triru/Triru-5-48-435-qual.txt","54.4")</f>
        <v>54.4</v>
      </c>
      <c r="F407" t="s">
        <v>10</v>
      </c>
      <c r="G407">
        <v>68.8</v>
      </c>
      <c r="H407">
        <v>676</v>
      </c>
      <c r="I407" t="s">
        <v>447</v>
      </c>
      <c r="J407">
        <v>676</v>
      </c>
      <c r="K407">
        <v>695</v>
      </c>
      <c r="L407">
        <v>129</v>
      </c>
      <c r="M407" t="s">
        <v>5629</v>
      </c>
      <c r="N407" s="15">
        <v>2</v>
      </c>
      <c r="Q407" s="5" t="s">
        <v>4827</v>
      </c>
      <c r="R407" t="s">
        <v>4828</v>
      </c>
      <c r="V407" s="1" t="str">
        <f>HYPERLINK("http://exon.niaid.nih.gov/transcriptome/T_rubida/S1/links/NR/Triru-contig_435-NR.txt","hypothetical protein")</f>
        <v>hypothetical protein</v>
      </c>
      <c r="W407" t="str">
        <f>HYPERLINK("http://www.ncbi.nlm.nih.gov/sutils/blink.cgi?pid=83032800","0.49")</f>
        <v>0.49</v>
      </c>
      <c r="X407" t="str">
        <f>HYPERLINK("http://www.ncbi.nlm.nih.gov/protein/83032800","gi|83032800")</f>
        <v>gi|83032800</v>
      </c>
      <c r="Y407">
        <v>39.299999999999997</v>
      </c>
      <c r="Z407">
        <v>95</v>
      </c>
      <c r="AA407">
        <v>1264</v>
      </c>
      <c r="AB407">
        <v>27</v>
      </c>
      <c r="AC407">
        <v>8</v>
      </c>
      <c r="AD407">
        <v>71</v>
      </c>
      <c r="AE407">
        <v>3</v>
      </c>
      <c r="AF407">
        <v>730</v>
      </c>
      <c r="AG407">
        <v>347</v>
      </c>
      <c r="AH407">
        <v>1</v>
      </c>
      <c r="AI407">
        <v>2</v>
      </c>
      <c r="AJ407" t="s">
        <v>11</v>
      </c>
      <c r="AK407">
        <v>2.105</v>
      </c>
      <c r="AL407" t="s">
        <v>2310</v>
      </c>
      <c r="AM407" t="s">
        <v>3422</v>
      </c>
      <c r="AN407" t="s">
        <v>3423</v>
      </c>
      <c r="AO407" s="1" t="str">
        <f>HYPERLINK("http://exon.niaid.nih.gov/transcriptome/T_rubida/S1/links/SWISSP/Triru-contig_435-SWISSP.txt","Centromere protein U")</f>
        <v>Centromere protein U</v>
      </c>
      <c r="AP407" t="str">
        <f>HYPERLINK("http://www.uniprot.org/uniprot/Q8C4M7","1.4")</f>
        <v>1.4</v>
      </c>
      <c r="AQ407" t="s">
        <v>3424</v>
      </c>
      <c r="AR407">
        <v>33.5</v>
      </c>
      <c r="AS407">
        <v>114</v>
      </c>
      <c r="AT407">
        <v>23</v>
      </c>
      <c r="AU407">
        <v>28</v>
      </c>
      <c r="AV407">
        <v>93</v>
      </c>
      <c r="AW407">
        <v>5</v>
      </c>
      <c r="AX407">
        <v>239</v>
      </c>
      <c r="AY407">
        <v>284</v>
      </c>
      <c r="AZ407">
        <v>1</v>
      </c>
      <c r="BA407">
        <v>2</v>
      </c>
      <c r="BB407" t="s">
        <v>11</v>
      </c>
      <c r="BC407">
        <v>5.2629999999999999</v>
      </c>
      <c r="BD407" t="s">
        <v>704</v>
      </c>
      <c r="BE407" t="s">
        <v>807</v>
      </c>
      <c r="BF407" t="s">
        <v>3425</v>
      </c>
      <c r="BG407" t="s">
        <v>3426</v>
      </c>
      <c r="BH407" s="1" t="s">
        <v>57</v>
      </c>
      <c r="BI407" t="s">
        <v>57</v>
      </c>
      <c r="BJ407" s="1" t="str">
        <f>HYPERLINK("http://exon.niaid.nih.gov/transcriptome/T_rubida/S1/links/CDD/Triru-contig_435-CDD.txt","ND5")</f>
        <v>ND5</v>
      </c>
      <c r="BK407" t="str">
        <f>HYPERLINK("http://www.ncbi.nlm.nih.gov/Structure/cdd/cddsrv.cgi?uid=MTH00095&amp;version=v4.0","3E-004")</f>
        <v>3E-004</v>
      </c>
      <c r="BL407" t="s">
        <v>3427</v>
      </c>
      <c r="BM407" s="1" t="str">
        <f>HYPERLINK("http://exon.niaid.nih.gov/transcriptome/T_rubida/S1/links/KOG/Triru-contig_435-KOG.txt","Transporter, ABC superfamily (Breast cancer resistance protein)")</f>
        <v>Transporter, ABC superfamily (Breast cancer resistance protein)</v>
      </c>
      <c r="BN407" t="str">
        <f>HYPERLINK("http://www.ncbi.nlm.nih.gov/COG/grace/shokog.cgi?KOG0061","0.059")</f>
        <v>0.059</v>
      </c>
      <c r="BO407" t="s">
        <v>1130</v>
      </c>
      <c r="BP407" s="1" t="str">
        <f>HYPERLINK("http://exon.niaid.nih.gov/transcriptome/T_rubida/S1/links/PFAM/Triru-contig_435-PFAM.txt","HlyIII")</f>
        <v>HlyIII</v>
      </c>
      <c r="BQ407" t="str">
        <f>HYPERLINK("http://pfam.sanger.ac.uk/family?acc=PF03006","2E-004")</f>
        <v>2E-004</v>
      </c>
      <c r="BR407" s="1" t="str">
        <f>HYPERLINK("http://exon.niaid.nih.gov/transcriptome/T_rubida/S1/links/SMART/Triru-contig_435-SMART.txt","AgrB")</f>
        <v>AgrB</v>
      </c>
      <c r="BS407" t="str">
        <f>HYPERLINK("http://smart.embl-heidelberg.de/smart/do_annotation.pl?DOMAIN=AgrB&amp;BLAST=DUMMY","0.036")</f>
        <v>0.036</v>
      </c>
      <c r="BT407" s="1" t="str">
        <f>HYPERLINK("http://exon.niaid.nih.gov/transcriptome/T_rubida/S1/links/PRK/Triru-contig_435-PRK.txt","NADH dehydrogenase subunit 5")</f>
        <v>NADH dehydrogenase subunit 5</v>
      </c>
      <c r="BU407" s="2">
        <v>1E-4</v>
      </c>
      <c r="BV407" s="1" t="s">
        <v>57</v>
      </c>
      <c r="BW407" t="s">
        <v>57</v>
      </c>
      <c r="BX407" s="1" t="s">
        <v>57</v>
      </c>
      <c r="BY407" t="s">
        <v>57</v>
      </c>
    </row>
    <row r="408" spans="1:77">
      <c r="A408" t="str">
        <f>HYPERLINK("http://exon.niaid.nih.gov/transcriptome/T_rubida/S1/links/Triru/Triru-contig_469.txt","Triru-contig_469")</f>
        <v>Triru-contig_469</v>
      </c>
      <c r="B408">
        <v>1</v>
      </c>
      <c r="C408" t="str">
        <f>HYPERLINK("http://exon.niaid.nih.gov/transcriptome/T_rubida/S1/links/Triru/Triru-5-48-asb-469.txt","Contig-469")</f>
        <v>Contig-469</v>
      </c>
      <c r="D408" t="str">
        <f>HYPERLINK("http://exon.niaid.nih.gov/transcriptome/T_rubida/S1/links/Triru/Triru-5-48-469-CLU.txt","Contig469")</f>
        <v>Contig469</v>
      </c>
      <c r="E408" t="str">
        <f>HYPERLINK("http://exon.niaid.nih.gov/transcriptome/T_rubida/S1/links/Triru/Triru-5-48-469-qual.txt","57.6")</f>
        <v>57.6</v>
      </c>
      <c r="F408">
        <v>0.2</v>
      </c>
      <c r="G408">
        <v>45.4</v>
      </c>
      <c r="H408">
        <v>626</v>
      </c>
      <c r="I408" t="s">
        <v>481</v>
      </c>
      <c r="J408">
        <v>626</v>
      </c>
      <c r="K408">
        <v>645</v>
      </c>
      <c r="L408">
        <v>429</v>
      </c>
      <c r="M408" t="s">
        <v>5536</v>
      </c>
      <c r="N408" s="15">
        <v>1</v>
      </c>
      <c r="Q408" s="5" t="s">
        <v>4827</v>
      </c>
      <c r="R408" t="s">
        <v>4828</v>
      </c>
      <c r="V408" s="1" t="str">
        <f>HYPERLINK("http://exon.niaid.nih.gov/transcriptome/T_rubida/S1/links/NR/Triru-contig_469-NR.txt","keratin-associated protein 9-1")</f>
        <v>keratin-associated protein 9-1</v>
      </c>
      <c r="W408" t="str">
        <f>HYPERLINK("http://www.ncbi.nlm.nih.gov/sutils/blink.cgi?pid=299473753","0.54")</f>
        <v>0.54</v>
      </c>
      <c r="X408" t="str">
        <f>HYPERLINK("http://www.ncbi.nlm.nih.gov/protein/299473753","gi|299473753")</f>
        <v>gi|299473753</v>
      </c>
      <c r="Y408">
        <v>38.9</v>
      </c>
      <c r="Z408">
        <v>152</v>
      </c>
      <c r="AA408">
        <v>250</v>
      </c>
      <c r="AB408">
        <v>23</v>
      </c>
      <c r="AC408">
        <v>61</v>
      </c>
      <c r="AD408">
        <v>144</v>
      </c>
      <c r="AE408">
        <v>9</v>
      </c>
      <c r="AF408">
        <v>63</v>
      </c>
      <c r="AG408">
        <v>13</v>
      </c>
      <c r="AH408">
        <v>1</v>
      </c>
      <c r="AI408">
        <v>1</v>
      </c>
      <c r="AJ408" t="s">
        <v>11</v>
      </c>
      <c r="AK408">
        <v>1.3160000000000001</v>
      </c>
      <c r="AL408" t="s">
        <v>1233</v>
      </c>
      <c r="AM408" t="s">
        <v>3650</v>
      </c>
      <c r="AN408" t="s">
        <v>3651</v>
      </c>
      <c r="AO408" s="1" t="str">
        <f>HYPERLINK("http://exon.niaid.nih.gov/transcriptome/T_rubida/S1/links/SWISSP/Triru-contig_469-SWISSP.txt","Keratin-associated protein 9-1")</f>
        <v>Keratin-associated protein 9-1</v>
      </c>
      <c r="AP408" t="str">
        <f>HYPERLINK("http://www.uniprot.org/uniprot/A8MXZ3","0.029")</f>
        <v>0.029</v>
      </c>
      <c r="AQ408" t="s">
        <v>3652</v>
      </c>
      <c r="AR408">
        <v>38.9</v>
      </c>
      <c r="AS408">
        <v>152</v>
      </c>
      <c r="AT408">
        <v>23</v>
      </c>
      <c r="AU408">
        <v>61</v>
      </c>
      <c r="AV408">
        <v>144</v>
      </c>
      <c r="AW408">
        <v>9</v>
      </c>
      <c r="AX408">
        <v>63</v>
      </c>
      <c r="AY408">
        <v>13</v>
      </c>
      <c r="AZ408">
        <v>1</v>
      </c>
      <c r="BA408">
        <v>1</v>
      </c>
      <c r="BB408" t="s">
        <v>11</v>
      </c>
      <c r="BC408">
        <v>1.3160000000000001</v>
      </c>
      <c r="BD408" t="s">
        <v>704</v>
      </c>
      <c r="BE408" t="s">
        <v>1233</v>
      </c>
      <c r="BF408" t="s">
        <v>3653</v>
      </c>
      <c r="BG408" t="s">
        <v>3654</v>
      </c>
      <c r="BH408" s="1" t="s">
        <v>57</v>
      </c>
      <c r="BI408" t="s">
        <v>57</v>
      </c>
      <c r="BJ408" s="1" t="str">
        <f>HYPERLINK("http://exon.niaid.nih.gov/transcriptome/T_rubida/S1/links/CDD/Triru-contig_469-CDD.txt","7tm_3")</f>
        <v>7tm_3</v>
      </c>
      <c r="BK408" t="str">
        <f>HYPERLINK("http://www.ncbi.nlm.nih.gov/Structure/cdd/cddsrv.cgi?uid=pfam00003&amp;version=v4.0","0.053")</f>
        <v>0.053</v>
      </c>
      <c r="BL408" t="s">
        <v>3655</v>
      </c>
      <c r="BM408" s="1" t="str">
        <f>HYPERLINK("http://exon.niaid.nih.gov/transcriptome/T_rubida/S1/links/KOG/Triru-contig_469-KOG.txt","Ultrahigh sulfur keratin-associated protein")</f>
        <v>Ultrahigh sulfur keratin-associated protein</v>
      </c>
      <c r="BN408" t="str">
        <f>HYPERLINK("http://www.ncbi.nlm.nih.gov/COG/grace/shokog.cgi?KOG4726","0.001")</f>
        <v>0.001</v>
      </c>
      <c r="BO408" t="s">
        <v>1916</v>
      </c>
      <c r="BP408" s="1" t="str">
        <f>HYPERLINK("http://exon.niaid.nih.gov/transcriptome/T_rubida/S1/links/PFAM/Triru-contig_469-PFAM.txt","7tm_3")</f>
        <v>7tm_3</v>
      </c>
      <c r="BQ408" t="str">
        <f>HYPERLINK("http://pfam.sanger.ac.uk/family?acc=PF00003","0.011")</f>
        <v>0.011</v>
      </c>
      <c r="BR408" s="1" t="str">
        <f>HYPERLINK("http://exon.niaid.nih.gov/transcriptome/T_rubida/S1/links/SMART/Triru-contig_469-SMART.txt","DM6")</f>
        <v>DM6</v>
      </c>
      <c r="BS408" t="str">
        <f>HYPERLINK("http://smart.embl-heidelberg.de/smart/do_annotation.pl?DOMAIN=DM6&amp;BLAST=DUMMY","0.079")</f>
        <v>0.079</v>
      </c>
      <c r="BT408" s="1" t="str">
        <f>HYPERLINK("http://exon.niaid.nih.gov/transcriptome/T_rubida/S1/links/PRK/Triru-contig_469-PRK.txt","NADH dehydrogenase subunit 6")</f>
        <v>NADH dehydrogenase subunit 6</v>
      </c>
      <c r="BU408">
        <v>3.1E-2</v>
      </c>
      <c r="BV408" s="1" t="s">
        <v>57</v>
      </c>
      <c r="BW408" t="s">
        <v>57</v>
      </c>
      <c r="BX408" s="1" t="s">
        <v>57</v>
      </c>
      <c r="BY408" t="s">
        <v>57</v>
      </c>
    </row>
    <row r="409" spans="1:77">
      <c r="A409" t="str">
        <f>HYPERLINK("http://exon.niaid.nih.gov/transcriptome/T_rubida/S1/links/Triru/Triru-contig_616.txt","Triru-contig_616")</f>
        <v>Triru-contig_616</v>
      </c>
      <c r="B409">
        <v>1</v>
      </c>
      <c r="C409" t="str">
        <f>HYPERLINK("http://exon.niaid.nih.gov/transcriptome/T_rubida/S1/links/Triru/Triru-5-48-asb-616.txt","Contig-616")</f>
        <v>Contig-616</v>
      </c>
      <c r="D409" t="str">
        <f>HYPERLINK("http://exon.niaid.nih.gov/transcriptome/T_rubida/S1/links/Triru/Triru-5-48-616-CLU.txt","Contig616")</f>
        <v>Contig616</v>
      </c>
      <c r="E409" t="str">
        <f>HYPERLINK("http://exon.niaid.nih.gov/transcriptome/T_rubida/S1/links/Triru/Triru-5-48-616-qual.txt","64.5")</f>
        <v>64.5</v>
      </c>
      <c r="F409" t="s">
        <v>10</v>
      </c>
      <c r="G409">
        <v>67.5</v>
      </c>
      <c r="H409">
        <v>578</v>
      </c>
      <c r="I409" t="s">
        <v>628</v>
      </c>
      <c r="J409">
        <v>578</v>
      </c>
      <c r="K409">
        <v>597</v>
      </c>
      <c r="L409">
        <v>432</v>
      </c>
      <c r="M409" t="s">
        <v>5468</v>
      </c>
      <c r="N409" s="15">
        <v>2</v>
      </c>
      <c r="O409" s="14" t="str">
        <f>HYPERLINK("http://exon.niaid.nih.gov/transcriptome/T_rubida/S1/links/Sigp/TRIRU-CONTIG_616-SigP.txt","Anch")</f>
        <v>Anch</v>
      </c>
      <c r="Q409" s="5" t="s">
        <v>4827</v>
      </c>
      <c r="R409" t="s">
        <v>4828</v>
      </c>
      <c r="V409" s="1" t="str">
        <f>HYPERLINK("http://exon.niaid.nih.gov/transcriptome/T_rubida/S1/links/NR/Triru-contig_616-NR.txt","X-box-binding protein 1")</f>
        <v>X-box-binding protein 1</v>
      </c>
      <c r="W409" t="str">
        <f>HYPERLINK("http://www.ncbi.nlm.nih.gov/sutils/blink.cgi?pid=307174008","0.58")</f>
        <v>0.58</v>
      </c>
      <c r="X409" t="str">
        <f>HYPERLINK("http://www.ncbi.nlm.nih.gov/protein/307174008","gi|307174008")</f>
        <v>gi|307174008</v>
      </c>
      <c r="Y409">
        <v>38.5</v>
      </c>
      <c r="Z409">
        <v>136</v>
      </c>
      <c r="AA409">
        <v>501</v>
      </c>
      <c r="AB409">
        <v>30</v>
      </c>
      <c r="AC409">
        <v>27</v>
      </c>
      <c r="AD409">
        <v>98</v>
      </c>
      <c r="AE409">
        <v>11</v>
      </c>
      <c r="AF409">
        <v>340</v>
      </c>
      <c r="AG409">
        <v>8</v>
      </c>
      <c r="AH409">
        <v>1</v>
      </c>
      <c r="AI409">
        <v>2</v>
      </c>
      <c r="AJ409" t="s">
        <v>11</v>
      </c>
      <c r="AL409" t="s">
        <v>1650</v>
      </c>
      <c r="AM409" t="s">
        <v>4597</v>
      </c>
      <c r="AN409" t="s">
        <v>4598</v>
      </c>
      <c r="AO409" s="1" t="str">
        <f>HYPERLINK("http://exon.niaid.nih.gov/transcriptome/T_rubida/S1/links/SWISSP/Triru-contig_616-SWISSP.txt","Topoisomerase I damage affected protein 7")</f>
        <v>Topoisomerase I damage affected protein 7</v>
      </c>
      <c r="AP409" t="str">
        <f>HYPERLINK("http://www.uniprot.org/uniprot/E7QJS8","0.60")</f>
        <v>0.60</v>
      </c>
      <c r="AQ409" t="s">
        <v>4599</v>
      </c>
      <c r="AR409">
        <v>34.299999999999997</v>
      </c>
      <c r="AS409">
        <v>111</v>
      </c>
      <c r="AT409">
        <v>26</v>
      </c>
      <c r="AU409">
        <v>18</v>
      </c>
      <c r="AV409">
        <v>84</v>
      </c>
      <c r="AW409">
        <v>4</v>
      </c>
      <c r="AX409">
        <v>10</v>
      </c>
      <c r="AY409">
        <v>101</v>
      </c>
      <c r="AZ409">
        <v>1</v>
      </c>
      <c r="BA409">
        <v>2</v>
      </c>
      <c r="BB409" t="s">
        <v>11</v>
      </c>
      <c r="BD409" t="s">
        <v>704</v>
      </c>
      <c r="BE409" t="s">
        <v>4600</v>
      </c>
      <c r="BF409" t="s">
        <v>4601</v>
      </c>
      <c r="BG409" t="s">
        <v>4602</v>
      </c>
      <c r="BH409" s="1" t="s">
        <v>57</v>
      </c>
      <c r="BI409" t="s">
        <v>57</v>
      </c>
      <c r="BJ409" s="1" t="str">
        <f>HYPERLINK("http://exon.niaid.nih.gov/transcriptome/T_rubida/S1/links/CDD/Triru-contig_616-CDD.txt","NDP-sugDHase")</f>
        <v>NDP-sugDHase</v>
      </c>
      <c r="BK409" t="str">
        <f>HYPERLINK("http://www.ncbi.nlm.nih.gov/Structure/cdd/cddsrv.cgi?uid=TIGR03026&amp;version=v4.0","1E-004")</f>
        <v>1E-004</v>
      </c>
      <c r="BL409" t="s">
        <v>4603</v>
      </c>
      <c r="BM409" s="1" t="str">
        <f>HYPERLINK("http://exon.niaid.nih.gov/transcriptome/T_rubida/S1/links/KOG/Triru-contig_616-KOG.txt","Membrane-associated protein FER-1 and related ferlins, contain multiple C2 domains")</f>
        <v>Membrane-associated protein FER-1 and related ferlins, contain multiple C2 domains</v>
      </c>
      <c r="BN409" t="str">
        <f>HYPERLINK("http://www.ncbi.nlm.nih.gov/COG/grace/shokog.cgi?KOG1326","0.13")</f>
        <v>0.13</v>
      </c>
      <c r="BO409" t="s">
        <v>760</v>
      </c>
      <c r="BP409" s="1" t="str">
        <f>HYPERLINK("http://exon.niaid.nih.gov/transcriptome/T_rubida/S1/links/PFAM/Triru-contig_616-PFAM.txt","UDPG_MGDP_dh_N")</f>
        <v>UDPG_MGDP_dh_N</v>
      </c>
      <c r="BQ409" t="str">
        <f>HYPERLINK("http://pfam.sanger.ac.uk/family?acc=PF03721","2E-004")</f>
        <v>2E-004</v>
      </c>
      <c r="BR409" s="1" t="str">
        <f>HYPERLINK("http://exon.niaid.nih.gov/transcriptome/T_rubida/S1/links/SMART/Triru-contig_616-SMART.txt","AgrB")</f>
        <v>AgrB</v>
      </c>
      <c r="BS409" t="str">
        <f>HYPERLINK("http://smart.embl-heidelberg.de/smart/do_annotation.pl?DOMAIN=AgrB&amp;BLAST=DUMMY","0.011")</f>
        <v>0.011</v>
      </c>
      <c r="BT409" s="1" t="str">
        <f>HYPERLINK("http://exon.niaid.nih.gov/transcriptome/T_rubida/S1/links/PRK/Triru-contig_616-PRK.txt","(R)-citramalate synthase")</f>
        <v>(R)-citramalate synthase</v>
      </c>
      <c r="BU409">
        <v>0.1</v>
      </c>
      <c r="BV409" s="1" t="s">
        <v>57</v>
      </c>
      <c r="BW409" t="s">
        <v>57</v>
      </c>
      <c r="BX409" s="1" t="s">
        <v>57</v>
      </c>
      <c r="BY409" t="s">
        <v>57</v>
      </c>
    </row>
    <row r="410" spans="1:77">
      <c r="A410" t="str">
        <f>HYPERLINK("http://exon.niaid.nih.gov/transcriptome/T_rubida/S1/links/Triru/Triru-contig_228.txt","Triru-contig_228")</f>
        <v>Triru-contig_228</v>
      </c>
      <c r="B410">
        <v>1</v>
      </c>
      <c r="C410" t="str">
        <f>HYPERLINK("http://exon.niaid.nih.gov/transcriptome/T_rubida/S1/links/Triru/Triru-5-48-asb-228.txt","Contig-228")</f>
        <v>Contig-228</v>
      </c>
      <c r="D410" t="str">
        <f>HYPERLINK("http://exon.niaid.nih.gov/transcriptome/T_rubida/S1/links/Triru/Triru-5-48-228-CLU.txt","Contig228")</f>
        <v>Contig228</v>
      </c>
      <c r="E410" t="str">
        <f>HYPERLINK("http://exon.niaid.nih.gov/transcriptome/T_rubida/S1/links/Triru/Triru-5-48-228-qual.txt","53.6")</f>
        <v>53.6</v>
      </c>
      <c r="F410" t="s">
        <v>10</v>
      </c>
      <c r="G410">
        <v>50.7</v>
      </c>
      <c r="H410">
        <v>318</v>
      </c>
      <c r="I410" t="s">
        <v>240</v>
      </c>
      <c r="J410">
        <v>318</v>
      </c>
      <c r="K410">
        <v>337</v>
      </c>
      <c r="L410">
        <v>180</v>
      </c>
      <c r="M410" t="s">
        <v>5656</v>
      </c>
      <c r="N410" s="15">
        <v>3</v>
      </c>
      <c r="Q410" s="5" t="s">
        <v>4827</v>
      </c>
      <c r="R410" t="s">
        <v>4828</v>
      </c>
      <c r="V410" s="1" t="str">
        <f>HYPERLINK("http://exon.niaid.nih.gov/transcriptome/T_rubida/S1/links/NR/Triru-contig_228-NR.txt","unknown")</f>
        <v>unknown</v>
      </c>
      <c r="W410" t="str">
        <f>HYPERLINK("http://www.ncbi.nlm.nih.gov/sutils/blink.cgi?pid=81295782","0.60")</f>
        <v>0.60</v>
      </c>
      <c r="X410" t="str">
        <f>HYPERLINK("http://www.ncbi.nlm.nih.gov/protein/81295782","gi|81295782")</f>
        <v>gi|81295782</v>
      </c>
      <c r="Y410">
        <v>37.700000000000003</v>
      </c>
      <c r="Z410">
        <v>38</v>
      </c>
      <c r="AA410">
        <v>210</v>
      </c>
      <c r="AB410">
        <v>50</v>
      </c>
      <c r="AC410">
        <v>19</v>
      </c>
      <c r="AD410">
        <v>20</v>
      </c>
      <c r="AE410">
        <v>0</v>
      </c>
      <c r="AF410">
        <v>135</v>
      </c>
      <c r="AG410">
        <v>7</v>
      </c>
      <c r="AH410">
        <v>1</v>
      </c>
      <c r="AI410">
        <v>1</v>
      </c>
      <c r="AJ410" t="s">
        <v>11</v>
      </c>
      <c r="AL410" t="s">
        <v>2042</v>
      </c>
      <c r="AM410" t="s">
        <v>2043</v>
      </c>
      <c r="AN410" t="s">
        <v>2044</v>
      </c>
      <c r="AO410" s="1" t="str">
        <f>HYPERLINK("http://exon.niaid.nih.gov/transcriptome/T_rubida/S1/links/SWISSP/Triru-contig_228-SWISSP.txt","Intraflagellar transport protein 122 homolog")</f>
        <v>Intraflagellar transport protein 122 homolog</v>
      </c>
      <c r="AP410" t="str">
        <f>HYPERLINK("http://www.uniprot.org/uniprot/Q6NWV3","4.7")</f>
        <v>4.7</v>
      </c>
      <c r="AQ410" t="s">
        <v>2045</v>
      </c>
      <c r="AR410">
        <v>30</v>
      </c>
      <c r="AS410">
        <v>43</v>
      </c>
      <c r="AT410">
        <v>34</v>
      </c>
      <c r="AU410">
        <v>4</v>
      </c>
      <c r="AV410">
        <v>29</v>
      </c>
      <c r="AW410">
        <v>0</v>
      </c>
      <c r="AX410">
        <v>945</v>
      </c>
      <c r="AY410">
        <v>8</v>
      </c>
      <c r="AZ410">
        <v>1</v>
      </c>
      <c r="BA410">
        <v>2</v>
      </c>
      <c r="BB410" t="s">
        <v>11</v>
      </c>
      <c r="BC410">
        <v>4.6509999999999998</v>
      </c>
      <c r="BD410" t="s">
        <v>704</v>
      </c>
      <c r="BE410" t="s">
        <v>807</v>
      </c>
      <c r="BF410" t="s">
        <v>2046</v>
      </c>
      <c r="BG410" t="s">
        <v>2047</v>
      </c>
      <c r="BH410" s="1" t="s">
        <v>57</v>
      </c>
      <c r="BI410" t="s">
        <v>57</v>
      </c>
      <c r="BJ410" s="1" t="str">
        <f>HYPERLINK("http://exon.niaid.nih.gov/transcriptome/T_rubida/S1/links/CDD/Triru-contig_228-CDD.txt","rnd")</f>
        <v>rnd</v>
      </c>
      <c r="BK410" t="str">
        <f>HYPERLINK("http://www.ncbi.nlm.nih.gov/Structure/cdd/cddsrv.cgi?uid=TIGR01388&amp;version=v4.0","0.81")</f>
        <v>0.81</v>
      </c>
      <c r="BL410" t="s">
        <v>2048</v>
      </c>
      <c r="BM410" s="1" t="str">
        <f>HYPERLINK("http://exon.niaid.nih.gov/transcriptome/T_rubida/S1/links/KOG/Triru-contig_228-KOG.txt","Rac GTPase-activating protein BCR/ABR")</f>
        <v>Rac GTPase-activating protein BCR/ABR</v>
      </c>
      <c r="BN410" t="str">
        <f>HYPERLINK("http://www.ncbi.nlm.nih.gov/COG/grace/shokog.cgi?KOG4269","0.056")</f>
        <v>0.056</v>
      </c>
      <c r="BO410" t="s">
        <v>728</v>
      </c>
      <c r="BP410" s="1" t="str">
        <f>HYPERLINK("http://exon.niaid.nih.gov/transcriptome/T_rubida/S1/links/PFAM/Triru-contig_228-PFAM.txt","UPF0236")</f>
        <v>UPF0236</v>
      </c>
      <c r="BQ410" t="str">
        <f>HYPERLINK("http://pfam.sanger.ac.uk/family?acc=PF06782","0.30")</f>
        <v>0.30</v>
      </c>
      <c r="BR410" s="1" t="str">
        <f>HYPERLINK("http://exon.niaid.nih.gov/transcriptome/T_rubida/S1/links/SMART/Triru-contig_228-SMART.txt","LYZ1")</f>
        <v>LYZ1</v>
      </c>
      <c r="BS410" t="str">
        <f>HYPERLINK("http://smart.embl-heidelberg.de/smart/do_annotation.pl?DOMAIN=LYZ1&amp;BLAST=DUMMY","0.14")</f>
        <v>0.14</v>
      </c>
      <c r="BT410" s="1" t="str">
        <f>HYPERLINK("http://exon.niaid.nih.gov/transcriptome/T_rubida/S1/links/PRK/Triru-contig_228-PRK.txt","4-hydroxy-3-methylbut-2-enyl diphosphate reductase")</f>
        <v>4-hydroxy-3-methylbut-2-enyl diphosphate reductase</v>
      </c>
      <c r="BU410">
        <v>0.41</v>
      </c>
      <c r="BV410" s="1" t="s">
        <v>57</v>
      </c>
      <c r="BW410" t="s">
        <v>57</v>
      </c>
      <c r="BX410" s="1" t="s">
        <v>57</v>
      </c>
      <c r="BY410" t="s">
        <v>57</v>
      </c>
    </row>
    <row r="411" spans="1:77">
      <c r="A411" t="str">
        <f>HYPERLINK("http://exon.niaid.nih.gov/transcriptome/T_rubida/S1/links/Triru/Triru-contig_371.txt","Triru-contig_371")</f>
        <v>Triru-contig_371</v>
      </c>
      <c r="B411">
        <v>1</v>
      </c>
      <c r="C411" t="str">
        <f>HYPERLINK("http://exon.niaid.nih.gov/transcriptome/T_rubida/S1/links/Triru/Triru-5-48-asb-371.txt","Contig-371")</f>
        <v>Contig-371</v>
      </c>
      <c r="D411" t="str">
        <f>HYPERLINK("http://exon.niaid.nih.gov/transcriptome/T_rubida/S1/links/Triru/Triru-5-48-371-CLU.txt","Contig371")</f>
        <v>Contig371</v>
      </c>
      <c r="E411" t="str">
        <f>HYPERLINK("http://exon.niaid.nih.gov/transcriptome/T_rubida/S1/links/Triru/Triru-5-48-371-qual.txt","63.")</f>
        <v>63.</v>
      </c>
      <c r="F411" t="s">
        <v>10</v>
      </c>
      <c r="G411">
        <v>59.7</v>
      </c>
      <c r="H411">
        <v>420</v>
      </c>
      <c r="I411" t="s">
        <v>383</v>
      </c>
      <c r="J411">
        <v>420</v>
      </c>
      <c r="K411">
        <v>439</v>
      </c>
      <c r="L411">
        <v>129</v>
      </c>
      <c r="M411" t="s">
        <v>5697</v>
      </c>
      <c r="N411" s="15">
        <v>1</v>
      </c>
      <c r="Q411" s="5" t="s">
        <v>4827</v>
      </c>
      <c r="R411" t="s">
        <v>4828</v>
      </c>
      <c r="V411" s="1" t="str">
        <f>HYPERLINK("http://exon.niaid.nih.gov/transcriptome/T_rubida/S1/links/NR/Triru-contig_371-NR.txt","YqaJ viral recombinase family")</f>
        <v>YqaJ viral recombinase family</v>
      </c>
      <c r="W411" t="str">
        <f>HYPERLINK("http://www.ncbi.nlm.nih.gov/sutils/blink.cgi?pid=259156534","0.60")</f>
        <v>0.60</v>
      </c>
      <c r="X411" t="str">
        <f>HYPERLINK("http://www.ncbi.nlm.nih.gov/protein/259156534","gi|259156534")</f>
        <v>gi|259156534</v>
      </c>
      <c r="Y411">
        <v>37.700000000000003</v>
      </c>
      <c r="Z411">
        <v>48</v>
      </c>
      <c r="AA411">
        <v>338</v>
      </c>
      <c r="AB411">
        <v>36</v>
      </c>
      <c r="AC411">
        <v>14</v>
      </c>
      <c r="AD411">
        <v>31</v>
      </c>
      <c r="AE411">
        <v>1</v>
      </c>
      <c r="AF411">
        <v>35</v>
      </c>
      <c r="AG411">
        <v>147</v>
      </c>
      <c r="AH411">
        <v>1</v>
      </c>
      <c r="AI411">
        <v>3</v>
      </c>
      <c r="AJ411" t="s">
        <v>11</v>
      </c>
      <c r="AK411">
        <v>2.0830000000000002</v>
      </c>
      <c r="AL411" t="s">
        <v>2987</v>
      </c>
      <c r="AM411" t="s">
        <v>2988</v>
      </c>
      <c r="AN411" t="s">
        <v>2989</v>
      </c>
      <c r="AO411" s="1" t="str">
        <f>HYPERLINK("http://exon.niaid.nih.gov/transcriptome/T_rubida/S1/links/SWISSP/Triru-contig_371-SWISSP.txt","GATA zinc finger domain-containing protein 11")</f>
        <v>GATA zinc finger domain-containing protein 11</v>
      </c>
      <c r="AP411" t="str">
        <f>HYPERLINK("http://www.uniprot.org/uniprot/Q5KSV0","0.62")</f>
        <v>0.62</v>
      </c>
      <c r="AQ411" t="s">
        <v>2990</v>
      </c>
      <c r="AR411">
        <v>33.1</v>
      </c>
      <c r="AS411">
        <v>37</v>
      </c>
      <c r="AT411">
        <v>47</v>
      </c>
      <c r="AU411">
        <v>6</v>
      </c>
      <c r="AV411">
        <v>20</v>
      </c>
      <c r="AW411">
        <v>5</v>
      </c>
      <c r="AX411">
        <v>159</v>
      </c>
      <c r="AY411">
        <v>204</v>
      </c>
      <c r="AZ411">
        <v>1</v>
      </c>
      <c r="BA411">
        <v>3</v>
      </c>
      <c r="BB411" t="s">
        <v>11</v>
      </c>
      <c r="BC411">
        <v>2.7029999999999998</v>
      </c>
      <c r="BD411" t="s">
        <v>704</v>
      </c>
      <c r="BE411" t="s">
        <v>918</v>
      </c>
      <c r="BF411" t="s">
        <v>2991</v>
      </c>
      <c r="BG411" t="s">
        <v>2992</v>
      </c>
      <c r="BH411" s="1" t="s">
        <v>57</v>
      </c>
      <c r="BI411" t="s">
        <v>57</v>
      </c>
      <c r="BJ411" s="1" t="str">
        <f>HYPERLINK("http://exon.niaid.nih.gov/transcriptome/T_rubida/S1/links/CDD/Triru-contig_371-CDD.txt","MnmC_Cterm")</f>
        <v>MnmC_Cterm</v>
      </c>
      <c r="BK411" t="str">
        <f>HYPERLINK("http://www.ncbi.nlm.nih.gov/Structure/cdd/cddsrv.cgi?uid=TIGR03197&amp;version=v4.0","0.44")</f>
        <v>0.44</v>
      </c>
      <c r="BL411" t="s">
        <v>2993</v>
      </c>
      <c r="BM411" s="1" t="str">
        <f>HYPERLINK("http://exon.niaid.nih.gov/transcriptome/T_rubida/S1/links/KOG/Triru-contig_371-KOG.txt","Predicted importin 9")</f>
        <v>Predicted importin 9</v>
      </c>
      <c r="BN411" t="str">
        <f>HYPERLINK("http://www.ncbi.nlm.nih.gov/COG/grace/shokog.cgi?KOG2274","1.2")</f>
        <v>1.2</v>
      </c>
      <c r="BO411" t="s">
        <v>2994</v>
      </c>
      <c r="BP411" s="1" t="str">
        <f>HYPERLINK("http://exon.niaid.nih.gov/transcriptome/T_rubida/S1/links/PFAM/Triru-contig_371-PFAM.txt","EB_dh")</f>
        <v>EB_dh</v>
      </c>
      <c r="BQ411" t="str">
        <f>HYPERLINK("http://pfam.sanger.ac.uk/family?acc=PF09459","0.63")</f>
        <v>0.63</v>
      </c>
      <c r="BR411" s="1" t="str">
        <f>HYPERLINK("http://exon.niaid.nih.gov/transcriptome/T_rubida/S1/links/SMART/Triru-contig_371-SMART.txt","PKS_KS")</f>
        <v>PKS_KS</v>
      </c>
      <c r="BS411" t="str">
        <f>HYPERLINK("http://smart.embl-heidelberg.de/smart/do_annotation.pl?DOMAIN=PKS_KS&amp;BLAST=DUMMY","0.24")</f>
        <v>0.24</v>
      </c>
      <c r="BT411" s="1" t="str">
        <f>HYPERLINK("http://exon.niaid.nih.gov/transcriptome/T_rubida/S1/links/PRK/Triru-contig_371-PRK.txt","4-hydroxybenzoate octaprenyltransferase")</f>
        <v>4-hydroxybenzoate octaprenyltransferase</v>
      </c>
      <c r="BU411">
        <v>0.43</v>
      </c>
      <c r="BV411" s="1" t="s">
        <v>57</v>
      </c>
      <c r="BW411" t="s">
        <v>57</v>
      </c>
      <c r="BX411" s="1" t="s">
        <v>57</v>
      </c>
      <c r="BY411" t="s">
        <v>57</v>
      </c>
    </row>
    <row r="412" spans="1:77">
      <c r="A412" t="str">
        <f>HYPERLINK("http://exon.niaid.nih.gov/transcriptome/T_rubida/S1/links/Triru/Triru-contig_159.txt","Triru-contig_159")</f>
        <v>Triru-contig_159</v>
      </c>
      <c r="B412">
        <v>2</v>
      </c>
      <c r="C412" t="str">
        <f>HYPERLINK("http://exon.niaid.nih.gov/transcriptome/T_rubida/S1/links/Triru/Triru-5-48-asb-159.txt","Contig-159")</f>
        <v>Contig-159</v>
      </c>
      <c r="D412" t="str">
        <f>HYPERLINK("http://exon.niaid.nih.gov/transcriptome/T_rubida/S1/links/Triru/Triru-5-48-159-CLU.txt","Contig159")</f>
        <v>Contig159</v>
      </c>
      <c r="E412" t="str">
        <f>HYPERLINK("http://exon.niaid.nih.gov/transcriptome/T_rubida/S1/links/Triru/Triru-5-48-159-qual.txt","83.9")</f>
        <v>83.9</v>
      </c>
      <c r="F412" t="s">
        <v>10</v>
      </c>
      <c r="G412">
        <v>75.8</v>
      </c>
      <c r="H412">
        <v>473</v>
      </c>
      <c r="I412" t="s">
        <v>171</v>
      </c>
      <c r="J412">
        <v>473</v>
      </c>
      <c r="K412">
        <v>492</v>
      </c>
      <c r="L412">
        <v>198</v>
      </c>
      <c r="M412" t="s">
        <v>5472</v>
      </c>
      <c r="N412" s="15">
        <v>1</v>
      </c>
      <c r="Q412" s="5" t="s">
        <v>4827</v>
      </c>
      <c r="R412" t="s">
        <v>4828</v>
      </c>
      <c r="V412" s="1" t="str">
        <f>HYPERLINK("http://exon.niaid.nih.gov/transcriptome/T_rubida/S1/links/NR/Triru-contig_159-NR.txt","hypothetical protein CRP_182")</f>
        <v>hypothetical protein CRP_182</v>
      </c>
      <c r="W412" t="str">
        <f>HYPERLINK("http://www.ncbi.nlm.nih.gov/sutils/blink.cgi?pid=116335084","0.61")</f>
        <v>0.61</v>
      </c>
      <c r="X412" t="str">
        <f>HYPERLINK("http://www.ncbi.nlm.nih.gov/protein/116335084","gi|116335084")</f>
        <v>gi|116335084</v>
      </c>
      <c r="Y412">
        <v>37.700000000000003</v>
      </c>
      <c r="Z412">
        <v>98</v>
      </c>
      <c r="AA412">
        <v>337</v>
      </c>
      <c r="AB412">
        <v>29</v>
      </c>
      <c r="AC412">
        <v>29</v>
      </c>
      <c r="AD412">
        <v>70</v>
      </c>
      <c r="AE412">
        <v>10</v>
      </c>
      <c r="AF412">
        <v>69</v>
      </c>
      <c r="AG412">
        <v>130</v>
      </c>
      <c r="AH412">
        <v>1</v>
      </c>
      <c r="AI412">
        <v>1</v>
      </c>
      <c r="AJ412" t="s">
        <v>11</v>
      </c>
      <c r="AK412">
        <v>2.0409999999999999</v>
      </c>
      <c r="AL412" t="s">
        <v>1634</v>
      </c>
      <c r="AM412" t="s">
        <v>1635</v>
      </c>
      <c r="AN412" t="s">
        <v>1636</v>
      </c>
      <c r="AO412" s="1" t="str">
        <f>HYPERLINK("http://exon.niaid.nih.gov/transcriptome/T_rubida/S1/links/SWISSP/Triru-contig_159-SWISSP.txt","Protein VP3")</f>
        <v>Protein VP3</v>
      </c>
      <c r="AP412" t="str">
        <f>HYPERLINK("http://www.uniprot.org/uniprot/Q6WNV8","3.3")</f>
        <v>3.3</v>
      </c>
      <c r="AQ412" t="s">
        <v>1637</v>
      </c>
      <c r="AR412">
        <v>31.2</v>
      </c>
      <c r="AS412">
        <v>65</v>
      </c>
      <c r="AT412">
        <v>27</v>
      </c>
      <c r="AU412">
        <v>8</v>
      </c>
      <c r="AV412">
        <v>48</v>
      </c>
      <c r="AW412">
        <v>7</v>
      </c>
      <c r="AX412">
        <v>218</v>
      </c>
      <c r="AY412">
        <v>44</v>
      </c>
      <c r="AZ412">
        <v>1</v>
      </c>
      <c r="BA412">
        <v>2</v>
      </c>
      <c r="BB412" t="s">
        <v>11</v>
      </c>
      <c r="BC412">
        <v>3.077</v>
      </c>
      <c r="BD412" t="s">
        <v>704</v>
      </c>
      <c r="BE412" t="s">
        <v>1638</v>
      </c>
      <c r="BF412" t="s">
        <v>1639</v>
      </c>
      <c r="BG412" t="s">
        <v>1640</v>
      </c>
      <c r="BH412" s="1" t="s">
        <v>57</v>
      </c>
      <c r="BI412" t="s">
        <v>57</v>
      </c>
      <c r="BJ412" s="1" t="str">
        <f>HYPERLINK("http://exon.niaid.nih.gov/transcriptome/T_rubida/S1/links/CDD/Triru-contig_159-CDD.txt","PHA02985")</f>
        <v>PHA02985</v>
      </c>
      <c r="BK412" t="str">
        <f>HYPERLINK("http://www.ncbi.nlm.nih.gov/Structure/cdd/cddsrv.cgi?uid=PHA02985&amp;version=v4.0","0.049")</f>
        <v>0.049</v>
      </c>
      <c r="BL412" t="s">
        <v>1641</v>
      </c>
      <c r="BM412" s="1" t="str">
        <f>HYPERLINK("http://exon.niaid.nih.gov/transcriptome/T_rubida/S1/links/KOG/Triru-contig_159-KOG.txt","Voltage-gated Ca2+ channels, alpha1 subunits")</f>
        <v>Voltage-gated Ca2+ channels, alpha1 subunits</v>
      </c>
      <c r="BN412" t="str">
        <f>HYPERLINK("http://www.ncbi.nlm.nih.gov/COG/grace/shokog.cgi?KOG2301","0.13")</f>
        <v>0.13</v>
      </c>
      <c r="BO412" t="s">
        <v>720</v>
      </c>
      <c r="BP412" s="1" t="str">
        <f>HYPERLINK("http://exon.niaid.nih.gov/transcriptome/T_rubida/S1/links/PFAM/Triru-contig_159-PFAM.txt","CD47")</f>
        <v>CD47</v>
      </c>
      <c r="BQ412" t="str">
        <f>HYPERLINK("http://pfam.sanger.ac.uk/family?acc=PF04549","0.069")</f>
        <v>0.069</v>
      </c>
      <c r="BR412" s="1" t="str">
        <f>HYPERLINK("http://exon.niaid.nih.gov/transcriptome/T_rubida/S1/links/SMART/Triru-contig_159-SMART.txt","PSN")</f>
        <v>PSN</v>
      </c>
      <c r="BS412" t="str">
        <f>HYPERLINK("http://smart.embl-heidelberg.de/smart/do_annotation.pl?DOMAIN=PSN&amp;BLAST=DUMMY","0.059")</f>
        <v>0.059</v>
      </c>
      <c r="BT412" s="1" t="str">
        <f>HYPERLINK("http://exon.niaid.nih.gov/transcriptome/T_rubida/S1/links/PRK/Triru-contig_159-PRK.txt","hypothetical protein")</f>
        <v>hypothetical protein</v>
      </c>
      <c r="BU412">
        <v>2.1999999999999999E-2</v>
      </c>
      <c r="BV412" s="1" t="s">
        <v>57</v>
      </c>
      <c r="BW412" t="s">
        <v>57</v>
      </c>
      <c r="BX412" s="1" t="s">
        <v>57</v>
      </c>
      <c r="BY412" t="s">
        <v>57</v>
      </c>
    </row>
    <row r="413" spans="1:77">
      <c r="A413" t="str">
        <f>HYPERLINK("http://exon.niaid.nih.gov/transcriptome/T_rubida/S1/links/Triru/Triru-contig_276.txt","Triru-contig_276")</f>
        <v>Triru-contig_276</v>
      </c>
      <c r="B413">
        <v>1</v>
      </c>
      <c r="C413" t="str">
        <f>HYPERLINK("http://exon.niaid.nih.gov/transcriptome/T_rubida/S1/links/Triru/Triru-5-48-asb-276.txt","Contig-276")</f>
        <v>Contig-276</v>
      </c>
      <c r="D413" t="str">
        <f>HYPERLINK("http://exon.niaid.nih.gov/transcriptome/T_rubida/S1/links/Triru/Triru-5-48-276-CLU.txt","Contig276")</f>
        <v>Contig276</v>
      </c>
      <c r="E413" t="str">
        <f>HYPERLINK("http://exon.niaid.nih.gov/transcriptome/T_rubida/S1/links/Triru/Triru-5-48-276-qual.txt","36.6")</f>
        <v>36.6</v>
      </c>
      <c r="F413" t="s">
        <v>10</v>
      </c>
      <c r="G413">
        <v>71.900000000000006</v>
      </c>
      <c r="H413">
        <v>401</v>
      </c>
      <c r="I413" t="s">
        <v>288</v>
      </c>
      <c r="J413">
        <v>401</v>
      </c>
      <c r="K413">
        <v>420</v>
      </c>
      <c r="L413">
        <v>243</v>
      </c>
      <c r="M413" t="s">
        <v>5426</v>
      </c>
      <c r="N413" s="15">
        <v>2</v>
      </c>
      <c r="Q413" s="5" t="s">
        <v>4827</v>
      </c>
      <c r="R413" t="s">
        <v>4828</v>
      </c>
      <c r="V413" s="1" t="str">
        <f>HYPERLINK("http://exon.niaid.nih.gov/transcriptome/T_rubida/S1/links/NR/Triru-contig_276-NR.txt","ATP-binding cassette sub-family G member 5-like")</f>
        <v>ATP-binding cassette sub-family G member 5-like</v>
      </c>
      <c r="W413" t="str">
        <f>HYPERLINK("http://www.ncbi.nlm.nih.gov/sutils/blink.cgi?pid=328718471","0.62")</f>
        <v>0.62</v>
      </c>
      <c r="X413" t="str">
        <f>HYPERLINK("http://www.ncbi.nlm.nih.gov/protein/328718471","gi|328718471")</f>
        <v>gi|328718471</v>
      </c>
      <c r="Y413">
        <v>37.700000000000003</v>
      </c>
      <c r="Z413">
        <v>25</v>
      </c>
      <c r="AA413">
        <v>638</v>
      </c>
      <c r="AB413">
        <v>61</v>
      </c>
      <c r="AC413">
        <v>4</v>
      </c>
      <c r="AD413">
        <v>10</v>
      </c>
      <c r="AE413">
        <v>0</v>
      </c>
      <c r="AF413">
        <v>613</v>
      </c>
      <c r="AG413">
        <v>36</v>
      </c>
      <c r="AH413">
        <v>1</v>
      </c>
      <c r="AI413">
        <v>3</v>
      </c>
      <c r="AJ413" t="s">
        <v>11</v>
      </c>
      <c r="AL413" t="s">
        <v>1160</v>
      </c>
      <c r="AM413" t="s">
        <v>2339</v>
      </c>
      <c r="AN413" t="s">
        <v>2340</v>
      </c>
      <c r="AO413" s="1" t="str">
        <f>HYPERLINK("http://exon.niaid.nih.gov/transcriptome/T_rubida/S1/links/SWISSP/Triru-contig_276-SWISSP.txt","Early 53 kDa protein")</f>
        <v>Early 53 kDa protein</v>
      </c>
      <c r="AP413" t="str">
        <f>HYPERLINK("http://www.uniprot.org/uniprot/Q04719","0.73")</f>
        <v>0.73</v>
      </c>
      <c r="AQ413" t="s">
        <v>2341</v>
      </c>
      <c r="AR413">
        <v>32.700000000000003</v>
      </c>
      <c r="AS413">
        <v>61</v>
      </c>
      <c r="AT413">
        <v>30</v>
      </c>
      <c r="AU413">
        <v>14</v>
      </c>
      <c r="AV413">
        <v>43</v>
      </c>
      <c r="AW413">
        <v>8</v>
      </c>
      <c r="AX413">
        <v>383</v>
      </c>
      <c r="AY413">
        <v>170</v>
      </c>
      <c r="AZ413">
        <v>1</v>
      </c>
      <c r="BA413">
        <v>2</v>
      </c>
      <c r="BB413" t="s">
        <v>11</v>
      </c>
      <c r="BD413" t="s">
        <v>704</v>
      </c>
      <c r="BE413" t="s">
        <v>2342</v>
      </c>
      <c r="BF413" t="s">
        <v>2343</v>
      </c>
      <c r="BG413" t="s">
        <v>2344</v>
      </c>
      <c r="BH413" s="1" t="s">
        <v>57</v>
      </c>
      <c r="BI413" t="s">
        <v>57</v>
      </c>
      <c r="BJ413" s="1" t="str">
        <f>HYPERLINK("http://exon.niaid.nih.gov/transcriptome/T_rubida/S1/links/CDD/Triru-contig_276-CDD.txt","arg_catab_AOST")</f>
        <v>arg_catab_AOST</v>
      </c>
      <c r="BK413" t="str">
        <f>HYPERLINK("http://www.ncbi.nlm.nih.gov/Structure/cdd/cddsrv.cgi?uid=TIGR03243&amp;version=v4.0","0.14")</f>
        <v>0.14</v>
      </c>
      <c r="BL413" t="s">
        <v>2345</v>
      </c>
      <c r="BM413" s="1" t="str">
        <f>HYPERLINK("http://exon.niaid.nih.gov/transcriptome/T_rubida/S1/links/KOG/Triru-contig_276-KOG.txt","O-acetyltransferase")</f>
        <v>O-acetyltransferase</v>
      </c>
      <c r="BN413" t="str">
        <f>HYPERLINK("http://www.ncbi.nlm.nih.gov/COG/grace/shokog.cgi?KOG1699","0.36")</f>
        <v>0.36</v>
      </c>
      <c r="BO413" t="s">
        <v>750</v>
      </c>
      <c r="BP413" s="1" t="str">
        <f>HYPERLINK("http://exon.niaid.nih.gov/transcriptome/T_rubida/S1/links/PFAM/Triru-contig_276-PFAM.txt","AstA")</f>
        <v>AstA</v>
      </c>
      <c r="BQ413" t="str">
        <f>HYPERLINK("http://pfam.sanger.ac.uk/family?acc=PF04958","0.033")</f>
        <v>0.033</v>
      </c>
      <c r="BR413" s="1" t="str">
        <f>HYPERLINK("http://exon.niaid.nih.gov/transcriptome/T_rubida/S1/links/SMART/Triru-contig_276-SMART.txt","Brix")</f>
        <v>Brix</v>
      </c>
      <c r="BS413" t="str">
        <f>HYPERLINK("http://smart.embl-heidelberg.de/smart/do_annotation.pl?DOMAIN=Brix&amp;BLAST=DUMMY","0.009")</f>
        <v>0.009</v>
      </c>
      <c r="BT413" s="1" t="str">
        <f>HYPERLINK("http://exon.niaid.nih.gov/transcriptome/T_rubida/S1/links/PRK/Triru-contig_276-PRK.txt","host-range protein")</f>
        <v>host-range protein</v>
      </c>
      <c r="BU413">
        <v>0.34</v>
      </c>
      <c r="BV413" s="1" t="s">
        <v>57</v>
      </c>
      <c r="BW413" t="s">
        <v>57</v>
      </c>
      <c r="BX413" s="1" t="s">
        <v>57</v>
      </c>
      <c r="BY413" t="s">
        <v>57</v>
      </c>
    </row>
    <row r="414" spans="1:77">
      <c r="A414" t="str">
        <f>HYPERLINK("http://exon.niaid.nih.gov/transcriptome/T_rubida/S1/links/Triru/Triru-contig_282.txt","Triru-contig_282")</f>
        <v>Triru-contig_282</v>
      </c>
      <c r="B414">
        <v>1</v>
      </c>
      <c r="C414" t="str">
        <f>HYPERLINK("http://exon.niaid.nih.gov/transcriptome/T_rubida/S1/links/Triru/Triru-5-48-asb-282.txt","Contig-282")</f>
        <v>Contig-282</v>
      </c>
      <c r="D414" t="str">
        <f>HYPERLINK("http://exon.niaid.nih.gov/transcriptome/T_rubida/S1/links/Triru/Triru-5-48-282-CLU.txt","Contig282")</f>
        <v>Contig282</v>
      </c>
      <c r="E414" t="str">
        <f>HYPERLINK("http://exon.niaid.nih.gov/transcriptome/T_rubida/S1/links/Triru/Triru-5-48-282-qual.txt","55.4")</f>
        <v>55.4</v>
      </c>
      <c r="F414" t="s">
        <v>10</v>
      </c>
      <c r="G414">
        <v>72.2</v>
      </c>
      <c r="H414">
        <v>399</v>
      </c>
      <c r="I414" t="s">
        <v>294</v>
      </c>
      <c r="J414">
        <v>399</v>
      </c>
      <c r="K414">
        <v>418</v>
      </c>
      <c r="L414">
        <v>243</v>
      </c>
      <c r="M414" t="s">
        <v>5426</v>
      </c>
      <c r="N414" s="15">
        <v>3</v>
      </c>
      <c r="Q414" s="5" t="s">
        <v>4827</v>
      </c>
      <c r="R414" t="s">
        <v>4828</v>
      </c>
      <c r="V414" s="1" t="str">
        <f>HYPERLINK("http://exon.niaid.nih.gov/transcriptome/T_rubida/S1/links/NR/Triru-contig_282-NR.txt","ATP-binding cassette sub-family G member 5-like")</f>
        <v>ATP-binding cassette sub-family G member 5-like</v>
      </c>
      <c r="W414" t="str">
        <f>HYPERLINK("http://www.ncbi.nlm.nih.gov/sutils/blink.cgi?pid=328718471","0.62")</f>
        <v>0.62</v>
      </c>
      <c r="X414" t="str">
        <f>HYPERLINK("http://www.ncbi.nlm.nih.gov/protein/328718471","gi|328718471")</f>
        <v>gi|328718471</v>
      </c>
      <c r="Y414">
        <v>37.700000000000003</v>
      </c>
      <c r="Z414">
        <v>25</v>
      </c>
      <c r="AA414">
        <v>638</v>
      </c>
      <c r="AB414">
        <v>61</v>
      </c>
      <c r="AC414">
        <v>4</v>
      </c>
      <c r="AD414">
        <v>10</v>
      </c>
      <c r="AE414">
        <v>0</v>
      </c>
      <c r="AF414">
        <v>613</v>
      </c>
      <c r="AG414">
        <v>34</v>
      </c>
      <c r="AH414">
        <v>1</v>
      </c>
      <c r="AI414">
        <v>1</v>
      </c>
      <c r="AJ414" t="s">
        <v>11</v>
      </c>
      <c r="AL414" t="s">
        <v>1160</v>
      </c>
      <c r="AM414" t="s">
        <v>2381</v>
      </c>
      <c r="AN414" t="s">
        <v>2382</v>
      </c>
      <c r="AO414" s="1" t="str">
        <f>HYPERLINK("http://exon.niaid.nih.gov/transcriptome/T_rubida/S1/links/SWISSP/Triru-contig_282-SWISSP.txt","Early 53 kDa protein")</f>
        <v>Early 53 kDa protein</v>
      </c>
      <c r="AP414" t="str">
        <f>HYPERLINK("http://www.uniprot.org/uniprot/Q04719","0.73")</f>
        <v>0.73</v>
      </c>
      <c r="AQ414" t="s">
        <v>2341</v>
      </c>
      <c r="AR414">
        <v>32.700000000000003</v>
      </c>
      <c r="AS414">
        <v>61</v>
      </c>
      <c r="AT414">
        <v>30</v>
      </c>
      <c r="AU414">
        <v>14</v>
      </c>
      <c r="AV414">
        <v>43</v>
      </c>
      <c r="AW414">
        <v>8</v>
      </c>
      <c r="AX414">
        <v>383</v>
      </c>
      <c r="AY414">
        <v>168</v>
      </c>
      <c r="AZ414">
        <v>1</v>
      </c>
      <c r="BA414">
        <v>3</v>
      </c>
      <c r="BB414" t="s">
        <v>11</v>
      </c>
      <c r="BD414" t="s">
        <v>704</v>
      </c>
      <c r="BE414" t="s">
        <v>2342</v>
      </c>
      <c r="BF414" t="s">
        <v>2383</v>
      </c>
      <c r="BG414" t="s">
        <v>2384</v>
      </c>
      <c r="BH414" s="1" t="s">
        <v>57</v>
      </c>
      <c r="BI414" t="s">
        <v>57</v>
      </c>
      <c r="BJ414" s="1" t="str">
        <f>HYPERLINK("http://exon.niaid.nih.gov/transcriptome/T_rubida/S1/links/CDD/Triru-contig_282-CDD.txt","arg_catab_AOST")</f>
        <v>arg_catab_AOST</v>
      </c>
      <c r="BK414" t="str">
        <f>HYPERLINK("http://www.ncbi.nlm.nih.gov/Structure/cdd/cddsrv.cgi?uid=TIGR03243&amp;version=v4.0","0.092")</f>
        <v>0.092</v>
      </c>
      <c r="BL414" t="s">
        <v>2385</v>
      </c>
      <c r="BM414" s="1" t="str">
        <f>HYPERLINK("http://exon.niaid.nih.gov/transcriptome/T_rubida/S1/links/KOG/Triru-contig_282-KOG.txt","O-acetyltransferase")</f>
        <v>O-acetyltransferase</v>
      </c>
      <c r="BN414" t="str">
        <f>HYPERLINK("http://www.ncbi.nlm.nih.gov/COG/grace/shokog.cgi?KOG1699","0.36")</f>
        <v>0.36</v>
      </c>
      <c r="BO414" t="s">
        <v>750</v>
      </c>
      <c r="BP414" s="1" t="str">
        <f>HYPERLINK("http://exon.niaid.nih.gov/transcriptome/T_rubida/S1/links/PFAM/Triru-contig_282-PFAM.txt","AstA")</f>
        <v>AstA</v>
      </c>
      <c r="BQ414" t="str">
        <f>HYPERLINK("http://pfam.sanger.ac.uk/family?acc=PF04958","0.032")</f>
        <v>0.032</v>
      </c>
      <c r="BR414" s="1" t="str">
        <f>HYPERLINK("http://exon.niaid.nih.gov/transcriptome/T_rubida/S1/links/SMART/Triru-contig_282-SMART.txt","Brix")</f>
        <v>Brix</v>
      </c>
      <c r="BS414" t="str">
        <f>HYPERLINK("http://smart.embl-heidelberg.de/smart/do_annotation.pl?DOMAIN=Brix&amp;BLAST=DUMMY","0.009")</f>
        <v>0.009</v>
      </c>
      <c r="BT414" s="1" t="str">
        <f>HYPERLINK("http://exon.niaid.nih.gov/transcriptome/T_rubida/S1/links/PRK/Triru-contig_282-PRK.txt","host-range protein")</f>
        <v>host-range protein</v>
      </c>
      <c r="BU414">
        <v>0.34</v>
      </c>
      <c r="BV414" s="1" t="s">
        <v>57</v>
      </c>
      <c r="BW414" t="s">
        <v>57</v>
      </c>
      <c r="BX414" s="1" t="s">
        <v>57</v>
      </c>
      <c r="BY414" t="s">
        <v>57</v>
      </c>
    </row>
    <row r="415" spans="1:77">
      <c r="A415" t="str">
        <f>HYPERLINK("http://exon.niaid.nih.gov/transcriptome/T_rubida/S1/links/Triru/Triru-contig_151.txt","Triru-contig_151")</f>
        <v>Triru-contig_151</v>
      </c>
      <c r="B415">
        <v>2</v>
      </c>
      <c r="C415" t="str">
        <f>HYPERLINK("http://exon.niaid.nih.gov/transcriptome/T_rubida/S1/links/Triru/Triru-5-48-asb-151.txt","Contig-151")</f>
        <v>Contig-151</v>
      </c>
      <c r="D415" t="str">
        <f>HYPERLINK("http://exon.niaid.nih.gov/transcriptome/T_rubida/S1/links/Triru/Triru-5-48-151-CLU.txt","Contig151")</f>
        <v>Contig151</v>
      </c>
      <c r="E415" t="str">
        <f>HYPERLINK("http://exon.niaid.nih.gov/transcriptome/T_rubida/S1/links/Triru/Triru-5-48-151-qual.txt","85.3")</f>
        <v>85.3</v>
      </c>
      <c r="F415" t="s">
        <v>10</v>
      </c>
      <c r="G415">
        <v>76.2</v>
      </c>
      <c r="H415">
        <v>208</v>
      </c>
      <c r="I415" t="s">
        <v>163</v>
      </c>
      <c r="J415">
        <v>208</v>
      </c>
      <c r="K415">
        <v>227</v>
      </c>
      <c r="L415">
        <v>144</v>
      </c>
      <c r="M415" t="s">
        <v>5521</v>
      </c>
      <c r="N415" s="15">
        <v>1</v>
      </c>
      <c r="Q415" s="5" t="s">
        <v>4827</v>
      </c>
      <c r="R415" t="s">
        <v>4828</v>
      </c>
      <c r="V415" s="1" t="str">
        <f>HYPERLINK("http://exon.niaid.nih.gov/transcriptome/T_rubida/S1/links/NR/Triru-contig_151-NR.txt","hypothetical protein EUBVEN_01608")</f>
        <v>hypothetical protein EUBVEN_01608</v>
      </c>
      <c r="W415" t="str">
        <f>HYPERLINK("http://www.ncbi.nlm.nih.gov/sutils/blink.cgi?pid=154483903","0.62")</f>
        <v>0.62</v>
      </c>
      <c r="X415" t="str">
        <f>HYPERLINK("http://www.ncbi.nlm.nih.gov/protein/154483903","gi|154483903")</f>
        <v>gi|154483903</v>
      </c>
      <c r="Y415">
        <v>37.700000000000003</v>
      </c>
      <c r="Z415">
        <v>43</v>
      </c>
      <c r="AA415">
        <v>564</v>
      </c>
      <c r="AB415">
        <v>41</v>
      </c>
      <c r="AC415">
        <v>8</v>
      </c>
      <c r="AD415">
        <v>27</v>
      </c>
      <c r="AE415">
        <v>0</v>
      </c>
      <c r="AF415">
        <v>515</v>
      </c>
      <c r="AG415">
        <v>49</v>
      </c>
      <c r="AH415">
        <v>1</v>
      </c>
      <c r="AI415">
        <v>1</v>
      </c>
      <c r="AJ415" t="s">
        <v>11</v>
      </c>
      <c r="AK415">
        <v>4.6509999999999998</v>
      </c>
      <c r="AL415" t="s">
        <v>1584</v>
      </c>
      <c r="AM415" t="s">
        <v>1585</v>
      </c>
      <c r="AN415" t="s">
        <v>1586</v>
      </c>
      <c r="AO415" s="1" t="str">
        <f>HYPERLINK("http://exon.niaid.nih.gov/transcriptome/T_rubida/S1/links/SWISSP/Triru-contig_151-SWISSP.txt","Uncharacterized protein MJ1394")</f>
        <v>Uncharacterized protein MJ1394</v>
      </c>
      <c r="AP415" t="str">
        <f>HYPERLINK("http://www.uniprot.org/uniprot/Q58789","2.8")</f>
        <v>2.8</v>
      </c>
      <c r="AQ415" t="s">
        <v>1587</v>
      </c>
      <c r="AR415">
        <v>30.8</v>
      </c>
      <c r="AS415">
        <v>38</v>
      </c>
      <c r="AT415">
        <v>41</v>
      </c>
      <c r="AU415">
        <v>4</v>
      </c>
      <c r="AV415">
        <v>23</v>
      </c>
      <c r="AW415">
        <v>1</v>
      </c>
      <c r="AX415">
        <v>635</v>
      </c>
      <c r="AY415">
        <v>88</v>
      </c>
      <c r="AZ415">
        <v>1</v>
      </c>
      <c r="BA415">
        <v>1</v>
      </c>
      <c r="BB415" t="s">
        <v>11</v>
      </c>
      <c r="BD415" t="s">
        <v>704</v>
      </c>
      <c r="BE415" t="s">
        <v>1588</v>
      </c>
      <c r="BF415" t="s">
        <v>1589</v>
      </c>
      <c r="BG415" t="s">
        <v>1590</v>
      </c>
      <c r="BH415" s="1" t="s">
        <v>57</v>
      </c>
      <c r="BI415" t="s">
        <v>57</v>
      </c>
      <c r="BJ415" s="1" t="str">
        <f>HYPERLINK("http://exon.niaid.nih.gov/transcriptome/T_rubida/S1/links/CDD/Triru-contig_151-CDD.txt","PHA03007")</f>
        <v>PHA03007</v>
      </c>
      <c r="BK415" t="str">
        <f>HYPERLINK("http://www.ncbi.nlm.nih.gov/Structure/cdd/cddsrv.cgi?uid=PHA03007&amp;version=v4.0","0.64")</f>
        <v>0.64</v>
      </c>
      <c r="BL415" t="s">
        <v>1591</v>
      </c>
      <c r="BM415" s="1" t="str">
        <f>HYPERLINK("http://exon.niaid.nih.gov/transcriptome/T_rubida/S1/links/KOG/Triru-contig_151-KOG.txt","Imidazoleglycerol-phosphate synthase subunit H-like")</f>
        <v>Imidazoleglycerol-phosphate synthase subunit H-like</v>
      </c>
      <c r="BN415" t="str">
        <f>HYPERLINK("http://www.ncbi.nlm.nih.gov/COG/grace/shokog.cgi?KOG3210","3.4")</f>
        <v>3.4</v>
      </c>
      <c r="BO415" t="s">
        <v>1592</v>
      </c>
      <c r="BP415" s="1" t="str">
        <f>HYPERLINK("http://exon.niaid.nih.gov/transcriptome/T_rubida/S1/links/PFAM/Triru-contig_151-PFAM.txt","DUF3688")</f>
        <v>DUF3688</v>
      </c>
      <c r="BQ415" t="str">
        <f>HYPERLINK("http://pfam.sanger.ac.uk/family?acc=PF12461","0.46")</f>
        <v>0.46</v>
      </c>
      <c r="BR415" s="1" t="str">
        <f>HYPERLINK("http://exon.niaid.nih.gov/transcriptome/T_rubida/S1/links/SMART/Triru-contig_151-SMART.txt","acidPPc")</f>
        <v>acidPPc</v>
      </c>
      <c r="BS415" t="str">
        <f>HYPERLINK("http://smart.embl-heidelberg.de/smart/do_annotation.pl?DOMAIN=acidPPc&amp;BLAST=DUMMY","0.042")</f>
        <v>0.042</v>
      </c>
      <c r="BT415" s="1" t="str">
        <f>HYPERLINK("http://exon.niaid.nih.gov/transcriptome/T_rubida/S1/links/PRK/Triru-contig_151-PRK.txt","hypothetical protein")</f>
        <v>hypothetical protein</v>
      </c>
      <c r="BU415">
        <v>0.23</v>
      </c>
      <c r="BV415" s="1" t="s">
        <v>57</v>
      </c>
      <c r="BW415" t="s">
        <v>57</v>
      </c>
      <c r="BX415" s="1" t="s">
        <v>57</v>
      </c>
      <c r="BY415" t="s">
        <v>57</v>
      </c>
    </row>
    <row r="416" spans="1:77">
      <c r="A416" t="str">
        <f>HYPERLINK("http://exon.niaid.nih.gov/transcriptome/T_rubida/S1/links/Triru/Triru-contig_338.txt","Triru-contig_338")</f>
        <v>Triru-contig_338</v>
      </c>
      <c r="B416">
        <v>1</v>
      </c>
      <c r="C416" t="str">
        <f>HYPERLINK("http://exon.niaid.nih.gov/transcriptome/T_rubida/S1/links/Triru/Triru-5-48-asb-338.txt","Contig-338")</f>
        <v>Contig-338</v>
      </c>
      <c r="D416" t="str">
        <f>HYPERLINK("http://exon.niaid.nih.gov/transcriptome/T_rubida/S1/links/Triru/Triru-5-48-338-CLU.txt","Contig338")</f>
        <v>Contig338</v>
      </c>
      <c r="E416" t="str">
        <f>HYPERLINK("http://exon.niaid.nih.gov/transcriptome/T_rubida/S1/links/Triru/Triru-5-48-338-qual.txt","16.6")</f>
        <v>16.6</v>
      </c>
      <c r="F416" t="s">
        <v>10</v>
      </c>
      <c r="G416">
        <v>63.6</v>
      </c>
      <c r="H416">
        <v>577</v>
      </c>
      <c r="I416" t="s">
        <v>350</v>
      </c>
      <c r="J416">
        <v>577</v>
      </c>
      <c r="K416">
        <v>596</v>
      </c>
      <c r="L416">
        <v>267</v>
      </c>
      <c r="M416" t="s">
        <v>5667</v>
      </c>
      <c r="N416" s="15">
        <v>1</v>
      </c>
      <c r="O416" s="14" t="str">
        <f>HYPERLINK("http://exon.niaid.nih.gov/transcriptome/T_rubida/S1/links/Sigp/TRIRU-CONTIG_338-SigP.txt","Cyt")</f>
        <v>Cyt</v>
      </c>
      <c r="Q416" s="5" t="s">
        <v>4827</v>
      </c>
      <c r="R416" t="s">
        <v>4828</v>
      </c>
      <c r="V416" s="1" t="str">
        <f>HYPERLINK("http://exon.niaid.nih.gov/transcriptome/T_rubida/S1/links/NR/Triru-contig_338-NR.txt","unnamed protein product")</f>
        <v>unnamed protein product</v>
      </c>
      <c r="W416" t="str">
        <f>HYPERLINK("http://www.ncbi.nlm.nih.gov/sutils/blink.cgi?pid=47213190","0.76")</f>
        <v>0.76</v>
      </c>
      <c r="X416" t="str">
        <f>HYPERLINK("http://www.ncbi.nlm.nih.gov/protein/47213190","gi|47213190")</f>
        <v>gi|47213190</v>
      </c>
      <c r="Y416">
        <v>38.1</v>
      </c>
      <c r="Z416">
        <v>109</v>
      </c>
      <c r="AA416">
        <v>283</v>
      </c>
      <c r="AB416">
        <v>27</v>
      </c>
      <c r="AC416">
        <v>39</v>
      </c>
      <c r="AD416">
        <v>81</v>
      </c>
      <c r="AE416">
        <v>20</v>
      </c>
      <c r="AF416">
        <v>170</v>
      </c>
      <c r="AG416">
        <v>11</v>
      </c>
      <c r="AH416">
        <v>1</v>
      </c>
      <c r="AI416">
        <v>2</v>
      </c>
      <c r="AJ416" t="s">
        <v>11</v>
      </c>
      <c r="AK416">
        <v>1.835</v>
      </c>
      <c r="AL416" t="s">
        <v>2627</v>
      </c>
      <c r="AM416" t="s">
        <v>2768</v>
      </c>
      <c r="AN416" t="s">
        <v>2769</v>
      </c>
      <c r="AO416" s="1" t="str">
        <f>HYPERLINK("http://exon.niaid.nih.gov/transcriptome/T_rubida/S1/links/SWISSP/Triru-contig_338-SWISSP.txt","Exoribonuclease 2")</f>
        <v>Exoribonuclease 2</v>
      </c>
      <c r="AP416" t="str">
        <f>HYPERLINK("http://www.uniprot.org/uniprot/Q9CP74","3.0")</f>
        <v>3.0</v>
      </c>
      <c r="AQ416" t="s">
        <v>2770</v>
      </c>
      <c r="AR416">
        <v>32</v>
      </c>
      <c r="AS416">
        <v>51</v>
      </c>
      <c r="AT416">
        <v>32</v>
      </c>
      <c r="AU416">
        <v>8</v>
      </c>
      <c r="AV416">
        <v>35</v>
      </c>
      <c r="AW416">
        <v>0</v>
      </c>
      <c r="AX416">
        <v>473</v>
      </c>
      <c r="AY416">
        <v>100</v>
      </c>
      <c r="AZ416">
        <v>1</v>
      </c>
      <c r="BA416">
        <v>1</v>
      </c>
      <c r="BB416" t="s">
        <v>11</v>
      </c>
      <c r="BD416" t="s">
        <v>704</v>
      </c>
      <c r="BE416" t="s">
        <v>2322</v>
      </c>
      <c r="BF416" t="s">
        <v>2771</v>
      </c>
      <c r="BG416" t="s">
        <v>2772</v>
      </c>
      <c r="BH416" s="1" t="s">
        <v>57</v>
      </c>
      <c r="BI416" t="s">
        <v>57</v>
      </c>
      <c r="BJ416" s="1" t="str">
        <f>HYPERLINK("http://exon.niaid.nih.gov/transcriptome/T_rubida/S1/links/CDD/Triru-contig_338-CDD.txt","Sp38")</f>
        <v>Sp38</v>
      </c>
      <c r="BK416" t="str">
        <f>HYPERLINK("http://www.ncbi.nlm.nih.gov/Structure/cdd/cddsrv.cgi?uid=pfam07354&amp;version=v4.0","0.49")</f>
        <v>0.49</v>
      </c>
      <c r="BL416" t="s">
        <v>2773</v>
      </c>
      <c r="BM416" s="1" t="str">
        <f>HYPERLINK("http://exon.niaid.nih.gov/transcriptome/T_rubida/S1/links/KOG/Triru-contig_338-KOG.txt","Signaling protein RIC-8/synembryn (regulates neurotransmitter secretion)")</f>
        <v>Signaling protein RIC-8/synembryn (regulates neurotransmitter secretion)</v>
      </c>
      <c r="BN416" t="str">
        <f>HYPERLINK("http://www.ncbi.nlm.nih.gov/COG/grace/shokog.cgi?KOG4464","0.63")</f>
        <v>0.63</v>
      </c>
      <c r="BO416" t="s">
        <v>728</v>
      </c>
      <c r="BP416" s="1" t="str">
        <f>HYPERLINK("http://exon.niaid.nih.gov/transcriptome/T_rubida/S1/links/PFAM/Triru-contig_338-PFAM.txt","Sp38")</f>
        <v>Sp38</v>
      </c>
      <c r="BQ416" t="str">
        <f>HYPERLINK("http://pfam.sanger.ac.uk/family?acc=PF07354","0.100")</f>
        <v>0.100</v>
      </c>
      <c r="BR416" s="1" t="str">
        <f>HYPERLINK("http://exon.niaid.nih.gov/transcriptome/T_rubida/S1/links/SMART/Triru-contig_338-SMART.txt","AgrB")</f>
        <v>AgrB</v>
      </c>
      <c r="BS416" t="str">
        <f>HYPERLINK("http://smart.embl-heidelberg.de/smart/do_annotation.pl?DOMAIN=AgrB&amp;BLAST=DUMMY","0.046")</f>
        <v>0.046</v>
      </c>
      <c r="BT416" s="1" t="str">
        <f>HYPERLINK("http://exon.niaid.nih.gov/transcriptome/T_rubida/S1/links/PRK/Triru-contig_338-PRK.txt","nickel transporter permease NikB")</f>
        <v>nickel transporter permease NikB</v>
      </c>
      <c r="BU416">
        <v>0.35</v>
      </c>
      <c r="BV416" s="1" t="s">
        <v>57</v>
      </c>
      <c r="BW416" t="s">
        <v>57</v>
      </c>
      <c r="BX416" s="1" t="s">
        <v>57</v>
      </c>
      <c r="BY416" t="s">
        <v>57</v>
      </c>
    </row>
    <row r="417" spans="1:77">
      <c r="A417" t="str">
        <f>HYPERLINK("http://exon.niaid.nih.gov/transcriptome/T_rubida/S1/links/Triru/Triru-contig_513.txt","Triru-contig_513")</f>
        <v>Triru-contig_513</v>
      </c>
      <c r="B417">
        <v>1</v>
      </c>
      <c r="C417" t="str">
        <f>HYPERLINK("http://exon.niaid.nih.gov/transcriptome/T_rubida/S1/links/Triru/Triru-5-48-asb-513.txt","Contig-513")</f>
        <v>Contig-513</v>
      </c>
      <c r="D417" t="str">
        <f>HYPERLINK("http://exon.niaid.nih.gov/transcriptome/T_rubida/S1/links/Triru/Triru-5-48-513-CLU.txt","Contig513")</f>
        <v>Contig513</v>
      </c>
      <c r="E417" t="str">
        <f>HYPERLINK("http://exon.niaid.nih.gov/transcriptome/T_rubida/S1/links/Triru/Triru-5-48-513-qual.txt","52.7")</f>
        <v>52.7</v>
      </c>
      <c r="F417" t="s">
        <v>10</v>
      </c>
      <c r="G417">
        <v>68.900000000000006</v>
      </c>
      <c r="H417">
        <v>187</v>
      </c>
      <c r="I417" t="s">
        <v>525</v>
      </c>
      <c r="J417">
        <v>187</v>
      </c>
      <c r="K417">
        <v>206</v>
      </c>
      <c r="L417">
        <v>111</v>
      </c>
      <c r="M417" t="s">
        <v>5436</v>
      </c>
      <c r="N417" s="15">
        <v>2</v>
      </c>
      <c r="Q417" s="5" t="s">
        <v>4827</v>
      </c>
      <c r="R417" t="s">
        <v>4828</v>
      </c>
      <c r="V417" s="1" t="str">
        <f>HYPERLINK("http://exon.niaid.nih.gov/transcriptome/T_rubida/S1/links/NR/Triru-contig_513-NR.txt","AGAP010163-PA")</f>
        <v>AGAP010163-PA</v>
      </c>
      <c r="W417" t="str">
        <f>HYPERLINK("http://www.ncbi.nlm.nih.gov/sutils/blink.cgi?pid=58392387","0.79")</f>
        <v>0.79</v>
      </c>
      <c r="X417" t="str">
        <f>HYPERLINK("http://www.ncbi.nlm.nih.gov/protein/58392387","gi|58392387")</f>
        <v>gi|58392387</v>
      </c>
      <c r="Y417">
        <v>37.4</v>
      </c>
      <c r="Z417">
        <v>20</v>
      </c>
      <c r="AA417">
        <v>70</v>
      </c>
      <c r="AB417">
        <v>80</v>
      </c>
      <c r="AC417">
        <v>30</v>
      </c>
      <c r="AD417">
        <v>4</v>
      </c>
      <c r="AE417">
        <v>0</v>
      </c>
      <c r="AF417">
        <v>50</v>
      </c>
      <c r="AG417">
        <v>20</v>
      </c>
      <c r="AH417">
        <v>1</v>
      </c>
      <c r="AI417">
        <v>2</v>
      </c>
      <c r="AJ417" t="s">
        <v>11</v>
      </c>
      <c r="AL417" t="s">
        <v>2549</v>
      </c>
      <c r="AM417" t="s">
        <v>3952</v>
      </c>
      <c r="AN417" t="s">
        <v>3953</v>
      </c>
      <c r="AO417" s="1" t="str">
        <f>HYPERLINK("http://exon.niaid.nih.gov/transcriptome/T_rubida/S1/links/SWISSP/Triru-contig_513-SWISSP.txt","60S ribosomal protein L38")</f>
        <v>60S ribosomal protein L38</v>
      </c>
      <c r="AP417" t="str">
        <f>HYPERLINK("http://www.uniprot.org/uniprot/Q7Q0U1","0.030")</f>
        <v>0.030</v>
      </c>
      <c r="AQ417" t="s">
        <v>3954</v>
      </c>
      <c r="AR417">
        <v>37.4</v>
      </c>
      <c r="AS417">
        <v>20</v>
      </c>
      <c r="AT417">
        <v>80</v>
      </c>
      <c r="AU417">
        <v>30</v>
      </c>
      <c r="AV417">
        <v>4</v>
      </c>
      <c r="AW417">
        <v>0</v>
      </c>
      <c r="AX417">
        <v>50</v>
      </c>
      <c r="AY417">
        <v>20</v>
      </c>
      <c r="AZ417">
        <v>1</v>
      </c>
      <c r="BA417">
        <v>2</v>
      </c>
      <c r="BB417" t="s">
        <v>11</v>
      </c>
      <c r="BD417" t="s">
        <v>704</v>
      </c>
      <c r="BE417" t="s">
        <v>2084</v>
      </c>
      <c r="BF417" t="s">
        <v>3955</v>
      </c>
      <c r="BG417" t="s">
        <v>3956</v>
      </c>
      <c r="BH417" s="1" t="s">
        <v>57</v>
      </c>
      <c r="BI417" t="s">
        <v>57</v>
      </c>
      <c r="BJ417" s="1" t="str">
        <f>HYPERLINK("http://exon.niaid.nih.gov/transcriptome/T_rubida/S1/links/CDD/Triru-contig_513-CDD.txt","Ribosomal_L38e")</f>
        <v>Ribosomal_L38e</v>
      </c>
      <c r="BK417" t="str">
        <f>HYPERLINK("http://www.ncbi.nlm.nih.gov/Structure/cdd/cddsrv.cgi?uid=pfam01781&amp;version=v4.0","0.002")</f>
        <v>0.002</v>
      </c>
      <c r="BL417" t="s">
        <v>3957</v>
      </c>
      <c r="BM417" s="1" t="str">
        <f>HYPERLINK("http://exon.niaid.nih.gov/transcriptome/T_rubida/S1/links/KOG/Triru-contig_513-KOG.txt","60S ribosomal protein L38")</f>
        <v>60S ribosomal protein L38</v>
      </c>
      <c r="BN417" t="str">
        <f>HYPERLINK("http://www.ncbi.nlm.nih.gov/COG/grace/shokog.cgi?KOG3499","0.001")</f>
        <v>0.001</v>
      </c>
      <c r="BO417" t="s">
        <v>1185</v>
      </c>
      <c r="BP417" s="1" t="str">
        <f>HYPERLINK("http://exon.niaid.nih.gov/transcriptome/T_rubida/S1/links/PFAM/Triru-contig_513-PFAM.txt","Ribosomal_L38e")</f>
        <v>Ribosomal_L38e</v>
      </c>
      <c r="BQ417" t="str">
        <f>HYPERLINK("http://pfam.sanger.ac.uk/family?acc=PF01781","5E-004")</f>
        <v>5E-004</v>
      </c>
      <c r="BR417" s="1" t="str">
        <f>HYPERLINK("http://exon.niaid.nih.gov/transcriptome/T_rubida/S1/links/SMART/Triru-contig_513-SMART.txt","GRAM")</f>
        <v>GRAM</v>
      </c>
      <c r="BS417" t="str">
        <f>HYPERLINK("http://smart.embl-heidelberg.de/smart/do_annotation.pl?DOMAIN=GRAM&amp;BLAST=DUMMY","0.94")</f>
        <v>0.94</v>
      </c>
      <c r="BT417" s="1" t="str">
        <f>HYPERLINK("http://exon.niaid.nih.gov/transcriptome/T_rubida/S1/links/PRK/Triru-contig_513-PRK.txt","Ycf2")</f>
        <v>Ycf2</v>
      </c>
      <c r="BU417">
        <v>0.11</v>
      </c>
      <c r="BV417" s="1" t="s">
        <v>57</v>
      </c>
      <c r="BW417" t="s">
        <v>57</v>
      </c>
      <c r="BX417" s="1" t="s">
        <v>57</v>
      </c>
      <c r="BY417" t="s">
        <v>57</v>
      </c>
    </row>
    <row r="418" spans="1:77">
      <c r="A418" t="str">
        <f>HYPERLINK("http://exon.niaid.nih.gov/transcriptome/T_rubida/S1/links/Triru/Triru-contig_390.txt","Triru-contig_390")</f>
        <v>Triru-contig_390</v>
      </c>
      <c r="B418">
        <v>1</v>
      </c>
      <c r="C418" t="str">
        <f>HYPERLINK("http://exon.niaid.nih.gov/transcriptome/T_rubida/S1/links/Triru/Triru-5-48-asb-390.txt","Contig-390")</f>
        <v>Contig-390</v>
      </c>
      <c r="D418" t="str">
        <f>HYPERLINK("http://exon.niaid.nih.gov/transcriptome/T_rubida/S1/links/Triru/Triru-5-48-390-CLU.txt","Contig390")</f>
        <v>Contig390</v>
      </c>
      <c r="E418" t="str">
        <f>HYPERLINK("http://exon.niaid.nih.gov/transcriptome/T_rubida/S1/links/Triru/Triru-5-48-390-qual.txt","55.")</f>
        <v>55.</v>
      </c>
      <c r="F418" t="s">
        <v>10</v>
      </c>
      <c r="G418">
        <v>71.3</v>
      </c>
      <c r="H418">
        <v>663</v>
      </c>
      <c r="I418" t="s">
        <v>402</v>
      </c>
      <c r="J418">
        <v>663</v>
      </c>
      <c r="K418">
        <v>682</v>
      </c>
      <c r="L418">
        <v>252</v>
      </c>
      <c r="M418" t="s">
        <v>5601</v>
      </c>
      <c r="N418" s="15">
        <v>3</v>
      </c>
      <c r="Q418" s="5" t="s">
        <v>4827</v>
      </c>
      <c r="R418" t="s">
        <v>4828</v>
      </c>
      <c r="V418" s="1" t="str">
        <f>HYPERLINK("http://exon.niaid.nih.gov/transcriptome/T_rubida/S1/links/NR/Triru-contig_390-NR.txt","hypothetical protein")</f>
        <v>hypothetical protein</v>
      </c>
      <c r="W418" t="str">
        <f>HYPERLINK("http://www.ncbi.nlm.nih.gov/sutils/blink.cgi?pid=145482137","0.81")</f>
        <v>0.81</v>
      </c>
      <c r="X418" t="str">
        <f>HYPERLINK("http://www.ncbi.nlm.nih.gov/protein/145482137","gi|145482137")</f>
        <v>gi|145482137</v>
      </c>
      <c r="Y418">
        <v>38.5</v>
      </c>
      <c r="Z418">
        <v>60</v>
      </c>
      <c r="AA418">
        <v>249</v>
      </c>
      <c r="AB418">
        <v>31</v>
      </c>
      <c r="AC418">
        <v>24</v>
      </c>
      <c r="AD418">
        <v>42</v>
      </c>
      <c r="AE418">
        <v>0</v>
      </c>
      <c r="AF418">
        <v>40</v>
      </c>
      <c r="AG418">
        <v>240</v>
      </c>
      <c r="AH418">
        <v>1</v>
      </c>
      <c r="AI418">
        <v>3</v>
      </c>
      <c r="AJ418" t="s">
        <v>11</v>
      </c>
      <c r="AL418" t="s">
        <v>1997</v>
      </c>
      <c r="AM418" t="s">
        <v>3123</v>
      </c>
      <c r="AN418" t="s">
        <v>3124</v>
      </c>
      <c r="AO418" s="1" t="str">
        <f>HYPERLINK("http://exon.niaid.nih.gov/transcriptome/T_rubida/S1/links/SWISSP/Triru-contig_390-SWISSP.txt","Uncharacterized protein ORF54")</f>
        <v>Uncharacterized protein ORF54</v>
      </c>
      <c r="AP418" t="str">
        <f>HYPERLINK("http://www.uniprot.org/uniprot/Q00158","43")</f>
        <v>43</v>
      </c>
      <c r="AQ418" t="s">
        <v>3125</v>
      </c>
      <c r="AR418">
        <v>28.5</v>
      </c>
      <c r="AS418">
        <v>51</v>
      </c>
      <c r="AT418">
        <v>32</v>
      </c>
      <c r="AU418">
        <v>9</v>
      </c>
      <c r="AV418">
        <v>35</v>
      </c>
      <c r="AW418">
        <v>2</v>
      </c>
      <c r="AX418">
        <v>19</v>
      </c>
      <c r="AY418">
        <v>237</v>
      </c>
      <c r="AZ418">
        <v>1</v>
      </c>
      <c r="BA418">
        <v>3</v>
      </c>
      <c r="BB418" t="s">
        <v>11</v>
      </c>
      <c r="BD418" t="s">
        <v>704</v>
      </c>
      <c r="BE418" t="s">
        <v>3126</v>
      </c>
      <c r="BF418" t="s">
        <v>3127</v>
      </c>
      <c r="BG418" t="s">
        <v>3128</v>
      </c>
      <c r="BH418" s="1" t="s">
        <v>57</v>
      </c>
      <c r="BI418" t="s">
        <v>57</v>
      </c>
      <c r="BJ418" s="1" t="str">
        <f>HYPERLINK("http://exon.niaid.nih.gov/transcriptome/T_rubida/S1/links/CDD/Triru-contig_390-CDD.txt","NDH_I_N")</f>
        <v>NDH_I_N</v>
      </c>
      <c r="BK418" t="str">
        <f>HYPERLINK("http://www.ncbi.nlm.nih.gov/Structure/cdd/cddsrv.cgi?uid=TIGR01770&amp;version=v4.0","0.091")</f>
        <v>0.091</v>
      </c>
      <c r="BL418" t="s">
        <v>3129</v>
      </c>
      <c r="BM418" s="1" t="str">
        <f>HYPERLINK("http://exon.niaid.nih.gov/transcriptome/T_rubida/S1/links/KOG/Triru-contig_390-KOG.txt","Long chain fatty acid elongase")</f>
        <v>Long chain fatty acid elongase</v>
      </c>
      <c r="BN418" t="str">
        <f>HYPERLINK("http://www.ncbi.nlm.nih.gov/COG/grace/shokog.cgi?KOG3072","0.95")</f>
        <v>0.95</v>
      </c>
      <c r="BO418" t="s">
        <v>709</v>
      </c>
      <c r="BP418" s="1" t="str">
        <f>HYPERLINK("http://exon.niaid.nih.gov/transcriptome/T_rubida/S1/links/PFAM/Triru-contig_390-PFAM.txt","7TM_GPCR_Srz")</f>
        <v>7TM_GPCR_Srz</v>
      </c>
      <c r="BQ418" t="str">
        <f>HYPERLINK("http://pfam.sanger.ac.uk/family?acc=PF10325","0.26")</f>
        <v>0.26</v>
      </c>
      <c r="BR418" s="1" t="str">
        <f>HYPERLINK("http://exon.niaid.nih.gov/transcriptome/T_rubida/S1/links/SMART/Triru-contig_390-SMART.txt","DENN")</f>
        <v>DENN</v>
      </c>
      <c r="BS418" t="str">
        <f>HYPERLINK("http://smart.embl-heidelberg.de/smart/do_annotation.pl?DOMAIN=DENN&amp;BLAST=DUMMY","0.14")</f>
        <v>0.14</v>
      </c>
      <c r="BT418" s="1" t="str">
        <f>HYPERLINK("http://exon.niaid.nih.gov/transcriptome/T_rubida/S1/links/PRK/Triru-contig_390-PRK.txt","NADH dehydrogenase subunit 5")</f>
        <v>NADH dehydrogenase subunit 5</v>
      </c>
      <c r="BU418">
        <v>0.62</v>
      </c>
      <c r="BV418" s="1" t="s">
        <v>57</v>
      </c>
      <c r="BW418" t="s">
        <v>57</v>
      </c>
      <c r="BX418" s="1" t="s">
        <v>57</v>
      </c>
      <c r="BY418" t="s">
        <v>57</v>
      </c>
    </row>
    <row r="419" spans="1:77">
      <c r="A419" t="str">
        <f>HYPERLINK("http://exon.niaid.nih.gov/transcriptome/T_rubida/S1/links/Triru/Triru-contig_392.txt","Triru-contig_392")</f>
        <v>Triru-contig_392</v>
      </c>
      <c r="B419">
        <v>1</v>
      </c>
      <c r="C419" t="str">
        <f>HYPERLINK("http://exon.niaid.nih.gov/transcriptome/T_rubida/S1/links/Triru/Triru-5-48-asb-392.txt","Contig-392")</f>
        <v>Contig-392</v>
      </c>
      <c r="D419" t="str">
        <f>HYPERLINK("http://exon.niaid.nih.gov/transcriptome/T_rubida/S1/links/Triru/Triru-5-48-392-CLU.txt","Contig392")</f>
        <v>Contig392</v>
      </c>
      <c r="E419" t="str">
        <f>HYPERLINK("http://exon.niaid.nih.gov/transcriptome/T_rubida/S1/links/Triru/Triru-5-48-392-qual.txt","35.2")</f>
        <v>35.2</v>
      </c>
      <c r="F419">
        <v>0.1</v>
      </c>
      <c r="G419">
        <v>71.400000000000006</v>
      </c>
      <c r="H419">
        <v>837</v>
      </c>
      <c r="I419" t="s">
        <v>404</v>
      </c>
      <c r="J419">
        <v>837</v>
      </c>
      <c r="K419">
        <v>856</v>
      </c>
      <c r="L419">
        <v>159</v>
      </c>
      <c r="M419" t="s">
        <v>5587</v>
      </c>
      <c r="N419" s="15">
        <v>3</v>
      </c>
      <c r="O419" s="14" t="str">
        <f>HYPERLINK("http://exon.niaid.nih.gov/transcriptome/T_rubida/S1/links/Sigp/TRIRU-CONTIG_392-SigP.txt","Cyt")</f>
        <v>Cyt</v>
      </c>
      <c r="Q419" s="5" t="s">
        <v>4827</v>
      </c>
      <c r="R419" t="s">
        <v>4828</v>
      </c>
      <c r="V419" s="1" t="str">
        <f>HYPERLINK("http://exon.niaid.nih.gov/transcriptome/T_rubida/S1/links/NR/Triru-contig_392-NR.txt","similar to galactose kinase (ISS)")</f>
        <v>similar to galactose kinase (ISS)</v>
      </c>
      <c r="W419" t="str">
        <f>HYPERLINK("http://www.ncbi.nlm.nih.gov/sutils/blink.cgi?pid=156547281","0.96")</f>
        <v>0.96</v>
      </c>
      <c r="X419" t="str">
        <f>HYPERLINK("http://www.ncbi.nlm.nih.gov/protein/156547281","gi|156547281")</f>
        <v>gi|156547281</v>
      </c>
      <c r="Y419">
        <v>38.9</v>
      </c>
      <c r="Z419">
        <v>50</v>
      </c>
      <c r="AA419">
        <v>96</v>
      </c>
      <c r="AB419">
        <v>43</v>
      </c>
      <c r="AC419">
        <v>53</v>
      </c>
      <c r="AD419">
        <v>29</v>
      </c>
      <c r="AE419">
        <v>4</v>
      </c>
      <c r="AF419">
        <v>42</v>
      </c>
      <c r="AG419">
        <v>9</v>
      </c>
      <c r="AH419">
        <v>1</v>
      </c>
      <c r="AI419">
        <v>3</v>
      </c>
      <c r="AJ419" t="s">
        <v>11</v>
      </c>
      <c r="AL419" t="s">
        <v>1330</v>
      </c>
      <c r="AM419" t="s">
        <v>3137</v>
      </c>
      <c r="AN419" t="s">
        <v>3138</v>
      </c>
      <c r="AO419" s="1" t="str">
        <f>HYPERLINK("http://exon.niaid.nih.gov/transcriptome/T_rubida/S1/links/SWISSP/Triru-contig_392-SWISSP.txt","Procollagen-lysine,2-oxoglutarate 5-dioxygenase 3")</f>
        <v>Procollagen-lysine,2-oxoglutarate 5-dioxygenase 3</v>
      </c>
      <c r="AP419" t="str">
        <f>HYPERLINK("http://www.uniprot.org/uniprot/Q9R0E1","3.3")</f>
        <v>3.3</v>
      </c>
      <c r="AQ419" t="s">
        <v>3139</v>
      </c>
      <c r="AR419">
        <v>32.700000000000003</v>
      </c>
      <c r="AS419">
        <v>25</v>
      </c>
      <c r="AT419">
        <v>59</v>
      </c>
      <c r="AU419">
        <v>4</v>
      </c>
      <c r="AV419">
        <v>11</v>
      </c>
      <c r="AW419">
        <v>0</v>
      </c>
      <c r="AX419">
        <v>208</v>
      </c>
      <c r="AY419">
        <v>36</v>
      </c>
      <c r="AZ419">
        <v>1</v>
      </c>
      <c r="BA419">
        <v>3</v>
      </c>
      <c r="BB419" t="s">
        <v>11</v>
      </c>
      <c r="BD419" t="s">
        <v>704</v>
      </c>
      <c r="BE419" t="s">
        <v>807</v>
      </c>
      <c r="BF419" t="s">
        <v>3140</v>
      </c>
      <c r="BG419" t="s">
        <v>3141</v>
      </c>
      <c r="BH419" s="1" t="s">
        <v>57</v>
      </c>
      <c r="BI419" t="s">
        <v>57</v>
      </c>
      <c r="BJ419" s="1" t="str">
        <f>HYPERLINK("http://exon.niaid.nih.gov/transcriptome/T_rubida/S1/links/CDD/Triru-contig_392-CDD.txt","PLN02521")</f>
        <v>PLN02521</v>
      </c>
      <c r="BK419" t="str">
        <f>HYPERLINK("http://www.ncbi.nlm.nih.gov/Structure/cdd/cddsrv.cgi?uid=PLN02521&amp;version=v4.0","0.077")</f>
        <v>0.077</v>
      </c>
      <c r="BL419" t="s">
        <v>3142</v>
      </c>
      <c r="BM419" s="1" t="str">
        <f>HYPERLINK("http://exon.niaid.nih.gov/transcriptome/T_rubida/S1/links/KOG/Triru-contig_392-KOG.txt","Multifunctional pyrimidine synthesis protein CAD (includes carbamoyl-phophate synthetase, aspartate transcarbamylase, and glutamine amidotransferase)")</f>
        <v>Multifunctional pyrimidine synthesis protein CAD (includes carbamoyl-phophate synthetase, aspartate transcarbamylase, and glutamine amidotransferase)</v>
      </c>
      <c r="BN419" t="str">
        <f>HYPERLINK("http://www.ncbi.nlm.nih.gov/COG/grace/shokog.cgi?KOG0370","6.2")</f>
        <v>6.2</v>
      </c>
      <c r="BO419" t="s">
        <v>750</v>
      </c>
      <c r="BP419" s="1" t="str">
        <f>HYPERLINK("http://exon.niaid.nih.gov/transcriptome/T_rubida/S1/links/PFAM/Triru-contig_392-PFAM.txt","7TM_GPCR_Srz")</f>
        <v>7TM_GPCR_Srz</v>
      </c>
      <c r="BQ419" t="str">
        <f>HYPERLINK("http://pfam.sanger.ac.uk/family?acc=PF10325","0.43")</f>
        <v>0.43</v>
      </c>
      <c r="BR419" s="1" t="str">
        <f>HYPERLINK("http://exon.niaid.nih.gov/transcriptome/T_rubida/S1/links/SMART/Triru-contig_392-SMART.txt","HTTM")</f>
        <v>HTTM</v>
      </c>
      <c r="BS419" t="str">
        <f>HYPERLINK("http://smart.embl-heidelberg.de/smart/do_annotation.pl?DOMAIN=HTTM&amp;BLAST=DUMMY","0.15")</f>
        <v>0.15</v>
      </c>
      <c r="BT419" s="1" t="str">
        <f>HYPERLINK("http://exon.niaid.nih.gov/transcriptome/T_rubida/S1/links/PRK/Triru-contig_392-PRK.txt","galactokinase.")</f>
        <v>galactokinase.</v>
      </c>
      <c r="BU419">
        <v>3.4000000000000002E-2</v>
      </c>
      <c r="BV419" s="1" t="s">
        <v>57</v>
      </c>
      <c r="BW419" t="s">
        <v>57</v>
      </c>
      <c r="BX419" s="1" t="s">
        <v>57</v>
      </c>
      <c r="BY419" t="s">
        <v>57</v>
      </c>
    </row>
    <row r="420" spans="1:77">
      <c r="A420" t="str">
        <f>HYPERLINK("http://exon.niaid.nih.gov/transcriptome/T_rubida/S1/links/Triru/Triru-contig_294.txt","Triru-contig_294")</f>
        <v>Triru-contig_294</v>
      </c>
      <c r="B420">
        <v>1</v>
      </c>
      <c r="C420" t="str">
        <f>HYPERLINK("http://exon.niaid.nih.gov/transcriptome/T_rubida/S1/links/Triru/Triru-5-48-asb-294.txt","Contig-294")</f>
        <v>Contig-294</v>
      </c>
      <c r="D420" t="str">
        <f>HYPERLINK("http://exon.niaid.nih.gov/transcriptome/T_rubida/S1/links/Triru/Triru-5-48-294-CLU.txt","Contig294")</f>
        <v>Contig294</v>
      </c>
      <c r="E420" t="str">
        <f>HYPERLINK("http://exon.niaid.nih.gov/transcriptome/T_rubida/S1/links/Triru/Triru-5-48-294-qual.txt","53.9")</f>
        <v>53.9</v>
      </c>
      <c r="F420" t="s">
        <v>10</v>
      </c>
      <c r="G420">
        <v>58.8</v>
      </c>
      <c r="H420" t="s">
        <v>57</v>
      </c>
      <c r="I420" t="s">
        <v>306</v>
      </c>
      <c r="J420" t="s">
        <v>57</v>
      </c>
      <c r="K420">
        <v>381</v>
      </c>
      <c r="L420">
        <v>216</v>
      </c>
      <c r="M420" t="s">
        <v>5431</v>
      </c>
      <c r="N420" s="15">
        <v>1</v>
      </c>
      <c r="Q420" s="5" t="s">
        <v>4827</v>
      </c>
      <c r="R420" t="s">
        <v>4828</v>
      </c>
      <c r="V420" s="1" t="str">
        <f>HYPERLINK("http://exon.niaid.nih.gov/transcriptome/T_rubida/S1/links/NR/Triru-contig_294-NR.txt","myotubularin-related protein 7-like")</f>
        <v>myotubularin-related protein 7-like</v>
      </c>
      <c r="W420" t="str">
        <f>HYPERLINK("http://www.ncbi.nlm.nih.gov/sutils/blink.cgi?pid=327273734","1.0")</f>
        <v>1.0</v>
      </c>
      <c r="X420" t="str">
        <f>HYPERLINK("http://www.ncbi.nlm.nih.gov/protein/327273734","gi|327273734")</f>
        <v>gi|327273734</v>
      </c>
      <c r="Y420">
        <v>37</v>
      </c>
      <c r="Z420">
        <v>84</v>
      </c>
      <c r="AA420">
        <v>657</v>
      </c>
      <c r="AB420">
        <v>28</v>
      </c>
      <c r="AC420">
        <v>13</v>
      </c>
      <c r="AD420">
        <v>61</v>
      </c>
      <c r="AE420">
        <v>0</v>
      </c>
      <c r="AF420">
        <v>434</v>
      </c>
      <c r="AG420">
        <v>35</v>
      </c>
      <c r="AH420">
        <v>1</v>
      </c>
      <c r="AI420">
        <v>2</v>
      </c>
      <c r="AJ420" t="s">
        <v>11</v>
      </c>
      <c r="AK420">
        <v>2.3809999999999998</v>
      </c>
      <c r="AL420" t="s">
        <v>2463</v>
      </c>
      <c r="AM420" t="s">
        <v>2464</v>
      </c>
      <c r="AN420" t="s">
        <v>2465</v>
      </c>
      <c r="AO420" s="1" t="str">
        <f>HYPERLINK("http://exon.niaid.nih.gov/transcriptome/T_rubida/S1/links/SWISSP/Triru-contig_294-SWISSP.txt","Extended-spectrum beta-lactamase PER-1")</f>
        <v>Extended-spectrum beta-lactamase PER-1</v>
      </c>
      <c r="AP420" t="str">
        <f>HYPERLINK("http://www.uniprot.org/uniprot/P37321","2.8")</f>
        <v>2.8</v>
      </c>
      <c r="AQ420" t="s">
        <v>2466</v>
      </c>
      <c r="AR420">
        <v>30.8</v>
      </c>
      <c r="AS420">
        <v>26</v>
      </c>
      <c r="AT420">
        <v>48</v>
      </c>
      <c r="AU420">
        <v>9</v>
      </c>
      <c r="AV420">
        <v>14</v>
      </c>
      <c r="AW420">
        <v>0</v>
      </c>
      <c r="AX420">
        <v>7</v>
      </c>
      <c r="AY420">
        <v>86</v>
      </c>
      <c r="AZ420">
        <v>1</v>
      </c>
      <c r="BA420">
        <v>2</v>
      </c>
      <c r="BB420" t="s">
        <v>11</v>
      </c>
      <c r="BD420" t="s">
        <v>704</v>
      </c>
      <c r="BE420" t="s">
        <v>2467</v>
      </c>
      <c r="BF420" t="s">
        <v>2468</v>
      </c>
      <c r="BG420" t="s">
        <v>2469</v>
      </c>
      <c r="BH420" s="1" t="s">
        <v>57</v>
      </c>
      <c r="BI420" t="s">
        <v>57</v>
      </c>
      <c r="BJ420" s="1" t="str">
        <f>HYPERLINK("http://exon.niaid.nih.gov/transcriptome/T_rubida/S1/links/CDD/Triru-contig_294-CDD.txt","PLN02230")</f>
        <v>PLN02230</v>
      </c>
      <c r="BK420" t="str">
        <f>HYPERLINK("http://www.ncbi.nlm.nih.gov/Structure/cdd/cddsrv.cgi?uid=PLN02230&amp;version=v4.0","0.34")</f>
        <v>0.34</v>
      </c>
      <c r="BL420" t="s">
        <v>2470</v>
      </c>
      <c r="BM420" s="1" t="str">
        <f>HYPERLINK("http://exon.niaid.nih.gov/transcriptome/T_rubida/S1/links/KOG/Triru-contig_294-KOG.txt","Ca2+-binding actin-bundling protein (spectrin), alpha chain (EF-Hand protein superfamily)")</f>
        <v>Ca2+-binding actin-bundling protein (spectrin), alpha chain (EF-Hand protein superfamily)</v>
      </c>
      <c r="BN420" t="str">
        <f>HYPERLINK("http://www.ncbi.nlm.nih.gov/COG/grace/shokog.cgi?KOG0040","0.54")</f>
        <v>0.54</v>
      </c>
      <c r="BO420" t="s">
        <v>867</v>
      </c>
      <c r="BP420" s="1" t="str">
        <f>HYPERLINK("http://exon.niaid.nih.gov/transcriptome/T_rubida/S1/links/PFAM/Triru-contig_294-PFAM.txt","AAA_PrkA")</f>
        <v>AAA_PrkA</v>
      </c>
      <c r="BQ420">
        <v>0.14000000000000001</v>
      </c>
      <c r="BR420" s="1" t="str">
        <f>HYPERLINK("http://exon.niaid.nih.gov/transcriptome/T_rubida/S1/links/SMART/Triru-contig_294-SMART.txt","P4Hc")</f>
        <v>P4Hc</v>
      </c>
      <c r="BS420" t="str">
        <f>HYPERLINK("http://smart.embl-heidelberg.de/smart/do_annotation.pl?DOMAIN=P4Hc&amp;BLAST=DUMMY","0.034")</f>
        <v>0.034</v>
      </c>
      <c r="BT420" s="1" t="str">
        <f>HYPERLINK("http://exon.niaid.nih.gov/transcriptome/T_rubida/S1/links/PRK/Triru-contig_294-PRK.txt","phosphoinositide phospholipase C 4.")</f>
        <v>phosphoinositide phospholipase C 4.</v>
      </c>
      <c r="BU420">
        <v>0.16</v>
      </c>
      <c r="BV420" s="1" t="s">
        <v>57</v>
      </c>
      <c r="BW420" t="s">
        <v>57</v>
      </c>
      <c r="BX420" s="1" t="s">
        <v>57</v>
      </c>
      <c r="BY420" t="s">
        <v>57</v>
      </c>
    </row>
    <row r="421" spans="1:77">
      <c r="A421" t="str">
        <f>HYPERLINK("http://exon.niaid.nih.gov/transcriptome/T_rubida/S1/links/Triru/Triru-contig_644.txt","Triru-contig_644")</f>
        <v>Triru-contig_644</v>
      </c>
      <c r="B421">
        <v>1</v>
      </c>
      <c r="C421" t="str">
        <f>HYPERLINK("http://exon.niaid.nih.gov/transcriptome/T_rubida/S1/links/Triru/Triru-5-48-asb-644.txt","Contig-644")</f>
        <v>Contig-644</v>
      </c>
      <c r="D421" t="str">
        <f>HYPERLINK("http://exon.niaid.nih.gov/transcriptome/T_rubida/S1/links/Triru/Triru-5-48-644-CLU.txt","Contig644")</f>
        <v>Contig644</v>
      </c>
      <c r="E421" t="str">
        <f>HYPERLINK("http://exon.niaid.nih.gov/transcriptome/T_rubida/S1/links/Triru/Triru-5-48-644-qual.txt","55.6")</f>
        <v>55.6</v>
      </c>
      <c r="F421" t="s">
        <v>10</v>
      </c>
      <c r="G421">
        <v>68</v>
      </c>
      <c r="H421">
        <v>322</v>
      </c>
      <c r="I421" t="s">
        <v>656</v>
      </c>
      <c r="J421">
        <v>322</v>
      </c>
      <c r="K421">
        <v>341</v>
      </c>
      <c r="L421">
        <v>165</v>
      </c>
      <c r="M421" t="s">
        <v>5455</v>
      </c>
      <c r="N421" s="15">
        <v>1</v>
      </c>
      <c r="Q421" s="5" t="s">
        <v>4827</v>
      </c>
      <c r="R421" t="s">
        <v>4828</v>
      </c>
      <c r="V421" s="1" t="str">
        <f>HYPERLINK("http://exon.niaid.nih.gov/transcriptome/T_rubida/S1/links/NR/Triru-contig_644-NR.txt","pyruvate dehydrogenase subunit E1")</f>
        <v>pyruvate dehydrogenase subunit E1</v>
      </c>
      <c r="W421" t="str">
        <f>HYPERLINK("http://www.ncbi.nlm.nih.gov/sutils/blink.cgi?pid=116515071","1.0")</f>
        <v>1.0</v>
      </c>
      <c r="X421" t="str">
        <f>HYPERLINK("http://www.ncbi.nlm.nih.gov/protein/116515071","gi|116515071")</f>
        <v>gi|116515071</v>
      </c>
      <c r="Y421">
        <v>37</v>
      </c>
      <c r="Z421">
        <v>47</v>
      </c>
      <c r="AA421">
        <v>886</v>
      </c>
      <c r="AB421">
        <v>37</v>
      </c>
      <c r="AC421">
        <v>5</v>
      </c>
      <c r="AD421">
        <v>30</v>
      </c>
      <c r="AE421">
        <v>10</v>
      </c>
      <c r="AF421">
        <v>76</v>
      </c>
      <c r="AG421">
        <v>175</v>
      </c>
      <c r="AH421">
        <v>1</v>
      </c>
      <c r="AI421">
        <v>1</v>
      </c>
      <c r="AJ421" t="s">
        <v>11</v>
      </c>
      <c r="AL421" t="s">
        <v>2612</v>
      </c>
      <c r="AM421" t="s">
        <v>4740</v>
      </c>
      <c r="AN421" t="s">
        <v>4741</v>
      </c>
      <c r="AO421" s="1" t="str">
        <f>HYPERLINK("http://exon.niaid.nih.gov/transcriptome/T_rubida/S1/links/SWISSP/Triru-contig_644-SWISSP.txt","Putative RAD2-like endonuclease 095R")</f>
        <v>Putative RAD2-like endonuclease 095R</v>
      </c>
      <c r="AP421" t="str">
        <f>HYPERLINK("http://www.uniprot.org/uniprot/Q6GZN0","10")</f>
        <v>10</v>
      </c>
      <c r="AQ421" t="s">
        <v>2968</v>
      </c>
      <c r="AR421">
        <v>28.9</v>
      </c>
      <c r="AS421">
        <v>31</v>
      </c>
      <c r="AT421">
        <v>37</v>
      </c>
      <c r="AU421">
        <v>9</v>
      </c>
      <c r="AV421">
        <v>20</v>
      </c>
      <c r="AW421">
        <v>0</v>
      </c>
      <c r="AX421">
        <v>40</v>
      </c>
      <c r="AY421">
        <v>181</v>
      </c>
      <c r="AZ421">
        <v>1</v>
      </c>
      <c r="BA421">
        <v>1</v>
      </c>
      <c r="BB421" t="s">
        <v>11</v>
      </c>
      <c r="BD421" t="s">
        <v>704</v>
      </c>
      <c r="BE421" t="s">
        <v>2969</v>
      </c>
      <c r="BF421" t="s">
        <v>4742</v>
      </c>
      <c r="BG421" t="s">
        <v>4743</v>
      </c>
      <c r="BH421" s="1" t="s">
        <v>57</v>
      </c>
      <c r="BI421" t="s">
        <v>57</v>
      </c>
      <c r="BJ421" s="1" t="str">
        <f>HYPERLINK("http://exon.niaid.nih.gov/transcriptome/T_rubida/S1/links/CDD/Triru-contig_644-CDD.txt","7TM_GPCR_Srz")</f>
        <v>7TM_GPCR_Srz</v>
      </c>
      <c r="BK421" t="str">
        <f>HYPERLINK("http://www.ncbi.nlm.nih.gov/Structure/cdd/cddsrv.cgi?uid=pfam10325&amp;version=v4.0","0.13")</f>
        <v>0.13</v>
      </c>
      <c r="BL421" t="s">
        <v>4744</v>
      </c>
      <c r="BM421" s="1" t="str">
        <f>HYPERLINK("http://exon.niaid.nih.gov/transcriptome/T_rubida/S1/links/KOG/Triru-contig_644-KOG.txt","Endosomal membrane proteins, EMP70")</f>
        <v>Endosomal membrane proteins, EMP70</v>
      </c>
      <c r="BN421" t="str">
        <f>HYPERLINK("http://www.ncbi.nlm.nih.gov/COG/grace/shokog.cgi?KOG1277","0.14")</f>
        <v>0.14</v>
      </c>
      <c r="BO421" t="s">
        <v>1082</v>
      </c>
      <c r="BP421" s="1" t="str">
        <f>HYPERLINK("http://exon.niaid.nih.gov/transcriptome/T_rubida/S1/links/PFAM/Triru-contig_644-PFAM.txt","7TM_GPCR_Srz")</f>
        <v>7TM_GPCR_Srz</v>
      </c>
      <c r="BQ421" t="str">
        <f>HYPERLINK("http://pfam.sanger.ac.uk/family?acc=PF10325","0.027")</f>
        <v>0.027</v>
      </c>
      <c r="BR421" s="1" t="str">
        <f>HYPERLINK("http://exon.niaid.nih.gov/transcriptome/T_rubida/S1/links/SMART/Triru-contig_644-SMART.txt","HTTM")</f>
        <v>HTTM</v>
      </c>
      <c r="BS421" t="str">
        <f>HYPERLINK("http://smart.embl-heidelberg.de/smart/do_annotation.pl?DOMAIN=HTTM&amp;BLAST=DUMMY","0.062")</f>
        <v>0.062</v>
      </c>
      <c r="BT421" s="1" t="str">
        <f>HYPERLINK("http://exon.niaid.nih.gov/transcriptome/T_rubida/S1/links/PRK/Triru-contig_644-PRK.txt","ATP synthase F0 subunit 6")</f>
        <v>ATP synthase F0 subunit 6</v>
      </c>
      <c r="BU421">
        <v>0.56999999999999995</v>
      </c>
      <c r="BV421" s="1" t="s">
        <v>57</v>
      </c>
      <c r="BW421" t="s">
        <v>57</v>
      </c>
      <c r="BX421" s="1" t="s">
        <v>57</v>
      </c>
      <c r="BY421" t="s">
        <v>57</v>
      </c>
    </row>
    <row r="422" spans="1:77">
      <c r="A422" t="str">
        <f>HYPERLINK("http://exon.niaid.nih.gov/transcriptome/T_rubida/S1/links/Triru/Triru-contig_575.txt","Triru-contig_575")</f>
        <v>Triru-contig_575</v>
      </c>
      <c r="B422">
        <v>1</v>
      </c>
      <c r="C422" t="str">
        <f>HYPERLINK("http://exon.niaid.nih.gov/transcriptome/T_rubida/S1/links/Triru/Triru-5-48-asb-575.txt","Contig-575")</f>
        <v>Contig-575</v>
      </c>
      <c r="D422" t="str">
        <f>HYPERLINK("http://exon.niaid.nih.gov/transcriptome/T_rubida/S1/links/Triru/Triru-5-48-575-CLU.txt","Contig575")</f>
        <v>Contig575</v>
      </c>
      <c r="E422" t="str">
        <f>HYPERLINK("http://exon.niaid.nih.gov/transcriptome/T_rubida/S1/links/Triru/Triru-5-48-575-qual.txt","50.9")</f>
        <v>50.9</v>
      </c>
      <c r="F422" t="s">
        <v>10</v>
      </c>
      <c r="G422">
        <v>74.599999999999994</v>
      </c>
      <c r="H422">
        <v>481</v>
      </c>
      <c r="I422" t="s">
        <v>587</v>
      </c>
      <c r="J422">
        <v>481</v>
      </c>
      <c r="K422">
        <v>500</v>
      </c>
      <c r="L422">
        <v>273</v>
      </c>
      <c r="M422" t="s">
        <v>5505</v>
      </c>
      <c r="N422" s="15">
        <v>1</v>
      </c>
      <c r="O422" s="14" t="str">
        <f>HYPERLINK("http://exon.niaid.nih.gov/transcriptome/T_rubida/S1/links/Sigp/TRIRU-CONTIG_575-SigP.txt","Anch")</f>
        <v>Anch</v>
      </c>
      <c r="Q422" s="5" t="s">
        <v>4827</v>
      </c>
      <c r="R422" t="s">
        <v>4828</v>
      </c>
      <c r="V422" s="1" t="str">
        <f>HYPERLINK("http://exon.niaid.nih.gov/transcriptome/T_rubida/S1/links/NR/Triru-contig_575-NR.txt","binding-protein-dependent transport systems inner membrane component")</f>
        <v>binding-protein-dependent transport systems inner membrane component</v>
      </c>
      <c r="W422" t="str">
        <f>HYPERLINK("http://www.ncbi.nlm.nih.gov/sutils/blink.cgi?pid=159043603","1.0")</f>
        <v>1.0</v>
      </c>
      <c r="X422" t="str">
        <f>HYPERLINK("http://www.ncbi.nlm.nih.gov/protein/159043603","gi|159043603")</f>
        <v>gi|159043603</v>
      </c>
      <c r="Y422">
        <v>37</v>
      </c>
      <c r="Z422">
        <v>95</v>
      </c>
      <c r="AA422">
        <v>296</v>
      </c>
      <c r="AB422">
        <v>24</v>
      </c>
      <c r="AC422">
        <v>32</v>
      </c>
      <c r="AD422">
        <v>84</v>
      </c>
      <c r="AE422">
        <v>1</v>
      </c>
      <c r="AF422">
        <v>28</v>
      </c>
      <c r="AG422">
        <v>151</v>
      </c>
      <c r="AH422">
        <v>1</v>
      </c>
      <c r="AI422">
        <v>1</v>
      </c>
      <c r="AJ422" t="s">
        <v>11</v>
      </c>
      <c r="AK422">
        <v>3.1579999999999999</v>
      </c>
      <c r="AL422" t="s">
        <v>4354</v>
      </c>
      <c r="AM422" t="s">
        <v>4355</v>
      </c>
      <c r="AN422" t="s">
        <v>4356</v>
      </c>
      <c r="AO422" s="1" t="str">
        <f>HYPERLINK("http://exon.niaid.nih.gov/transcriptome/T_rubida/S1/links/SWISSP/Triru-contig_575-SWISSP.txt","Uncharacterized protein yebC")</f>
        <v>Uncharacterized protein yebC</v>
      </c>
      <c r="AP422" t="str">
        <f>HYPERLINK("http://www.uniprot.org/uniprot/O34341","0.52")</f>
        <v>0.52</v>
      </c>
      <c r="AQ422" t="s">
        <v>4357</v>
      </c>
      <c r="AR422">
        <v>33.9</v>
      </c>
      <c r="AS422">
        <v>99</v>
      </c>
      <c r="AT422">
        <v>24</v>
      </c>
      <c r="AU422">
        <v>37</v>
      </c>
      <c r="AV422">
        <v>76</v>
      </c>
      <c r="AW422">
        <v>22</v>
      </c>
      <c r="AX422">
        <v>125</v>
      </c>
      <c r="AY422">
        <v>238</v>
      </c>
      <c r="AZ422">
        <v>1</v>
      </c>
      <c r="BA422">
        <v>1</v>
      </c>
      <c r="BB422" t="s">
        <v>11</v>
      </c>
      <c r="BD422" t="s">
        <v>704</v>
      </c>
      <c r="BE422" t="s">
        <v>1525</v>
      </c>
      <c r="BF422" t="s">
        <v>4358</v>
      </c>
      <c r="BG422" t="s">
        <v>4359</v>
      </c>
      <c r="BH422" s="1" t="s">
        <v>57</v>
      </c>
      <c r="BI422" t="s">
        <v>57</v>
      </c>
      <c r="BJ422" s="1" t="str">
        <f>HYPERLINK("http://exon.niaid.nih.gov/transcriptome/T_rubida/S1/links/CDD/Triru-contig_575-CDD.txt","ND4")</f>
        <v>ND4</v>
      </c>
      <c r="BK422" t="str">
        <f>HYPERLINK("http://www.ncbi.nlm.nih.gov/Structure/cdd/cddsrv.cgi?uid=MTH00094&amp;version=v4.0","0.084")</f>
        <v>0.084</v>
      </c>
      <c r="BL422" t="s">
        <v>4360</v>
      </c>
      <c r="BM422" s="1" t="str">
        <f>HYPERLINK("http://exon.niaid.nih.gov/transcriptome/T_rubida/S1/links/KOG/Triru-contig_575-KOG.txt","Nucleoside transporter")</f>
        <v>Nucleoside transporter</v>
      </c>
      <c r="BN422" t="str">
        <f>HYPERLINK("http://www.ncbi.nlm.nih.gov/COG/grace/shokog.cgi?KOG1479","0.17")</f>
        <v>0.17</v>
      </c>
      <c r="BO422" t="s">
        <v>2867</v>
      </c>
      <c r="BP422" s="1" t="str">
        <f>HYPERLINK("http://exon.niaid.nih.gov/transcriptome/T_rubida/S1/links/PFAM/Triru-contig_575-PFAM.txt","ABC2_membrane_4")</f>
        <v>ABC2_membrane_4</v>
      </c>
      <c r="BQ422" t="str">
        <f>HYPERLINK("http://pfam.sanger.ac.uk/family?acc=PF12730","0.047")</f>
        <v>0.047</v>
      </c>
      <c r="BR422" s="1" t="str">
        <f>HYPERLINK("http://exon.niaid.nih.gov/transcriptome/T_rubida/S1/links/SMART/Triru-contig_575-SMART.txt","AgrB")</f>
        <v>AgrB</v>
      </c>
      <c r="BS422" t="str">
        <f>HYPERLINK("http://smart.embl-heidelberg.de/smart/do_annotation.pl?DOMAIN=AgrB&amp;BLAST=DUMMY","0.040")</f>
        <v>0.040</v>
      </c>
      <c r="BT422" s="1" t="str">
        <f>HYPERLINK("http://exon.niaid.nih.gov/transcriptome/T_rubida/S1/links/PRK/Triru-contig_575-PRK.txt","NADH dehydrogenase subunit 4")</f>
        <v>NADH dehydrogenase subunit 4</v>
      </c>
      <c r="BU422">
        <v>3.6999999999999998E-2</v>
      </c>
      <c r="BV422" s="1" t="s">
        <v>57</v>
      </c>
      <c r="BW422" t="s">
        <v>57</v>
      </c>
      <c r="BX422" s="1" t="s">
        <v>57</v>
      </c>
      <c r="BY422" t="s">
        <v>57</v>
      </c>
    </row>
    <row r="423" spans="1:77">
      <c r="A423" t="str">
        <f>HYPERLINK("http://exon.niaid.nih.gov/transcriptome/T_rubida/S1/links/Triru/Triru-contig_314.txt","Triru-contig_314")</f>
        <v>Triru-contig_314</v>
      </c>
      <c r="B423">
        <v>1</v>
      </c>
      <c r="C423" t="str">
        <f>HYPERLINK("http://exon.niaid.nih.gov/transcriptome/T_rubida/S1/links/Triru/Triru-5-48-asb-314.txt","Contig-314")</f>
        <v>Contig-314</v>
      </c>
      <c r="D423" t="str">
        <f>HYPERLINK("http://exon.niaid.nih.gov/transcriptome/T_rubida/S1/links/Triru/Triru-5-48-314-CLU.txt","Contig314")</f>
        <v>Contig314</v>
      </c>
      <c r="E423" t="str">
        <f>HYPERLINK("http://exon.niaid.nih.gov/transcriptome/T_rubida/S1/links/Triru/Triru-5-48-314-qual.txt","59.")</f>
        <v>59.</v>
      </c>
      <c r="F423" t="s">
        <v>10</v>
      </c>
      <c r="G423">
        <v>71.2</v>
      </c>
      <c r="H423">
        <v>367</v>
      </c>
      <c r="I423" t="s">
        <v>326</v>
      </c>
      <c r="J423">
        <v>367</v>
      </c>
      <c r="K423">
        <v>386</v>
      </c>
      <c r="L423">
        <v>198</v>
      </c>
      <c r="M423" t="s">
        <v>5649</v>
      </c>
      <c r="N423" s="15">
        <v>1</v>
      </c>
      <c r="Q423" s="5" t="s">
        <v>4827</v>
      </c>
      <c r="R423" t="s">
        <v>4828</v>
      </c>
      <c r="V423" s="1" t="str">
        <f>HYPERLINK("http://exon.niaid.nih.gov/transcriptome/T_rubida/S1/links/NR/Triru-contig_314-NR.txt","hypothetical protein")</f>
        <v>hypothetical protein</v>
      </c>
      <c r="W423" t="str">
        <f>HYPERLINK("http://www.ncbi.nlm.nih.gov/sutils/blink.cgi?pid=256081373","1.0")</f>
        <v>1.0</v>
      </c>
      <c r="X423" t="str">
        <f>HYPERLINK("http://www.ncbi.nlm.nih.gov/protein/256081373","gi|256081373")</f>
        <v>gi|256081373</v>
      </c>
      <c r="Y423">
        <v>37</v>
      </c>
      <c r="Z423">
        <v>67</v>
      </c>
      <c r="AA423">
        <v>438</v>
      </c>
      <c r="AB423">
        <v>29</v>
      </c>
      <c r="AC423">
        <v>16</v>
      </c>
      <c r="AD423">
        <v>48</v>
      </c>
      <c r="AE423">
        <v>12</v>
      </c>
      <c r="AF423">
        <v>225</v>
      </c>
      <c r="AG423">
        <v>173</v>
      </c>
      <c r="AH423">
        <v>1</v>
      </c>
      <c r="AI423">
        <v>2</v>
      </c>
      <c r="AJ423" t="s">
        <v>11</v>
      </c>
      <c r="AK423">
        <v>4.4779999999999998</v>
      </c>
      <c r="AL423" t="s">
        <v>2605</v>
      </c>
      <c r="AM423" t="s">
        <v>2606</v>
      </c>
      <c r="AN423" t="s">
        <v>2607</v>
      </c>
      <c r="AO423" s="1" t="str">
        <f>HYPERLINK("http://exon.niaid.nih.gov/transcriptome/T_rubida/S1/links/SWISSP/Triru-contig_314-SWISSP.txt","Putative long-chain-alcohol O-fatty-acyltransferase 10")</f>
        <v>Putative long-chain-alcohol O-fatty-acyltransferase 10</v>
      </c>
      <c r="AP423" t="str">
        <f>HYPERLINK("http://www.uniprot.org/uniprot/Q3ED15","1.6")</f>
        <v>1.6</v>
      </c>
      <c r="AQ423" t="s">
        <v>2608</v>
      </c>
      <c r="AR423">
        <v>31.6</v>
      </c>
      <c r="AS423">
        <v>57</v>
      </c>
      <c r="AT423">
        <v>27</v>
      </c>
      <c r="AU423">
        <v>17</v>
      </c>
      <c r="AV423">
        <v>42</v>
      </c>
      <c r="AW423">
        <v>0</v>
      </c>
      <c r="AX423">
        <v>126</v>
      </c>
      <c r="AY423">
        <v>163</v>
      </c>
      <c r="AZ423">
        <v>1</v>
      </c>
      <c r="BA423">
        <v>1</v>
      </c>
      <c r="BB423" t="s">
        <v>11</v>
      </c>
      <c r="BD423" t="s">
        <v>704</v>
      </c>
      <c r="BE423" t="s">
        <v>906</v>
      </c>
      <c r="BF423" t="s">
        <v>2609</v>
      </c>
      <c r="BG423" t="s">
        <v>2610</v>
      </c>
      <c r="BH423" s="1" t="s">
        <v>57</v>
      </c>
      <c r="BI423" t="s">
        <v>57</v>
      </c>
      <c r="BJ423" s="1" t="str">
        <f>HYPERLINK("http://exon.niaid.nih.gov/transcriptome/T_rubida/S1/links/CDD/Triru-contig_314-CDD.txt","DUF3397")</f>
        <v>DUF3397</v>
      </c>
      <c r="BK423" t="str">
        <f>HYPERLINK("http://www.ncbi.nlm.nih.gov/Structure/cdd/cddsrv.cgi?uid=pfam11877&amp;version=v4.0","0.007")</f>
        <v>0.007</v>
      </c>
      <c r="BL423" t="s">
        <v>2611</v>
      </c>
      <c r="BM423" s="1" t="str">
        <f>HYPERLINK("http://exon.niaid.nih.gov/transcriptome/T_rubida/S1/links/KOG/Triru-contig_314-KOG.txt","Mitochondrial carrier protein")</f>
        <v>Mitochondrial carrier protein</v>
      </c>
      <c r="BN423" t="str">
        <f>HYPERLINK("http://www.ncbi.nlm.nih.gov/COG/grace/shokog.cgi?KOG2954","0.18")</f>
        <v>0.18</v>
      </c>
      <c r="BO423" t="s">
        <v>750</v>
      </c>
      <c r="BP423" s="1" t="str">
        <f>HYPERLINK("http://exon.niaid.nih.gov/transcriptome/T_rubida/S1/links/PFAM/Triru-contig_314-PFAM.txt","DUF3397")</f>
        <v>DUF3397</v>
      </c>
      <c r="BQ423" t="str">
        <f>HYPERLINK("http://pfam.sanger.ac.uk/family?acc=PF11877","0.002")</f>
        <v>0.002</v>
      </c>
      <c r="BR423" s="1" t="str">
        <f>HYPERLINK("http://exon.niaid.nih.gov/transcriptome/T_rubida/S1/links/SMART/Triru-contig_314-SMART.txt","PP2Ac")</f>
        <v>PP2Ac</v>
      </c>
      <c r="BS423" t="str">
        <f>HYPERLINK("http://smart.embl-heidelberg.de/smart/do_annotation.pl?DOMAIN=PP2Ac&amp;BLAST=DUMMY","0.023")</f>
        <v>0.023</v>
      </c>
      <c r="BT423" s="1" t="str">
        <f>HYPERLINK("http://exon.niaid.nih.gov/transcriptome/T_rubida/S1/links/PRK/Triru-contig_314-PRK.txt","NADH dehydrogenase subunit 2")</f>
        <v>NADH dehydrogenase subunit 2</v>
      </c>
      <c r="BU423">
        <v>3.7999999999999999E-2</v>
      </c>
      <c r="BV423" s="1" t="s">
        <v>57</v>
      </c>
      <c r="BW423" t="s">
        <v>57</v>
      </c>
      <c r="BX423" s="1" t="s">
        <v>57</v>
      </c>
      <c r="BY423" t="s">
        <v>57</v>
      </c>
    </row>
    <row r="424" spans="1:77">
      <c r="A424" t="str">
        <f>HYPERLINK("http://exon.niaid.nih.gov/transcriptome/T_rubida/S1/links/Triru/Triru-contig_411.txt","Triru-contig_411")</f>
        <v>Triru-contig_411</v>
      </c>
      <c r="B424">
        <v>1</v>
      </c>
      <c r="C424" t="str">
        <f>HYPERLINK("http://exon.niaid.nih.gov/transcriptome/T_rubida/S1/links/Triru/Triru-5-48-asb-411.txt","Contig-411")</f>
        <v>Contig-411</v>
      </c>
      <c r="D424" t="str">
        <f>HYPERLINK("http://exon.niaid.nih.gov/transcriptome/T_rubida/S1/links/Triru/Triru-5-48-411-CLU.txt","Contig411")</f>
        <v>Contig411</v>
      </c>
      <c r="E424" t="str">
        <f>HYPERLINK("http://exon.niaid.nih.gov/transcriptome/T_rubida/S1/links/Triru/Triru-5-48-411-qual.txt","57.9")</f>
        <v>57.9</v>
      </c>
      <c r="F424" t="s">
        <v>10</v>
      </c>
      <c r="G424">
        <v>73.400000000000006</v>
      </c>
      <c r="H424">
        <v>353</v>
      </c>
      <c r="I424" t="s">
        <v>423</v>
      </c>
      <c r="J424">
        <v>353</v>
      </c>
      <c r="K424">
        <v>372</v>
      </c>
      <c r="L424">
        <v>141</v>
      </c>
      <c r="M424" t="s">
        <v>5482</v>
      </c>
      <c r="N424" s="15">
        <v>2</v>
      </c>
      <c r="Q424" s="5" t="s">
        <v>4827</v>
      </c>
      <c r="R424" t="s">
        <v>4828</v>
      </c>
      <c r="V424" s="1" t="str">
        <f>HYPERLINK("http://exon.niaid.nih.gov/transcriptome/T_rubida/S1/links/NR/Triru-contig_411-NR.txt","ComEC/Rec2-like protein")</f>
        <v>ComEC/Rec2-like protein</v>
      </c>
      <c r="W424" t="str">
        <f>HYPERLINK("http://www.ncbi.nlm.nih.gov/sutils/blink.cgi?pid=150015705","1.1")</f>
        <v>1.1</v>
      </c>
      <c r="X424" t="str">
        <f>HYPERLINK("http://www.ncbi.nlm.nih.gov/protein/150015705","gi|150015705")</f>
        <v>gi|150015705</v>
      </c>
      <c r="Y424">
        <v>37</v>
      </c>
      <c r="Z424">
        <v>57</v>
      </c>
      <c r="AA424">
        <v>563</v>
      </c>
      <c r="AB424">
        <v>33</v>
      </c>
      <c r="AC424">
        <v>10</v>
      </c>
      <c r="AD424">
        <v>41</v>
      </c>
      <c r="AE424">
        <v>0</v>
      </c>
      <c r="AF424">
        <v>19</v>
      </c>
      <c r="AG424">
        <v>84</v>
      </c>
      <c r="AH424">
        <v>1</v>
      </c>
      <c r="AI424">
        <v>3</v>
      </c>
      <c r="AJ424" t="s">
        <v>11</v>
      </c>
      <c r="AK424">
        <v>5.2629999999999999</v>
      </c>
      <c r="AL424" t="s">
        <v>3267</v>
      </c>
      <c r="AM424" t="s">
        <v>3268</v>
      </c>
      <c r="AN424" t="s">
        <v>3269</v>
      </c>
      <c r="AO424" s="1" t="str">
        <f>HYPERLINK("http://exon.niaid.nih.gov/transcriptome/T_rubida/S1/links/SWISSP/Triru-contig_411-SWISSP.txt","Cytochrome c oxidase subunit 3")</f>
        <v>Cytochrome c oxidase subunit 3</v>
      </c>
      <c r="AP424" t="str">
        <f>HYPERLINK("http://www.uniprot.org/uniprot/P14546","1.2")</f>
        <v>1.2</v>
      </c>
      <c r="AQ424" t="s">
        <v>3270</v>
      </c>
      <c r="AR424">
        <v>32</v>
      </c>
      <c r="AS424">
        <v>78</v>
      </c>
      <c r="AT424">
        <v>26</v>
      </c>
      <c r="AU424">
        <v>28</v>
      </c>
      <c r="AV424">
        <v>63</v>
      </c>
      <c r="AW424">
        <v>7</v>
      </c>
      <c r="AX424">
        <v>194</v>
      </c>
      <c r="AY424">
        <v>12</v>
      </c>
      <c r="AZ424">
        <v>1</v>
      </c>
      <c r="BA424">
        <v>3</v>
      </c>
      <c r="BB424" t="s">
        <v>11</v>
      </c>
      <c r="BC424">
        <v>3.8460000000000001</v>
      </c>
      <c r="BD424" t="s">
        <v>704</v>
      </c>
      <c r="BE424" t="s">
        <v>3271</v>
      </c>
      <c r="BF424" t="s">
        <v>3272</v>
      </c>
      <c r="BG424" t="s">
        <v>3273</v>
      </c>
      <c r="BH424" s="1" t="s">
        <v>57</v>
      </c>
      <c r="BI424" t="s">
        <v>57</v>
      </c>
      <c r="BJ424" s="1" t="str">
        <f>HYPERLINK("http://exon.niaid.nih.gov/transcriptome/T_rubida/S1/links/CDD/Triru-contig_411-CDD.txt","7TM_GPCR_Srd")</f>
        <v>7TM_GPCR_Srd</v>
      </c>
      <c r="BK424" t="str">
        <f>HYPERLINK("http://www.ncbi.nlm.nih.gov/Structure/cdd/cddsrv.cgi?uid=pfam10317&amp;version=v4.0","0.002")</f>
        <v>0.002</v>
      </c>
      <c r="BL424" t="s">
        <v>3274</v>
      </c>
      <c r="BM424" s="1" t="str">
        <f>HYPERLINK("http://exon.niaid.nih.gov/transcriptome/T_rubida/S1/links/KOG/Triru-contig_411-KOG.txt","Adenylate/guanylate cyclase")</f>
        <v>Adenylate/guanylate cyclase</v>
      </c>
      <c r="BN424" t="str">
        <f>HYPERLINK("http://www.ncbi.nlm.nih.gov/COG/grace/shokog.cgi?KOG3619","1.2")</f>
        <v>1.2</v>
      </c>
      <c r="BO424" t="s">
        <v>1139</v>
      </c>
      <c r="BP424" s="1" t="str">
        <f>HYPERLINK("http://exon.niaid.nih.gov/transcriptome/T_rubida/S1/links/PFAM/Triru-contig_411-PFAM.txt","7TM_GPCR_Srd")</f>
        <v>7TM_GPCR_Srd</v>
      </c>
      <c r="BQ424" t="str">
        <f>HYPERLINK("http://pfam.sanger.ac.uk/family?acc=PF10317","4E-004")</f>
        <v>4E-004</v>
      </c>
      <c r="BR424" s="1" t="str">
        <f>HYPERLINK("http://exon.niaid.nih.gov/transcriptome/T_rubida/S1/links/SMART/Triru-contig_411-SMART.txt","CW")</f>
        <v>CW</v>
      </c>
      <c r="BS424" t="str">
        <f>HYPERLINK("http://smart.embl-heidelberg.de/smart/do_annotation.pl?DOMAIN=CW&amp;BLAST=DUMMY","0.019")</f>
        <v>0.019</v>
      </c>
      <c r="BT424" s="1" t="str">
        <f>HYPERLINK("http://exon.niaid.nih.gov/transcriptome/T_rubida/S1/links/PRK/Triru-contig_411-PRK.txt","NADH dehydrogenase subunit 1")</f>
        <v>NADH dehydrogenase subunit 1</v>
      </c>
      <c r="BU424">
        <v>0.13</v>
      </c>
      <c r="BV424" s="1" t="s">
        <v>57</v>
      </c>
      <c r="BW424" t="s">
        <v>57</v>
      </c>
      <c r="BX424" s="1" t="s">
        <v>57</v>
      </c>
      <c r="BY424" t="s">
        <v>57</v>
      </c>
    </row>
    <row r="425" spans="1:77">
      <c r="A425" t="str">
        <f>HYPERLINK("http://exon.niaid.nih.gov/transcriptome/T_rubida/S1/links/Triru/Triru-contig_193.txt","Triru-contig_193")</f>
        <v>Triru-contig_193</v>
      </c>
      <c r="B425">
        <v>1</v>
      </c>
      <c r="C425" t="str">
        <f>HYPERLINK("http://exon.niaid.nih.gov/transcriptome/T_rubida/S1/links/Triru/Triru-5-48-asb-193.txt","Contig-193")</f>
        <v>Contig-193</v>
      </c>
      <c r="D425" t="str">
        <f>HYPERLINK("http://exon.niaid.nih.gov/transcriptome/T_rubida/S1/links/Triru/Triru-5-48-193-CLU.txt","Contig193")</f>
        <v>Contig193</v>
      </c>
      <c r="E425" t="str">
        <f>HYPERLINK("http://exon.niaid.nih.gov/transcriptome/T_rubida/S1/links/Triru/Triru-5-48-193-qual.txt","59.2")</f>
        <v>59.2</v>
      </c>
      <c r="F425" t="s">
        <v>10</v>
      </c>
      <c r="G425">
        <v>72.8</v>
      </c>
      <c r="H425">
        <v>165</v>
      </c>
      <c r="I425" t="s">
        <v>205</v>
      </c>
      <c r="J425">
        <v>165</v>
      </c>
      <c r="K425">
        <v>184</v>
      </c>
      <c r="L425">
        <v>117</v>
      </c>
      <c r="M425" t="s">
        <v>5530</v>
      </c>
      <c r="N425" s="15">
        <v>1</v>
      </c>
      <c r="Q425" s="5" t="s">
        <v>4827</v>
      </c>
      <c r="R425" t="s">
        <v>4828</v>
      </c>
      <c r="V425" s="1" t="str">
        <f>HYPERLINK("http://exon.niaid.nih.gov/transcriptome/T_rubida/S1/links/NR/Triru-contig_193-NR.txt","28S ribosomal protein S18a, mitochondrial")</f>
        <v>28S ribosomal protein S18a, mitochondrial</v>
      </c>
      <c r="W425" t="str">
        <f>HYPERLINK("http://www.ncbi.nlm.nih.gov/sutils/blink.cgi?pid=307201739","1.1")</f>
        <v>1.1</v>
      </c>
      <c r="X425" t="str">
        <f>HYPERLINK("http://www.ncbi.nlm.nih.gov/protein/307201739","gi|307201739")</f>
        <v>gi|307201739</v>
      </c>
      <c r="Y425">
        <v>37</v>
      </c>
      <c r="Z425">
        <v>16</v>
      </c>
      <c r="AA425">
        <v>170</v>
      </c>
      <c r="AB425">
        <v>82</v>
      </c>
      <c r="AC425">
        <v>10</v>
      </c>
      <c r="AD425">
        <v>3</v>
      </c>
      <c r="AE425">
        <v>0</v>
      </c>
      <c r="AF425">
        <v>138</v>
      </c>
      <c r="AG425">
        <v>22</v>
      </c>
      <c r="AH425">
        <v>1</v>
      </c>
      <c r="AI425">
        <v>1</v>
      </c>
      <c r="AJ425" t="s">
        <v>11</v>
      </c>
      <c r="AL425" t="s">
        <v>1475</v>
      </c>
      <c r="AM425" t="s">
        <v>1831</v>
      </c>
      <c r="AN425" t="s">
        <v>1832</v>
      </c>
      <c r="AO425" s="1" t="str">
        <f>HYPERLINK("http://exon.niaid.nih.gov/transcriptome/T_rubida/S1/links/SWISSP/Triru-contig_193-SWISSP.txt","Mitochondrial import inner membrane translocase subunit TIM50")</f>
        <v>Mitochondrial import inner membrane translocase subunit TIM50</v>
      </c>
      <c r="AP425" t="str">
        <f>HYPERLINK("http://www.uniprot.org/uniprot/Q6BVY9","7.9")</f>
        <v>7.9</v>
      </c>
      <c r="AQ425" t="s">
        <v>1833</v>
      </c>
      <c r="AR425">
        <v>29.3</v>
      </c>
      <c r="AS425">
        <v>45</v>
      </c>
      <c r="AT425">
        <v>34</v>
      </c>
      <c r="AU425">
        <v>10</v>
      </c>
      <c r="AV425">
        <v>30</v>
      </c>
      <c r="AW425">
        <v>12</v>
      </c>
      <c r="AX425">
        <v>358</v>
      </c>
      <c r="AY425">
        <v>13</v>
      </c>
      <c r="AZ425">
        <v>1</v>
      </c>
      <c r="BA425">
        <v>1</v>
      </c>
      <c r="BB425" t="s">
        <v>11</v>
      </c>
      <c r="BD425" t="s">
        <v>704</v>
      </c>
      <c r="BE425" t="s">
        <v>1834</v>
      </c>
      <c r="BF425" t="s">
        <v>1835</v>
      </c>
      <c r="BG425" t="s">
        <v>1836</v>
      </c>
      <c r="BH425" s="1" t="s">
        <v>57</v>
      </c>
      <c r="BI425" t="s">
        <v>57</v>
      </c>
      <c r="BJ425" s="1" t="str">
        <f>HYPERLINK("http://exon.niaid.nih.gov/transcriptome/T_rubida/S1/links/CDD/Triru-contig_193-CDD.txt","ND2")</f>
        <v>ND2</v>
      </c>
      <c r="BK425" t="str">
        <f>HYPERLINK("http://www.ncbi.nlm.nih.gov/Structure/cdd/cddsrv.cgi?uid=MTH00160&amp;version=v4.0","0.50")</f>
        <v>0.50</v>
      </c>
      <c r="BL425" t="s">
        <v>1837</v>
      </c>
      <c r="BM425" s="1" t="str">
        <f>HYPERLINK("http://exon.niaid.nih.gov/transcriptome/T_rubida/S1/links/KOG/Triru-contig_193-KOG.txt","Uncharacterized conserved protein, contains chromo domain")</f>
        <v>Uncharacterized conserved protein, contains chromo domain</v>
      </c>
      <c r="BN425" t="str">
        <f>HYPERLINK("http://www.ncbi.nlm.nih.gov/COG/grace/shokog.cgi?KOG2748","0.88")</f>
        <v>0.88</v>
      </c>
      <c r="BO425" t="s">
        <v>1238</v>
      </c>
      <c r="BP425" s="1" t="str">
        <f>HYPERLINK("http://exon.niaid.nih.gov/transcriptome/T_rubida/S1/links/PFAM/Triru-contig_193-PFAM.txt","MGDG_synth")</f>
        <v>MGDG_synth</v>
      </c>
      <c r="BQ425" t="str">
        <f>HYPERLINK("http://pfam.sanger.ac.uk/family?acc=PF06925","0.70")</f>
        <v>0.70</v>
      </c>
      <c r="BR425" s="1" t="str">
        <f>HYPERLINK("http://exon.niaid.nih.gov/transcriptome/T_rubida/S1/links/SMART/Triru-contig_193-SMART.txt","AgrD")</f>
        <v>AgrD</v>
      </c>
      <c r="BS425" t="str">
        <f>HYPERLINK("http://smart.embl-heidelberg.de/smart/do_annotation.pl?DOMAIN=AgrD&amp;BLAST=DUMMY","0.42")</f>
        <v>0.42</v>
      </c>
      <c r="BT425" s="1" t="str">
        <f>HYPERLINK("http://exon.niaid.nih.gov/transcriptome/T_rubida/S1/links/PRK/Triru-contig_193-PRK.txt","NADH dehydrogenase subunit 2")</f>
        <v>NADH dehydrogenase subunit 2</v>
      </c>
      <c r="BU425">
        <v>0.18</v>
      </c>
      <c r="BV425" s="1" t="s">
        <v>57</v>
      </c>
      <c r="BW425" t="s">
        <v>57</v>
      </c>
      <c r="BX425" s="1" t="s">
        <v>57</v>
      </c>
      <c r="BY425" t="s">
        <v>57</v>
      </c>
    </row>
    <row r="426" spans="1:77">
      <c r="A426" t="str">
        <f>HYPERLINK("http://exon.niaid.nih.gov/transcriptome/T_rubida/S1/links/Triru/Triru-contig_607.txt","Triru-contig_607")</f>
        <v>Triru-contig_607</v>
      </c>
      <c r="B426">
        <v>1</v>
      </c>
      <c r="C426" t="str">
        <f>HYPERLINK("http://exon.niaid.nih.gov/transcriptome/T_rubida/S1/links/Triru/Triru-5-48-asb-607.txt","Contig-607")</f>
        <v>Contig-607</v>
      </c>
      <c r="D426" t="str">
        <f>HYPERLINK("http://exon.niaid.nih.gov/transcriptome/T_rubida/S1/links/Triru/Triru-5-48-607-CLU.txt","Contig607")</f>
        <v>Contig607</v>
      </c>
      <c r="E426" t="str">
        <f>HYPERLINK("http://exon.niaid.nih.gov/transcriptome/T_rubida/S1/links/Triru/Triru-5-48-607-qual.txt","54.3")</f>
        <v>54.3</v>
      </c>
      <c r="F426" t="s">
        <v>10</v>
      </c>
      <c r="G426">
        <v>72.400000000000006</v>
      </c>
      <c r="H426">
        <v>115</v>
      </c>
      <c r="I426" t="s">
        <v>619</v>
      </c>
      <c r="J426">
        <v>115</v>
      </c>
      <c r="K426">
        <v>134</v>
      </c>
      <c r="L426">
        <v>111</v>
      </c>
      <c r="M426" t="s">
        <v>5422</v>
      </c>
      <c r="N426" s="15">
        <v>3</v>
      </c>
      <c r="Q426" s="5" t="s">
        <v>4827</v>
      </c>
      <c r="R426" t="s">
        <v>4828</v>
      </c>
      <c r="V426" s="1" t="str">
        <f>HYPERLINK("http://exon.niaid.nih.gov/transcriptome/T_rubida/S1/links/NR/Triru-contig_607-NR.txt","Transmembrane protein 167A")</f>
        <v>Transmembrane protein 167A</v>
      </c>
      <c r="W426" t="str">
        <f>HYPERLINK("http://www.ncbi.nlm.nih.gov/sutils/blink.cgi?pid=332026062","1.3")</f>
        <v>1.3</v>
      </c>
      <c r="X426" t="str">
        <f>HYPERLINK("http://www.ncbi.nlm.nih.gov/protein/332026062","gi|332026062")</f>
        <v>gi|332026062</v>
      </c>
      <c r="Y426">
        <v>36.6</v>
      </c>
      <c r="Z426">
        <v>19</v>
      </c>
      <c r="AA426">
        <v>75</v>
      </c>
      <c r="AB426">
        <v>65</v>
      </c>
      <c r="AC426">
        <v>27</v>
      </c>
      <c r="AD426">
        <v>7</v>
      </c>
      <c r="AE426">
        <v>0</v>
      </c>
      <c r="AF426">
        <v>56</v>
      </c>
      <c r="AG426">
        <v>22</v>
      </c>
      <c r="AH426">
        <v>1</v>
      </c>
      <c r="AI426">
        <v>1</v>
      </c>
      <c r="AJ426" t="s">
        <v>11</v>
      </c>
      <c r="AL426" t="s">
        <v>2597</v>
      </c>
      <c r="AM426" t="s">
        <v>4538</v>
      </c>
      <c r="AN426" t="s">
        <v>4539</v>
      </c>
      <c r="AO426" s="1" t="str">
        <f>HYPERLINK("http://exon.niaid.nih.gov/transcriptome/T_rubida/S1/links/SWISSP/Triru-contig_607-SWISSP.txt","Protein kish-A")</f>
        <v>Protein kish-A</v>
      </c>
      <c r="AP426" t="str">
        <f>HYPERLINK("http://www.uniprot.org/uniprot/Q5BJC2","0.56")</f>
        <v>0.56</v>
      </c>
      <c r="AQ426" t="s">
        <v>4540</v>
      </c>
      <c r="AR426">
        <v>33.1</v>
      </c>
      <c r="AS426">
        <v>17</v>
      </c>
      <c r="AT426">
        <v>61</v>
      </c>
      <c r="AU426">
        <v>25</v>
      </c>
      <c r="AV426">
        <v>7</v>
      </c>
      <c r="AW426">
        <v>0</v>
      </c>
      <c r="AX426">
        <v>53</v>
      </c>
      <c r="AY426">
        <v>22</v>
      </c>
      <c r="AZ426">
        <v>1</v>
      </c>
      <c r="BA426">
        <v>1</v>
      </c>
      <c r="BB426" t="s">
        <v>11</v>
      </c>
      <c r="BD426" t="s">
        <v>704</v>
      </c>
      <c r="BE426" t="s">
        <v>1556</v>
      </c>
      <c r="BF426" t="s">
        <v>4541</v>
      </c>
      <c r="BG426" t="s">
        <v>4542</v>
      </c>
      <c r="BH426" s="1" t="s">
        <v>57</v>
      </c>
      <c r="BI426" t="s">
        <v>57</v>
      </c>
      <c r="BJ426" s="1" t="str">
        <f>HYPERLINK("http://exon.niaid.nih.gov/transcriptome/T_rubida/S1/links/CDD/Triru-contig_607-CDD.txt","Herpes_UL20")</f>
        <v>Herpes_UL20</v>
      </c>
      <c r="BK426" t="str">
        <f>HYPERLINK("http://www.ncbi.nlm.nih.gov/Structure/cdd/cddsrv.cgi?uid=pfam04544&amp;version=v4.0","1.0")</f>
        <v>1.0</v>
      </c>
      <c r="BL426" t="s">
        <v>4543</v>
      </c>
      <c r="BM426" s="1" t="str">
        <f>HYPERLINK("http://exon.niaid.nih.gov/transcriptome/T_rubida/S1/links/KOG/Triru-contig_607-KOG.txt","Uncharacterized conserved protein")</f>
        <v>Uncharacterized conserved protein</v>
      </c>
      <c r="BN426" t="str">
        <f>HYPERLINK("http://www.ncbi.nlm.nih.gov/COG/grace/shokog.cgi?KOG3808","0.045")</f>
        <v>0.045</v>
      </c>
      <c r="BO426" t="s">
        <v>737</v>
      </c>
      <c r="BP426" s="1" t="str">
        <f>HYPERLINK("http://exon.niaid.nih.gov/transcriptome/T_rubida/S1/links/PFAM/Triru-contig_607-PFAM.txt","Herpes_UL20")</f>
        <v>Herpes_UL20</v>
      </c>
      <c r="BQ426" t="str">
        <f>HYPERLINK("http://pfam.sanger.ac.uk/family?acc=PF04544","0.21")</f>
        <v>0.21</v>
      </c>
      <c r="BR426" s="1" t="str">
        <f>HYPERLINK("http://exon.niaid.nih.gov/transcriptome/T_rubida/S1/links/SMART/Triru-contig_607-SMART.txt","HOLI")</f>
        <v>HOLI</v>
      </c>
      <c r="BS426" t="str">
        <f>HYPERLINK("http://smart.embl-heidelberg.de/smart/do_annotation.pl?DOMAIN=HOLI&amp;BLAST=DUMMY","0.82")</f>
        <v>0.82</v>
      </c>
      <c r="BT426" s="1" t="str">
        <f>HYPERLINK("http://exon.niaid.nih.gov/transcriptome/T_rubida/S1/links/PRK/Triru-contig_607-PRK.txt","N-acetylglutamate synthase")</f>
        <v>N-acetylglutamate synthase</v>
      </c>
      <c r="BU426">
        <v>1.4</v>
      </c>
      <c r="BV426" s="1" t="s">
        <v>57</v>
      </c>
      <c r="BW426" t="s">
        <v>57</v>
      </c>
      <c r="BX426" s="1" t="s">
        <v>57</v>
      </c>
      <c r="BY426" t="s">
        <v>57</v>
      </c>
    </row>
    <row r="427" spans="1:77">
      <c r="A427" t="str">
        <f>HYPERLINK("http://exon.niaid.nih.gov/transcriptome/T_rubida/S1/links/Triru/Triru-contig_270.txt","Triru-contig_270")</f>
        <v>Triru-contig_270</v>
      </c>
      <c r="B427">
        <v>1</v>
      </c>
      <c r="C427" t="str">
        <f>HYPERLINK("http://exon.niaid.nih.gov/transcriptome/T_rubida/S1/links/Triru/Triru-5-48-asb-270.txt","Contig-270")</f>
        <v>Contig-270</v>
      </c>
      <c r="D427" t="str">
        <f>HYPERLINK("http://exon.niaid.nih.gov/transcriptome/T_rubida/S1/links/Triru/Triru-5-48-270-CLU.txt","Contig270")</f>
        <v>Contig270</v>
      </c>
      <c r="E427" t="str">
        <f>HYPERLINK("http://exon.niaid.nih.gov/transcriptome/T_rubida/S1/links/Triru/Triru-5-48-270-qual.txt","45.6")</f>
        <v>45.6</v>
      </c>
      <c r="F427" t="s">
        <v>10</v>
      </c>
      <c r="G427">
        <v>72.2</v>
      </c>
      <c r="H427">
        <v>890</v>
      </c>
      <c r="I427" t="s">
        <v>282</v>
      </c>
      <c r="J427">
        <v>890</v>
      </c>
      <c r="K427">
        <v>909</v>
      </c>
      <c r="L427">
        <v>141</v>
      </c>
      <c r="M427" t="s">
        <v>5489</v>
      </c>
      <c r="N427" s="15">
        <v>3</v>
      </c>
      <c r="Q427" s="5" t="s">
        <v>4827</v>
      </c>
      <c r="R427" t="s">
        <v>4828</v>
      </c>
      <c r="V427" s="1" t="str">
        <f>HYPERLINK("http://exon.niaid.nih.gov/transcriptome/T_rubida/S1/links/NR/Triru-contig_270-NR.txt","FALZ protein")</f>
        <v>FALZ protein</v>
      </c>
      <c r="W427" t="str">
        <f>HYPERLINK("http://www.ncbi.nlm.nih.gov/sutils/blink.cgi?pid=126653427","1.4")</f>
        <v>1.4</v>
      </c>
      <c r="X427" t="str">
        <f>HYPERLINK("http://www.ncbi.nlm.nih.gov/protein/126653427","gi|126653427")</f>
        <v>gi|126653427</v>
      </c>
      <c r="Y427">
        <v>38.5</v>
      </c>
      <c r="Z427">
        <v>129</v>
      </c>
      <c r="AA427">
        <v>1782</v>
      </c>
      <c r="AB427">
        <v>25</v>
      </c>
      <c r="AC427">
        <v>7</v>
      </c>
      <c r="AD427">
        <v>102</v>
      </c>
      <c r="AE427">
        <v>11</v>
      </c>
      <c r="AF427">
        <v>1428</v>
      </c>
      <c r="AG427">
        <v>219</v>
      </c>
      <c r="AH427">
        <v>1</v>
      </c>
      <c r="AI427">
        <v>3</v>
      </c>
      <c r="AJ427" t="s">
        <v>11</v>
      </c>
      <c r="AK427">
        <v>3.8759999999999999</v>
      </c>
      <c r="AL427" t="s">
        <v>2294</v>
      </c>
      <c r="AM427" t="s">
        <v>2295</v>
      </c>
      <c r="AN427" t="s">
        <v>2296</v>
      </c>
      <c r="AO427" s="1" t="str">
        <f>HYPERLINK("http://exon.niaid.nih.gov/transcriptome/T_rubida/S1/links/SWISSP/Triru-contig_270-SWISSP.txt","Asparagine synthetase")</f>
        <v>Asparagine synthetase</v>
      </c>
      <c r="AP427" t="str">
        <f>HYPERLINK("http://www.uniprot.org/uniprot/O24661","53")</f>
        <v>53</v>
      </c>
      <c r="AQ427" t="s">
        <v>2297</v>
      </c>
      <c r="AR427">
        <v>28.9</v>
      </c>
      <c r="AS427">
        <v>54</v>
      </c>
      <c r="AT427">
        <v>29</v>
      </c>
      <c r="AU427">
        <v>9</v>
      </c>
      <c r="AV427">
        <v>39</v>
      </c>
      <c r="AW427">
        <v>0</v>
      </c>
      <c r="AX427">
        <v>331</v>
      </c>
      <c r="AY427">
        <v>296</v>
      </c>
      <c r="AZ427">
        <v>1</v>
      </c>
      <c r="BA427">
        <v>2</v>
      </c>
      <c r="BB427" t="s">
        <v>11</v>
      </c>
      <c r="BC427">
        <v>1.8520000000000001</v>
      </c>
      <c r="BD427" t="s">
        <v>704</v>
      </c>
      <c r="BE427" t="s">
        <v>2298</v>
      </c>
      <c r="BF427" t="s">
        <v>2299</v>
      </c>
      <c r="BG427" t="s">
        <v>2300</v>
      </c>
      <c r="BH427" s="1" t="s">
        <v>57</v>
      </c>
      <c r="BI427" t="s">
        <v>57</v>
      </c>
      <c r="BJ427" s="1" t="str">
        <f>HYPERLINK("http://exon.niaid.nih.gov/transcriptome/T_rubida/S1/links/CDD/Triru-contig_270-CDD.txt","ND5")</f>
        <v>ND5</v>
      </c>
      <c r="BK427" t="str">
        <f>HYPERLINK("http://www.ncbi.nlm.nih.gov/Structure/cdd/cddsrv.cgi?uid=MTH00095&amp;version=v4.0","0.006")</f>
        <v>0.006</v>
      </c>
      <c r="BL427" t="s">
        <v>2301</v>
      </c>
      <c r="BM427" s="1" t="str">
        <f>HYPERLINK("http://exon.niaid.nih.gov/transcriptome/T_rubida/S1/links/KOG/Triru-contig_270-KOG.txt","P-type ATPase")</f>
        <v>P-type ATPase</v>
      </c>
      <c r="BN427" t="str">
        <f>HYPERLINK("http://www.ncbi.nlm.nih.gov/COG/grace/shokog.cgi?KOG0210","2.2")</f>
        <v>2.2</v>
      </c>
      <c r="BO427" t="s">
        <v>849</v>
      </c>
      <c r="BP427" s="1" t="str">
        <f>HYPERLINK("http://exon.niaid.nih.gov/transcriptome/T_rubida/S1/links/PFAM/Triru-contig_270-PFAM.txt","7TM_GPCR_Srbc")</f>
        <v>7TM_GPCR_Srbc</v>
      </c>
      <c r="BQ427" t="str">
        <f>HYPERLINK("http://pfam.sanger.ac.uk/family?acc=PF10316","0.097")</f>
        <v>0.097</v>
      </c>
      <c r="BR427" s="1" t="str">
        <f>HYPERLINK("http://exon.niaid.nih.gov/transcriptome/T_rubida/S1/links/SMART/Triru-contig_270-SMART.txt","CTNS")</f>
        <v>CTNS</v>
      </c>
      <c r="BS427" t="str">
        <f>HYPERLINK("http://smart.embl-heidelberg.de/smart/do_annotation.pl?DOMAIN=CTNS&amp;BLAST=DUMMY","0.35")</f>
        <v>0.35</v>
      </c>
      <c r="BT427" s="1" t="str">
        <f>HYPERLINK("http://exon.niaid.nih.gov/transcriptome/T_rubida/S1/links/PRK/Triru-contig_270-PRK.txt","NADH dehydrogenase subunit 5")</f>
        <v>NADH dehydrogenase subunit 5</v>
      </c>
      <c r="BU427">
        <v>2E-3</v>
      </c>
      <c r="BV427" s="1" t="s">
        <v>57</v>
      </c>
      <c r="BW427" t="s">
        <v>57</v>
      </c>
      <c r="BX427" s="1" t="s">
        <v>57</v>
      </c>
      <c r="BY427" t="s">
        <v>57</v>
      </c>
    </row>
    <row r="428" spans="1:77">
      <c r="A428" t="str">
        <f>HYPERLINK("http://exon.niaid.nih.gov/transcriptome/T_rubida/S1/links/Triru/Triru-contig_583.txt","Triru-contig_583")</f>
        <v>Triru-contig_583</v>
      </c>
      <c r="B428">
        <v>1</v>
      </c>
      <c r="C428" t="str">
        <f>HYPERLINK("http://exon.niaid.nih.gov/transcriptome/T_rubida/S1/links/Triru/Triru-5-48-asb-583.txt","Contig-583")</f>
        <v>Contig-583</v>
      </c>
      <c r="D428" t="str">
        <f>HYPERLINK("http://exon.niaid.nih.gov/transcriptome/T_rubida/S1/links/Triru/Triru-5-48-583-CLU.txt","Contig583")</f>
        <v>Contig583</v>
      </c>
      <c r="E428" t="str">
        <f>HYPERLINK("http://exon.niaid.nih.gov/transcriptome/T_rubida/S1/links/Triru/Triru-5-48-583-qual.txt","27.6")</f>
        <v>27.6</v>
      </c>
      <c r="F428" t="s">
        <v>10</v>
      </c>
      <c r="G428">
        <v>62.7</v>
      </c>
      <c r="H428">
        <v>268</v>
      </c>
      <c r="I428" t="s">
        <v>595</v>
      </c>
      <c r="J428">
        <v>268</v>
      </c>
      <c r="K428">
        <v>287</v>
      </c>
      <c r="L428">
        <v>195</v>
      </c>
      <c r="M428" t="s">
        <v>5491</v>
      </c>
      <c r="N428" s="15">
        <v>2</v>
      </c>
      <c r="Q428" s="5" t="s">
        <v>4827</v>
      </c>
      <c r="R428" t="s">
        <v>4828</v>
      </c>
      <c r="V428" s="1" t="str">
        <f>HYPERLINK("http://exon.niaid.nih.gov/transcriptome/T_rubida/S1/links/NR/Triru-contig_583-NR.txt","olfactory receptor family 5")</f>
        <v>olfactory receptor family 5</v>
      </c>
      <c r="W428" t="str">
        <f>HYPERLINK("http://www.ncbi.nlm.nih.gov/sutils/blink.cgi?pid=254943266","1.4")</f>
        <v>1.4</v>
      </c>
      <c r="X428" t="str">
        <f>HYPERLINK("http://www.ncbi.nlm.nih.gov/protein/254943266","gi|254943266")</f>
        <v>gi|254943266</v>
      </c>
      <c r="Y428">
        <v>36.6</v>
      </c>
      <c r="Z428">
        <v>47</v>
      </c>
      <c r="AA428">
        <v>237</v>
      </c>
      <c r="AB428">
        <v>38</v>
      </c>
      <c r="AC428">
        <v>20</v>
      </c>
      <c r="AD428">
        <v>32</v>
      </c>
      <c r="AE428">
        <v>0</v>
      </c>
      <c r="AF428">
        <v>104</v>
      </c>
      <c r="AG428">
        <v>107</v>
      </c>
      <c r="AH428">
        <v>1</v>
      </c>
      <c r="AI428">
        <v>2</v>
      </c>
      <c r="AJ428" t="s">
        <v>11</v>
      </c>
      <c r="AL428" t="s">
        <v>4409</v>
      </c>
      <c r="AM428" t="s">
        <v>4410</v>
      </c>
      <c r="AN428" t="s">
        <v>4411</v>
      </c>
      <c r="AO428" s="1" t="str">
        <f>HYPERLINK("http://exon.niaid.nih.gov/transcriptome/T_rubida/S1/links/SWISSP/Triru-contig_583-SWISSP.txt","Olfactory receptor 5AC1")</f>
        <v>Olfactory receptor 5AC1</v>
      </c>
      <c r="AP428" t="str">
        <f>HYPERLINK("http://www.uniprot.org/uniprot/P0C628","0.32")</f>
        <v>0.32</v>
      </c>
      <c r="AQ428" t="s">
        <v>4412</v>
      </c>
      <c r="AR428">
        <v>33.9</v>
      </c>
      <c r="AS428">
        <v>47</v>
      </c>
      <c r="AT428">
        <v>36</v>
      </c>
      <c r="AU428">
        <v>16</v>
      </c>
      <c r="AV428">
        <v>33</v>
      </c>
      <c r="AW428">
        <v>0</v>
      </c>
      <c r="AX428">
        <v>158</v>
      </c>
      <c r="AY428">
        <v>107</v>
      </c>
      <c r="AZ428">
        <v>1</v>
      </c>
      <c r="BA428">
        <v>2</v>
      </c>
      <c r="BB428" t="s">
        <v>11</v>
      </c>
      <c r="BD428" t="s">
        <v>704</v>
      </c>
      <c r="BE428" t="s">
        <v>1233</v>
      </c>
      <c r="BF428" t="s">
        <v>4413</v>
      </c>
      <c r="BG428" t="s">
        <v>4414</v>
      </c>
      <c r="BH428" s="1" t="s">
        <v>57</v>
      </c>
      <c r="BI428" t="s">
        <v>57</v>
      </c>
      <c r="BJ428" s="1" t="str">
        <f>HYPERLINK("http://exon.niaid.nih.gov/transcriptome/T_rubida/S1/links/CDD/Triru-contig_583-CDD.txt","PRK07818")</f>
        <v>PRK07818</v>
      </c>
      <c r="BK428" t="str">
        <f>HYPERLINK("http://www.ncbi.nlm.nih.gov/Structure/cdd/cddsrv.cgi?uid=PRK07818&amp;version=v4.0","0.57")</f>
        <v>0.57</v>
      </c>
      <c r="BL428" t="s">
        <v>4415</v>
      </c>
      <c r="BM428" s="1" t="str">
        <f>HYPERLINK("http://exon.niaid.nih.gov/transcriptome/T_rubida/S1/links/KOG/Triru-contig_583-KOG.txt","NMD protein affecting ribosome stability and mRNA decay")</f>
        <v>NMD protein affecting ribosome stability and mRNA decay</v>
      </c>
      <c r="BN428" t="str">
        <f>HYPERLINK("http://www.ncbi.nlm.nih.gov/COG/grace/shokog.cgi?KOG2613","0.22")</f>
        <v>0.22</v>
      </c>
      <c r="BO428" t="s">
        <v>1185</v>
      </c>
      <c r="BP428" s="1" t="str">
        <f>HYPERLINK("http://exon.niaid.nih.gov/transcriptome/T_rubida/S1/links/PFAM/Triru-contig_583-PFAM.txt","Mannosyl_trans2")</f>
        <v>Mannosyl_trans2</v>
      </c>
      <c r="BQ428" t="str">
        <f>HYPERLINK("http://pfam.sanger.ac.uk/family?acc=PF04188","0.23")</f>
        <v>0.23</v>
      </c>
      <c r="BR428" s="1" t="str">
        <f>HYPERLINK("http://exon.niaid.nih.gov/transcriptome/T_rubida/S1/links/SMART/Triru-contig_583-SMART.txt","Sema")</f>
        <v>Sema</v>
      </c>
      <c r="BS428" t="str">
        <f>HYPERLINK("http://smart.embl-heidelberg.de/smart/do_annotation.pl?DOMAIN=Sema&amp;BLAST=DUMMY","0.24")</f>
        <v>0.24</v>
      </c>
      <c r="BT428" s="1" t="str">
        <f>HYPERLINK("http://exon.niaid.nih.gov/transcriptome/T_rubida/S1/links/PRK/Triru-contig_583-PRK.txt","dihydrolipoamide dehydrogenase")</f>
        <v>dihydrolipoamide dehydrogenase</v>
      </c>
      <c r="BU428">
        <v>0.21</v>
      </c>
      <c r="BV428" s="1" t="s">
        <v>57</v>
      </c>
      <c r="BW428" t="s">
        <v>57</v>
      </c>
      <c r="BX428" s="1" t="s">
        <v>57</v>
      </c>
      <c r="BY428" t="s">
        <v>57</v>
      </c>
    </row>
    <row r="429" spans="1:77">
      <c r="A429" t="str">
        <f>HYPERLINK("http://exon.niaid.nih.gov/transcriptome/T_rubida/S1/links/Triru/Triru-contig_241.txt","Triru-contig_241")</f>
        <v>Triru-contig_241</v>
      </c>
      <c r="B429">
        <v>1</v>
      </c>
      <c r="C429" t="str">
        <f>HYPERLINK("http://exon.niaid.nih.gov/transcriptome/T_rubida/S1/links/Triru/Triru-5-48-asb-241.txt","Contig-241")</f>
        <v>Contig-241</v>
      </c>
      <c r="D429" t="str">
        <f>HYPERLINK("http://exon.niaid.nih.gov/transcriptome/T_rubida/S1/links/Triru/Triru-5-48-241-CLU.txt","Contig241")</f>
        <v>Contig241</v>
      </c>
      <c r="E429" t="str">
        <f>HYPERLINK("http://exon.niaid.nih.gov/transcriptome/T_rubida/S1/links/Triru/Triru-5-48-241-qual.txt","57.2")</f>
        <v>57.2</v>
      </c>
      <c r="F429">
        <v>0.7</v>
      </c>
      <c r="G429">
        <v>75.3</v>
      </c>
      <c r="H429">
        <v>131</v>
      </c>
      <c r="I429" t="s">
        <v>253</v>
      </c>
      <c r="J429">
        <v>131</v>
      </c>
      <c r="K429">
        <v>150</v>
      </c>
      <c r="L429">
        <v>87</v>
      </c>
      <c r="M429" t="s">
        <v>5589</v>
      </c>
      <c r="N429" s="15">
        <v>3</v>
      </c>
      <c r="Q429" s="5" t="s">
        <v>4827</v>
      </c>
      <c r="R429" t="s">
        <v>4828</v>
      </c>
      <c r="V429" s="1" t="str">
        <f>HYPERLINK("http://exon.niaid.nih.gov/transcriptome/T_rubida/S1/links/NR/Triru-contig_241-NR.txt","predicted protein")</f>
        <v>predicted protein</v>
      </c>
      <c r="W429" t="str">
        <f>HYPERLINK("http://www.ncbi.nlm.nih.gov/sutils/blink.cgi?pid=156389506","1.4")</f>
        <v>1.4</v>
      </c>
      <c r="X429" t="str">
        <f>HYPERLINK("http://www.ncbi.nlm.nih.gov/protein/156389506","gi|156389506")</f>
        <v>gi|156389506</v>
      </c>
      <c r="Y429">
        <v>36.6</v>
      </c>
      <c r="Z429">
        <v>21</v>
      </c>
      <c r="AA429">
        <v>136</v>
      </c>
      <c r="AB429">
        <v>63</v>
      </c>
      <c r="AC429">
        <v>16</v>
      </c>
      <c r="AD429">
        <v>8</v>
      </c>
      <c r="AE429">
        <v>0</v>
      </c>
      <c r="AF429">
        <v>115</v>
      </c>
      <c r="AG429">
        <v>4</v>
      </c>
      <c r="AH429">
        <v>1</v>
      </c>
      <c r="AI429">
        <v>1</v>
      </c>
      <c r="AJ429" t="s">
        <v>11</v>
      </c>
      <c r="AL429" t="s">
        <v>2120</v>
      </c>
      <c r="AM429" t="s">
        <v>2121</v>
      </c>
      <c r="AN429" t="s">
        <v>2122</v>
      </c>
      <c r="AO429" s="1" t="str">
        <f>HYPERLINK("http://exon.niaid.nih.gov/transcriptome/T_rubida/S1/links/SWISSP/Triru-contig_241-SWISSP.txt","60S ribosomal protein L27")</f>
        <v>60S ribosomal protein L27</v>
      </c>
      <c r="AP429" t="str">
        <f>HYPERLINK("http://www.uniprot.org/uniprot/P91914","0.33")</f>
        <v>0.33</v>
      </c>
      <c r="AQ429" t="s">
        <v>2123</v>
      </c>
      <c r="AR429">
        <v>33.9</v>
      </c>
      <c r="AS429">
        <v>21</v>
      </c>
      <c r="AT429">
        <v>59</v>
      </c>
      <c r="AU429">
        <v>16</v>
      </c>
      <c r="AV429">
        <v>9</v>
      </c>
      <c r="AW429">
        <v>0</v>
      </c>
      <c r="AX429">
        <v>115</v>
      </c>
      <c r="AY429">
        <v>4</v>
      </c>
      <c r="AZ429">
        <v>1</v>
      </c>
      <c r="BA429">
        <v>1</v>
      </c>
      <c r="BB429" t="s">
        <v>11</v>
      </c>
      <c r="BD429" t="s">
        <v>704</v>
      </c>
      <c r="BE429" t="s">
        <v>1385</v>
      </c>
      <c r="BF429" t="s">
        <v>2124</v>
      </c>
      <c r="BG429" t="s">
        <v>2125</v>
      </c>
      <c r="BH429" s="1" t="s">
        <v>57</v>
      </c>
      <c r="BI429" t="s">
        <v>57</v>
      </c>
      <c r="BJ429" s="1" t="str">
        <f>HYPERLINK("http://exon.niaid.nih.gov/transcriptome/T_rubida/S1/links/CDD/Triru-contig_241-CDD.txt","Ribosomal_L27e")</f>
        <v>Ribosomal_L27e</v>
      </c>
      <c r="BK429" t="str">
        <f>HYPERLINK("http://www.ncbi.nlm.nih.gov/Structure/cdd/cddsrv.cgi?uid=pfam01777&amp;version=v4.0","5E-004")</f>
        <v>5E-004</v>
      </c>
      <c r="BL429" t="s">
        <v>2126</v>
      </c>
      <c r="BM429" s="1" t="str">
        <f>HYPERLINK("http://exon.niaid.nih.gov/transcriptome/T_rubida/S1/links/KOG/Triru-contig_241-KOG.txt","60S ribosomal protein L27")</f>
        <v>60S ribosomal protein L27</v>
      </c>
      <c r="BN429" t="str">
        <f>HYPERLINK("http://www.ncbi.nlm.nih.gov/COG/grace/shokog.cgi?KOG3418","0.002")</f>
        <v>0.002</v>
      </c>
      <c r="BO429" t="s">
        <v>1185</v>
      </c>
      <c r="BP429" s="1" t="str">
        <f>HYPERLINK("http://exon.niaid.nih.gov/transcriptome/T_rubida/S1/links/PFAM/Triru-contig_241-PFAM.txt","Ribosomal_L27e")</f>
        <v>Ribosomal_L27e</v>
      </c>
      <c r="BQ429" t="str">
        <f>HYPERLINK("http://pfam.sanger.ac.uk/family?acc=PF01777","1E-004")</f>
        <v>1E-004</v>
      </c>
      <c r="BR429" s="1" t="str">
        <f>HYPERLINK("http://exon.niaid.nih.gov/transcriptome/T_rubida/S1/links/SMART/Triru-contig_241-SMART.txt","GGDEF")</f>
        <v>GGDEF</v>
      </c>
      <c r="BS429" t="str">
        <f>HYPERLINK("http://smart.embl-heidelberg.de/smart/do_annotation.pl?DOMAIN=GGDEF&amp;BLAST=DUMMY","0.32")</f>
        <v>0.32</v>
      </c>
      <c r="BT429" s="1" t="str">
        <f>HYPERLINK("http://exon.niaid.nih.gov/transcriptome/T_rubida/S1/links/PRK/Triru-contig_241-PRK.txt","60S ribosomal protein L27")</f>
        <v>60S ribosomal protein L27</v>
      </c>
      <c r="BU429">
        <v>2.5999999999999999E-2</v>
      </c>
      <c r="BV429" s="1" t="s">
        <v>57</v>
      </c>
      <c r="BW429" t="s">
        <v>57</v>
      </c>
      <c r="BX429" s="1" t="s">
        <v>57</v>
      </c>
      <c r="BY429" t="s">
        <v>57</v>
      </c>
    </row>
    <row r="430" spans="1:77">
      <c r="A430" t="str">
        <f>HYPERLINK("http://exon.niaid.nih.gov/transcriptome/T_rubida/S1/links/Triru/Triru-contig_235.txt","Triru-contig_235")</f>
        <v>Triru-contig_235</v>
      </c>
      <c r="B430">
        <v>1</v>
      </c>
      <c r="C430" t="str">
        <f>HYPERLINK("http://exon.niaid.nih.gov/transcriptome/T_rubida/S1/links/Triru/Triru-5-48-asb-235.txt","Contig-235")</f>
        <v>Contig-235</v>
      </c>
      <c r="D430" t="str">
        <f>HYPERLINK("http://exon.niaid.nih.gov/transcriptome/T_rubida/S1/links/Triru/Triru-5-48-235-CLU.txt","Contig235")</f>
        <v>Contig235</v>
      </c>
      <c r="E430" t="str">
        <f>HYPERLINK("http://exon.niaid.nih.gov/transcriptome/T_rubida/S1/links/Triru/Triru-5-48-235-qual.txt","58.9")</f>
        <v>58.9</v>
      </c>
      <c r="F430" t="s">
        <v>10</v>
      </c>
      <c r="G430">
        <v>70.099999999999994</v>
      </c>
      <c r="H430">
        <v>289</v>
      </c>
      <c r="I430" t="s">
        <v>247</v>
      </c>
      <c r="J430">
        <v>289</v>
      </c>
      <c r="K430">
        <v>308</v>
      </c>
      <c r="L430">
        <v>129</v>
      </c>
      <c r="M430" t="s">
        <v>5458</v>
      </c>
      <c r="N430" s="15">
        <v>3</v>
      </c>
      <c r="Q430" s="5" t="s">
        <v>4827</v>
      </c>
      <c r="R430" t="s">
        <v>4828</v>
      </c>
      <c r="V430" s="1" t="str">
        <f>HYPERLINK("http://exon.niaid.nih.gov/transcriptome/T_rubida/S1/links/NR/Triru-contig_235-NR.txt","hypothetical protein CBG_22275")</f>
        <v>hypothetical protein CBG_22275</v>
      </c>
      <c r="W430" t="str">
        <f>HYPERLINK("http://www.ncbi.nlm.nih.gov/sutils/blink.cgi?pid=309355511","1.8")</f>
        <v>1.8</v>
      </c>
      <c r="X430" t="str">
        <f>HYPERLINK("http://www.ncbi.nlm.nih.gov/protein/309355511","gi|309355511")</f>
        <v>gi|309355511</v>
      </c>
      <c r="Y430">
        <v>36.200000000000003</v>
      </c>
      <c r="Z430">
        <v>64</v>
      </c>
      <c r="AA430">
        <v>487</v>
      </c>
      <c r="AB430">
        <v>31</v>
      </c>
      <c r="AC430">
        <v>13</v>
      </c>
      <c r="AD430">
        <v>48</v>
      </c>
      <c r="AE430">
        <v>0</v>
      </c>
      <c r="AF430">
        <v>138</v>
      </c>
      <c r="AG430">
        <v>11</v>
      </c>
      <c r="AH430">
        <v>1</v>
      </c>
      <c r="AI430">
        <v>2</v>
      </c>
      <c r="AJ430" t="s">
        <v>11</v>
      </c>
      <c r="AK430">
        <v>4.6879999999999997</v>
      </c>
      <c r="AL430" t="s">
        <v>2088</v>
      </c>
      <c r="AM430" t="s">
        <v>2089</v>
      </c>
      <c r="AN430" t="s">
        <v>2090</v>
      </c>
      <c r="AO430" s="1" t="str">
        <f>HYPERLINK("http://exon.niaid.nih.gov/transcriptome/T_rubida/S1/links/SWISSP/Triru-contig_235-SWISSP.txt","Probable palmitoyltransferase ZDHHC20")</f>
        <v>Probable palmitoyltransferase ZDHHC20</v>
      </c>
      <c r="AP430" t="str">
        <f>HYPERLINK("http://www.uniprot.org/uniprot/Q0VC89","1.6")</f>
        <v>1.6</v>
      </c>
      <c r="AQ430" t="s">
        <v>2091</v>
      </c>
      <c r="AR430">
        <v>31.6</v>
      </c>
      <c r="AS430">
        <v>33</v>
      </c>
      <c r="AT430">
        <v>44</v>
      </c>
      <c r="AU430">
        <v>9</v>
      </c>
      <c r="AV430">
        <v>20</v>
      </c>
      <c r="AW430">
        <v>0</v>
      </c>
      <c r="AX430">
        <v>162</v>
      </c>
      <c r="AY430">
        <v>83</v>
      </c>
      <c r="AZ430">
        <v>1</v>
      </c>
      <c r="BA430">
        <v>2</v>
      </c>
      <c r="BB430" t="s">
        <v>11</v>
      </c>
      <c r="BC430">
        <v>3.03</v>
      </c>
      <c r="BD430" t="s">
        <v>704</v>
      </c>
      <c r="BE430" t="s">
        <v>1934</v>
      </c>
      <c r="BF430" t="s">
        <v>2092</v>
      </c>
      <c r="BG430" t="s">
        <v>2093</v>
      </c>
      <c r="BH430" s="1" t="s">
        <v>57</v>
      </c>
      <c r="BI430" t="s">
        <v>57</v>
      </c>
      <c r="BJ430" s="1" t="str">
        <f>HYPERLINK("http://exon.niaid.nih.gov/transcriptome/T_rubida/S1/links/CDD/Triru-contig_235-CDD.txt","vMSA")</f>
        <v>vMSA</v>
      </c>
      <c r="BK430" t="str">
        <f>HYPERLINK("http://www.ncbi.nlm.nih.gov/Structure/cdd/cddsrv.cgi?uid=pfam00695&amp;version=v4.0","0.48")</f>
        <v>0.48</v>
      </c>
      <c r="BL430" t="s">
        <v>2094</v>
      </c>
      <c r="BM430" s="1" t="str">
        <f>HYPERLINK("http://exon.niaid.nih.gov/transcriptome/T_rubida/S1/links/KOG/Triru-contig_235-KOG.txt","Predicted DHHC-type Zn-finger protein")</f>
        <v>Predicted DHHC-type Zn-finger protein</v>
      </c>
      <c r="BN430" t="str">
        <f>HYPERLINK("http://www.ncbi.nlm.nih.gov/COG/grace/shokog.cgi?KOG1315","0.58")</f>
        <v>0.58</v>
      </c>
      <c r="BO430" t="s">
        <v>750</v>
      </c>
      <c r="BP430" s="1" t="str">
        <f>HYPERLINK("http://exon.niaid.nih.gov/transcriptome/T_rubida/S1/links/PFAM/Triru-contig_235-PFAM.txt","vMSA")</f>
        <v>vMSA</v>
      </c>
      <c r="BQ430" t="str">
        <f>HYPERLINK("http://pfam.sanger.ac.uk/family?acc=PF00695","0.10")</f>
        <v>0.10</v>
      </c>
      <c r="BR430" s="1" t="str">
        <f>HYPERLINK("http://exon.niaid.nih.gov/transcriptome/T_rubida/S1/links/SMART/Triru-contig_235-SMART.txt","HTTM")</f>
        <v>HTTM</v>
      </c>
      <c r="BS430" t="str">
        <f>HYPERLINK("http://smart.embl-heidelberg.de/smart/do_annotation.pl?DOMAIN=HTTM&amp;BLAST=DUMMY","0.11")</f>
        <v>0.11</v>
      </c>
      <c r="BT430" s="1" t="str">
        <f>HYPERLINK("http://exon.niaid.nih.gov/transcriptome/T_rubida/S1/links/PRK/Triru-contig_235-PRK.txt","NADH dehydrogenase subunit 2")</f>
        <v>NADH dehydrogenase subunit 2</v>
      </c>
      <c r="BU430">
        <v>0.27</v>
      </c>
      <c r="BV430" s="1" t="s">
        <v>57</v>
      </c>
      <c r="BW430" t="s">
        <v>57</v>
      </c>
      <c r="BX430" s="1" t="s">
        <v>57</v>
      </c>
      <c r="BY430" t="s">
        <v>57</v>
      </c>
    </row>
    <row r="431" spans="1:77">
      <c r="A431" t="str">
        <f>HYPERLINK("http://exon.niaid.nih.gov/transcriptome/T_rubida/S1/links/Triru/Triru-contig_544.txt","Triru-contig_544")</f>
        <v>Triru-contig_544</v>
      </c>
      <c r="B431">
        <v>1</v>
      </c>
      <c r="C431" t="str">
        <f>HYPERLINK("http://exon.niaid.nih.gov/transcriptome/T_rubida/S1/links/Triru/Triru-5-48-asb-544.txt","Contig-544")</f>
        <v>Contig-544</v>
      </c>
      <c r="D431" t="str">
        <f>HYPERLINK("http://exon.niaid.nih.gov/transcriptome/T_rubida/S1/links/Triru/Triru-5-48-544-CLU.txt","Contig544")</f>
        <v>Contig544</v>
      </c>
      <c r="E431" t="str">
        <f>HYPERLINK("http://exon.niaid.nih.gov/transcriptome/T_rubida/S1/links/Triru/Triru-5-48-544-qual.txt","61.8")</f>
        <v>61.8</v>
      </c>
      <c r="F431" t="s">
        <v>10</v>
      </c>
      <c r="G431">
        <v>73.8</v>
      </c>
      <c r="H431">
        <v>390</v>
      </c>
      <c r="I431" t="s">
        <v>556</v>
      </c>
      <c r="J431">
        <v>390</v>
      </c>
      <c r="K431">
        <v>409</v>
      </c>
      <c r="L431">
        <v>114</v>
      </c>
      <c r="M431" t="s">
        <v>5501</v>
      </c>
      <c r="N431" s="15">
        <v>2</v>
      </c>
      <c r="Q431" s="5" t="s">
        <v>4827</v>
      </c>
      <c r="R431" t="s">
        <v>4828</v>
      </c>
      <c r="V431" s="1" t="str">
        <f>HYPERLINK("http://exon.niaid.nih.gov/transcriptome/T_rubida/S1/links/NR/Triru-contig_544-NR.txt","non-receptor tyrosine kinase")</f>
        <v>non-receptor tyrosine kinase</v>
      </c>
      <c r="W431" t="str">
        <f>HYPERLINK("http://www.ncbi.nlm.nih.gov/sutils/blink.cgi?pid=66810666","1.8")</f>
        <v>1.8</v>
      </c>
      <c r="X431" t="str">
        <f>HYPERLINK("http://www.ncbi.nlm.nih.gov/protein/66810666","gi|66810666")</f>
        <v>gi|66810666</v>
      </c>
      <c r="Y431">
        <v>32.299999999999997</v>
      </c>
      <c r="Z431">
        <v>51</v>
      </c>
      <c r="AA431">
        <v>2410</v>
      </c>
      <c r="AB431">
        <v>45</v>
      </c>
      <c r="AC431">
        <v>2</v>
      </c>
      <c r="AD431">
        <v>12</v>
      </c>
      <c r="AE431">
        <v>0</v>
      </c>
      <c r="AF431">
        <v>8</v>
      </c>
      <c r="AG431">
        <v>127</v>
      </c>
      <c r="AH431">
        <v>4</v>
      </c>
      <c r="AI431">
        <v>1</v>
      </c>
      <c r="AJ431" t="s">
        <v>11</v>
      </c>
      <c r="AL431" t="s">
        <v>3733</v>
      </c>
      <c r="AM431" t="s">
        <v>4153</v>
      </c>
      <c r="AN431" t="s">
        <v>4154</v>
      </c>
      <c r="AO431" s="1" t="str">
        <f>HYPERLINK("http://exon.niaid.nih.gov/transcriptome/T_rubida/S1/links/SWISSP/Triru-contig_544-SWISSP.txt","Dual specificity protein kinase pyk1")</f>
        <v>Dual specificity protein kinase pyk1</v>
      </c>
      <c r="AP431" t="str">
        <f>HYPERLINK("http://www.uniprot.org/uniprot/P18160","0.068")</f>
        <v>0.068</v>
      </c>
      <c r="AQ431" t="s">
        <v>4155</v>
      </c>
      <c r="AR431">
        <v>32.299999999999997</v>
      </c>
      <c r="AS431">
        <v>51</v>
      </c>
      <c r="AT431">
        <v>45</v>
      </c>
      <c r="AU431">
        <v>2</v>
      </c>
      <c r="AV431">
        <v>12</v>
      </c>
      <c r="AW431">
        <v>0</v>
      </c>
      <c r="AX431">
        <v>8</v>
      </c>
      <c r="AY431">
        <v>127</v>
      </c>
      <c r="AZ431">
        <v>4</v>
      </c>
      <c r="BA431">
        <v>1</v>
      </c>
      <c r="BB431" t="s">
        <v>11</v>
      </c>
      <c r="BD431" t="s">
        <v>704</v>
      </c>
      <c r="BE431" t="s">
        <v>918</v>
      </c>
      <c r="BF431" t="s">
        <v>4156</v>
      </c>
      <c r="BG431" t="s">
        <v>4157</v>
      </c>
      <c r="BH431" s="1" t="s">
        <v>57</v>
      </c>
      <c r="BI431" t="s">
        <v>57</v>
      </c>
      <c r="BJ431" s="1" t="str">
        <f>HYPERLINK("http://exon.niaid.nih.gov/transcriptome/T_rubida/S1/links/CDD/Triru-contig_544-CDD.txt","DUF1222")</f>
        <v>DUF1222</v>
      </c>
      <c r="BK431" t="str">
        <f>HYPERLINK("http://www.ncbi.nlm.nih.gov/Structure/cdd/cddsrv.cgi?uid=pfam06762&amp;version=v4.0","0.15")</f>
        <v>0.15</v>
      </c>
      <c r="BL431" t="s">
        <v>4158</v>
      </c>
      <c r="BM431" s="1" t="str">
        <f>HYPERLINK("http://exon.niaid.nih.gov/transcriptome/T_rubida/S1/links/KOG/Triru-contig_544-KOG.txt","G protein-coupled receptors")</f>
        <v>G protein-coupled receptors</v>
      </c>
      <c r="BN431" t="str">
        <f>HYPERLINK("http://www.ncbi.nlm.nih.gov/COG/grace/shokog.cgi?KOG4193","1.3")</f>
        <v>1.3</v>
      </c>
      <c r="BO431" t="s">
        <v>728</v>
      </c>
      <c r="BP431" s="1" t="str">
        <f>HYPERLINK("http://exon.niaid.nih.gov/transcriptome/T_rubida/S1/links/PFAM/Triru-contig_544-PFAM.txt","DUF1222")</f>
        <v>DUF1222</v>
      </c>
      <c r="BQ431" t="str">
        <f>HYPERLINK("http://pfam.sanger.ac.uk/family?acc=PF06762","0.034")</f>
        <v>0.034</v>
      </c>
      <c r="BR431" s="1" t="str">
        <f>HYPERLINK("http://exon.niaid.nih.gov/transcriptome/T_rubida/S1/links/SMART/Triru-contig_544-SMART.txt","AgrB")</f>
        <v>AgrB</v>
      </c>
      <c r="BS431" t="str">
        <f>HYPERLINK("http://smart.embl-heidelberg.de/smart/do_annotation.pl?DOMAIN=AgrB&amp;BLAST=DUMMY","0.071")</f>
        <v>0.071</v>
      </c>
      <c r="BT431" s="1" t="str">
        <f>HYPERLINK("http://exon.niaid.nih.gov/transcriptome/T_rubida/S1/links/PRK/Triru-contig_544-PRK.txt","NADH dehydrogenase subunit 2")</f>
        <v>NADH dehydrogenase subunit 2</v>
      </c>
      <c r="BU431">
        <v>0.18</v>
      </c>
      <c r="BV431" s="1" t="s">
        <v>57</v>
      </c>
      <c r="BW431" t="s">
        <v>57</v>
      </c>
      <c r="BX431" s="1" t="s">
        <v>57</v>
      </c>
      <c r="BY431" t="s">
        <v>57</v>
      </c>
    </row>
    <row r="432" spans="1:77">
      <c r="A432" t="str">
        <f>HYPERLINK("http://exon.niaid.nih.gov/transcriptome/T_rubida/S1/links/Triru/Triru-contig_484.txt","Triru-contig_484")</f>
        <v>Triru-contig_484</v>
      </c>
      <c r="B432">
        <v>1</v>
      </c>
      <c r="C432" t="str">
        <f>HYPERLINK("http://exon.niaid.nih.gov/transcriptome/T_rubida/S1/links/Triru/Triru-5-48-asb-484.txt","Contig-484")</f>
        <v>Contig-484</v>
      </c>
      <c r="D432" t="str">
        <f>HYPERLINK("http://exon.niaid.nih.gov/transcriptome/T_rubida/S1/links/Triru/Triru-5-48-484-CLU.txt","Contig484")</f>
        <v>Contig484</v>
      </c>
      <c r="E432" t="str">
        <f>HYPERLINK("http://exon.niaid.nih.gov/transcriptome/T_rubida/S1/links/Triru/Triru-5-48-484-qual.txt","31.7")</f>
        <v>31.7</v>
      </c>
      <c r="F432" t="s">
        <v>10</v>
      </c>
      <c r="G432">
        <v>64.2</v>
      </c>
      <c r="H432">
        <v>450</v>
      </c>
      <c r="I432" t="s">
        <v>496</v>
      </c>
      <c r="J432">
        <v>450</v>
      </c>
      <c r="K432">
        <v>469</v>
      </c>
      <c r="L432">
        <v>279</v>
      </c>
      <c r="M432" t="s">
        <v>5528</v>
      </c>
      <c r="N432" s="15">
        <v>3</v>
      </c>
      <c r="Q432" s="5" t="s">
        <v>4827</v>
      </c>
      <c r="R432" t="s">
        <v>4828</v>
      </c>
      <c r="V432" s="1" t="str">
        <f>HYPERLINK("http://exon.niaid.nih.gov/transcriptome/T_rubida/S1/links/NR/Triru-contig_484-NR.txt","recombination protein F")</f>
        <v>recombination protein F</v>
      </c>
      <c r="W432" t="str">
        <f>HYPERLINK("http://www.ncbi.nlm.nih.gov/sutils/blink.cgi?pid=148826362","1.8")</f>
        <v>1.8</v>
      </c>
      <c r="X432" t="str">
        <f>HYPERLINK("http://www.ncbi.nlm.nih.gov/protein/148826362","gi|148826362")</f>
        <v>gi|148826362</v>
      </c>
      <c r="Y432">
        <v>36.200000000000003</v>
      </c>
      <c r="Z432">
        <v>60</v>
      </c>
      <c r="AA432">
        <v>1758</v>
      </c>
      <c r="AB432">
        <v>29</v>
      </c>
      <c r="AC432">
        <v>3</v>
      </c>
      <c r="AD432">
        <v>43</v>
      </c>
      <c r="AE432">
        <v>0</v>
      </c>
      <c r="AF432">
        <v>1304</v>
      </c>
      <c r="AG432">
        <v>87</v>
      </c>
      <c r="AH432">
        <v>1</v>
      </c>
      <c r="AI432">
        <v>3</v>
      </c>
      <c r="AJ432" t="s">
        <v>11</v>
      </c>
      <c r="AL432" t="s">
        <v>3754</v>
      </c>
      <c r="AM432" t="s">
        <v>3755</v>
      </c>
      <c r="AN432" t="s">
        <v>3756</v>
      </c>
      <c r="AO432" s="1" t="str">
        <f>HYPERLINK("http://exon.niaid.nih.gov/transcriptome/T_rubida/S1/links/SWISSP/Triru-contig_484-SWISSP.txt","Serine/threonine-protein kinase CST20")</f>
        <v>Serine/threonine-protein kinase CST20</v>
      </c>
      <c r="AP432" t="str">
        <f>HYPERLINK("http://www.uniprot.org/uniprot/Q92212","0.44")</f>
        <v>0.44</v>
      </c>
      <c r="AQ432" t="s">
        <v>3757</v>
      </c>
      <c r="AR432">
        <v>33.9</v>
      </c>
      <c r="AS432">
        <v>74</v>
      </c>
      <c r="AT432">
        <v>26</v>
      </c>
      <c r="AU432">
        <v>6</v>
      </c>
      <c r="AV432">
        <v>55</v>
      </c>
      <c r="AW432">
        <v>0</v>
      </c>
      <c r="AX432">
        <v>379</v>
      </c>
      <c r="AY432">
        <v>48</v>
      </c>
      <c r="AZ432">
        <v>1</v>
      </c>
      <c r="BA432">
        <v>3</v>
      </c>
      <c r="BB432" t="s">
        <v>11</v>
      </c>
      <c r="BD432" t="s">
        <v>704</v>
      </c>
      <c r="BE432" t="s">
        <v>3758</v>
      </c>
      <c r="BF432" t="s">
        <v>3759</v>
      </c>
      <c r="BG432" t="s">
        <v>3760</v>
      </c>
      <c r="BH432" s="1" t="s">
        <v>57</v>
      </c>
      <c r="BI432" t="s">
        <v>57</v>
      </c>
      <c r="BJ432" s="1" t="str">
        <f>HYPERLINK("http://exon.niaid.nih.gov/transcriptome/T_rubida/S1/links/CDD/Triru-contig_484-CDD.txt","PI-PLCc_beta")</f>
        <v>PI-PLCc_beta</v>
      </c>
      <c r="BK432" t="str">
        <f>HYPERLINK("http://www.ncbi.nlm.nih.gov/Structure/cdd/cddsrv.cgi?uid=cd08591&amp;version=v4.0","0.58")</f>
        <v>0.58</v>
      </c>
      <c r="BL432" t="s">
        <v>3761</v>
      </c>
      <c r="BM432" s="1" t="str">
        <f>HYPERLINK("http://exon.niaid.nih.gov/transcriptome/T_rubida/S1/links/KOG/Triru-contig_484-KOG.txt","Radixin, moesin and related proteins of the ERM family")</f>
        <v>Radixin, moesin and related proteins of the ERM family</v>
      </c>
      <c r="BN432" t="str">
        <f>HYPERLINK("http://www.ncbi.nlm.nih.gov/COG/grace/shokog.cgi?KOG3529","0.049")</f>
        <v>0.049</v>
      </c>
      <c r="BO432" t="s">
        <v>750</v>
      </c>
      <c r="BP432" s="1" t="str">
        <f>HYPERLINK("http://exon.niaid.nih.gov/transcriptome/T_rubida/S1/links/PFAM/Triru-contig_484-PFAM.txt","Borrelia_orfA")</f>
        <v>Borrelia_orfA</v>
      </c>
      <c r="BQ432" t="str">
        <f>HYPERLINK("http://pfam.sanger.ac.uk/family?acc=PF02414","0.25")</f>
        <v>0.25</v>
      </c>
      <c r="BR432" s="1" t="str">
        <f>HYPERLINK("http://exon.niaid.nih.gov/transcriptome/T_rubida/S1/links/SMART/Triru-contig_484-SMART.txt","TOP2c")</f>
        <v>TOP2c</v>
      </c>
      <c r="BS432" t="str">
        <f>HYPERLINK("http://smart.embl-heidelberg.de/smart/do_annotation.pl?DOMAIN=TOP2c&amp;BLAST=DUMMY","0.063")</f>
        <v>0.063</v>
      </c>
      <c r="BT432" s="1" t="str">
        <f>HYPERLINK("http://exon.niaid.nih.gov/transcriptome/T_rubida/S1/links/PRK/Triru-contig_484-PRK.txt","PTS system mannose-specific transporter subunit IIC")</f>
        <v>PTS system mannose-specific transporter subunit IIC</v>
      </c>
      <c r="BU432">
        <v>0.71</v>
      </c>
      <c r="BV432" s="1" t="s">
        <v>57</v>
      </c>
      <c r="BW432" t="s">
        <v>57</v>
      </c>
      <c r="BX432" s="1" t="s">
        <v>57</v>
      </c>
      <c r="BY432" t="s">
        <v>57</v>
      </c>
    </row>
    <row r="433" spans="1:77">
      <c r="A433" t="str">
        <f>HYPERLINK("http://exon.niaid.nih.gov/transcriptome/T_rubida/S1/links/Triru/Triru-contig_415.txt","Triru-contig_415")</f>
        <v>Triru-contig_415</v>
      </c>
      <c r="B433">
        <v>1</v>
      </c>
      <c r="C433" t="str">
        <f>HYPERLINK("http://exon.niaid.nih.gov/transcriptome/T_rubida/S1/links/Triru/Triru-5-48-asb-415.txt","Contig-415")</f>
        <v>Contig-415</v>
      </c>
      <c r="D433" t="str">
        <f>HYPERLINK("http://exon.niaid.nih.gov/transcriptome/T_rubida/S1/links/Triru/Triru-5-48-415-CLU.txt","Contig415")</f>
        <v>Contig415</v>
      </c>
      <c r="E433" t="str">
        <f>HYPERLINK("http://exon.niaid.nih.gov/transcriptome/T_rubida/S1/links/Triru/Triru-5-48-415-qual.txt","55.9")</f>
        <v>55.9</v>
      </c>
      <c r="F433" t="s">
        <v>10</v>
      </c>
      <c r="G433">
        <v>78.099999999999994</v>
      </c>
      <c r="H433">
        <v>273</v>
      </c>
      <c r="I433" t="s">
        <v>427</v>
      </c>
      <c r="J433">
        <v>273</v>
      </c>
      <c r="K433">
        <v>292</v>
      </c>
      <c r="L433">
        <v>144</v>
      </c>
      <c r="M433" t="s">
        <v>5541</v>
      </c>
      <c r="N433" s="15">
        <v>1</v>
      </c>
      <c r="Q433" s="5" t="s">
        <v>4827</v>
      </c>
      <c r="R433" t="s">
        <v>4828</v>
      </c>
      <c r="V433" s="1" t="str">
        <f>HYPERLINK("http://exon.niaid.nih.gov/transcriptome/T_rubida/S1/links/NR/Triru-contig_415-NR.txt","thyroid adenoma associated, putative")</f>
        <v>thyroid adenoma associated, putative</v>
      </c>
      <c r="W433" t="str">
        <f>HYPERLINK("http://www.ncbi.nlm.nih.gov/sutils/blink.cgi?pid=340505261","1.8")</f>
        <v>1.8</v>
      </c>
      <c r="X433" t="str">
        <f>HYPERLINK("http://www.ncbi.nlm.nih.gov/protein/340505261","gi|340505261")</f>
        <v>gi|340505261</v>
      </c>
      <c r="Y433">
        <v>36.200000000000003</v>
      </c>
      <c r="Z433">
        <v>58</v>
      </c>
      <c r="AA433">
        <v>1668</v>
      </c>
      <c r="AB433">
        <v>28</v>
      </c>
      <c r="AC433">
        <v>4</v>
      </c>
      <c r="AD433">
        <v>42</v>
      </c>
      <c r="AE433">
        <v>2</v>
      </c>
      <c r="AF433">
        <v>1536</v>
      </c>
      <c r="AG433">
        <v>59</v>
      </c>
      <c r="AH433">
        <v>1</v>
      </c>
      <c r="AI433">
        <v>2</v>
      </c>
      <c r="AJ433" t="s">
        <v>11</v>
      </c>
      <c r="AK433">
        <v>1.724</v>
      </c>
      <c r="AL433" t="s">
        <v>1593</v>
      </c>
      <c r="AM433" t="s">
        <v>3289</v>
      </c>
      <c r="AN433" t="s">
        <v>3290</v>
      </c>
      <c r="AO433" s="1" t="str">
        <f>HYPERLINK("http://exon.niaid.nih.gov/transcriptome/T_rubida/S1/links/SWISSP/Triru-contig_415-SWISSP.txt","Protein PF14_0175")</f>
        <v>Protein PF14_0175</v>
      </c>
      <c r="AP433" t="str">
        <f>HYPERLINK("http://www.uniprot.org/uniprot/Q8ILR9","0.25")</f>
        <v>0.25</v>
      </c>
      <c r="AQ433" t="s">
        <v>3291</v>
      </c>
      <c r="AR433">
        <v>34.299999999999997</v>
      </c>
      <c r="AS433">
        <v>82</v>
      </c>
      <c r="AT433">
        <v>34</v>
      </c>
      <c r="AU433">
        <v>2</v>
      </c>
      <c r="AV433">
        <v>48</v>
      </c>
      <c r="AW433">
        <v>2</v>
      </c>
      <c r="AX433">
        <v>142</v>
      </c>
      <c r="AY433">
        <v>53</v>
      </c>
      <c r="AZ433">
        <v>2</v>
      </c>
      <c r="BA433">
        <v>3</v>
      </c>
      <c r="BB433" t="s">
        <v>888</v>
      </c>
      <c r="BC433">
        <v>3.6589999999999998</v>
      </c>
      <c r="BD433" t="s">
        <v>704</v>
      </c>
      <c r="BE433" t="s">
        <v>1356</v>
      </c>
      <c r="BF433" t="s">
        <v>3292</v>
      </c>
      <c r="BG433" t="s">
        <v>3293</v>
      </c>
      <c r="BH433" s="1" t="s">
        <v>57</v>
      </c>
      <c r="BI433" t="s">
        <v>57</v>
      </c>
      <c r="BJ433" s="1" t="str">
        <f>HYPERLINK("http://exon.niaid.nih.gov/transcriptome/T_rubida/S1/links/CDD/Triru-contig_415-CDD.txt","bact_immun_7tm")</f>
        <v>bact_immun_7tm</v>
      </c>
      <c r="BK433" t="str">
        <f>HYPERLINK("http://www.ncbi.nlm.nih.gov/Structure/cdd/cddsrv.cgi?uid=TIGR01654&amp;version=v4.0","0.065")</f>
        <v>0.065</v>
      </c>
      <c r="BL433" t="s">
        <v>3294</v>
      </c>
      <c r="BM433" s="1" t="str">
        <f>HYPERLINK("http://exon.niaid.nih.gov/transcriptome/T_rubida/S1/links/KOG/Triru-contig_415-KOG.txt","Glycosylphosphatidylinositol anchor synthesis protein")</f>
        <v>Glycosylphosphatidylinositol anchor synthesis protein</v>
      </c>
      <c r="BN433" t="str">
        <f>HYPERLINK("http://www.ncbi.nlm.nih.gov/COG/grace/shokog.cgi?KOG2126","0.34")</f>
        <v>0.34</v>
      </c>
      <c r="BO433" t="s">
        <v>728</v>
      </c>
      <c r="BP433" s="1" t="str">
        <f>HYPERLINK("http://exon.niaid.nih.gov/transcriptome/T_rubida/S1/links/PFAM/Triru-contig_415-PFAM.txt","7TM_GPCR_Srd")</f>
        <v>7TM_GPCR_Srd</v>
      </c>
      <c r="BQ433" t="str">
        <f>HYPERLINK("http://pfam.sanger.ac.uk/family?acc=PF10317","0.026")</f>
        <v>0.026</v>
      </c>
      <c r="BR433" s="1" t="str">
        <f>HYPERLINK("http://exon.niaid.nih.gov/transcriptome/T_rubida/S1/links/SMART/Triru-contig_415-SMART.txt","TLC")</f>
        <v>TLC</v>
      </c>
      <c r="BS433" t="str">
        <f>HYPERLINK("http://smart.embl-heidelberg.de/smart/do_annotation.pl?DOMAIN=TLC&amp;BLAST=DUMMY","0.042")</f>
        <v>0.042</v>
      </c>
      <c r="BT433" s="1" t="str">
        <f>HYPERLINK("http://exon.niaid.nih.gov/transcriptome/T_rubida/S1/links/PRK/Triru-contig_415-PRK.txt","NADH dehydrogenase subunit 5")</f>
        <v>NADH dehydrogenase subunit 5</v>
      </c>
      <c r="BU433">
        <v>3.5000000000000003E-2</v>
      </c>
      <c r="BV433" s="1" t="s">
        <v>57</v>
      </c>
      <c r="BW433" t="s">
        <v>57</v>
      </c>
      <c r="BX433" s="1" t="s">
        <v>57</v>
      </c>
      <c r="BY433" t="s">
        <v>57</v>
      </c>
    </row>
    <row r="434" spans="1:77">
      <c r="A434" t="str">
        <f>HYPERLINK("http://exon.niaid.nih.gov/transcriptome/T_rubida/S1/links/Triru/Triru-contig_529.txt","Triru-contig_529")</f>
        <v>Triru-contig_529</v>
      </c>
      <c r="B434">
        <v>1</v>
      </c>
      <c r="C434" t="str">
        <f>HYPERLINK("http://exon.niaid.nih.gov/transcriptome/T_rubida/S1/links/Triru/Triru-5-48-asb-529.txt","Contig-529")</f>
        <v>Contig-529</v>
      </c>
      <c r="D434" t="str">
        <f>HYPERLINK("http://exon.niaid.nih.gov/transcriptome/T_rubida/S1/links/Triru/Triru-5-48-529-CLU.txt","Contig529")</f>
        <v>Contig529</v>
      </c>
      <c r="E434" t="str">
        <f>HYPERLINK("http://exon.niaid.nih.gov/transcriptome/T_rubida/S1/links/Triru/Triru-5-48-529-qual.txt","34.8")</f>
        <v>34.8</v>
      </c>
      <c r="F434" t="s">
        <v>10</v>
      </c>
      <c r="G434">
        <v>72.3</v>
      </c>
      <c r="H434">
        <v>479</v>
      </c>
      <c r="I434" t="s">
        <v>541</v>
      </c>
      <c r="J434">
        <v>479</v>
      </c>
      <c r="K434">
        <v>498</v>
      </c>
      <c r="L434">
        <v>195</v>
      </c>
      <c r="M434" t="s">
        <v>5542</v>
      </c>
      <c r="N434" s="15">
        <v>3</v>
      </c>
      <c r="Q434" s="5" t="s">
        <v>4827</v>
      </c>
      <c r="R434" t="s">
        <v>4828</v>
      </c>
      <c r="V434" s="1" t="str">
        <f>HYPERLINK("http://exon.niaid.nih.gov/transcriptome/T_rubida/S1/links/NR/Triru-contig_529-NR.txt","hypothetical protein IMG5_048190")</f>
        <v>hypothetical protein IMG5_048190</v>
      </c>
      <c r="W434" t="str">
        <f>HYPERLINK("http://www.ncbi.nlm.nih.gov/sutils/blink.cgi?pid=340507677","1.8")</f>
        <v>1.8</v>
      </c>
      <c r="X434" t="str">
        <f>HYPERLINK("http://www.ncbi.nlm.nih.gov/protein/340507677","gi|340507677")</f>
        <v>gi|340507677</v>
      </c>
      <c r="Y434">
        <v>36.200000000000003</v>
      </c>
      <c r="Z434">
        <v>442</v>
      </c>
      <c r="AA434">
        <v>943</v>
      </c>
      <c r="AB434">
        <v>27</v>
      </c>
      <c r="AC434">
        <v>47</v>
      </c>
      <c r="AD434">
        <v>107</v>
      </c>
      <c r="AE434">
        <v>2</v>
      </c>
      <c r="AF434">
        <v>465</v>
      </c>
      <c r="AG434">
        <v>1</v>
      </c>
      <c r="AH434">
        <v>5</v>
      </c>
      <c r="AI434">
        <v>3</v>
      </c>
      <c r="AJ434" t="s">
        <v>888</v>
      </c>
      <c r="AK434">
        <v>1.81</v>
      </c>
      <c r="AL434" t="s">
        <v>1593</v>
      </c>
      <c r="AM434" t="s">
        <v>4058</v>
      </c>
      <c r="AN434" t="s">
        <v>4059</v>
      </c>
      <c r="AO434" s="1" t="str">
        <f>HYPERLINK("http://exon.niaid.nih.gov/transcriptome/T_rubida/S1/links/SWISSP/Triru-contig_529-SWISSP.txt","AP-1 complex subunit gamma-1")</f>
        <v>AP-1 complex subunit gamma-1</v>
      </c>
      <c r="AP434" t="str">
        <f>HYPERLINK("http://www.uniprot.org/uniprot/Q9UU81","3.4")</f>
        <v>3.4</v>
      </c>
      <c r="AQ434" t="s">
        <v>4060</v>
      </c>
      <c r="AR434">
        <v>31.2</v>
      </c>
      <c r="AS434">
        <v>40</v>
      </c>
      <c r="AT434">
        <v>39</v>
      </c>
      <c r="AU434">
        <v>5</v>
      </c>
      <c r="AV434">
        <v>25</v>
      </c>
      <c r="AW434">
        <v>0</v>
      </c>
      <c r="AX434">
        <v>44</v>
      </c>
      <c r="AY434">
        <v>300</v>
      </c>
      <c r="AZ434">
        <v>1</v>
      </c>
      <c r="BA434">
        <v>3</v>
      </c>
      <c r="BB434" t="s">
        <v>11</v>
      </c>
      <c r="BD434" t="s">
        <v>704</v>
      </c>
      <c r="BE434" t="s">
        <v>950</v>
      </c>
      <c r="BF434" t="s">
        <v>4061</v>
      </c>
      <c r="BG434" t="s">
        <v>4062</v>
      </c>
      <c r="BH434" s="1" t="s">
        <v>57</v>
      </c>
      <c r="BI434" t="s">
        <v>57</v>
      </c>
      <c r="BJ434" s="1" t="str">
        <f>HYPERLINK("http://exon.niaid.nih.gov/transcriptome/T_rubida/S1/links/CDD/Triru-contig_529-CDD.txt","7TM_GPCR_Srsx")</f>
        <v>7TM_GPCR_Srsx</v>
      </c>
      <c r="BK434" t="str">
        <f>HYPERLINK("http://www.ncbi.nlm.nih.gov/Structure/cdd/cddsrv.cgi?uid=pfam10320&amp;version=v4.0","2E-005")</f>
        <v>2E-005</v>
      </c>
      <c r="BL434" t="s">
        <v>4063</v>
      </c>
      <c r="BM434" s="1" t="str">
        <f>HYPERLINK("http://exon.niaid.nih.gov/transcriptome/T_rubida/S1/links/KOG/Triru-contig_529-KOG.txt","Endosomal membrane proteins, EMP70")</f>
        <v>Endosomal membrane proteins, EMP70</v>
      </c>
      <c r="BN434" t="str">
        <f>HYPERLINK("http://www.ncbi.nlm.nih.gov/COG/grace/shokog.cgi?KOG1278","0.055")</f>
        <v>0.055</v>
      </c>
      <c r="BO434" t="s">
        <v>1082</v>
      </c>
      <c r="BP434" s="1" t="str">
        <f>HYPERLINK("http://exon.niaid.nih.gov/transcriptome/T_rubida/S1/links/PFAM/Triru-contig_529-PFAM.txt","7TM_GPCR_Srsx")</f>
        <v>7TM_GPCR_Srsx</v>
      </c>
      <c r="BQ434" t="str">
        <f>HYPERLINK("http://pfam.sanger.ac.uk/family?acc=PF10320","4E-006")</f>
        <v>4E-006</v>
      </c>
      <c r="BR434" s="1" t="str">
        <f>HYPERLINK("http://exon.niaid.nih.gov/transcriptome/T_rubida/S1/links/SMART/Triru-contig_529-SMART.txt","PSN")</f>
        <v>PSN</v>
      </c>
      <c r="BS434" t="str">
        <f>HYPERLINK("http://smart.embl-heidelberg.de/smart/do_annotation.pl?DOMAIN=PSN&amp;BLAST=DUMMY","0.005")</f>
        <v>0.005</v>
      </c>
      <c r="BT434" s="1" t="str">
        <f>HYPERLINK("http://exon.niaid.nih.gov/transcriptome/T_rubida/S1/links/PRK/Triru-contig_529-PRK.txt","NADH dehydrogenase subunit 2")</f>
        <v>NADH dehydrogenase subunit 2</v>
      </c>
      <c r="BU434" s="2">
        <v>2.0000000000000002E-5</v>
      </c>
      <c r="BV434" s="1" t="s">
        <v>57</v>
      </c>
      <c r="BW434" t="s">
        <v>57</v>
      </c>
      <c r="BX434" s="1" t="s">
        <v>57</v>
      </c>
      <c r="BY434" t="s">
        <v>57</v>
      </c>
    </row>
    <row r="435" spans="1:77">
      <c r="A435" t="str">
        <f>HYPERLINK("http://exon.niaid.nih.gov/transcriptome/T_rubida/S1/links/Triru/Triru-contig_272.txt","Triru-contig_272")</f>
        <v>Triru-contig_272</v>
      </c>
      <c r="B435">
        <v>1</v>
      </c>
      <c r="C435" t="str">
        <f>HYPERLINK("http://exon.niaid.nih.gov/transcriptome/T_rubida/S1/links/Triru/Triru-5-48-asb-272.txt","Contig-272")</f>
        <v>Contig-272</v>
      </c>
      <c r="D435" t="str">
        <f>HYPERLINK("http://exon.niaid.nih.gov/transcriptome/T_rubida/S1/links/Triru/Triru-5-48-272-CLU.txt","Contig272")</f>
        <v>Contig272</v>
      </c>
      <c r="E435" t="str">
        <f>HYPERLINK("http://exon.niaid.nih.gov/transcriptome/T_rubida/S1/links/Triru/Triru-5-48-272-qual.txt","44.7")</f>
        <v>44.7</v>
      </c>
      <c r="F435" t="s">
        <v>10</v>
      </c>
      <c r="G435">
        <v>77.3</v>
      </c>
      <c r="H435">
        <v>320</v>
      </c>
      <c r="I435" t="s">
        <v>284</v>
      </c>
      <c r="J435">
        <v>320</v>
      </c>
      <c r="K435">
        <v>339</v>
      </c>
      <c r="L435">
        <v>159</v>
      </c>
      <c r="M435" t="s">
        <v>5630</v>
      </c>
      <c r="N435" s="15">
        <v>3</v>
      </c>
      <c r="O435" s="14" t="str">
        <f>HYPERLINK("http://exon.niaid.nih.gov/transcriptome/T_rubida/S1/links/Sigp/TRIRU-CONTIG_272-SigP.txt","Cyt")</f>
        <v>Cyt</v>
      </c>
      <c r="Q435" s="5" t="s">
        <v>4827</v>
      </c>
      <c r="R435" t="s">
        <v>4828</v>
      </c>
      <c r="V435" s="1" t="str">
        <f>HYPERLINK("http://exon.niaid.nih.gov/transcriptome/T_rubida/S1/links/NR/Triru-contig_272-NR.txt","hypothetical protein")</f>
        <v>hypothetical protein</v>
      </c>
      <c r="W435" t="str">
        <f>HYPERLINK("http://www.ncbi.nlm.nih.gov/sutils/blink.cgi?pid=83315912","1.8")</f>
        <v>1.8</v>
      </c>
      <c r="X435" t="str">
        <f>HYPERLINK("http://www.ncbi.nlm.nih.gov/protein/83315912","gi|83315912")</f>
        <v>gi|83315912</v>
      </c>
      <c r="Y435">
        <v>36.200000000000003</v>
      </c>
      <c r="Z435">
        <v>73</v>
      </c>
      <c r="AA435">
        <v>1069</v>
      </c>
      <c r="AB435">
        <v>28</v>
      </c>
      <c r="AC435">
        <v>7</v>
      </c>
      <c r="AD435">
        <v>62</v>
      </c>
      <c r="AE435">
        <v>0</v>
      </c>
      <c r="AF435">
        <v>182</v>
      </c>
      <c r="AG435">
        <v>12</v>
      </c>
      <c r="AH435">
        <v>1</v>
      </c>
      <c r="AI435">
        <v>3</v>
      </c>
      <c r="AJ435" t="s">
        <v>11</v>
      </c>
      <c r="AK435">
        <v>4.1100000000000003</v>
      </c>
      <c r="AL435" t="s">
        <v>2310</v>
      </c>
      <c r="AM435" t="s">
        <v>2311</v>
      </c>
      <c r="AN435" t="s">
        <v>2312</v>
      </c>
      <c r="AO435" s="1" t="str">
        <f>HYPERLINK("http://exon.niaid.nih.gov/transcriptome/T_rubida/S1/links/SWISSP/Triru-contig_272-SWISSP.txt","NADH-ubiquinone oxidoreductase chain 5")</f>
        <v>NADH-ubiquinone oxidoreductase chain 5</v>
      </c>
      <c r="AP435" t="str">
        <f>HYPERLINK("http://www.uniprot.org/uniprot/Q37372","18")</f>
        <v>18</v>
      </c>
      <c r="AQ435" t="s">
        <v>2313</v>
      </c>
      <c r="AR435">
        <v>28.1</v>
      </c>
      <c r="AS435">
        <v>47</v>
      </c>
      <c r="AT435">
        <v>33</v>
      </c>
      <c r="AU435">
        <v>7</v>
      </c>
      <c r="AV435">
        <v>32</v>
      </c>
      <c r="AW435">
        <v>1</v>
      </c>
      <c r="AX435">
        <v>181</v>
      </c>
      <c r="AY435">
        <v>141</v>
      </c>
      <c r="AZ435">
        <v>1</v>
      </c>
      <c r="BA435">
        <v>3</v>
      </c>
      <c r="BB435" t="s">
        <v>11</v>
      </c>
      <c r="BC435">
        <v>2.1280000000000001</v>
      </c>
      <c r="BD435" t="s">
        <v>704</v>
      </c>
      <c r="BE435" t="s">
        <v>2314</v>
      </c>
      <c r="BF435" t="s">
        <v>2315</v>
      </c>
      <c r="BG435" t="s">
        <v>2316</v>
      </c>
      <c r="BH435" s="1" t="s">
        <v>57</v>
      </c>
      <c r="BI435" t="s">
        <v>57</v>
      </c>
      <c r="BJ435" s="1" t="str">
        <f>HYPERLINK("http://exon.niaid.nih.gov/transcriptome/T_rubida/S1/links/CDD/Triru-contig_272-CDD.txt","ND6")</f>
        <v>ND6</v>
      </c>
      <c r="BK435" t="str">
        <f>HYPERLINK("http://www.ncbi.nlm.nih.gov/Structure/cdd/cddsrv.cgi?uid=MTH00166&amp;version=v4.0","0.022")</f>
        <v>0.022</v>
      </c>
      <c r="BL435" t="s">
        <v>2317</v>
      </c>
      <c r="BM435" s="1" t="str">
        <f>HYPERLINK("http://exon.niaid.nih.gov/transcriptome/T_rubida/S1/links/KOG/Triru-contig_272-KOG.txt","Uncharacterized conserved protein")</f>
        <v>Uncharacterized conserved protein</v>
      </c>
      <c r="BN435" t="str">
        <f>HYPERLINK("http://www.ncbi.nlm.nih.gov/COG/grace/shokog.cgi?KOG2895","1.3")</f>
        <v>1.3</v>
      </c>
      <c r="BO435" t="s">
        <v>737</v>
      </c>
      <c r="BP435" s="1" t="str">
        <f>HYPERLINK("http://exon.niaid.nih.gov/transcriptome/T_rubida/S1/links/PFAM/Triru-contig_272-PFAM.txt","DUF3021")</f>
        <v>DUF3021</v>
      </c>
      <c r="BQ435" t="str">
        <f>HYPERLINK("http://pfam.sanger.ac.uk/family?acc=PF11457","0.012")</f>
        <v>0.012</v>
      </c>
      <c r="BR435" s="1" t="str">
        <f>HYPERLINK("http://exon.niaid.nih.gov/transcriptome/T_rubida/S1/links/SMART/Triru-contig_272-SMART.txt","PSN")</f>
        <v>PSN</v>
      </c>
      <c r="BS435" t="str">
        <f>HYPERLINK("http://smart.embl-heidelberg.de/smart/do_annotation.pl?DOMAIN=PSN&amp;BLAST=DUMMY","0.17")</f>
        <v>0.17</v>
      </c>
      <c r="BT435" s="1" t="str">
        <f>HYPERLINK("http://exon.niaid.nih.gov/transcriptome/T_rubida/S1/links/PRK/Triru-contig_272-PRK.txt","NADH dehydrogenase subunit 6")</f>
        <v>NADH dehydrogenase subunit 6</v>
      </c>
      <c r="BU435">
        <v>8.9999999999999993E-3</v>
      </c>
      <c r="BV435" s="1" t="str">
        <f>HYPERLINK("http://exon.niaid.nih.gov/transcriptome/T_rubida/S1/links/MIT-PLA/Triru-contig_272-MIT-PLA.txt","Dekkera bruxellensis mitochondrion, complete genome")</f>
        <v>Dekkera bruxellensis mitochondrion, complete genome</v>
      </c>
      <c r="BW435" t="str">
        <f>HYPERLINK("http://www.ncbi.nlm.nih.gov/entrez/viewer.fcgi?db=nucleotide&amp;val=256427299","4E-010")</f>
        <v>4E-010</v>
      </c>
      <c r="BX435" s="1" t="s">
        <v>57</v>
      </c>
      <c r="BY435" t="s">
        <v>57</v>
      </c>
    </row>
    <row r="436" spans="1:77">
      <c r="A436" t="str">
        <f>HYPERLINK("http://exon.niaid.nih.gov/transcriptome/T_rubida/S1/links/Triru/Triru-contig_287.txt","Triru-contig_287")</f>
        <v>Triru-contig_287</v>
      </c>
      <c r="B436">
        <v>1</v>
      </c>
      <c r="C436" t="str">
        <f>HYPERLINK("http://exon.niaid.nih.gov/transcriptome/T_rubida/S1/links/Triru/Triru-5-48-asb-287.txt","Contig-287")</f>
        <v>Contig-287</v>
      </c>
      <c r="D436" t="str">
        <f>HYPERLINK("http://exon.niaid.nih.gov/transcriptome/T_rubida/S1/links/Triru/Triru-5-48-287-CLU.txt","Contig287")</f>
        <v>Contig287</v>
      </c>
      <c r="E436" t="str">
        <f>HYPERLINK("http://exon.niaid.nih.gov/transcriptome/T_rubida/S1/links/Triru/Triru-5-48-287-qual.txt","33.7")</f>
        <v>33.7</v>
      </c>
      <c r="F436" t="s">
        <v>10</v>
      </c>
      <c r="G436">
        <v>55</v>
      </c>
      <c r="H436">
        <v>674</v>
      </c>
      <c r="I436" t="s">
        <v>299</v>
      </c>
      <c r="J436">
        <v>674</v>
      </c>
      <c r="K436">
        <v>693</v>
      </c>
      <c r="L436">
        <v>216</v>
      </c>
      <c r="M436" t="s">
        <v>5670</v>
      </c>
      <c r="N436" s="15">
        <v>1</v>
      </c>
      <c r="O436" s="14" t="str">
        <f>HYPERLINK("http://exon.niaid.nih.gov/transcriptome/T_rubida/S1/links/Sigp/TRIRU-CONTIG_287-SigP.txt","Cyt")</f>
        <v>Cyt</v>
      </c>
      <c r="Q436" s="5" t="s">
        <v>4827</v>
      </c>
      <c r="R436" t="s">
        <v>4828</v>
      </c>
      <c r="V436" s="1" t="str">
        <f>HYPERLINK("http://exon.niaid.nih.gov/transcriptome/T_rubida/S1/links/NR/Triru-contig_287-NR.txt","Nickel transport complex, NikM subunit, transmembrane")</f>
        <v>Nickel transport complex, NikM subunit, transmembrane</v>
      </c>
      <c r="W436" t="str">
        <f>HYPERLINK("http://www.ncbi.nlm.nih.gov/sutils/blink.cgi?pid=337286654","1.8")</f>
        <v>1.8</v>
      </c>
      <c r="X436" t="str">
        <f>HYPERLINK("http://www.ncbi.nlm.nih.gov/protein/337286654","gi|337286654")</f>
        <v>gi|337286654</v>
      </c>
      <c r="Y436">
        <v>37.4</v>
      </c>
      <c r="Z436">
        <v>46</v>
      </c>
      <c r="AA436">
        <v>281</v>
      </c>
      <c r="AB436">
        <v>30</v>
      </c>
      <c r="AC436">
        <v>17</v>
      </c>
      <c r="AD436">
        <v>35</v>
      </c>
      <c r="AE436">
        <v>0</v>
      </c>
      <c r="AF436">
        <v>6</v>
      </c>
      <c r="AG436">
        <v>375</v>
      </c>
      <c r="AH436">
        <v>1</v>
      </c>
      <c r="AI436">
        <v>3</v>
      </c>
      <c r="AJ436" t="s">
        <v>11</v>
      </c>
      <c r="AK436">
        <v>2.1739999999999999</v>
      </c>
      <c r="AL436" t="s">
        <v>2412</v>
      </c>
      <c r="AM436" t="s">
        <v>2413</v>
      </c>
      <c r="AN436" t="s">
        <v>2414</v>
      </c>
      <c r="AO436" s="1" t="str">
        <f>HYPERLINK("http://exon.niaid.nih.gov/transcriptome/T_rubida/S1/links/SWISSP/Triru-contig_287-SWISSP.txt","Disulfide bond formation protein B")</f>
        <v>Disulfide bond formation protein B</v>
      </c>
      <c r="AP436" t="str">
        <f>HYPERLINK("http://www.uniprot.org/uniprot/Q47BA6","1.8")</f>
        <v>1.8</v>
      </c>
      <c r="AQ436" t="s">
        <v>2415</v>
      </c>
      <c r="AR436">
        <v>33.1</v>
      </c>
      <c r="AS436">
        <v>66</v>
      </c>
      <c r="AT436">
        <v>27</v>
      </c>
      <c r="AU436">
        <v>41</v>
      </c>
      <c r="AV436">
        <v>54</v>
      </c>
      <c r="AW436">
        <v>1</v>
      </c>
      <c r="AX436">
        <v>34</v>
      </c>
      <c r="AY436">
        <v>343</v>
      </c>
      <c r="AZ436">
        <v>1</v>
      </c>
      <c r="BA436">
        <v>1</v>
      </c>
      <c r="BB436" t="s">
        <v>11</v>
      </c>
      <c r="BC436">
        <v>1.5149999999999999</v>
      </c>
      <c r="BD436" t="s">
        <v>704</v>
      </c>
      <c r="BE436" t="s">
        <v>2416</v>
      </c>
      <c r="BF436" t="s">
        <v>2417</v>
      </c>
      <c r="BG436" t="s">
        <v>2418</v>
      </c>
      <c r="BH436" s="1" t="s">
        <v>57</v>
      </c>
      <c r="BI436" t="s">
        <v>57</v>
      </c>
      <c r="BJ436" s="1" t="str">
        <f>HYPERLINK("http://exon.niaid.nih.gov/transcriptome/T_rubida/S1/links/CDD/Triru-contig_287-CDD.txt","DUF443")</f>
        <v>DUF443</v>
      </c>
      <c r="BK436" t="str">
        <f>HYPERLINK("http://www.ncbi.nlm.nih.gov/Structure/cdd/cddsrv.cgi?uid=pfam04276&amp;version=v4.0","0.17")</f>
        <v>0.17</v>
      </c>
      <c r="BL436" t="s">
        <v>2419</v>
      </c>
      <c r="BM436" s="1" t="str">
        <f>HYPERLINK("http://exon.niaid.nih.gov/transcriptome/T_rubida/S1/links/KOG/Triru-contig_287-KOG.txt","Predicted mitochondrial cholesterol transporter")</f>
        <v>Predicted mitochondrial cholesterol transporter</v>
      </c>
      <c r="BN436" t="str">
        <f>HYPERLINK("http://www.ncbi.nlm.nih.gov/COG/grace/shokog.cgi?KOG4136","0.22")</f>
        <v>0.22</v>
      </c>
      <c r="BO436" t="s">
        <v>2420</v>
      </c>
      <c r="BP436" s="1" t="str">
        <f>HYPERLINK("http://exon.niaid.nih.gov/transcriptome/T_rubida/S1/links/PFAM/Triru-contig_287-PFAM.txt","DUF443")</f>
        <v>DUF443</v>
      </c>
      <c r="BQ436" t="str">
        <f>HYPERLINK("http://pfam.sanger.ac.uk/family?acc=PF04276","0.033")</f>
        <v>0.033</v>
      </c>
      <c r="BR436" s="1" t="str">
        <f>HYPERLINK("http://exon.niaid.nih.gov/transcriptome/T_rubida/S1/links/SMART/Triru-contig_287-SMART.txt","HMG17")</f>
        <v>HMG17</v>
      </c>
      <c r="BS436" t="str">
        <f>HYPERLINK("http://smart.embl-heidelberg.de/smart/do_annotation.pl?DOMAIN=HMG17&amp;BLAST=DUMMY","0.050")</f>
        <v>0.050</v>
      </c>
      <c r="BT436" s="1" t="str">
        <f>HYPERLINK("http://exon.niaid.nih.gov/transcriptome/T_rubida/S1/links/PRK/Triru-contig_287-PRK.txt","hypothetical protein")</f>
        <v>hypothetical protein</v>
      </c>
      <c r="BU436">
        <v>0.17</v>
      </c>
      <c r="BV436" s="1" t="s">
        <v>57</v>
      </c>
      <c r="BW436" t="s">
        <v>57</v>
      </c>
      <c r="BX436" s="1" t="s">
        <v>57</v>
      </c>
      <c r="BY436" t="s">
        <v>57</v>
      </c>
    </row>
    <row r="437" spans="1:77">
      <c r="A437" t="str">
        <f>HYPERLINK("http://exon.niaid.nih.gov/transcriptome/T_rubida/S1/links/Triru/Triru-contig_647.txt","Triru-contig_647")</f>
        <v>Triru-contig_647</v>
      </c>
      <c r="B437">
        <v>1</v>
      </c>
      <c r="C437" t="str">
        <f>HYPERLINK("http://exon.niaid.nih.gov/transcriptome/T_rubida/S1/links/Triru/Triru-5-48-asb-647.txt","Contig-647")</f>
        <v>Contig-647</v>
      </c>
      <c r="D437" t="str">
        <f>HYPERLINK("http://exon.niaid.nih.gov/transcriptome/T_rubida/S1/links/Triru/Triru-5-48-647-CLU.txt","Contig647")</f>
        <v>Contig647</v>
      </c>
      <c r="E437" t="str">
        <f>HYPERLINK("http://exon.niaid.nih.gov/transcriptome/T_rubida/S1/links/Triru/Triru-5-48-647-qual.txt","53.9")</f>
        <v>53.9</v>
      </c>
      <c r="F437" t="s">
        <v>10</v>
      </c>
      <c r="G437">
        <v>66.099999999999994</v>
      </c>
      <c r="H437">
        <v>476</v>
      </c>
      <c r="I437" t="s">
        <v>659</v>
      </c>
      <c r="J437">
        <v>476</v>
      </c>
      <c r="K437">
        <v>495</v>
      </c>
      <c r="L437">
        <v>195</v>
      </c>
      <c r="M437" t="s">
        <v>5696</v>
      </c>
      <c r="N437" s="15">
        <v>2</v>
      </c>
      <c r="O437" s="14" t="str">
        <f>HYPERLINK("http://exon.niaid.nih.gov/transcriptome/T_rubida/S1/links/Sigp/TRIRU-CONTIG_647-SigP.txt","SIG")</f>
        <v>SIG</v>
      </c>
      <c r="P437" t="s">
        <v>5058</v>
      </c>
      <c r="Q437" s="5" t="s">
        <v>4827</v>
      </c>
      <c r="R437" t="s">
        <v>4828</v>
      </c>
      <c r="V437" s="1" t="str">
        <f>HYPERLINK("http://exon.niaid.nih.gov/transcriptome/T_rubida/S1/links/NR/Triru-contig_647-NR.txt","vitellogenin")</f>
        <v>vitellogenin</v>
      </c>
      <c r="W437" t="str">
        <f>HYPERLINK("http://www.ncbi.nlm.nih.gov/sutils/blink.cgi?pid=158853130","1.8")</f>
        <v>1.8</v>
      </c>
      <c r="X437" t="str">
        <f>HYPERLINK("http://www.ncbi.nlm.nih.gov/protein/158853130","gi|158853130")</f>
        <v>gi|158853130</v>
      </c>
      <c r="Y437">
        <v>36.200000000000003</v>
      </c>
      <c r="Z437">
        <v>64</v>
      </c>
      <c r="AA437">
        <v>2568</v>
      </c>
      <c r="AB437">
        <v>28</v>
      </c>
      <c r="AC437">
        <v>3</v>
      </c>
      <c r="AD437">
        <v>47</v>
      </c>
      <c r="AE437">
        <v>3</v>
      </c>
      <c r="AF437">
        <v>2051</v>
      </c>
      <c r="AG437">
        <v>285</v>
      </c>
      <c r="AH437">
        <v>1</v>
      </c>
      <c r="AI437">
        <v>3</v>
      </c>
      <c r="AJ437" t="s">
        <v>11</v>
      </c>
      <c r="AK437">
        <v>1.5629999999999999</v>
      </c>
      <c r="AL437" t="s">
        <v>4759</v>
      </c>
      <c r="AM437" t="s">
        <v>4760</v>
      </c>
      <c r="AN437" t="s">
        <v>4761</v>
      </c>
      <c r="AO437" s="1" t="str">
        <f>HYPERLINK("http://exon.niaid.nih.gov/transcriptome/T_rubida/S1/links/SWISSP/Triru-contig_647-SWISSP.txt","Adipocyte enhancer-binding protein 1")</f>
        <v>Adipocyte enhancer-binding protein 1</v>
      </c>
      <c r="AP437" t="str">
        <f>HYPERLINK("http://www.uniprot.org/uniprot/A2RUV9","2.0")</f>
        <v>2.0</v>
      </c>
      <c r="AQ437" t="s">
        <v>4762</v>
      </c>
      <c r="AR437">
        <v>32</v>
      </c>
      <c r="AS437">
        <v>31</v>
      </c>
      <c r="AT437">
        <v>43</v>
      </c>
      <c r="AU437">
        <v>3</v>
      </c>
      <c r="AV437">
        <v>18</v>
      </c>
      <c r="AW437">
        <v>0</v>
      </c>
      <c r="AX437">
        <v>498</v>
      </c>
      <c r="AY437">
        <v>234</v>
      </c>
      <c r="AZ437">
        <v>1</v>
      </c>
      <c r="BA437">
        <v>3</v>
      </c>
      <c r="BB437" t="s">
        <v>11</v>
      </c>
      <c r="BD437" t="s">
        <v>704</v>
      </c>
      <c r="BE437" t="s">
        <v>1164</v>
      </c>
      <c r="BF437" t="s">
        <v>4763</v>
      </c>
      <c r="BG437" t="s">
        <v>4764</v>
      </c>
      <c r="BH437" s="1" t="s">
        <v>57</v>
      </c>
      <c r="BI437" t="s">
        <v>57</v>
      </c>
      <c r="BJ437" s="1" t="str">
        <f>HYPERLINK("http://exon.niaid.nih.gov/transcriptome/T_rubida/S1/links/CDD/Triru-contig_647-CDD.txt","Nop14")</f>
        <v>Nop14</v>
      </c>
      <c r="BK437" t="str">
        <f>HYPERLINK("http://www.ncbi.nlm.nih.gov/Structure/cdd/cddsrv.cgi?uid=pfam04147&amp;version=v4.0","0.094")</f>
        <v>0.094</v>
      </c>
      <c r="BL437" t="s">
        <v>4765</v>
      </c>
      <c r="BM437" s="1" t="str">
        <f>HYPERLINK("http://exon.niaid.nih.gov/transcriptome/T_rubida/S1/links/KOG/Triru-contig_647-KOG.txt","Sulfate/bicarbonate/oxalate exchanger SAT-1 and related transporters (SLC26 family)")</f>
        <v>Sulfate/bicarbonate/oxalate exchanger SAT-1 and related transporters (SLC26 family)</v>
      </c>
      <c r="BN437" t="str">
        <f>HYPERLINK("http://www.ncbi.nlm.nih.gov/COG/grace/shokog.cgi?KOG0236","0.060")</f>
        <v>0.060</v>
      </c>
      <c r="BO437" t="s">
        <v>849</v>
      </c>
      <c r="BP437" s="1" t="str">
        <f>HYPERLINK("http://exon.niaid.nih.gov/transcriptome/T_rubida/S1/links/PFAM/Triru-contig_647-PFAM.txt","Nop14")</f>
        <v>Nop14</v>
      </c>
      <c r="BQ437" t="str">
        <f>HYPERLINK("http://pfam.sanger.ac.uk/family?acc=PF04147","0.020")</f>
        <v>0.020</v>
      </c>
      <c r="BR437" s="1" t="str">
        <f>HYPERLINK("http://exon.niaid.nih.gov/transcriptome/T_rubida/S1/links/SMART/Triru-contig_647-SMART.txt","HTH_MARR")</f>
        <v>HTH_MARR</v>
      </c>
      <c r="BS437" t="str">
        <f>HYPERLINK("http://smart.embl-heidelberg.de/smart/do_annotation.pl?DOMAIN=HTH_MARR&amp;BLAST=DUMMY","0.24")</f>
        <v>0.24</v>
      </c>
      <c r="BT437" s="1" t="str">
        <f>HYPERLINK("http://exon.niaid.nih.gov/transcriptome/T_rubida/S1/links/PRK/Triru-contig_647-PRK.txt","putative 3-phenylpropionic acid transporter")</f>
        <v>putative 3-phenylpropionic acid transporter</v>
      </c>
      <c r="BU437">
        <v>0.2</v>
      </c>
      <c r="BV437" s="1" t="s">
        <v>57</v>
      </c>
      <c r="BW437" t="s">
        <v>57</v>
      </c>
      <c r="BX437" s="1" t="s">
        <v>57</v>
      </c>
      <c r="BY437" t="s">
        <v>57</v>
      </c>
    </row>
    <row r="438" spans="1:77">
      <c r="A438" t="str">
        <f>HYPERLINK("http://exon.niaid.nih.gov/transcriptome/T_rubida/S1/links/Triru/Triru-contig_542.txt","Triru-contig_542")</f>
        <v>Triru-contig_542</v>
      </c>
      <c r="B438">
        <v>1</v>
      </c>
      <c r="C438" t="str">
        <f>HYPERLINK("http://exon.niaid.nih.gov/transcriptome/T_rubida/S1/links/Triru/Triru-5-48-asb-542.txt","Contig-542")</f>
        <v>Contig-542</v>
      </c>
      <c r="D438" t="str">
        <f>HYPERLINK("http://exon.niaid.nih.gov/transcriptome/T_rubida/S1/links/Triru/Triru-5-48-542-CLU.txt","Contig542")</f>
        <v>Contig542</v>
      </c>
      <c r="E438" t="str">
        <f>HYPERLINK("http://exon.niaid.nih.gov/transcriptome/T_rubida/S1/links/Triru/Triru-5-48-542-qual.txt","60.5")</f>
        <v>60.5</v>
      </c>
      <c r="F438" t="s">
        <v>10</v>
      </c>
      <c r="G438">
        <v>57</v>
      </c>
      <c r="H438">
        <v>418</v>
      </c>
      <c r="I438" t="s">
        <v>554</v>
      </c>
      <c r="J438">
        <v>418</v>
      </c>
      <c r="K438">
        <v>437</v>
      </c>
      <c r="L438">
        <v>270</v>
      </c>
      <c r="M438" t="s">
        <v>5706</v>
      </c>
      <c r="N438" s="15">
        <v>3</v>
      </c>
      <c r="Q438" s="5" t="s">
        <v>4827</v>
      </c>
      <c r="R438" t="s">
        <v>4828</v>
      </c>
      <c r="V438" s="1" t="str">
        <f>HYPERLINK("http://exon.niaid.nih.gov/transcriptome/T_rubida/S1/links/NR/Triru-contig_542-NR.txt","unknown")</f>
        <v>unknown</v>
      </c>
      <c r="W438" t="str">
        <f>HYPERLINK("http://www.ncbi.nlm.nih.gov/sutils/blink.cgi?pid=223948241","1.8")</f>
        <v>1.8</v>
      </c>
      <c r="X438" t="str">
        <f>HYPERLINK("http://www.ncbi.nlm.nih.gov/protein/223948241","gi|223948241")</f>
        <v>gi|223948241</v>
      </c>
      <c r="Y438">
        <v>36.200000000000003</v>
      </c>
      <c r="Z438">
        <v>32</v>
      </c>
      <c r="AA438">
        <v>777</v>
      </c>
      <c r="AB438">
        <v>45</v>
      </c>
      <c r="AC438">
        <v>4</v>
      </c>
      <c r="AD438">
        <v>18</v>
      </c>
      <c r="AE438">
        <v>0</v>
      </c>
      <c r="AF438">
        <v>242</v>
      </c>
      <c r="AG438">
        <v>247</v>
      </c>
      <c r="AH438">
        <v>1</v>
      </c>
      <c r="AI438">
        <v>1</v>
      </c>
      <c r="AJ438" t="s">
        <v>11</v>
      </c>
      <c r="AL438" t="s">
        <v>3769</v>
      </c>
      <c r="AM438" t="s">
        <v>4140</v>
      </c>
      <c r="AN438" t="s">
        <v>4141</v>
      </c>
      <c r="AO438" s="1" t="str">
        <f>HYPERLINK("http://exon.niaid.nih.gov/transcriptome/T_rubida/S1/links/SWISSP/Triru-contig_542-SWISSP.txt","Phospho-N-acetylmuramoyl-pentapeptide-transferase")</f>
        <v>Phospho-N-acetylmuramoyl-pentapeptide-transferase</v>
      </c>
      <c r="AP438" t="str">
        <f>HYPERLINK("http://www.uniprot.org/uniprot/B2S2U2","0.21")</f>
        <v>0.21</v>
      </c>
      <c r="AQ438" t="s">
        <v>4142</v>
      </c>
      <c r="AR438">
        <v>34.700000000000003</v>
      </c>
      <c r="AS438">
        <v>73</v>
      </c>
      <c r="AT438">
        <v>34</v>
      </c>
      <c r="AU438">
        <v>20</v>
      </c>
      <c r="AV438">
        <v>49</v>
      </c>
      <c r="AW438">
        <v>10</v>
      </c>
      <c r="AX438">
        <v>16</v>
      </c>
      <c r="AY438">
        <v>166</v>
      </c>
      <c r="AZ438">
        <v>1</v>
      </c>
      <c r="BA438">
        <v>1</v>
      </c>
      <c r="BB438" t="s">
        <v>11</v>
      </c>
      <c r="BC438">
        <v>1.37</v>
      </c>
      <c r="BD438" t="s">
        <v>704</v>
      </c>
      <c r="BE438" t="s">
        <v>4143</v>
      </c>
      <c r="BF438" t="s">
        <v>4144</v>
      </c>
      <c r="BG438" t="s">
        <v>4145</v>
      </c>
      <c r="BH438" s="1" t="s">
        <v>57</v>
      </c>
      <c r="BI438" t="s">
        <v>57</v>
      </c>
      <c r="BJ438" s="1" t="str">
        <f>HYPERLINK("http://exon.niaid.nih.gov/transcriptome/T_rubida/S1/links/CDD/Triru-contig_542-CDD.txt","YfhO")</f>
        <v>YfhO</v>
      </c>
      <c r="BK438" t="str">
        <f>HYPERLINK("http://www.ncbi.nlm.nih.gov/Structure/cdd/cddsrv.cgi?uid=pfam09586&amp;version=v4.0","0.097")</f>
        <v>0.097</v>
      </c>
      <c r="BL438" t="s">
        <v>4146</v>
      </c>
      <c r="BM438" s="1" t="str">
        <f>HYPERLINK("http://exon.niaid.nih.gov/transcriptome/T_rubida/S1/links/KOG/Triru-contig_542-KOG.txt","Uncharacterized conserved protein")</f>
        <v>Uncharacterized conserved protein</v>
      </c>
      <c r="BN438" t="str">
        <f>HYPERLINK("http://www.ncbi.nlm.nih.gov/COG/grace/shokog.cgi?KOG4255","0.029")</f>
        <v>0.029</v>
      </c>
      <c r="BO438" t="s">
        <v>737</v>
      </c>
      <c r="BP438" s="1" t="str">
        <f>HYPERLINK("http://exon.niaid.nih.gov/transcriptome/T_rubida/S1/links/PFAM/Triru-contig_542-PFAM.txt","YfhO")</f>
        <v>YfhO</v>
      </c>
      <c r="BQ438" t="str">
        <f>HYPERLINK("http://pfam.sanger.ac.uk/family?acc=PF09586","0.021")</f>
        <v>0.021</v>
      </c>
      <c r="BR438" s="1" t="str">
        <f>HYPERLINK("http://exon.niaid.nih.gov/transcriptome/T_rubida/S1/links/SMART/Triru-contig_542-SMART.txt","TOPEUc")</f>
        <v>TOPEUc</v>
      </c>
      <c r="BS438" t="str">
        <f>HYPERLINK("http://smart.embl-heidelberg.de/smart/do_annotation.pl?DOMAIN=TOPEUc&amp;BLAST=DUMMY","0.078")</f>
        <v>0.078</v>
      </c>
      <c r="BT438" s="1" t="str">
        <f>HYPERLINK("http://exon.niaid.nih.gov/transcriptome/T_rubida/S1/links/PRK/Triru-contig_542-PRK.txt","Probable galactinol--sucrose galactosyltransferase.")</f>
        <v>Probable galactinol--sucrose galactosyltransferase.</v>
      </c>
      <c r="BU438">
        <v>4.7E-2</v>
      </c>
      <c r="BV438" s="1" t="s">
        <v>57</v>
      </c>
      <c r="BW438" t="s">
        <v>57</v>
      </c>
      <c r="BX438" s="1" t="s">
        <v>57</v>
      </c>
      <c r="BY438" t="s">
        <v>57</v>
      </c>
    </row>
    <row r="439" spans="1:77">
      <c r="A439" t="str">
        <f>HYPERLINK("http://exon.niaid.nih.gov/transcriptome/T_rubida/S1/links/Triru/Triru-contig_335.txt","Triru-contig_335")</f>
        <v>Triru-contig_335</v>
      </c>
      <c r="B439">
        <v>1</v>
      </c>
      <c r="C439" t="str">
        <f>HYPERLINK("http://exon.niaid.nih.gov/transcriptome/T_rubida/S1/links/Triru/Triru-5-48-asb-335.txt","Contig-335")</f>
        <v>Contig-335</v>
      </c>
      <c r="D439" t="str">
        <f>HYPERLINK("http://exon.niaid.nih.gov/transcriptome/T_rubida/S1/links/Triru/Triru-5-48-335-CLU.txt","Contig335")</f>
        <v>Contig335</v>
      </c>
      <c r="E439" t="str">
        <f>HYPERLINK("http://exon.niaid.nih.gov/transcriptome/T_rubida/S1/links/Triru/Triru-5-48-335-qual.txt","64.9")</f>
        <v>64.9</v>
      </c>
      <c r="F439" t="s">
        <v>10</v>
      </c>
      <c r="G439">
        <v>68</v>
      </c>
      <c r="H439">
        <v>506</v>
      </c>
      <c r="I439" t="s">
        <v>347</v>
      </c>
      <c r="J439">
        <v>506</v>
      </c>
      <c r="K439">
        <v>525</v>
      </c>
      <c r="L439">
        <v>156</v>
      </c>
      <c r="M439" t="s">
        <v>5437</v>
      </c>
      <c r="N439" s="15">
        <v>2</v>
      </c>
      <c r="O439" s="14" t="str">
        <f>HYPERLINK("http://exon.niaid.nih.gov/transcriptome/T_rubida/S1/links/Sigp/TRIRU-CONTIG_335-SigP.txt","Cyt")</f>
        <v>Cyt</v>
      </c>
      <c r="Q439" s="5" t="s">
        <v>4827</v>
      </c>
      <c r="R439" t="s">
        <v>4828</v>
      </c>
      <c r="V439" s="1" t="str">
        <f>HYPERLINK("http://exon.niaid.nih.gov/transcriptome/T_rubida/S1/links/NR/Triru-contig_335-NR.txt","putative salivary protein SG1B")</f>
        <v>putative salivary protein SG1B</v>
      </c>
      <c r="W439" t="str">
        <f>HYPERLINK("http://www.ncbi.nlm.nih.gov/sutils/blink.cgi?pid=27372929","2.1")</f>
        <v>2.1</v>
      </c>
      <c r="X439" t="str">
        <f>HYPERLINK("http://www.ncbi.nlm.nih.gov/protein/27372929","gi|27372929")</f>
        <v>gi|27372929</v>
      </c>
      <c r="Y439">
        <v>36.200000000000003</v>
      </c>
      <c r="Z439">
        <v>36</v>
      </c>
      <c r="AA439">
        <v>415</v>
      </c>
      <c r="AB439">
        <v>43</v>
      </c>
      <c r="AC439">
        <v>9</v>
      </c>
      <c r="AD439">
        <v>21</v>
      </c>
      <c r="AE439">
        <v>0</v>
      </c>
      <c r="AF439">
        <v>249</v>
      </c>
      <c r="AG439">
        <v>337</v>
      </c>
      <c r="AH439">
        <v>1</v>
      </c>
      <c r="AI439">
        <v>1</v>
      </c>
      <c r="AJ439" t="s">
        <v>11</v>
      </c>
      <c r="AK439">
        <v>2.778</v>
      </c>
      <c r="AL439" t="s">
        <v>2747</v>
      </c>
      <c r="AM439" t="s">
        <v>2748</v>
      </c>
      <c r="AN439" t="s">
        <v>2749</v>
      </c>
      <c r="AO439" s="1" t="str">
        <f>HYPERLINK("http://exon.niaid.nih.gov/transcriptome/T_rubida/S1/links/SWISSP/Triru-contig_335-SWISSP.txt","Beta-amyrin synthase")</f>
        <v>Beta-amyrin synthase</v>
      </c>
      <c r="AP439" t="str">
        <f>HYPERLINK("http://www.uniprot.org/uniprot/B6EXY6","25")</f>
        <v>25</v>
      </c>
      <c r="AQ439" t="s">
        <v>2750</v>
      </c>
      <c r="AR439">
        <v>28.5</v>
      </c>
      <c r="AS439">
        <v>54</v>
      </c>
      <c r="AT439">
        <v>27</v>
      </c>
      <c r="AU439">
        <v>7</v>
      </c>
      <c r="AV439">
        <v>47</v>
      </c>
      <c r="AW439">
        <v>2</v>
      </c>
      <c r="AX439">
        <v>256</v>
      </c>
      <c r="AY439">
        <v>18</v>
      </c>
      <c r="AZ439">
        <v>1</v>
      </c>
      <c r="BA439">
        <v>3</v>
      </c>
      <c r="BB439" t="s">
        <v>11</v>
      </c>
      <c r="BC439">
        <v>7.407</v>
      </c>
      <c r="BD439" t="s">
        <v>704</v>
      </c>
      <c r="BE439" t="s">
        <v>906</v>
      </c>
      <c r="BF439" t="s">
        <v>2751</v>
      </c>
      <c r="BG439" t="s">
        <v>2752</v>
      </c>
      <c r="BH439" s="1" t="s">
        <v>57</v>
      </c>
      <c r="BI439" t="s">
        <v>57</v>
      </c>
      <c r="BJ439" s="1" t="str">
        <f>HYPERLINK("http://exon.niaid.nih.gov/transcriptome/T_rubida/S1/links/CDD/Triru-contig_335-CDD.txt","STKc_MOK")</f>
        <v>STKc_MOK</v>
      </c>
      <c r="BK439" t="str">
        <f>HYPERLINK("http://www.ncbi.nlm.nih.gov/Structure/cdd/cddsrv.cgi?uid=cd07831&amp;version=v4.0","0.091")</f>
        <v>0.091</v>
      </c>
      <c r="BL439" t="s">
        <v>2753</v>
      </c>
      <c r="BM439" s="1" t="str">
        <f>HYPERLINK("http://exon.niaid.nih.gov/transcriptome/T_rubida/S1/links/KOG/Triru-contig_335-KOG.txt","Inositol 1,4,5-trisphosphate receptor")</f>
        <v>Inositol 1,4,5-trisphosphate receptor</v>
      </c>
      <c r="BN439" t="str">
        <f>HYPERLINK("http://www.ncbi.nlm.nih.gov/COG/grace/shokog.cgi?KOG3533","0.044")</f>
        <v>0.044</v>
      </c>
      <c r="BO439" t="s">
        <v>728</v>
      </c>
      <c r="BP439" s="1" t="str">
        <f>HYPERLINK("http://exon.niaid.nih.gov/transcriptome/T_rubida/S1/links/PFAM/Triru-contig_335-PFAM.txt","CoiA")</f>
        <v>CoiA</v>
      </c>
      <c r="BQ439" t="str">
        <f>HYPERLINK("http://pfam.sanger.ac.uk/family?acc=PF06054","0.19")</f>
        <v>0.19</v>
      </c>
      <c r="BR439" s="1" t="str">
        <f>HYPERLINK("http://exon.niaid.nih.gov/transcriptome/T_rubida/S1/links/SMART/Triru-contig_335-SMART.txt","ACR")</f>
        <v>ACR</v>
      </c>
      <c r="BS439" t="str">
        <f>HYPERLINK("http://smart.embl-heidelberg.de/smart/do_annotation.pl?DOMAIN=ACR&amp;BLAST=DUMMY","0.019")</f>
        <v>0.019</v>
      </c>
      <c r="BT439" s="1" t="str">
        <f>HYPERLINK("http://exon.niaid.nih.gov/transcriptome/T_rubida/S1/links/PRK/Triru-contig_335-PRK.txt","camphor resistance protein CrcB")</f>
        <v>camphor resistance protein CrcB</v>
      </c>
      <c r="BU439">
        <v>0.14000000000000001</v>
      </c>
      <c r="BV439" s="1" t="s">
        <v>57</v>
      </c>
      <c r="BW439" t="s">
        <v>57</v>
      </c>
      <c r="BX439" s="1" t="s">
        <v>57</v>
      </c>
      <c r="BY439" t="s">
        <v>57</v>
      </c>
    </row>
    <row r="440" spans="1:77">
      <c r="A440" t="str">
        <f>HYPERLINK("http://exon.niaid.nih.gov/transcriptome/T_rubida/S1/links/Triru/Triru-contig_334.txt","Triru-contig_334")</f>
        <v>Triru-contig_334</v>
      </c>
      <c r="B440">
        <v>1</v>
      </c>
      <c r="C440" t="str">
        <f>HYPERLINK("http://exon.niaid.nih.gov/transcriptome/T_rubida/S1/links/Triru/Triru-5-48-asb-334.txt","Contig-334")</f>
        <v>Contig-334</v>
      </c>
      <c r="D440" t="str">
        <f>HYPERLINK("http://exon.niaid.nih.gov/transcriptome/T_rubida/S1/links/Triru/Triru-5-48-334-CLU.txt","Contig334")</f>
        <v>Contig334</v>
      </c>
      <c r="E440" t="str">
        <f>HYPERLINK("http://exon.niaid.nih.gov/transcriptome/T_rubida/S1/links/Triru/Triru-5-48-334-qual.txt","53.")</f>
        <v>53.</v>
      </c>
      <c r="F440" t="s">
        <v>10</v>
      </c>
      <c r="G440">
        <v>57.9</v>
      </c>
      <c r="H440">
        <v>566</v>
      </c>
      <c r="I440" t="s">
        <v>346</v>
      </c>
      <c r="J440">
        <v>566</v>
      </c>
      <c r="K440">
        <v>585</v>
      </c>
      <c r="L440">
        <v>237</v>
      </c>
      <c r="M440" t="s">
        <v>5704</v>
      </c>
      <c r="N440" s="15">
        <v>1</v>
      </c>
      <c r="Q440" s="5" t="s">
        <v>4827</v>
      </c>
      <c r="R440" t="s">
        <v>4828</v>
      </c>
      <c r="V440" s="1" t="str">
        <f>HYPERLINK("http://exon.niaid.nih.gov/transcriptome/T_rubida/S1/links/NR/Triru-contig_334-NR.txt","GAS2-like protein 2-like")</f>
        <v>GAS2-like protein 2-like</v>
      </c>
      <c r="W440" t="str">
        <f>HYPERLINK("http://www.ncbi.nlm.nih.gov/sutils/blink.cgi?pid=301609533","2.1")</f>
        <v>2.1</v>
      </c>
      <c r="X440" t="str">
        <f>HYPERLINK("http://www.ncbi.nlm.nih.gov/protein/301609533","gi|301609533")</f>
        <v>gi|301609533</v>
      </c>
      <c r="Y440">
        <v>36.6</v>
      </c>
      <c r="Z440">
        <v>80</v>
      </c>
      <c r="AA440">
        <v>718</v>
      </c>
      <c r="AB440">
        <v>30</v>
      </c>
      <c r="AC440">
        <v>11</v>
      </c>
      <c r="AD440">
        <v>56</v>
      </c>
      <c r="AE440">
        <v>0</v>
      </c>
      <c r="AF440">
        <v>406</v>
      </c>
      <c r="AG440">
        <v>98</v>
      </c>
      <c r="AH440">
        <v>1</v>
      </c>
      <c r="AI440">
        <v>2</v>
      </c>
      <c r="AJ440" t="s">
        <v>11</v>
      </c>
      <c r="AK440">
        <v>3.75</v>
      </c>
      <c r="AL440" t="s">
        <v>1498</v>
      </c>
      <c r="AM440" t="s">
        <v>2741</v>
      </c>
      <c r="AN440" t="s">
        <v>2742</v>
      </c>
      <c r="AO440" s="1" t="str">
        <f>HYPERLINK("http://exon.niaid.nih.gov/transcriptome/T_rubida/S1/links/SWISSP/Triru-contig_334-SWISSP.txt","Geminivirus Rep-interacting motor protein")</f>
        <v>Geminivirus Rep-interacting motor protein</v>
      </c>
      <c r="AP440" t="str">
        <f>HYPERLINK("http://www.uniprot.org/uniprot/Q9LX99","6.4")</f>
        <v>6.4</v>
      </c>
      <c r="AQ440" t="s">
        <v>2743</v>
      </c>
      <c r="AR440">
        <v>30.8</v>
      </c>
      <c r="AS440">
        <v>67</v>
      </c>
      <c r="AT440">
        <v>25</v>
      </c>
      <c r="AU440">
        <v>5</v>
      </c>
      <c r="AV440">
        <v>53</v>
      </c>
      <c r="AW440">
        <v>0</v>
      </c>
      <c r="AX440">
        <v>422</v>
      </c>
      <c r="AY440">
        <v>8</v>
      </c>
      <c r="AZ440">
        <v>1</v>
      </c>
      <c r="BA440">
        <v>2</v>
      </c>
      <c r="BB440" t="s">
        <v>11</v>
      </c>
      <c r="BC440">
        <v>1.4930000000000001</v>
      </c>
      <c r="BD440" t="s">
        <v>704</v>
      </c>
      <c r="BE440" t="s">
        <v>906</v>
      </c>
      <c r="BF440" t="s">
        <v>2744</v>
      </c>
      <c r="BG440" t="s">
        <v>2745</v>
      </c>
      <c r="BH440" s="1" t="s">
        <v>57</v>
      </c>
      <c r="BI440" t="s">
        <v>57</v>
      </c>
      <c r="BJ440" s="1" t="str">
        <f>HYPERLINK("http://exon.niaid.nih.gov/transcriptome/T_rubida/S1/links/CDD/Triru-contig_334-CDD.txt","rpoC1")</f>
        <v>rpoC1</v>
      </c>
      <c r="BK440" t="str">
        <f>HYPERLINK("http://www.ncbi.nlm.nih.gov/Structure/cdd/cddsrv.cgi?uid=CHL00018&amp;version=v4.0","0.55")</f>
        <v>0.55</v>
      </c>
      <c r="BL440" t="s">
        <v>2746</v>
      </c>
      <c r="BM440" s="1" t="str">
        <f>HYPERLINK("http://exon.niaid.nih.gov/transcriptome/T_rubida/S1/links/KOG/Triru-contig_334-KOG.txt","Translation initiation factor 2, gamma subunit (eIF-2gamma; GTPase)")</f>
        <v>Translation initiation factor 2, gamma subunit (eIF-2gamma; GTPase)</v>
      </c>
      <c r="BN440" t="str">
        <f>HYPERLINK("http://www.ncbi.nlm.nih.gov/COG/grace/shokog.cgi?KOG0466","0.88")</f>
        <v>0.88</v>
      </c>
      <c r="BO440" t="s">
        <v>1185</v>
      </c>
      <c r="BP440" s="1" t="str">
        <f>HYPERLINK("http://exon.niaid.nih.gov/transcriptome/T_rubida/S1/links/PFAM/Triru-contig_334-PFAM.txt","eIF2_C")</f>
        <v>eIF2_C</v>
      </c>
      <c r="BQ440" t="str">
        <f>HYPERLINK("http://pfam.sanger.ac.uk/family?acc=PF09173","0.34")</f>
        <v>0.34</v>
      </c>
      <c r="BR440" s="1" t="str">
        <f>HYPERLINK("http://exon.niaid.nih.gov/transcriptome/T_rubida/S1/links/SMART/Triru-contig_334-SMART.txt","MyTH4")</f>
        <v>MyTH4</v>
      </c>
      <c r="BS440" t="str">
        <f>HYPERLINK("http://smart.embl-heidelberg.de/smart/do_annotation.pl?DOMAIN=MyTH4&amp;BLAST=DUMMY","0.079")</f>
        <v>0.079</v>
      </c>
      <c r="BT440" s="1" t="str">
        <f>HYPERLINK("http://exon.niaid.nih.gov/transcriptome/T_rubida/S1/links/PRK/Triru-contig_334-PRK.txt","RNA polymerase beta' subunit.")</f>
        <v>RNA polymerase beta' subunit.</v>
      </c>
      <c r="BU440">
        <v>0.24</v>
      </c>
      <c r="BV440" s="1" t="s">
        <v>57</v>
      </c>
      <c r="BW440" t="s">
        <v>57</v>
      </c>
      <c r="BX440" s="1" t="s">
        <v>57</v>
      </c>
      <c r="BY440" t="s">
        <v>57</v>
      </c>
    </row>
    <row r="441" spans="1:77">
      <c r="A441" t="str">
        <f>HYPERLINK("http://exon.niaid.nih.gov/transcriptome/T_rubida/S1/links/Triru/Triru-contig_506.txt","Triru-contig_506")</f>
        <v>Triru-contig_506</v>
      </c>
      <c r="B441">
        <v>1</v>
      </c>
      <c r="C441" t="str">
        <f>HYPERLINK("http://exon.niaid.nih.gov/transcriptome/T_rubida/S1/links/Triru/Triru-5-48-asb-506.txt","Contig-506")</f>
        <v>Contig-506</v>
      </c>
      <c r="D441" t="str">
        <f>HYPERLINK("http://exon.niaid.nih.gov/transcriptome/T_rubida/S1/links/Triru/Triru-5-48-506-CLU.txt","Contig506")</f>
        <v>Contig506</v>
      </c>
      <c r="E441" t="str">
        <f>HYPERLINK("http://exon.niaid.nih.gov/transcriptome/T_rubida/S1/links/Triru/Triru-5-48-506-qual.txt","61.8")</f>
        <v>61.8</v>
      </c>
      <c r="F441" t="s">
        <v>10</v>
      </c>
      <c r="G441">
        <v>68.8</v>
      </c>
      <c r="H441">
        <v>737</v>
      </c>
      <c r="I441" t="s">
        <v>518</v>
      </c>
      <c r="J441">
        <v>737</v>
      </c>
      <c r="K441">
        <v>756</v>
      </c>
      <c r="L441">
        <v>240</v>
      </c>
      <c r="M441" t="s">
        <v>5443</v>
      </c>
      <c r="N441" s="15">
        <v>1</v>
      </c>
      <c r="O441" s="14" t="str">
        <f>HYPERLINK("http://exon.niaid.nih.gov/transcriptome/T_rubida/S1/links/Sigp/TRIRU-CONTIG_506-SigP.txt","Cyt")</f>
        <v>Cyt</v>
      </c>
      <c r="Q441" s="5" t="s">
        <v>4827</v>
      </c>
      <c r="R441" t="s">
        <v>4828</v>
      </c>
      <c r="V441" s="1" t="str">
        <f>HYPERLINK("http://exon.niaid.nih.gov/transcriptome/T_rubida/S1/links/NR/Triru-contig_506-NR.txt","conserved hypothetical protein")</f>
        <v>conserved hypothetical protein</v>
      </c>
      <c r="W441" t="str">
        <f>HYPERLINK("http://www.ncbi.nlm.nih.gov/sutils/blink.cgi?pid=302509272","2.2")</f>
        <v>2.2</v>
      </c>
      <c r="X441" t="str">
        <f>HYPERLINK("http://www.ncbi.nlm.nih.gov/protein/302509272","gi|302509272")</f>
        <v>gi|302509272</v>
      </c>
      <c r="Y441">
        <v>37.4</v>
      </c>
      <c r="Z441">
        <v>67</v>
      </c>
      <c r="AA441">
        <v>347</v>
      </c>
      <c r="AB441">
        <v>36</v>
      </c>
      <c r="AC441">
        <v>20</v>
      </c>
      <c r="AD441">
        <v>46</v>
      </c>
      <c r="AE441">
        <v>2</v>
      </c>
      <c r="AF441">
        <v>75</v>
      </c>
      <c r="AG441">
        <v>7</v>
      </c>
      <c r="AH441">
        <v>1</v>
      </c>
      <c r="AI441">
        <v>1</v>
      </c>
      <c r="AJ441" t="s">
        <v>11</v>
      </c>
      <c r="AL441" t="s">
        <v>3902</v>
      </c>
      <c r="AM441" t="s">
        <v>3903</v>
      </c>
      <c r="AN441" t="s">
        <v>3904</v>
      </c>
      <c r="AO441" s="1" t="str">
        <f>HYPERLINK("http://exon.niaid.nih.gov/transcriptome/T_rubida/S1/links/SWISSP/Triru-contig_506-SWISSP.txt","Hornerin")</f>
        <v>Hornerin</v>
      </c>
      <c r="AP441" t="str">
        <f>HYPERLINK("http://www.uniprot.org/uniprot/Q86YZ3","0.19")</f>
        <v>0.19</v>
      </c>
      <c r="AQ441" t="s">
        <v>3905</v>
      </c>
      <c r="AR441">
        <v>36.6</v>
      </c>
      <c r="AS441">
        <v>2512</v>
      </c>
      <c r="AT441">
        <v>46</v>
      </c>
      <c r="AU441">
        <v>88</v>
      </c>
      <c r="AV441">
        <v>21</v>
      </c>
      <c r="AW441">
        <v>0</v>
      </c>
      <c r="AX441">
        <v>283</v>
      </c>
      <c r="AY441">
        <v>1</v>
      </c>
      <c r="AZ441">
        <v>14</v>
      </c>
      <c r="BA441">
        <v>1</v>
      </c>
      <c r="BB441" t="s">
        <v>11</v>
      </c>
      <c r="BD441" t="s">
        <v>704</v>
      </c>
      <c r="BE441" t="s">
        <v>1233</v>
      </c>
      <c r="BF441" t="s">
        <v>3906</v>
      </c>
      <c r="BG441" t="s">
        <v>3907</v>
      </c>
      <c r="BH441" s="1" t="s">
        <v>57</v>
      </c>
      <c r="BI441" t="s">
        <v>57</v>
      </c>
      <c r="BJ441" s="1" t="str">
        <f>HYPERLINK("http://exon.niaid.nih.gov/transcriptome/T_rubida/S1/links/CDD/Triru-contig_506-CDD.txt","Tubulin")</f>
        <v>Tubulin</v>
      </c>
      <c r="BK441" t="str">
        <f>HYPERLINK("http://www.ncbi.nlm.nih.gov/Structure/cdd/cddsrv.cgi?uid=cd06059&amp;version=v4.0","0.23")</f>
        <v>0.23</v>
      </c>
      <c r="BL441" t="s">
        <v>3908</v>
      </c>
      <c r="BM441" s="1" t="str">
        <f>HYPERLINK("http://exon.niaid.nih.gov/transcriptome/T_rubida/S1/links/KOG/Triru-contig_506-KOG.txt","Soluble epoxide hydrolase")</f>
        <v>Soluble epoxide hydrolase</v>
      </c>
      <c r="BN441" t="str">
        <f>HYPERLINK("http://www.ncbi.nlm.nih.gov/COG/grace/shokog.cgi?KOG4178","0.059")</f>
        <v>0.059</v>
      </c>
      <c r="BO441" t="s">
        <v>709</v>
      </c>
      <c r="BP441" s="1" t="str">
        <f>HYPERLINK("http://exon.niaid.nih.gov/transcriptome/T_rubida/S1/links/PFAM/Triru-contig_506-PFAM.txt","Peptidase_M44")</f>
        <v>Peptidase_M44</v>
      </c>
      <c r="BQ441" t="str">
        <f>HYPERLINK("http://pfam.sanger.ac.uk/family?acc=PF03410","0.12")</f>
        <v>0.12</v>
      </c>
      <c r="BR441" s="1" t="str">
        <f>HYPERLINK("http://exon.niaid.nih.gov/transcriptome/T_rubida/S1/links/SMART/Triru-contig_506-SMART.txt","RhoGEF")</f>
        <v>RhoGEF</v>
      </c>
      <c r="BS441" t="str">
        <f>HYPERLINK("http://smart.embl-heidelberg.de/smart/do_annotation.pl?DOMAIN=RhoGEF&amp;BLAST=DUMMY","0.17")</f>
        <v>0.17</v>
      </c>
      <c r="BT441" s="1" t="str">
        <f>HYPERLINK("http://exon.niaid.nih.gov/transcriptome/T_rubida/S1/links/PRK/Triru-contig_506-PRK.txt","NADH dehydrogenase subunit 5")</f>
        <v>NADH dehydrogenase subunit 5</v>
      </c>
      <c r="BU441">
        <v>0.5</v>
      </c>
      <c r="BV441" s="1" t="s">
        <v>57</v>
      </c>
      <c r="BW441" t="s">
        <v>57</v>
      </c>
      <c r="BX441" s="1" t="s">
        <v>57</v>
      </c>
      <c r="BY441" t="s">
        <v>57</v>
      </c>
    </row>
    <row r="442" spans="1:77">
      <c r="A442" t="str">
        <f>HYPERLINK("http://exon.niaid.nih.gov/transcriptome/T_rubida/S1/links/Triru/Triru-contig_368.txt","Triru-contig_368")</f>
        <v>Triru-contig_368</v>
      </c>
      <c r="B442">
        <v>1</v>
      </c>
      <c r="C442" t="str">
        <f>HYPERLINK("http://exon.niaid.nih.gov/transcriptome/T_rubida/S1/links/Triru/Triru-5-48-asb-368.txt","Contig-368")</f>
        <v>Contig-368</v>
      </c>
      <c r="D442" t="str">
        <f>HYPERLINK("http://exon.niaid.nih.gov/transcriptome/T_rubida/S1/links/Triru/Triru-5-48-368-CLU.txt","Contig368")</f>
        <v>Contig368</v>
      </c>
      <c r="E442" t="str">
        <f>HYPERLINK("http://exon.niaid.nih.gov/transcriptome/T_rubida/S1/links/Triru/Triru-5-48-368-qual.txt","43.5")</f>
        <v>43.5</v>
      </c>
      <c r="F442" t="s">
        <v>10</v>
      </c>
      <c r="G442">
        <v>71.099999999999994</v>
      </c>
      <c r="H442">
        <v>279</v>
      </c>
      <c r="I442" t="s">
        <v>380</v>
      </c>
      <c r="J442">
        <v>279</v>
      </c>
      <c r="K442">
        <v>298</v>
      </c>
      <c r="L442">
        <v>168</v>
      </c>
      <c r="M442" t="s">
        <v>5456</v>
      </c>
      <c r="N442" s="15">
        <v>3</v>
      </c>
      <c r="Q442" s="5" t="s">
        <v>4827</v>
      </c>
      <c r="R442" t="s">
        <v>4828</v>
      </c>
      <c r="V442" s="1" t="str">
        <f>HYPERLINK("http://exon.niaid.nih.gov/transcriptome/T_rubida/S1/links/NR/Triru-contig_368-NR.txt","pyruvate dehydrogenase subunit E1")</f>
        <v>pyruvate dehydrogenase subunit E1</v>
      </c>
      <c r="W442" t="str">
        <f>HYPERLINK("http://www.ncbi.nlm.nih.gov/sutils/blink.cgi?pid=116515071","2.3")</f>
        <v>2.3</v>
      </c>
      <c r="X442" t="str">
        <f>HYPERLINK("http://www.ncbi.nlm.nih.gov/protein/116515071","gi|116515071")</f>
        <v>gi|116515071</v>
      </c>
      <c r="Y442">
        <v>35.799999999999997</v>
      </c>
      <c r="Z442">
        <v>62</v>
      </c>
      <c r="AA442">
        <v>886</v>
      </c>
      <c r="AB442">
        <v>33</v>
      </c>
      <c r="AC442">
        <v>7</v>
      </c>
      <c r="AD442">
        <v>42</v>
      </c>
      <c r="AE442">
        <v>10</v>
      </c>
      <c r="AF442">
        <v>61</v>
      </c>
      <c r="AG442">
        <v>87</v>
      </c>
      <c r="AH442">
        <v>1</v>
      </c>
      <c r="AI442">
        <v>3</v>
      </c>
      <c r="AJ442" t="s">
        <v>11</v>
      </c>
      <c r="AL442" t="s">
        <v>2612</v>
      </c>
      <c r="AM442" t="s">
        <v>2966</v>
      </c>
      <c r="AN442" t="s">
        <v>2967</v>
      </c>
      <c r="AO442" s="1" t="str">
        <f>HYPERLINK("http://exon.niaid.nih.gov/transcriptome/T_rubida/S1/links/SWISSP/Triru-contig_368-SWISSP.txt","Putative RAD2-like endonuclease 095R")</f>
        <v>Putative RAD2-like endonuclease 095R</v>
      </c>
      <c r="AP442" t="str">
        <f>HYPERLINK("http://www.uniprot.org/uniprot/Q6GZN0","4.8")</f>
        <v>4.8</v>
      </c>
      <c r="AQ442" t="s">
        <v>2968</v>
      </c>
      <c r="AR442">
        <v>30</v>
      </c>
      <c r="AS442">
        <v>33</v>
      </c>
      <c r="AT442">
        <v>38</v>
      </c>
      <c r="AU442">
        <v>9</v>
      </c>
      <c r="AV442">
        <v>21</v>
      </c>
      <c r="AW442">
        <v>0</v>
      </c>
      <c r="AX442">
        <v>38</v>
      </c>
      <c r="AY442">
        <v>132</v>
      </c>
      <c r="AZ442">
        <v>1</v>
      </c>
      <c r="BA442">
        <v>3</v>
      </c>
      <c r="BB442" t="s">
        <v>11</v>
      </c>
      <c r="BD442" t="s">
        <v>704</v>
      </c>
      <c r="BE442" t="s">
        <v>2969</v>
      </c>
      <c r="BF442" t="s">
        <v>2970</v>
      </c>
      <c r="BG442" t="s">
        <v>2971</v>
      </c>
      <c r="BH442" s="1" t="s">
        <v>57</v>
      </c>
      <c r="BI442" t="s">
        <v>57</v>
      </c>
      <c r="BJ442" s="1" t="str">
        <f>HYPERLINK("http://exon.niaid.nih.gov/transcriptome/T_rubida/S1/links/CDD/Triru-contig_368-CDD.txt","7TM_GPCR_Srz")</f>
        <v>7TM_GPCR_Srz</v>
      </c>
      <c r="BK442" t="str">
        <f>HYPERLINK("http://www.ncbi.nlm.nih.gov/Structure/cdd/cddsrv.cgi?uid=pfam10325&amp;version=v4.0","0.17")</f>
        <v>0.17</v>
      </c>
      <c r="BL442" t="s">
        <v>2972</v>
      </c>
      <c r="BM442" s="1" t="str">
        <f>HYPERLINK("http://exon.niaid.nih.gov/transcriptome/T_rubida/S1/links/KOG/Triru-contig_368-KOG.txt","Transporter, ABC superfamily (Breast cancer resistance protein)")</f>
        <v>Transporter, ABC superfamily (Breast cancer resistance protein)</v>
      </c>
      <c r="BN442" t="str">
        <f>HYPERLINK("http://www.ncbi.nlm.nih.gov/COG/grace/shokog.cgi?KOG0061","0.13")</f>
        <v>0.13</v>
      </c>
      <c r="BO442" t="s">
        <v>1130</v>
      </c>
      <c r="BP442" s="1" t="str">
        <f>HYPERLINK("http://exon.niaid.nih.gov/transcriptome/T_rubida/S1/links/PFAM/Triru-contig_368-PFAM.txt","7TM_GPCR_Srz")</f>
        <v>7TM_GPCR_Srz</v>
      </c>
      <c r="BQ442" t="str">
        <f>HYPERLINK("http://pfam.sanger.ac.uk/family?acc=PF10325","0.036")</f>
        <v>0.036</v>
      </c>
      <c r="BR442" s="1" t="str">
        <f>HYPERLINK("http://exon.niaid.nih.gov/transcriptome/T_rubida/S1/links/SMART/Triru-contig_368-SMART.txt","HTTM")</f>
        <v>HTTM</v>
      </c>
      <c r="BS442" t="str">
        <f>HYPERLINK("http://smart.embl-heidelberg.de/smart/do_annotation.pl?DOMAIN=HTTM&amp;BLAST=DUMMY","0.063")</f>
        <v>0.063</v>
      </c>
      <c r="BT442" s="1" t="str">
        <f>HYPERLINK("http://exon.niaid.nih.gov/transcriptome/T_rubida/S1/links/PRK/Triru-contig_368-PRK.txt","maturase K.")</f>
        <v>maturase K.</v>
      </c>
      <c r="BU442">
        <v>0.34</v>
      </c>
      <c r="BV442" s="1" t="s">
        <v>57</v>
      </c>
      <c r="BW442" t="s">
        <v>57</v>
      </c>
      <c r="BX442" s="1" t="s">
        <v>57</v>
      </c>
      <c r="BY442" t="s">
        <v>57</v>
      </c>
    </row>
    <row r="443" spans="1:77">
      <c r="A443" t="str">
        <f>HYPERLINK("http://exon.niaid.nih.gov/transcriptome/T_rubida/S1/links/Triru/Triru-contig_214.txt","Triru-contig_214")</f>
        <v>Triru-contig_214</v>
      </c>
      <c r="B443">
        <v>1</v>
      </c>
      <c r="C443" t="str">
        <f>HYPERLINK("http://exon.niaid.nih.gov/transcriptome/T_rubida/S1/links/Triru/Triru-5-48-asb-214.txt","Contig-214")</f>
        <v>Contig-214</v>
      </c>
      <c r="D443" t="str">
        <f>HYPERLINK("http://exon.niaid.nih.gov/transcriptome/T_rubida/S1/links/Triru/Triru-5-48-214-CLU.txt","Contig214")</f>
        <v>Contig214</v>
      </c>
      <c r="E443" t="str">
        <f>HYPERLINK("http://exon.niaid.nih.gov/transcriptome/T_rubida/S1/links/Triru/Triru-5-48-214-qual.txt","63.")</f>
        <v>63.</v>
      </c>
      <c r="F443" t="s">
        <v>10</v>
      </c>
      <c r="G443">
        <v>70.5</v>
      </c>
      <c r="H443">
        <v>367</v>
      </c>
      <c r="I443" t="s">
        <v>226</v>
      </c>
      <c r="J443">
        <v>367</v>
      </c>
      <c r="K443">
        <v>386</v>
      </c>
      <c r="L443">
        <v>150</v>
      </c>
      <c r="M443" t="s">
        <v>5461</v>
      </c>
      <c r="N443" s="15">
        <v>2</v>
      </c>
      <c r="O443" s="14" t="str">
        <f>HYPERLINK("http://exon.niaid.nih.gov/transcriptome/T_rubida/S1/links/Sigp/TRIRU-CONTIG_214-SigP.txt","Cyt")</f>
        <v>Cyt</v>
      </c>
      <c r="Q443" s="5" t="s">
        <v>4827</v>
      </c>
      <c r="R443" t="s">
        <v>4828</v>
      </c>
      <c r="V443" s="1" t="str">
        <f>HYPERLINK("http://exon.niaid.nih.gov/transcriptome/T_rubida/S1/links/NR/Triru-contig_214-NR.txt","hypothetical protein Y71F9AL.6")</f>
        <v>hypothetical protein Y71F9AL.6</v>
      </c>
      <c r="W443" t="str">
        <f>HYPERLINK("http://www.ncbi.nlm.nih.gov/sutils/blink.cgi?pid=17510463","2.3")</f>
        <v>2.3</v>
      </c>
      <c r="X443" t="str">
        <f>HYPERLINK("http://www.ncbi.nlm.nih.gov/protein/17510463","gi|17510463")</f>
        <v>gi|17510463</v>
      </c>
      <c r="Y443">
        <v>35.799999999999997</v>
      </c>
      <c r="Z443">
        <v>48</v>
      </c>
      <c r="AA443">
        <v>271</v>
      </c>
      <c r="AB443">
        <v>35</v>
      </c>
      <c r="AC443">
        <v>18</v>
      </c>
      <c r="AD443">
        <v>37</v>
      </c>
      <c r="AE443">
        <v>0</v>
      </c>
      <c r="AF443">
        <v>30</v>
      </c>
      <c r="AG443">
        <v>108</v>
      </c>
      <c r="AH443">
        <v>1</v>
      </c>
      <c r="AI443">
        <v>3</v>
      </c>
      <c r="AJ443" t="s">
        <v>11</v>
      </c>
      <c r="AK443">
        <v>6.25</v>
      </c>
      <c r="AL443" t="s">
        <v>1385</v>
      </c>
      <c r="AM443" t="s">
        <v>1952</v>
      </c>
      <c r="AN443" t="s">
        <v>1953</v>
      </c>
      <c r="AO443" s="1" t="str">
        <f>HYPERLINK("http://exon.niaid.nih.gov/transcriptome/T_rubida/S1/links/SWISSP/Triru-contig_214-SWISSP.txt","P2Y purinoceptor 4")</f>
        <v>P2Y purinoceptor 4</v>
      </c>
      <c r="AP443" t="str">
        <f>HYPERLINK("http://www.uniprot.org/uniprot/O35811","0.96")</f>
        <v>0.96</v>
      </c>
      <c r="AQ443" t="s">
        <v>1954</v>
      </c>
      <c r="AR443">
        <v>32.299999999999997</v>
      </c>
      <c r="AS443">
        <v>41</v>
      </c>
      <c r="AT443">
        <v>34</v>
      </c>
      <c r="AU443">
        <v>12</v>
      </c>
      <c r="AV443">
        <v>31</v>
      </c>
      <c r="AW443">
        <v>0</v>
      </c>
      <c r="AX443">
        <v>167</v>
      </c>
      <c r="AY443">
        <v>26</v>
      </c>
      <c r="AZ443">
        <v>1</v>
      </c>
      <c r="BA443">
        <v>2</v>
      </c>
      <c r="BB443" t="s">
        <v>11</v>
      </c>
      <c r="BD443" t="s">
        <v>704</v>
      </c>
      <c r="BE443" t="s">
        <v>1164</v>
      </c>
      <c r="BF443" t="s">
        <v>1955</v>
      </c>
      <c r="BG443" t="s">
        <v>1956</v>
      </c>
      <c r="BH443" s="1" t="s">
        <v>57</v>
      </c>
      <c r="BI443" t="s">
        <v>57</v>
      </c>
      <c r="BJ443" s="1" t="str">
        <f>HYPERLINK("http://exon.niaid.nih.gov/transcriptome/T_rubida/S1/links/CDD/Triru-contig_214-CDD.txt","PRK05785")</f>
        <v>PRK05785</v>
      </c>
      <c r="BK443" t="str">
        <f>HYPERLINK("http://www.ncbi.nlm.nih.gov/Structure/cdd/cddsrv.cgi?uid=PRK05785&amp;version=v4.0","0.15")</f>
        <v>0.15</v>
      </c>
      <c r="BL443" t="s">
        <v>1957</v>
      </c>
      <c r="BM443" s="1" t="str">
        <f>HYPERLINK("http://exon.niaid.nih.gov/transcriptome/T_rubida/S1/links/KOG/Triru-contig_214-KOG.txt","Transporter, ABC superfamily (Breast cancer resistance protein)")</f>
        <v>Transporter, ABC superfamily (Breast cancer resistance protein)</v>
      </c>
      <c r="BN443" t="str">
        <f>HYPERLINK("http://www.ncbi.nlm.nih.gov/COG/grace/shokog.cgi?KOG0061","0.84")</f>
        <v>0.84</v>
      </c>
      <c r="BO443" t="s">
        <v>1130</v>
      </c>
      <c r="BP443" s="1" t="str">
        <f>HYPERLINK("http://exon.niaid.nih.gov/transcriptome/T_rubida/S1/links/PFAM/Triru-contig_214-PFAM.txt","DUF3468")</f>
        <v>DUF3468</v>
      </c>
      <c r="BQ443" t="str">
        <f>HYPERLINK("http://pfam.sanger.ac.uk/family?acc=PF11951","0.045")</f>
        <v>0.045</v>
      </c>
      <c r="BR443" s="1" t="str">
        <f>HYPERLINK("http://exon.niaid.nih.gov/transcriptome/T_rubida/S1/links/SMART/Triru-contig_214-SMART.txt","TLC")</f>
        <v>TLC</v>
      </c>
      <c r="BS443" t="str">
        <f>HYPERLINK("http://smart.embl-heidelberg.de/smart/do_annotation.pl?DOMAIN=TLC&amp;BLAST=DUMMY","0.14")</f>
        <v>0.14</v>
      </c>
      <c r="BT443" s="1" t="str">
        <f>HYPERLINK("http://exon.niaid.nih.gov/transcriptome/T_rubida/S1/links/PRK/Triru-contig_214-PRK.txt","hypothetical protein")</f>
        <v>hypothetical protein</v>
      </c>
      <c r="BU443">
        <v>7.0000000000000007E-2</v>
      </c>
      <c r="BV443" s="1" t="s">
        <v>57</v>
      </c>
      <c r="BW443" t="s">
        <v>57</v>
      </c>
      <c r="BX443" s="1" t="s">
        <v>57</v>
      </c>
      <c r="BY443" t="s">
        <v>57</v>
      </c>
    </row>
    <row r="444" spans="1:77">
      <c r="A444" t="str">
        <f>HYPERLINK("http://exon.niaid.nih.gov/transcriptome/T_rubida/S1/links/Triru/Triru-contig_358.txt","Triru-contig_358")</f>
        <v>Triru-contig_358</v>
      </c>
      <c r="B444">
        <v>1</v>
      </c>
      <c r="C444" t="str">
        <f>HYPERLINK("http://exon.niaid.nih.gov/transcriptome/T_rubida/S1/links/Triru/Triru-5-48-asb-358.txt","Contig-358")</f>
        <v>Contig-358</v>
      </c>
      <c r="D444" t="str">
        <f>HYPERLINK("http://exon.niaid.nih.gov/transcriptome/T_rubida/S1/links/Triru/Triru-5-48-358-CLU.txt","Contig358")</f>
        <v>Contig358</v>
      </c>
      <c r="E444" t="str">
        <f>HYPERLINK("http://exon.niaid.nih.gov/transcriptome/T_rubida/S1/links/Triru/Triru-5-48-358-qual.txt","29.2")</f>
        <v>29.2</v>
      </c>
      <c r="F444" t="s">
        <v>10</v>
      </c>
      <c r="G444">
        <v>68.599999999999994</v>
      </c>
      <c r="H444">
        <v>433</v>
      </c>
      <c r="I444" t="s">
        <v>370</v>
      </c>
      <c r="J444">
        <v>433</v>
      </c>
      <c r="K444">
        <v>452</v>
      </c>
      <c r="L444">
        <v>216</v>
      </c>
      <c r="M444" t="s">
        <v>5483</v>
      </c>
      <c r="N444" s="15">
        <v>3</v>
      </c>
      <c r="O444" s="14" t="str">
        <f>HYPERLINK("http://exon.niaid.nih.gov/transcriptome/T_rubida/S1/links/Sigp/TRIRU-CONTIG_358-SigP.txt","Cyt")</f>
        <v>Cyt</v>
      </c>
      <c r="Q444" s="5" t="s">
        <v>4827</v>
      </c>
      <c r="R444" t="s">
        <v>4828</v>
      </c>
      <c r="V444" s="1" t="str">
        <f>HYPERLINK("http://exon.niaid.nih.gov/transcriptome/T_rubida/S1/links/NR/Triru-contig_358-NR.txt","sensory box-containing")</f>
        <v>sensory box-containing</v>
      </c>
      <c r="W444" t="str">
        <f>HYPERLINK("http://www.ncbi.nlm.nih.gov/sutils/blink.cgi?pid=170759045","2.3")</f>
        <v>2.3</v>
      </c>
      <c r="X444" t="str">
        <f>HYPERLINK("http://www.ncbi.nlm.nih.gov/protein/170759045","gi|170759045")</f>
        <v>gi|170759045</v>
      </c>
      <c r="Y444">
        <v>35.799999999999997</v>
      </c>
      <c r="Z444">
        <v>46</v>
      </c>
      <c r="AA444">
        <v>574</v>
      </c>
      <c r="AB444">
        <v>40</v>
      </c>
      <c r="AC444">
        <v>8</v>
      </c>
      <c r="AD444">
        <v>36</v>
      </c>
      <c r="AE444">
        <v>5</v>
      </c>
      <c r="AF444">
        <v>102</v>
      </c>
      <c r="AG444">
        <v>123</v>
      </c>
      <c r="AH444">
        <v>1</v>
      </c>
      <c r="AI444">
        <v>3</v>
      </c>
      <c r="AJ444" t="s">
        <v>11</v>
      </c>
      <c r="AK444">
        <v>4.3479999999999999</v>
      </c>
      <c r="AL444" t="s">
        <v>2900</v>
      </c>
      <c r="AM444" t="s">
        <v>2901</v>
      </c>
      <c r="AN444" t="s">
        <v>2902</v>
      </c>
      <c r="AO444" s="1" t="str">
        <f>HYPERLINK("http://exon.niaid.nih.gov/transcriptome/T_rubida/S1/links/SWISSP/Triru-contig_358-SWISSP.txt","Uncharacterized membrane protein ycf78")</f>
        <v>Uncharacterized membrane protein ycf78</v>
      </c>
      <c r="AP444" t="str">
        <f>HYPERLINK("http://www.uniprot.org/uniprot/Q1KVQ9","7.5")</f>
        <v>7.5</v>
      </c>
      <c r="AQ444" t="s">
        <v>2903</v>
      </c>
      <c r="AR444">
        <v>29.6</v>
      </c>
      <c r="AS444">
        <v>103</v>
      </c>
      <c r="AT444">
        <v>29</v>
      </c>
      <c r="AU444">
        <v>4</v>
      </c>
      <c r="AV444">
        <v>77</v>
      </c>
      <c r="AW444">
        <v>8</v>
      </c>
      <c r="AX444">
        <v>470</v>
      </c>
      <c r="AY444">
        <v>96</v>
      </c>
      <c r="AZ444">
        <v>1</v>
      </c>
      <c r="BA444">
        <v>3</v>
      </c>
      <c r="BB444" t="s">
        <v>11</v>
      </c>
      <c r="BC444">
        <v>1.9419999999999999</v>
      </c>
      <c r="BD444" t="s">
        <v>704</v>
      </c>
      <c r="BE444" t="s">
        <v>2904</v>
      </c>
      <c r="BF444" t="s">
        <v>2905</v>
      </c>
      <c r="BG444" t="s">
        <v>2906</v>
      </c>
      <c r="BH444" s="1" t="s">
        <v>57</v>
      </c>
      <c r="BI444" t="s">
        <v>57</v>
      </c>
      <c r="BJ444" s="1" t="str">
        <f>HYPERLINK("http://exon.niaid.nih.gov/transcriptome/T_rubida/S1/links/CDD/Triru-contig_358-CDD.txt","spore_ytvI")</f>
        <v>spore_ytvI</v>
      </c>
      <c r="BK444" t="str">
        <f>HYPERLINK("http://www.ncbi.nlm.nih.gov/Structure/cdd/cddsrv.cgi?uid=TIGR02872&amp;version=v4.0","0.12")</f>
        <v>0.12</v>
      </c>
      <c r="BL444" t="s">
        <v>2907</v>
      </c>
      <c r="BM444" s="1" t="str">
        <f>HYPERLINK("http://exon.niaid.nih.gov/transcriptome/T_rubida/S1/links/KOG/Triru-contig_358-KOG.txt","Prephenate dehydratase")</f>
        <v>Prephenate dehydratase</v>
      </c>
      <c r="BN444" t="str">
        <f>HYPERLINK("http://www.ncbi.nlm.nih.gov/COG/grace/shokog.cgi?KOG2797","1.8")</f>
        <v>1.8</v>
      </c>
      <c r="BO444" t="s">
        <v>839</v>
      </c>
      <c r="BP444" s="1" t="str">
        <f>HYPERLINK("http://exon.niaid.nih.gov/transcriptome/T_rubida/S1/links/PFAM/Triru-contig_358-PFAM.txt","DUF3792")</f>
        <v>DUF3792</v>
      </c>
      <c r="BQ444" t="str">
        <f>HYPERLINK("http://pfam.sanger.ac.uk/family?acc=PF12670","0.037")</f>
        <v>0.037</v>
      </c>
      <c r="BR444" s="1" t="str">
        <f>HYPERLINK("http://exon.niaid.nih.gov/transcriptome/T_rubida/S1/links/SMART/Triru-contig_358-SMART.txt","FH")</f>
        <v>FH</v>
      </c>
      <c r="BS444" t="str">
        <f>HYPERLINK("http://smart.embl-heidelberg.de/smart/do_annotation.pl?DOMAIN=FH&amp;BLAST=DUMMY","0.077")</f>
        <v>0.077</v>
      </c>
      <c r="BT444" s="1" t="str">
        <f>HYPERLINK("http://exon.niaid.nih.gov/transcriptome/T_rubida/S1/links/PRK/Triru-contig_358-PRK.txt","malate:quinone oxidoreductase")</f>
        <v>malate:quinone oxidoreductase</v>
      </c>
      <c r="BU444">
        <v>0.26</v>
      </c>
      <c r="BV444" s="1" t="s">
        <v>57</v>
      </c>
      <c r="BW444" t="s">
        <v>57</v>
      </c>
      <c r="BX444" s="1" t="s">
        <v>57</v>
      </c>
      <c r="BY444" t="s">
        <v>57</v>
      </c>
    </row>
    <row r="445" spans="1:77">
      <c r="A445" t="str">
        <f>HYPERLINK("http://exon.niaid.nih.gov/transcriptome/T_rubida/S1/links/Triru/Triru-contig_225.txt","Triru-contig_225")</f>
        <v>Triru-contig_225</v>
      </c>
      <c r="B445">
        <v>1</v>
      </c>
      <c r="C445" t="str">
        <f>HYPERLINK("http://exon.niaid.nih.gov/transcriptome/T_rubida/S1/links/Triru/Triru-5-48-asb-225.txt","Contig-225")</f>
        <v>Contig-225</v>
      </c>
      <c r="D445" t="str">
        <f>HYPERLINK("http://exon.niaid.nih.gov/transcriptome/T_rubida/S1/links/Triru/Triru-5-48-225-CLU.txt","Contig225")</f>
        <v>Contig225</v>
      </c>
      <c r="E445" t="str">
        <f>HYPERLINK("http://exon.niaid.nih.gov/transcriptome/T_rubida/S1/links/Triru/Triru-5-48-225-qual.txt","48.3")</f>
        <v>48.3</v>
      </c>
      <c r="F445" t="s">
        <v>10</v>
      </c>
      <c r="G445">
        <v>74.400000000000006</v>
      </c>
      <c r="H445">
        <v>388</v>
      </c>
      <c r="I445" t="s">
        <v>237</v>
      </c>
      <c r="J445">
        <v>388</v>
      </c>
      <c r="K445">
        <v>407</v>
      </c>
      <c r="L445">
        <v>219</v>
      </c>
      <c r="M445" t="s">
        <v>5559</v>
      </c>
      <c r="N445" s="15">
        <v>2</v>
      </c>
      <c r="Q445" s="5" t="s">
        <v>4827</v>
      </c>
      <c r="R445" t="s">
        <v>4828</v>
      </c>
      <c r="V445" s="1" t="str">
        <f>HYPERLINK("http://exon.niaid.nih.gov/transcriptome/T_rubida/S1/links/NR/Triru-contig_225-NR.txt","hypothetical protein LOAG_08480")</f>
        <v>hypothetical protein LOAG_08480</v>
      </c>
      <c r="W445" t="str">
        <f>HYPERLINK("http://www.ncbi.nlm.nih.gov/sutils/blink.cgi?pid=312083912","2.3")</f>
        <v>2.3</v>
      </c>
      <c r="X445" t="str">
        <f>HYPERLINK("http://www.ncbi.nlm.nih.gov/protein/312083912","gi|312083912")</f>
        <v>gi|312083912</v>
      </c>
      <c r="Y445">
        <v>35.799999999999997</v>
      </c>
      <c r="Z445">
        <v>61</v>
      </c>
      <c r="AA445">
        <v>121</v>
      </c>
      <c r="AB445">
        <v>33</v>
      </c>
      <c r="AC445">
        <v>51</v>
      </c>
      <c r="AD445">
        <v>32</v>
      </c>
      <c r="AE445">
        <v>0</v>
      </c>
      <c r="AF445">
        <v>55</v>
      </c>
      <c r="AG445">
        <v>156</v>
      </c>
      <c r="AH445">
        <v>3</v>
      </c>
      <c r="AI445">
        <v>3</v>
      </c>
      <c r="AJ445" t="s">
        <v>11</v>
      </c>
      <c r="AK445">
        <v>3.2789999999999999</v>
      </c>
      <c r="AL445" t="s">
        <v>2021</v>
      </c>
      <c r="AM445" t="s">
        <v>2022</v>
      </c>
      <c r="AN445" t="s">
        <v>2023</v>
      </c>
      <c r="AO445" s="1" t="str">
        <f>HYPERLINK("http://exon.niaid.nih.gov/transcriptome/T_rubida/S1/links/SWISSP/Triru-contig_225-SWISSP.txt","Glucosylceramidase")</f>
        <v>Glucosylceramidase</v>
      </c>
      <c r="AP445" t="str">
        <f>HYPERLINK("http://www.uniprot.org/uniprot/Q70KH2","2.8")</f>
        <v>2.8</v>
      </c>
      <c r="AQ445" t="s">
        <v>2024</v>
      </c>
      <c r="AR445">
        <v>30.8</v>
      </c>
      <c r="AS445">
        <v>55</v>
      </c>
      <c r="AT445">
        <v>28</v>
      </c>
      <c r="AU445">
        <v>10</v>
      </c>
      <c r="AV445">
        <v>40</v>
      </c>
      <c r="AW445">
        <v>3</v>
      </c>
      <c r="AX445">
        <v>444</v>
      </c>
      <c r="AY445">
        <v>7</v>
      </c>
      <c r="AZ445">
        <v>1</v>
      </c>
      <c r="BA445">
        <v>1</v>
      </c>
      <c r="BB445" t="s">
        <v>11</v>
      </c>
      <c r="BC445">
        <v>1.8180000000000001</v>
      </c>
      <c r="BD445" t="s">
        <v>704</v>
      </c>
      <c r="BE445" t="s">
        <v>2025</v>
      </c>
      <c r="BF445" t="s">
        <v>2026</v>
      </c>
      <c r="BG445" t="s">
        <v>2027</v>
      </c>
      <c r="BH445" s="1" t="s">
        <v>57</v>
      </c>
      <c r="BI445" t="s">
        <v>57</v>
      </c>
      <c r="BJ445" s="1" t="str">
        <f>HYPERLINK("http://exon.niaid.nih.gov/transcriptome/T_rubida/S1/links/CDD/Triru-contig_225-CDD.txt","VanZ")</f>
        <v>VanZ</v>
      </c>
      <c r="BK445" t="str">
        <f>HYPERLINK("http://www.ncbi.nlm.nih.gov/Structure/cdd/cddsrv.cgi?uid=COG4767&amp;version=v4.0","0.062")</f>
        <v>0.062</v>
      </c>
      <c r="BL445" t="s">
        <v>2028</v>
      </c>
      <c r="BM445" s="1" t="str">
        <f>HYPERLINK("http://exon.niaid.nih.gov/transcriptome/T_rubida/S1/links/KOG/Triru-contig_225-KOG.txt","Uncharacterized conserved protein")</f>
        <v>Uncharacterized conserved protein</v>
      </c>
      <c r="BN445" t="str">
        <f>HYPERLINK("http://www.ncbi.nlm.nih.gov/COG/grace/shokog.cgi?KOG1134","0.34")</f>
        <v>0.34</v>
      </c>
      <c r="BO445" t="s">
        <v>750</v>
      </c>
      <c r="BP445" s="1" t="str">
        <f>HYPERLINK("http://exon.niaid.nih.gov/transcriptome/T_rubida/S1/links/PFAM/Triru-contig_225-PFAM.txt","Suf")</f>
        <v>Suf</v>
      </c>
      <c r="BQ445" t="str">
        <f>HYPERLINK("http://pfam.sanger.ac.uk/family?acc=PF05843","0.086")</f>
        <v>0.086</v>
      </c>
      <c r="BR445" s="1" t="str">
        <f>HYPERLINK("http://exon.niaid.nih.gov/transcriptome/T_rubida/S1/links/SMART/Triru-contig_225-SMART.txt","RIBOc")</f>
        <v>RIBOc</v>
      </c>
      <c r="BS445" t="str">
        <f>HYPERLINK("http://smart.embl-heidelberg.de/smart/do_annotation.pl?DOMAIN=RIBOc&amp;BLAST=DUMMY","0.058")</f>
        <v>0.058</v>
      </c>
      <c r="BT445" s="1" t="str">
        <f>HYPERLINK("http://exon.niaid.nih.gov/transcriptome/T_rubida/S1/links/PRK/Triru-contig_225-PRK.txt","CD47-like protein")</f>
        <v>CD47-like protein</v>
      </c>
      <c r="BU445">
        <v>0.81</v>
      </c>
      <c r="BV445" s="1" t="s">
        <v>57</v>
      </c>
      <c r="BW445" t="s">
        <v>57</v>
      </c>
      <c r="BX445" s="1" t="s">
        <v>57</v>
      </c>
      <c r="BY445" t="s">
        <v>57</v>
      </c>
    </row>
    <row r="446" spans="1:77">
      <c r="A446" t="str">
        <f>HYPERLINK("http://exon.niaid.nih.gov/transcriptome/T_rubida/S1/links/Triru/Triru-contig_315.txt","Triru-contig_315")</f>
        <v>Triru-contig_315</v>
      </c>
      <c r="B446">
        <v>1</v>
      </c>
      <c r="C446" t="str">
        <f>HYPERLINK("http://exon.niaid.nih.gov/transcriptome/T_rubida/S1/links/Triru/Triru-5-48-asb-315.txt","Contig-315")</f>
        <v>Contig-315</v>
      </c>
      <c r="D446" t="str">
        <f>HYPERLINK("http://exon.niaid.nih.gov/transcriptome/T_rubida/S1/links/Triru/Triru-5-48-315-CLU.txt","Contig315")</f>
        <v>Contig315</v>
      </c>
      <c r="E446" t="str">
        <f>HYPERLINK("http://exon.niaid.nih.gov/transcriptome/T_rubida/S1/links/Triru/Triru-5-48-315-qual.txt","36.4")</f>
        <v>36.4</v>
      </c>
      <c r="F446" t="s">
        <v>10</v>
      </c>
      <c r="G446">
        <v>66.8</v>
      </c>
      <c r="H446">
        <v>1059</v>
      </c>
      <c r="I446" t="s">
        <v>327</v>
      </c>
      <c r="J446">
        <v>1059</v>
      </c>
      <c r="K446">
        <v>1078</v>
      </c>
      <c r="L446">
        <v>312</v>
      </c>
      <c r="M446" t="s">
        <v>5457</v>
      </c>
      <c r="N446" s="15">
        <v>1</v>
      </c>
      <c r="O446" s="14" t="str">
        <f>HYPERLINK("http://exon.niaid.nih.gov/transcriptome/T_rubida/S1/links/Sigp/TRIRU-CONTIG_315-SigP.txt","Cyt")</f>
        <v>Cyt</v>
      </c>
      <c r="Q446" s="5" t="s">
        <v>4827</v>
      </c>
      <c r="R446" t="s">
        <v>4828</v>
      </c>
      <c r="V446" s="1" t="str">
        <f>HYPERLINK("http://exon.niaid.nih.gov/transcriptome/T_rubida/S1/links/NR/Triru-contig_315-NR.txt","YaeT")</f>
        <v>YaeT</v>
      </c>
      <c r="W446" t="str">
        <f>HYPERLINK("http://www.ncbi.nlm.nih.gov/sutils/blink.cgi?pid=116515086","2.4")</f>
        <v>2.4</v>
      </c>
      <c r="X446" t="str">
        <f>HYPERLINK("http://www.ncbi.nlm.nih.gov/protein/116515086","gi|116515086")</f>
        <v>gi|116515086</v>
      </c>
      <c r="Y446">
        <v>38.1</v>
      </c>
      <c r="Z446">
        <v>81</v>
      </c>
      <c r="AA446">
        <v>571</v>
      </c>
      <c r="AB446">
        <v>31</v>
      </c>
      <c r="AC446">
        <v>14</v>
      </c>
      <c r="AD446">
        <v>57</v>
      </c>
      <c r="AE446">
        <v>2</v>
      </c>
      <c r="AF446">
        <v>22</v>
      </c>
      <c r="AG446">
        <v>313</v>
      </c>
      <c r="AH446">
        <v>1</v>
      </c>
      <c r="AI446">
        <v>1</v>
      </c>
      <c r="AJ446" t="s">
        <v>11</v>
      </c>
      <c r="AL446" t="s">
        <v>2612</v>
      </c>
      <c r="AM446" t="s">
        <v>2613</v>
      </c>
      <c r="AN446" t="s">
        <v>2614</v>
      </c>
      <c r="AO446" s="1" t="str">
        <f>HYPERLINK("http://exon.niaid.nih.gov/transcriptome/T_rubida/S1/links/SWISSP/Triru-contig_315-SWISSP.txt","Uncharacterized protein bbp_081")</f>
        <v>Uncharacterized protein bbp_081</v>
      </c>
      <c r="AP446" t="str">
        <f>HYPERLINK("http://www.uniprot.org/uniprot/Q89AY7","6.2")</f>
        <v>6.2</v>
      </c>
      <c r="AQ446" t="s">
        <v>2615</v>
      </c>
      <c r="AR446">
        <v>32.299999999999997</v>
      </c>
      <c r="AS446">
        <v>41</v>
      </c>
      <c r="AT446">
        <v>42</v>
      </c>
      <c r="AU446">
        <v>6</v>
      </c>
      <c r="AV446">
        <v>24</v>
      </c>
      <c r="AW446">
        <v>1</v>
      </c>
      <c r="AX446">
        <v>386</v>
      </c>
      <c r="AY446">
        <v>495</v>
      </c>
      <c r="AZ446">
        <v>1</v>
      </c>
      <c r="BA446">
        <v>3</v>
      </c>
      <c r="BB446" t="s">
        <v>11</v>
      </c>
      <c r="BC446">
        <v>2.4390000000000001</v>
      </c>
      <c r="BD446" t="s">
        <v>704</v>
      </c>
      <c r="BE446" t="s">
        <v>1741</v>
      </c>
      <c r="BF446" t="s">
        <v>2616</v>
      </c>
      <c r="BG446" t="s">
        <v>2617</v>
      </c>
      <c r="BH446" s="1" t="s">
        <v>57</v>
      </c>
      <c r="BI446" t="s">
        <v>57</v>
      </c>
      <c r="BJ446" s="1" t="str">
        <f>HYPERLINK("http://exon.niaid.nih.gov/transcriptome/T_rubida/S1/links/CDD/Triru-contig_315-CDD.txt","ND6")</f>
        <v>ND6</v>
      </c>
      <c r="BK446" t="str">
        <f>HYPERLINK("http://www.ncbi.nlm.nih.gov/Structure/cdd/cddsrv.cgi?uid=MTH00097&amp;version=v4.0","0.020")</f>
        <v>0.020</v>
      </c>
      <c r="BL446" t="s">
        <v>2618</v>
      </c>
      <c r="BM446" s="1" t="str">
        <f>HYPERLINK("http://exon.niaid.nih.gov/transcriptome/T_rubida/S1/links/KOG/Triru-contig_315-KOG.txt","Uncharacterized conserved protein, contains WD40 repeats")</f>
        <v>Uncharacterized conserved protein, contains WD40 repeats</v>
      </c>
      <c r="BN446" t="str">
        <f>HYPERLINK("http://www.ncbi.nlm.nih.gov/COG/grace/shokog.cgi?KOG2111","0.67")</f>
        <v>0.67</v>
      </c>
      <c r="BO446" t="s">
        <v>737</v>
      </c>
      <c r="BP446" s="1" t="str">
        <f>HYPERLINK("http://exon.niaid.nih.gov/transcriptome/T_rubida/S1/links/PFAM/Triru-contig_315-PFAM.txt","Mannosyl_trans")</f>
        <v>Mannosyl_trans</v>
      </c>
      <c r="BQ446" t="str">
        <f>HYPERLINK("http://pfam.sanger.ac.uk/family?acc=PF05007","0.16")</f>
        <v>0.16</v>
      </c>
      <c r="BR446" s="1" t="str">
        <f>HYPERLINK("http://exon.niaid.nih.gov/transcriptome/T_rubida/S1/links/SMART/Triru-contig_315-SMART.txt","BPI1")</f>
        <v>BPI1</v>
      </c>
      <c r="BS446" t="str">
        <f>HYPERLINK("http://smart.embl-heidelberg.de/smart/do_annotation.pl?DOMAIN=BPI1&amp;BLAST=DUMMY","2E-004")</f>
        <v>2E-004</v>
      </c>
      <c r="BT446" s="1" t="str">
        <f>HYPERLINK("http://exon.niaid.nih.gov/transcriptome/T_rubida/S1/links/PRK/Triru-contig_315-PRK.txt","NADH dehydrogenase subunit 6")</f>
        <v>NADH dehydrogenase subunit 6</v>
      </c>
      <c r="BU446">
        <v>8.9999999999999993E-3</v>
      </c>
      <c r="BV446" s="1" t="s">
        <v>57</v>
      </c>
      <c r="BW446" t="s">
        <v>57</v>
      </c>
      <c r="BX446" s="1" t="s">
        <v>57</v>
      </c>
      <c r="BY446" t="s">
        <v>57</v>
      </c>
    </row>
    <row r="447" spans="1:77">
      <c r="A447" t="str">
        <f>HYPERLINK("http://exon.niaid.nih.gov/transcriptome/T_rubida/S1/links/Triru/Triru-contig_406.txt","Triru-contig_406")</f>
        <v>Triru-contig_406</v>
      </c>
      <c r="B447">
        <v>1</v>
      </c>
      <c r="C447" t="str">
        <f>HYPERLINK("http://exon.niaid.nih.gov/transcriptome/T_rubida/S1/links/Triru/Triru-5-48-asb-406.txt","Contig-406")</f>
        <v>Contig-406</v>
      </c>
      <c r="D447" t="str">
        <f>HYPERLINK("http://exon.niaid.nih.gov/transcriptome/T_rubida/S1/links/Triru/Triru-5-48-406-CLU.txt","Contig406")</f>
        <v>Contig406</v>
      </c>
      <c r="E447" t="str">
        <f>HYPERLINK("http://exon.niaid.nih.gov/transcriptome/T_rubida/S1/links/Triru/Triru-5-48-406-qual.txt","59.7")</f>
        <v>59.7</v>
      </c>
      <c r="F447" t="s">
        <v>10</v>
      </c>
      <c r="G447">
        <v>70.8</v>
      </c>
      <c r="H447">
        <v>662</v>
      </c>
      <c r="I447" t="s">
        <v>418</v>
      </c>
      <c r="J447">
        <v>662</v>
      </c>
      <c r="K447">
        <v>681</v>
      </c>
      <c r="L447">
        <v>222</v>
      </c>
      <c r="M447" t="s">
        <v>5591</v>
      </c>
      <c r="N447" s="15">
        <v>1</v>
      </c>
      <c r="O447" s="14" t="str">
        <f>HYPERLINK("http://exon.niaid.nih.gov/transcriptome/T_rubida/S1/links/Sigp/TRIRU-CONTIG_406-SigP.txt","Cyt")</f>
        <v>Cyt</v>
      </c>
      <c r="Q447" s="5" t="s">
        <v>4827</v>
      </c>
      <c r="R447" t="s">
        <v>4828</v>
      </c>
      <c r="V447" s="1" t="str">
        <f>HYPERLINK("http://exon.niaid.nih.gov/transcriptome/T_rubida/S1/links/NR/Triru-contig_406-NR.txt","hypothetical protein NCER_100615")</f>
        <v>hypothetical protein NCER_100615</v>
      </c>
      <c r="W447" t="str">
        <f>HYPERLINK("http://www.ncbi.nlm.nih.gov/sutils/blink.cgi?pid=300708250","2.4")</f>
        <v>2.4</v>
      </c>
      <c r="X447" t="str">
        <f>HYPERLINK("http://www.ncbi.nlm.nih.gov/protein/300708250","gi|300708250")</f>
        <v>gi|300708250</v>
      </c>
      <c r="Y447">
        <v>37</v>
      </c>
      <c r="Z447">
        <v>70</v>
      </c>
      <c r="AA447">
        <v>575</v>
      </c>
      <c r="AB447">
        <v>29</v>
      </c>
      <c r="AC447">
        <v>12</v>
      </c>
      <c r="AD447">
        <v>59</v>
      </c>
      <c r="AE447">
        <v>0</v>
      </c>
      <c r="AF447">
        <v>195</v>
      </c>
      <c r="AG447">
        <v>391</v>
      </c>
      <c r="AH447">
        <v>1</v>
      </c>
      <c r="AI447">
        <v>1</v>
      </c>
      <c r="AJ447" t="s">
        <v>11</v>
      </c>
      <c r="AK447">
        <v>1.429</v>
      </c>
      <c r="AL447" t="s">
        <v>3234</v>
      </c>
      <c r="AM447" t="s">
        <v>3235</v>
      </c>
      <c r="AN447" t="s">
        <v>3236</v>
      </c>
      <c r="AO447" s="1" t="str">
        <f>HYPERLINK("http://exon.niaid.nih.gov/transcriptome/T_rubida/S1/links/SWISSP/Triru-contig_406-SWISSP.txt","Cytochrome c oxidase subunit 2")</f>
        <v>Cytochrome c oxidase subunit 2</v>
      </c>
      <c r="AP447" t="str">
        <f>HYPERLINK("http://www.uniprot.org/uniprot/P20375","1.8")</f>
        <v>1.8</v>
      </c>
      <c r="AQ447" t="s">
        <v>3237</v>
      </c>
      <c r="AR447">
        <v>33.1</v>
      </c>
      <c r="AS447">
        <v>60</v>
      </c>
      <c r="AT447">
        <v>31</v>
      </c>
      <c r="AU447">
        <v>27</v>
      </c>
      <c r="AV447">
        <v>42</v>
      </c>
      <c r="AW447">
        <v>0</v>
      </c>
      <c r="AX447">
        <v>16</v>
      </c>
      <c r="AY447">
        <v>397</v>
      </c>
      <c r="AZ447">
        <v>1</v>
      </c>
      <c r="BA447">
        <v>1</v>
      </c>
      <c r="BB447" t="s">
        <v>11</v>
      </c>
      <c r="BC447">
        <v>1.667</v>
      </c>
      <c r="BD447" t="s">
        <v>704</v>
      </c>
      <c r="BE447" t="s">
        <v>3238</v>
      </c>
      <c r="BF447" t="s">
        <v>3239</v>
      </c>
      <c r="BG447" t="s">
        <v>3240</v>
      </c>
      <c r="BH447" s="1" t="s">
        <v>57</v>
      </c>
      <c r="BI447" t="s">
        <v>57</v>
      </c>
      <c r="BJ447" s="1" t="str">
        <f>HYPERLINK("http://exon.niaid.nih.gov/transcriptome/T_rubida/S1/links/CDD/Triru-contig_406-CDD.txt","ND2")</f>
        <v>ND2</v>
      </c>
      <c r="BK447" t="str">
        <f>HYPERLINK("http://www.ncbi.nlm.nih.gov/Structure/cdd/cddsrv.cgi?uid=MTH00160&amp;version=v4.0","3E-004")</f>
        <v>3E-004</v>
      </c>
      <c r="BL447" t="s">
        <v>3241</v>
      </c>
      <c r="BM447" s="1" t="str">
        <f>HYPERLINK("http://exon.niaid.nih.gov/transcriptome/T_rubida/S1/links/KOG/Triru-contig_406-KOG.txt","Fructose-6-phosphate 2-kinase/fructose-2,6-biphosphatase")</f>
        <v>Fructose-6-phosphate 2-kinase/fructose-2,6-biphosphatase</v>
      </c>
      <c r="BN447" t="str">
        <f>HYPERLINK("http://www.ncbi.nlm.nih.gov/COG/grace/shokog.cgi?KOG0234","0.68")</f>
        <v>0.68</v>
      </c>
      <c r="BO447" t="s">
        <v>946</v>
      </c>
      <c r="BP447" s="1" t="str">
        <f>HYPERLINK("http://exon.niaid.nih.gov/transcriptome/T_rubida/S1/links/PFAM/Triru-contig_406-PFAM.txt","Pox_polyA_pol_N")</f>
        <v>Pox_polyA_pol_N</v>
      </c>
      <c r="BQ447" t="str">
        <f>HYPERLINK("http://pfam.sanger.ac.uk/family?acc=PF12630","0.009")</f>
        <v>0.009</v>
      </c>
      <c r="BR447" s="1" t="str">
        <f>HYPERLINK("http://exon.niaid.nih.gov/transcriptome/T_rubida/S1/links/SMART/Triru-contig_406-SMART.txt","Brix")</f>
        <v>Brix</v>
      </c>
      <c r="BS447" t="str">
        <f>HYPERLINK("http://smart.embl-heidelberg.de/smart/do_annotation.pl?DOMAIN=Brix&amp;BLAST=DUMMY","0.14")</f>
        <v>0.14</v>
      </c>
      <c r="BT447" s="1" t="str">
        <f>HYPERLINK("http://exon.niaid.nih.gov/transcriptome/T_rubida/S1/links/PRK/Triru-contig_406-PRK.txt","NADH dehydrogenase subunit 2")</f>
        <v>NADH dehydrogenase subunit 2</v>
      </c>
      <c r="BU447" s="2">
        <v>1E-4</v>
      </c>
      <c r="BV447" s="1" t="s">
        <v>57</v>
      </c>
      <c r="BW447" t="s">
        <v>57</v>
      </c>
      <c r="BX447" s="1" t="s">
        <v>57</v>
      </c>
      <c r="BY447" t="s">
        <v>57</v>
      </c>
    </row>
    <row r="448" spans="1:77">
      <c r="A448" t="str">
        <f>HYPERLINK("http://exon.niaid.nih.gov/transcriptome/T_rubida/S1/links/Triru/Triru-contig_264.txt","Triru-contig_264")</f>
        <v>Triru-contig_264</v>
      </c>
      <c r="B448">
        <v>1</v>
      </c>
      <c r="C448" t="str">
        <f>HYPERLINK("http://exon.niaid.nih.gov/transcriptome/T_rubida/S1/links/Triru/Triru-5-48-asb-264.txt","Contig-264")</f>
        <v>Contig-264</v>
      </c>
      <c r="D448" t="str">
        <f>HYPERLINK("http://exon.niaid.nih.gov/transcriptome/T_rubida/S1/links/Triru/Triru-5-48-264-CLU.txt","Contig264")</f>
        <v>Contig264</v>
      </c>
      <c r="E448" t="str">
        <f>HYPERLINK("http://exon.niaid.nih.gov/transcriptome/T_rubida/S1/links/Triru/Triru-5-48-264-qual.txt","62.")</f>
        <v>62.</v>
      </c>
      <c r="F448" t="s">
        <v>10</v>
      </c>
      <c r="G448">
        <v>62.5</v>
      </c>
      <c r="H448">
        <v>610</v>
      </c>
      <c r="I448" t="s">
        <v>276</v>
      </c>
      <c r="J448">
        <v>610</v>
      </c>
      <c r="K448">
        <v>629</v>
      </c>
      <c r="L448">
        <v>222</v>
      </c>
      <c r="M448" t="s">
        <v>5650</v>
      </c>
      <c r="N448" s="15">
        <v>1</v>
      </c>
      <c r="O448" s="14" t="str">
        <f>HYPERLINK("http://exon.niaid.nih.gov/transcriptome/T_rubida/S1/links/Sigp/TRIRU-CONTIG_264-SigP.txt","Cyt")</f>
        <v>Cyt</v>
      </c>
      <c r="Q448" s="5" t="s">
        <v>4827</v>
      </c>
      <c r="R448" t="s">
        <v>4828</v>
      </c>
      <c r="V448" s="1" t="str">
        <f>HYPERLINK("http://exon.niaid.nih.gov/transcriptome/T_rubida/S1/links/NR/Triru-contig_264-NR.txt","hypothetical protein SCHCODRAFT_46566")</f>
        <v>hypothetical protein SCHCODRAFT_46566</v>
      </c>
      <c r="W448" t="str">
        <f>HYPERLINK("http://www.ncbi.nlm.nih.gov/sutils/blink.cgi?pid=302694873","2.5")</f>
        <v>2.5</v>
      </c>
      <c r="X448" t="str">
        <f>HYPERLINK("http://www.ncbi.nlm.nih.gov/protein/302694873","gi|302694873")</f>
        <v>gi|302694873</v>
      </c>
      <c r="Y448">
        <v>36.6</v>
      </c>
      <c r="Z448">
        <v>45</v>
      </c>
      <c r="AA448">
        <v>458</v>
      </c>
      <c r="AB448">
        <v>32</v>
      </c>
      <c r="AC448">
        <v>10</v>
      </c>
      <c r="AD448">
        <v>31</v>
      </c>
      <c r="AE448">
        <v>0</v>
      </c>
      <c r="AF448">
        <v>82</v>
      </c>
      <c r="AG448">
        <v>73</v>
      </c>
      <c r="AH448">
        <v>1</v>
      </c>
      <c r="AI448">
        <v>1</v>
      </c>
      <c r="AJ448" t="s">
        <v>11</v>
      </c>
      <c r="AL448" t="s">
        <v>2257</v>
      </c>
      <c r="AM448" t="s">
        <v>2258</v>
      </c>
      <c r="AN448" t="s">
        <v>2259</v>
      </c>
      <c r="AO448" s="1" t="str">
        <f>HYPERLINK("http://exon.niaid.nih.gov/transcriptome/T_rubida/S1/links/SWISSP/Triru-contig_264-SWISSP.txt","Uncoordinated protein 79")</f>
        <v>Uncoordinated protein 79</v>
      </c>
      <c r="AP448" t="str">
        <f>HYPERLINK("http://www.uniprot.org/uniprot/P42173","0.39")</f>
        <v>0.39</v>
      </c>
      <c r="AQ448" t="s">
        <v>2260</v>
      </c>
      <c r="AR448">
        <v>35</v>
      </c>
      <c r="AS448">
        <v>132</v>
      </c>
      <c r="AT448">
        <v>26</v>
      </c>
      <c r="AU448">
        <v>15</v>
      </c>
      <c r="AV448">
        <v>102</v>
      </c>
      <c r="AW448">
        <v>13</v>
      </c>
      <c r="AX448">
        <v>695</v>
      </c>
      <c r="AY448">
        <v>53</v>
      </c>
      <c r="AZ448">
        <v>1</v>
      </c>
      <c r="BA448">
        <v>2</v>
      </c>
      <c r="BB448" t="s">
        <v>11</v>
      </c>
      <c r="BC448">
        <v>1.5149999999999999</v>
      </c>
      <c r="BD448" t="s">
        <v>704</v>
      </c>
      <c r="BE448" t="s">
        <v>1385</v>
      </c>
      <c r="BF448" t="s">
        <v>2261</v>
      </c>
      <c r="BG448" t="s">
        <v>2262</v>
      </c>
      <c r="BH448" s="1" t="s">
        <v>57</v>
      </c>
      <c r="BI448" t="s">
        <v>57</v>
      </c>
      <c r="BJ448" s="1" t="str">
        <f>HYPERLINK("http://exon.niaid.nih.gov/transcriptome/T_rubida/S1/links/CDD/Triru-contig_264-CDD.txt","Plant_vir_prot")</f>
        <v>Plant_vir_prot</v>
      </c>
      <c r="BK448" t="str">
        <f>HYPERLINK("http://www.ncbi.nlm.nih.gov/Structure/cdd/cddsrv.cgi?uid=pfam01307&amp;version=v4.0","0.017")</f>
        <v>0.017</v>
      </c>
      <c r="BL448" t="s">
        <v>2263</v>
      </c>
      <c r="BM448" s="1" t="str">
        <f>HYPERLINK("http://exon.niaid.nih.gov/transcriptome/T_rubida/S1/links/KOG/Triru-contig_264-KOG.txt","Synaptic vesicle transporter SVOP and related transporters (major facilitator superfamily)")</f>
        <v>Synaptic vesicle transporter SVOP and related transporters (major facilitator superfamily)</v>
      </c>
      <c r="BN448" t="str">
        <f>HYPERLINK("http://www.ncbi.nlm.nih.gov/COG/grace/shokog.cgi?KOG0255","0.035")</f>
        <v>0.035</v>
      </c>
      <c r="BO448" t="s">
        <v>750</v>
      </c>
      <c r="BP448" s="1" t="str">
        <f>HYPERLINK("http://exon.niaid.nih.gov/transcriptome/T_rubida/S1/links/PFAM/Triru-contig_264-PFAM.txt","Plant_vir_prot")</f>
        <v>Plant_vir_prot</v>
      </c>
      <c r="BQ448" t="str">
        <f>HYPERLINK("http://pfam.sanger.ac.uk/family?acc=PF01307","0.003")</f>
        <v>0.003</v>
      </c>
      <c r="BR448" s="1" t="str">
        <f>HYPERLINK("http://exon.niaid.nih.gov/transcriptome/T_rubida/S1/links/SMART/Triru-contig_264-SMART.txt","AgrB")</f>
        <v>AgrB</v>
      </c>
      <c r="BS448" t="str">
        <f>HYPERLINK("http://smart.embl-heidelberg.de/smart/do_annotation.pl?DOMAIN=AgrB&amp;BLAST=DUMMY","0.017")</f>
        <v>0.017</v>
      </c>
      <c r="BT448" s="1" t="str">
        <f>HYPERLINK("http://exon.niaid.nih.gov/transcriptome/T_rubida/S1/links/PRK/Triru-contig_264-PRK.txt","NADH dehydrogenase subunit 6")</f>
        <v>NADH dehydrogenase subunit 6</v>
      </c>
      <c r="BU448">
        <v>0.04</v>
      </c>
      <c r="BV448" s="1" t="s">
        <v>57</v>
      </c>
      <c r="BW448" t="s">
        <v>57</v>
      </c>
      <c r="BX448" s="1" t="s">
        <v>57</v>
      </c>
      <c r="BY448" t="s">
        <v>57</v>
      </c>
    </row>
    <row r="449" spans="1:77">
      <c r="A449" t="str">
        <f>HYPERLINK("http://exon.niaid.nih.gov/transcriptome/T_rubida/S1/links/Triru/Triru-contig_413.txt","Triru-contig_413")</f>
        <v>Triru-contig_413</v>
      </c>
      <c r="B449">
        <v>1</v>
      </c>
      <c r="C449" t="str">
        <f>HYPERLINK("http://exon.niaid.nih.gov/transcriptome/T_rubida/S1/links/Triru/Triru-5-48-asb-413.txt","Contig-413")</f>
        <v>Contig-413</v>
      </c>
      <c r="D449" t="str">
        <f>HYPERLINK("http://exon.niaid.nih.gov/transcriptome/T_rubida/S1/links/Triru/Triru-5-48-413-CLU.txt","Contig413")</f>
        <v>Contig413</v>
      </c>
      <c r="E449" t="str">
        <f>HYPERLINK("http://exon.niaid.nih.gov/transcriptome/T_rubida/S1/links/Triru/Triru-5-48-413-qual.txt","37.8")</f>
        <v>37.8</v>
      </c>
      <c r="F449" t="s">
        <v>10</v>
      </c>
      <c r="G449">
        <v>71.599999999999994</v>
      </c>
      <c r="H449">
        <v>693</v>
      </c>
      <c r="I449" t="s">
        <v>425</v>
      </c>
      <c r="J449">
        <v>693</v>
      </c>
      <c r="K449">
        <v>712</v>
      </c>
      <c r="L449">
        <v>222</v>
      </c>
      <c r="M449" t="s">
        <v>5591</v>
      </c>
      <c r="N449" s="15">
        <v>2</v>
      </c>
      <c r="O449" s="14" t="str">
        <f>HYPERLINK("http://exon.niaid.nih.gov/transcriptome/T_rubida/S1/links/Sigp/TRIRU-CONTIG_413-SigP.txt","Cyt")</f>
        <v>Cyt</v>
      </c>
      <c r="Q449" s="5" t="s">
        <v>4827</v>
      </c>
      <c r="R449" t="s">
        <v>4828</v>
      </c>
      <c r="V449" s="1" t="str">
        <f>HYPERLINK("http://exon.niaid.nih.gov/transcriptome/T_rubida/S1/links/NR/Triru-contig_413-NR.txt","hypothetical protein NCER_100615")</f>
        <v>hypothetical protein NCER_100615</v>
      </c>
      <c r="W449" t="str">
        <f>HYPERLINK("http://www.ncbi.nlm.nih.gov/sutils/blink.cgi?pid=300708250","2.6")</f>
        <v>2.6</v>
      </c>
      <c r="X449" t="str">
        <f>HYPERLINK("http://www.ncbi.nlm.nih.gov/protein/300708250","gi|300708250")</f>
        <v>gi|300708250</v>
      </c>
      <c r="Y449">
        <v>37</v>
      </c>
      <c r="Z449">
        <v>70</v>
      </c>
      <c r="AA449">
        <v>575</v>
      </c>
      <c r="AB449">
        <v>29</v>
      </c>
      <c r="AC449">
        <v>12</v>
      </c>
      <c r="AD449">
        <v>59</v>
      </c>
      <c r="AE449">
        <v>0</v>
      </c>
      <c r="AF449">
        <v>195</v>
      </c>
      <c r="AG449">
        <v>389</v>
      </c>
      <c r="AH449">
        <v>1</v>
      </c>
      <c r="AI449">
        <v>2</v>
      </c>
      <c r="AJ449" t="s">
        <v>11</v>
      </c>
      <c r="AK449">
        <v>1.429</v>
      </c>
      <c r="AL449" t="s">
        <v>3234</v>
      </c>
      <c r="AM449" t="s">
        <v>3235</v>
      </c>
      <c r="AN449" t="s">
        <v>3236</v>
      </c>
      <c r="AO449" s="1" t="str">
        <f>HYPERLINK("http://exon.niaid.nih.gov/transcriptome/T_rubida/S1/links/SWISSP/Triru-contig_413-SWISSP.txt","Cytochrome c oxidase subunit 2")</f>
        <v>Cytochrome c oxidase subunit 2</v>
      </c>
      <c r="AP449" t="str">
        <f>HYPERLINK("http://www.uniprot.org/uniprot/P20375","1.9")</f>
        <v>1.9</v>
      </c>
      <c r="AQ449" t="s">
        <v>3237</v>
      </c>
      <c r="AR449">
        <v>33.1</v>
      </c>
      <c r="AS449">
        <v>60</v>
      </c>
      <c r="AT449">
        <v>31</v>
      </c>
      <c r="AU449">
        <v>27</v>
      </c>
      <c r="AV449">
        <v>42</v>
      </c>
      <c r="AW449">
        <v>0</v>
      </c>
      <c r="AX449">
        <v>16</v>
      </c>
      <c r="AY449">
        <v>395</v>
      </c>
      <c r="AZ449">
        <v>1</v>
      </c>
      <c r="BA449">
        <v>2</v>
      </c>
      <c r="BB449" t="s">
        <v>11</v>
      </c>
      <c r="BC449">
        <v>1.667</v>
      </c>
      <c r="BD449" t="s">
        <v>704</v>
      </c>
      <c r="BE449" t="s">
        <v>3238</v>
      </c>
      <c r="BF449" t="s">
        <v>3281</v>
      </c>
      <c r="BG449" t="s">
        <v>3282</v>
      </c>
      <c r="BH449" s="1" t="s">
        <v>57</v>
      </c>
      <c r="BI449" t="s">
        <v>57</v>
      </c>
      <c r="BJ449" s="1" t="str">
        <f>HYPERLINK("http://exon.niaid.nih.gov/transcriptome/T_rubida/S1/links/CDD/Triru-contig_413-CDD.txt","ND2")</f>
        <v>ND2</v>
      </c>
      <c r="BK449" t="str">
        <f>HYPERLINK("http://www.ncbi.nlm.nih.gov/Structure/cdd/cddsrv.cgi?uid=MTH00160&amp;version=v4.0","3E-004")</f>
        <v>3E-004</v>
      </c>
      <c r="BL449" t="s">
        <v>3283</v>
      </c>
      <c r="BM449" s="1" t="str">
        <f>HYPERLINK("http://exon.niaid.nih.gov/transcriptome/T_rubida/S1/links/KOG/Triru-contig_413-KOG.txt","Fructose-6-phosphate 2-kinase/fructose-2,6-biphosphatase")</f>
        <v>Fructose-6-phosphate 2-kinase/fructose-2,6-biphosphatase</v>
      </c>
      <c r="BN449" t="str">
        <f>HYPERLINK("http://www.ncbi.nlm.nih.gov/COG/grace/shokog.cgi?KOG0234","0.73")</f>
        <v>0.73</v>
      </c>
      <c r="BO449" t="s">
        <v>946</v>
      </c>
      <c r="BP449" s="1" t="str">
        <f>HYPERLINK("http://exon.niaid.nih.gov/transcriptome/T_rubida/S1/links/PFAM/Triru-contig_413-PFAM.txt","Pox_polyA_pol_N")</f>
        <v>Pox_polyA_pol_N</v>
      </c>
      <c r="BQ449" t="str">
        <f>HYPERLINK("http://pfam.sanger.ac.uk/family?acc=PF12630","0.009")</f>
        <v>0.009</v>
      </c>
      <c r="BR449" s="1" t="str">
        <f>HYPERLINK("http://exon.niaid.nih.gov/transcriptome/T_rubida/S1/links/SMART/Triru-contig_413-SMART.txt","Brix")</f>
        <v>Brix</v>
      </c>
      <c r="BS449" t="str">
        <f>HYPERLINK("http://smart.embl-heidelberg.de/smart/do_annotation.pl?DOMAIN=Brix&amp;BLAST=DUMMY","0.14")</f>
        <v>0.14</v>
      </c>
      <c r="BT449" s="1" t="str">
        <f>HYPERLINK("http://exon.niaid.nih.gov/transcriptome/T_rubida/S1/links/PRK/Triru-contig_413-PRK.txt","NADH dehydrogenase subunit 2")</f>
        <v>NADH dehydrogenase subunit 2</v>
      </c>
      <c r="BU449" s="2">
        <v>1E-4</v>
      </c>
      <c r="BV449" s="1" t="s">
        <v>57</v>
      </c>
      <c r="BW449" t="s">
        <v>57</v>
      </c>
      <c r="BX449" s="1" t="s">
        <v>57</v>
      </c>
      <c r="BY449" t="s">
        <v>57</v>
      </c>
    </row>
    <row r="450" spans="1:77">
      <c r="A450" t="str">
        <f>HYPERLINK("http://exon.niaid.nih.gov/transcriptome/T_rubida/S1/links/Triru/Triru-contig_141.txt","Triru-contig_141")</f>
        <v>Triru-contig_141</v>
      </c>
      <c r="B450">
        <v>2</v>
      </c>
      <c r="C450" t="str">
        <f>HYPERLINK("http://exon.niaid.nih.gov/transcriptome/T_rubida/S1/links/Triru/Triru-5-48-asb-141.txt","Contig-141")</f>
        <v>Contig-141</v>
      </c>
      <c r="D450" t="str">
        <f>HYPERLINK("http://exon.niaid.nih.gov/transcriptome/T_rubida/S1/links/Triru/Triru-5-48-141-CLU.txt","Contig141")</f>
        <v>Contig141</v>
      </c>
      <c r="E450" t="str">
        <f>HYPERLINK("http://exon.niaid.nih.gov/transcriptome/T_rubida/S1/links/Triru/Triru-5-48-141-qual.txt","27.1")</f>
        <v>27.1</v>
      </c>
      <c r="F450" t="s">
        <v>10</v>
      </c>
      <c r="G450">
        <v>58.3</v>
      </c>
      <c r="H450" t="s">
        <v>57</v>
      </c>
      <c r="I450" t="s">
        <v>153</v>
      </c>
      <c r="J450" t="s">
        <v>57</v>
      </c>
      <c r="K450">
        <v>957</v>
      </c>
      <c r="L450">
        <v>282</v>
      </c>
      <c r="M450" t="s">
        <v>5605</v>
      </c>
      <c r="N450" s="15">
        <v>1</v>
      </c>
      <c r="O450" s="14" t="str">
        <f>HYPERLINK("http://exon.niaid.nih.gov/transcriptome/T_rubida/S1/links/Sigp/TRIRU-CONTIG_141-SigP.txt","SIG")</f>
        <v>SIG</v>
      </c>
      <c r="P450" t="s">
        <v>5061</v>
      </c>
      <c r="Q450" s="5" t="s">
        <v>4827</v>
      </c>
      <c r="R450" t="s">
        <v>4828</v>
      </c>
      <c r="V450" s="1" t="str">
        <f>HYPERLINK("http://exon.niaid.nih.gov/transcriptome/T_rubida/S1/links/NR/Triru-contig_141-NR.txt","conserved hypothetical protein")</f>
        <v>conserved hypothetical protein</v>
      </c>
      <c r="W450" t="str">
        <f>HYPERLINK("http://www.ncbi.nlm.nih.gov/sutils/blink.cgi?pid=212542453","2.6")</f>
        <v>2.6</v>
      </c>
      <c r="X450" t="str">
        <f>HYPERLINK("http://www.ncbi.nlm.nih.gov/protein/212542453","gi|212542453")</f>
        <v>gi|212542453</v>
      </c>
      <c r="Y450">
        <v>37.700000000000003</v>
      </c>
      <c r="Z450">
        <v>38</v>
      </c>
      <c r="AA450">
        <v>387</v>
      </c>
      <c r="AB450">
        <v>43</v>
      </c>
      <c r="AC450">
        <v>10</v>
      </c>
      <c r="AD450">
        <v>22</v>
      </c>
      <c r="AE450">
        <v>0</v>
      </c>
      <c r="AF450">
        <v>54</v>
      </c>
      <c r="AG450">
        <v>589</v>
      </c>
      <c r="AH450">
        <v>1</v>
      </c>
      <c r="AI450">
        <v>1</v>
      </c>
      <c r="AJ450" t="s">
        <v>11</v>
      </c>
      <c r="AL450" t="s">
        <v>1542</v>
      </c>
      <c r="AM450" t="s">
        <v>1543</v>
      </c>
      <c r="AN450" t="s">
        <v>1544</v>
      </c>
      <c r="AO450" s="1" t="str">
        <f>HYPERLINK("http://exon.niaid.nih.gov/transcriptome/T_rubida/S1/links/SWISSP/Triru-contig_141-SWISSP.txt","Uncharacterized protein YKR096W")</f>
        <v>Uncharacterized protein YKR096W</v>
      </c>
      <c r="AP450" t="str">
        <f>HYPERLINK("http://www.uniprot.org/uniprot/P36168","6.8")</f>
        <v>6.8</v>
      </c>
      <c r="AQ450" t="s">
        <v>1545</v>
      </c>
      <c r="AR450">
        <v>32</v>
      </c>
      <c r="AS450">
        <v>104</v>
      </c>
      <c r="AT450">
        <v>25</v>
      </c>
      <c r="AU450">
        <v>9</v>
      </c>
      <c r="AV450">
        <v>80</v>
      </c>
      <c r="AW450">
        <v>6</v>
      </c>
      <c r="AX450">
        <v>353</v>
      </c>
      <c r="AY450">
        <v>551</v>
      </c>
      <c r="AZ450">
        <v>1</v>
      </c>
      <c r="BA450">
        <v>2</v>
      </c>
      <c r="BB450" t="s">
        <v>11</v>
      </c>
      <c r="BC450">
        <v>0.96199999999999997</v>
      </c>
      <c r="BD450" t="s">
        <v>704</v>
      </c>
      <c r="BE450" t="s">
        <v>1487</v>
      </c>
      <c r="BF450" t="s">
        <v>1546</v>
      </c>
      <c r="BG450" t="s">
        <v>1547</v>
      </c>
      <c r="BH450" s="1" t="s">
        <v>57</v>
      </c>
      <c r="BI450" t="s">
        <v>57</v>
      </c>
      <c r="BJ450" s="1" t="str">
        <f>HYPERLINK("http://exon.niaid.nih.gov/transcriptome/T_rubida/S1/links/CDD/Triru-contig_141-CDD.txt","Baculo_Y142")</f>
        <v>Baculo_Y142</v>
      </c>
      <c r="BK450" t="str">
        <f>HYPERLINK("http://www.ncbi.nlm.nih.gov/Structure/cdd/cddsrv.cgi?uid=pfam04913&amp;version=v4.0","0.83")</f>
        <v>0.83</v>
      </c>
      <c r="BL450" t="s">
        <v>1548</v>
      </c>
      <c r="BM450" s="1" t="str">
        <f>HYPERLINK("http://exon.niaid.nih.gov/transcriptome/T_rubida/S1/links/KOG/Triru-contig_141-KOG.txt","Predicted acyl-CoA dehydrogenase")</f>
        <v>Predicted acyl-CoA dehydrogenase</v>
      </c>
      <c r="BN450" t="str">
        <f>HYPERLINK("http://www.ncbi.nlm.nih.gov/COG/grace/shokog.cgi?KOG1469","3.9")</f>
        <v>3.9</v>
      </c>
      <c r="BO450" t="s">
        <v>750</v>
      </c>
      <c r="BP450" s="1" t="str">
        <f>HYPERLINK("http://exon.niaid.nih.gov/transcriptome/T_rubida/S1/links/PFAM/Triru-contig_141-PFAM.txt","Baculo_Y142")</f>
        <v>Baculo_Y142</v>
      </c>
      <c r="BQ450" t="str">
        <f>HYPERLINK("http://pfam.sanger.ac.uk/family?acc=PF04913","0.16")</f>
        <v>0.16</v>
      </c>
      <c r="BR450" s="1" t="str">
        <f>HYPERLINK("http://exon.niaid.nih.gov/transcriptome/T_rubida/S1/links/SMART/Triru-contig_141-SMART.txt","FtsA")</f>
        <v>FtsA</v>
      </c>
      <c r="BS450" t="str">
        <f>HYPERLINK("http://smart.embl-heidelberg.de/smart/do_annotation.pl?DOMAIN=FtsA&amp;BLAST=DUMMY","0.026")</f>
        <v>0.026</v>
      </c>
      <c r="BT450" s="1" t="str">
        <f>HYPERLINK("http://exon.niaid.nih.gov/transcriptome/T_rubida/S1/links/PRK/Triru-contig_141-PRK.txt","2-oxoisovalerate dehydrogenase E2 component.")</f>
        <v>2-oxoisovalerate dehydrogenase E2 component.</v>
      </c>
      <c r="BU450">
        <v>0.57999999999999996</v>
      </c>
      <c r="BV450" s="1" t="s">
        <v>57</v>
      </c>
      <c r="BW450" t="s">
        <v>57</v>
      </c>
      <c r="BX450" s="1" t="s">
        <v>57</v>
      </c>
      <c r="BY450" t="s">
        <v>57</v>
      </c>
    </row>
    <row r="451" spans="1:77">
      <c r="A451" t="str">
        <f>HYPERLINK("http://exon.niaid.nih.gov/transcriptome/T_rubida/S1/links/Triru/Triru-contig_367.txt","Triru-contig_367")</f>
        <v>Triru-contig_367</v>
      </c>
      <c r="B451">
        <v>1</v>
      </c>
      <c r="C451" t="str">
        <f>HYPERLINK("http://exon.niaid.nih.gov/transcriptome/T_rubida/S1/links/Triru/Triru-5-48-asb-367.txt","Contig-367")</f>
        <v>Contig-367</v>
      </c>
      <c r="D451" t="str">
        <f>HYPERLINK("http://exon.niaid.nih.gov/transcriptome/T_rubida/S1/links/Triru/Triru-5-48-367-CLU.txt","Contig367")</f>
        <v>Contig367</v>
      </c>
      <c r="E451" t="str">
        <f>HYPERLINK("http://exon.niaid.nih.gov/transcriptome/T_rubida/S1/links/Triru/Triru-5-48-367-qual.txt","40.8")</f>
        <v>40.8</v>
      </c>
      <c r="F451" t="s">
        <v>10</v>
      </c>
      <c r="G451">
        <v>69.400000000000006</v>
      </c>
      <c r="H451" t="s">
        <v>57</v>
      </c>
      <c r="I451" t="s">
        <v>379</v>
      </c>
      <c r="J451" t="s">
        <v>57</v>
      </c>
      <c r="K451">
        <v>1188</v>
      </c>
      <c r="L451">
        <v>237</v>
      </c>
      <c r="M451" t="s">
        <v>5511</v>
      </c>
      <c r="N451" s="15">
        <v>3</v>
      </c>
      <c r="O451" s="14" t="str">
        <f>HYPERLINK("http://exon.niaid.nih.gov/transcriptome/T_rubida/S1/links/Sigp/TRIRU-CONTIG_367-SigP.txt","Cyt")</f>
        <v>Cyt</v>
      </c>
      <c r="Q451" s="5" t="s">
        <v>4827</v>
      </c>
      <c r="R451" t="s">
        <v>4828</v>
      </c>
      <c r="V451" s="1" t="str">
        <f>HYPERLINK("http://exon.niaid.nih.gov/transcriptome/T_rubida/S1/links/NR/Triru-contig_367-NR.txt","TonB-dependent receptor plug")</f>
        <v>TonB-dependent receptor plug</v>
      </c>
      <c r="W451" t="str">
        <f>HYPERLINK("http://www.ncbi.nlm.nih.gov/sutils/blink.cgi?pid=255036363","2.8")</f>
        <v>2.8</v>
      </c>
      <c r="X451" t="str">
        <f>HYPERLINK("http://www.ncbi.nlm.nih.gov/protein/255036363","gi|255036363")</f>
        <v>gi|255036363</v>
      </c>
      <c r="Y451">
        <v>38.1</v>
      </c>
      <c r="Z451">
        <v>42</v>
      </c>
      <c r="AA451">
        <v>1008</v>
      </c>
      <c r="AB451">
        <v>37</v>
      </c>
      <c r="AC451">
        <v>4</v>
      </c>
      <c r="AD451">
        <v>27</v>
      </c>
      <c r="AE451">
        <v>0</v>
      </c>
      <c r="AF451">
        <v>424</v>
      </c>
      <c r="AG451">
        <v>536</v>
      </c>
      <c r="AH451">
        <v>1</v>
      </c>
      <c r="AI451">
        <v>2</v>
      </c>
      <c r="AJ451" t="s">
        <v>11</v>
      </c>
      <c r="AK451">
        <v>2.3809999999999998</v>
      </c>
      <c r="AL451" t="s">
        <v>2953</v>
      </c>
      <c r="AM451" t="s">
        <v>2961</v>
      </c>
      <c r="AN451" t="s">
        <v>2962</v>
      </c>
      <c r="AO451" s="1" t="str">
        <f>HYPERLINK("http://exon.niaid.nih.gov/transcriptome/T_rubida/S1/links/SWISSP/Triru-contig_367-SWISSP.txt","Uncharacterized protein ybhP")</f>
        <v>Uncharacterized protein ybhP</v>
      </c>
      <c r="AP451" t="str">
        <f>HYPERLINK("http://www.uniprot.org/uniprot/P0AAW4","12")</f>
        <v>12</v>
      </c>
      <c r="AQ451" t="s">
        <v>2956</v>
      </c>
      <c r="AR451">
        <v>31.6</v>
      </c>
      <c r="AS451">
        <v>52</v>
      </c>
      <c r="AT451">
        <v>28</v>
      </c>
      <c r="AU451">
        <v>21</v>
      </c>
      <c r="AV451">
        <v>38</v>
      </c>
      <c r="AW451">
        <v>3</v>
      </c>
      <c r="AX451">
        <v>51</v>
      </c>
      <c r="AY451">
        <v>521</v>
      </c>
      <c r="AZ451">
        <v>1</v>
      </c>
      <c r="BA451">
        <v>2</v>
      </c>
      <c r="BB451" t="s">
        <v>11</v>
      </c>
      <c r="BC451">
        <v>1.923</v>
      </c>
      <c r="BD451" t="s">
        <v>704</v>
      </c>
      <c r="BE451" t="s">
        <v>2957</v>
      </c>
      <c r="BF451" t="s">
        <v>2963</v>
      </c>
      <c r="BG451" t="s">
        <v>2964</v>
      </c>
      <c r="BH451" s="1" t="s">
        <v>57</v>
      </c>
      <c r="BI451" t="s">
        <v>57</v>
      </c>
      <c r="BJ451" s="1" t="str">
        <f>HYPERLINK("http://exon.niaid.nih.gov/transcriptome/T_rubida/S1/links/CDD/Triru-contig_367-CDD.txt","PRK02228")</f>
        <v>PRK02228</v>
      </c>
      <c r="BK451" t="str">
        <f>HYPERLINK("http://www.ncbi.nlm.nih.gov/Structure/cdd/cddsrv.cgi?uid=PRK02228&amp;version=v4.0","0.18")</f>
        <v>0.18</v>
      </c>
      <c r="BL451" t="s">
        <v>2965</v>
      </c>
      <c r="BM451" s="1" t="str">
        <f>HYPERLINK("http://exon.niaid.nih.gov/transcriptome/T_rubida/S1/links/KOG/Triru-contig_367-KOG.txt","Predicted mitochondrial cholesterol transporter")</f>
        <v>Predicted mitochondrial cholesterol transporter</v>
      </c>
      <c r="BN451" t="str">
        <f>HYPERLINK("http://www.ncbi.nlm.nih.gov/COG/grace/shokog.cgi?KOG4136","2.5")</f>
        <v>2.5</v>
      </c>
      <c r="BO451" t="s">
        <v>2420</v>
      </c>
      <c r="BP451" s="1" t="str">
        <f>HYPERLINK("http://exon.niaid.nih.gov/transcriptome/T_rubida/S1/links/PFAM/Triru-contig_367-PFAM.txt","YfhO")</f>
        <v>YfhO</v>
      </c>
      <c r="BQ451" t="str">
        <f>HYPERLINK("http://pfam.sanger.ac.uk/family?acc=PF09586","0.089")</f>
        <v>0.089</v>
      </c>
      <c r="BR451" s="1" t="str">
        <f>HYPERLINK("http://exon.niaid.nih.gov/transcriptome/T_rubida/S1/links/SMART/Triru-contig_367-SMART.txt","RING")</f>
        <v>RING</v>
      </c>
      <c r="BS451" t="str">
        <f>HYPERLINK("http://smart.embl-heidelberg.de/smart/do_annotation.pl?DOMAIN=RING&amp;BLAST=DUMMY","0.038")</f>
        <v>0.038</v>
      </c>
      <c r="BT451" s="1" t="str">
        <f>HYPERLINK("http://exon.niaid.nih.gov/transcriptome/T_rubida/S1/links/PRK/Triru-contig_367-PRK.txt","V-type ATP synthase subunit F")</f>
        <v>V-type ATP synthase subunit F</v>
      </c>
      <c r="BU451">
        <v>7.6999999999999999E-2</v>
      </c>
      <c r="BV451" s="1" t="s">
        <v>57</v>
      </c>
      <c r="BW451" t="s">
        <v>57</v>
      </c>
      <c r="BX451" s="1" t="s">
        <v>57</v>
      </c>
      <c r="BY451" t="s">
        <v>57</v>
      </c>
    </row>
    <row r="452" spans="1:77">
      <c r="A452" t="str">
        <f>HYPERLINK("http://exon.niaid.nih.gov/transcriptome/T_rubida/S1/links/Triru/Triru-contig_453.txt","Triru-contig_453")</f>
        <v>Triru-contig_453</v>
      </c>
      <c r="B452">
        <v>1</v>
      </c>
      <c r="C452" t="str">
        <f>HYPERLINK("http://exon.niaid.nih.gov/transcriptome/T_rubida/S1/links/Triru/Triru-5-48-asb-453.txt","Contig-453")</f>
        <v>Contig-453</v>
      </c>
      <c r="D452" t="str">
        <f>HYPERLINK("http://exon.niaid.nih.gov/transcriptome/T_rubida/S1/links/Triru/Triru-5-48-453-CLU.txt","Contig453")</f>
        <v>Contig453</v>
      </c>
      <c r="E452" t="str">
        <f>HYPERLINK("http://exon.niaid.nih.gov/transcriptome/T_rubida/S1/links/Triru/Triru-5-48-453-qual.txt","62.9")</f>
        <v>62.9</v>
      </c>
      <c r="F452" t="s">
        <v>10</v>
      </c>
      <c r="G452">
        <v>73.900000000000006</v>
      </c>
      <c r="H452">
        <v>576</v>
      </c>
      <c r="I452" t="s">
        <v>465</v>
      </c>
      <c r="J452">
        <v>576</v>
      </c>
      <c r="K452">
        <v>595</v>
      </c>
      <c r="L452">
        <v>132</v>
      </c>
      <c r="M452" t="s">
        <v>5433</v>
      </c>
      <c r="N452" s="15">
        <v>2</v>
      </c>
      <c r="Q452" s="5" t="s">
        <v>4827</v>
      </c>
      <c r="R452" t="s">
        <v>4828</v>
      </c>
      <c r="V452" s="1" t="str">
        <f>HYPERLINK("http://exon.niaid.nih.gov/transcriptome/T_rubida/S1/links/NR/Triru-contig_453-NR.txt","hypothetical protein - African malaria mosquito transposon T1-2 (fragment)")</f>
        <v>hypothetical protein - African malaria mosquito transposon T1-2 (fragment)</v>
      </c>
      <c r="W452" t="str">
        <f>HYPERLINK("http://www.ncbi.nlm.nih.gov/sutils/blink.cgi?pid=103015","2.9")</f>
        <v>2.9</v>
      </c>
      <c r="X452" t="str">
        <f>HYPERLINK("http://www.ncbi.nlm.nih.gov/protein/103015","gi|103015")</f>
        <v>gi|103015</v>
      </c>
      <c r="Y452">
        <v>36.200000000000003</v>
      </c>
      <c r="Z452">
        <v>52</v>
      </c>
      <c r="AA452">
        <v>975</v>
      </c>
      <c r="AB452">
        <v>42</v>
      </c>
      <c r="AC452">
        <v>5</v>
      </c>
      <c r="AD452">
        <v>34</v>
      </c>
      <c r="AE452">
        <v>1</v>
      </c>
      <c r="AF452">
        <v>707</v>
      </c>
      <c r="AG452">
        <v>27</v>
      </c>
      <c r="AH452">
        <v>1</v>
      </c>
      <c r="AI452">
        <v>3</v>
      </c>
      <c r="AJ452" t="s">
        <v>11</v>
      </c>
      <c r="AK452">
        <v>1.923</v>
      </c>
      <c r="AL452" t="s">
        <v>2084</v>
      </c>
      <c r="AM452" t="s">
        <v>3550</v>
      </c>
      <c r="AN452" t="s">
        <v>3551</v>
      </c>
      <c r="AO452" s="1" t="str">
        <f>HYPERLINK("http://exon.niaid.nih.gov/transcriptome/T_rubida/S1/links/SWISSP/Triru-contig_453-SWISSP.txt","Sodium/potassium/calcium exchanger 6")</f>
        <v>Sodium/potassium/calcium exchanger 6</v>
      </c>
      <c r="AP452" t="str">
        <f>HYPERLINK("http://www.uniprot.org/uniprot/Q6AXS0","5.1")</f>
        <v>5.1</v>
      </c>
      <c r="AQ452" t="s">
        <v>3552</v>
      </c>
      <c r="AR452">
        <v>31.2</v>
      </c>
      <c r="AS452">
        <v>46</v>
      </c>
      <c r="AT452">
        <v>29</v>
      </c>
      <c r="AU452">
        <v>8</v>
      </c>
      <c r="AV452">
        <v>33</v>
      </c>
      <c r="AW452">
        <v>0</v>
      </c>
      <c r="AX452">
        <v>70</v>
      </c>
      <c r="AY452">
        <v>377</v>
      </c>
      <c r="AZ452">
        <v>1</v>
      </c>
      <c r="BA452">
        <v>2</v>
      </c>
      <c r="BB452" t="s">
        <v>11</v>
      </c>
      <c r="BC452">
        <v>2.1739999999999999</v>
      </c>
      <c r="BD452" t="s">
        <v>704</v>
      </c>
      <c r="BE452" t="s">
        <v>1164</v>
      </c>
      <c r="BF452" t="s">
        <v>3553</v>
      </c>
      <c r="BG452" t="s">
        <v>3554</v>
      </c>
      <c r="BH452" s="1" t="s">
        <v>57</v>
      </c>
      <c r="BI452" t="s">
        <v>57</v>
      </c>
      <c r="BJ452" s="1" t="str">
        <f>HYPERLINK("http://exon.niaid.nih.gov/transcriptome/T_rubida/S1/links/CDD/Triru-contig_453-CDD.txt","P21_Cbot")</f>
        <v>P21_Cbot</v>
      </c>
      <c r="BK452" t="str">
        <f>HYPERLINK("http://www.ncbi.nlm.nih.gov/Structure/cdd/cddsrv.cgi?uid=TIGR03209&amp;version=v4.0","0.021")</f>
        <v>0.021</v>
      </c>
      <c r="BL452" t="s">
        <v>3555</v>
      </c>
      <c r="BM452" s="1" t="str">
        <f>HYPERLINK("http://exon.niaid.nih.gov/transcriptome/T_rubida/S1/links/KOG/Triru-contig_453-KOG.txt","FKBP-type peptidyl-prolyl cis-trans isomerase")</f>
        <v>FKBP-type peptidyl-prolyl cis-trans isomerase</v>
      </c>
      <c r="BN452" t="str">
        <f>HYPERLINK("http://www.ncbi.nlm.nih.gov/COG/grace/shokog.cgi?KOG0543","2.2")</f>
        <v>2.2</v>
      </c>
      <c r="BO452" t="s">
        <v>954</v>
      </c>
      <c r="BP452" s="1" t="str">
        <f>HYPERLINK("http://exon.niaid.nih.gov/transcriptome/T_rubida/S1/links/PFAM/Triru-contig_453-PFAM.txt","Indigoidine_A")</f>
        <v>Indigoidine_A</v>
      </c>
      <c r="BQ452" t="str">
        <f>HYPERLINK("http://pfam.sanger.ac.uk/family?acc=PF04227","0.033")</f>
        <v>0.033</v>
      </c>
      <c r="BR452" s="1" t="str">
        <f>HYPERLINK("http://exon.niaid.nih.gov/transcriptome/T_rubida/S1/links/SMART/Triru-contig_453-SMART.txt","B561")</f>
        <v>B561</v>
      </c>
      <c r="BS452" t="str">
        <f>HYPERLINK("http://smart.embl-heidelberg.de/smart/do_annotation.pl?DOMAIN=B561&amp;BLAST=DUMMY","0.12")</f>
        <v>0.12</v>
      </c>
      <c r="BT452" s="1" t="str">
        <f>HYPERLINK("http://exon.niaid.nih.gov/transcriptome/T_rubida/S1/links/PRK/Triru-contig_453-PRK.txt","putative secreted protein")</f>
        <v>putative secreted protein</v>
      </c>
      <c r="BU452">
        <v>3.2000000000000001E-2</v>
      </c>
      <c r="BV452" s="1" t="s">
        <v>57</v>
      </c>
      <c r="BW452" t="s">
        <v>57</v>
      </c>
      <c r="BX452" s="1" t="s">
        <v>57</v>
      </c>
      <c r="BY452" t="s">
        <v>57</v>
      </c>
    </row>
    <row r="453" spans="1:77">
      <c r="A453" t="str">
        <f>HYPERLINK("http://exon.niaid.nih.gov/transcriptome/T_rubida/S1/links/Triru/Triru-contig_366.txt","Triru-contig_366")</f>
        <v>Triru-contig_366</v>
      </c>
      <c r="B453">
        <v>1</v>
      </c>
      <c r="C453" t="str">
        <f>HYPERLINK("http://exon.niaid.nih.gov/transcriptome/T_rubida/S1/links/Triru/Triru-5-48-asb-366.txt","Contig-366")</f>
        <v>Contig-366</v>
      </c>
      <c r="D453" t="str">
        <f>HYPERLINK("http://exon.niaid.nih.gov/transcriptome/T_rubida/S1/links/Triru/Triru-5-48-366-CLU.txt","Contig366")</f>
        <v>Contig366</v>
      </c>
      <c r="E453" t="str">
        <f>HYPERLINK("http://exon.niaid.nih.gov/transcriptome/T_rubida/S1/links/Triru/Triru-5-48-366-qual.txt","35.2")</f>
        <v>35.2</v>
      </c>
      <c r="F453" t="s">
        <v>10</v>
      </c>
      <c r="G453">
        <v>69.400000000000006</v>
      </c>
      <c r="H453">
        <v>1216</v>
      </c>
      <c r="I453" t="s">
        <v>378</v>
      </c>
      <c r="J453">
        <v>1216</v>
      </c>
      <c r="K453">
        <v>1235</v>
      </c>
      <c r="L453">
        <v>237</v>
      </c>
      <c r="M453" t="s">
        <v>5511</v>
      </c>
      <c r="N453" s="15">
        <v>1</v>
      </c>
      <c r="O453" s="14" t="str">
        <f>HYPERLINK("http://exon.niaid.nih.gov/transcriptome/T_rubida/S1/links/Sigp/TRIRU-CONTIG_366-SigP.txt","Cyt")</f>
        <v>Cyt</v>
      </c>
      <c r="Q453" s="5" t="s">
        <v>4827</v>
      </c>
      <c r="R453" t="s">
        <v>4828</v>
      </c>
      <c r="V453" s="1" t="str">
        <f>HYPERLINK("http://exon.niaid.nih.gov/transcriptome/T_rubida/S1/links/NR/Triru-contig_366-NR.txt","TonB-dependent receptor plug")</f>
        <v>TonB-dependent receptor plug</v>
      </c>
      <c r="W453" t="str">
        <f>HYPERLINK("http://www.ncbi.nlm.nih.gov/sutils/blink.cgi?pid=255036363","3.0")</f>
        <v>3.0</v>
      </c>
      <c r="X453" t="str">
        <f>HYPERLINK("http://www.ncbi.nlm.nih.gov/protein/255036363","gi|255036363")</f>
        <v>gi|255036363</v>
      </c>
      <c r="Y453">
        <v>38.1</v>
      </c>
      <c r="Z453">
        <v>42</v>
      </c>
      <c r="AA453">
        <v>1008</v>
      </c>
      <c r="AB453">
        <v>37</v>
      </c>
      <c r="AC453">
        <v>4</v>
      </c>
      <c r="AD453">
        <v>27</v>
      </c>
      <c r="AE453">
        <v>0</v>
      </c>
      <c r="AF453">
        <v>424</v>
      </c>
      <c r="AG453">
        <v>552</v>
      </c>
      <c r="AH453">
        <v>1</v>
      </c>
      <c r="AI453">
        <v>3</v>
      </c>
      <c r="AJ453" t="s">
        <v>11</v>
      </c>
      <c r="AK453">
        <v>2.3809999999999998</v>
      </c>
      <c r="AL453" t="s">
        <v>2953</v>
      </c>
      <c r="AM453" t="s">
        <v>2954</v>
      </c>
      <c r="AN453" t="s">
        <v>2955</v>
      </c>
      <c r="AO453" s="1" t="str">
        <f>HYPERLINK("http://exon.niaid.nih.gov/transcriptome/T_rubida/S1/links/SWISSP/Triru-contig_366-SWISSP.txt","Uncharacterized protein ybhP")</f>
        <v>Uncharacterized protein ybhP</v>
      </c>
      <c r="AP453" t="str">
        <f>HYPERLINK("http://www.uniprot.org/uniprot/P0AAW4","13")</f>
        <v>13</v>
      </c>
      <c r="AQ453" t="s">
        <v>2956</v>
      </c>
      <c r="AR453">
        <v>31.6</v>
      </c>
      <c r="AS453">
        <v>52</v>
      </c>
      <c r="AT453">
        <v>28</v>
      </c>
      <c r="AU453">
        <v>21</v>
      </c>
      <c r="AV453">
        <v>38</v>
      </c>
      <c r="AW453">
        <v>3</v>
      </c>
      <c r="AX453">
        <v>51</v>
      </c>
      <c r="AY453">
        <v>537</v>
      </c>
      <c r="AZ453">
        <v>1</v>
      </c>
      <c r="BA453">
        <v>3</v>
      </c>
      <c r="BB453" t="s">
        <v>11</v>
      </c>
      <c r="BC453">
        <v>1.923</v>
      </c>
      <c r="BD453" t="s">
        <v>704</v>
      </c>
      <c r="BE453" t="s">
        <v>2957</v>
      </c>
      <c r="BF453" t="s">
        <v>2958</v>
      </c>
      <c r="BG453" t="s">
        <v>2959</v>
      </c>
      <c r="BH453" s="1" t="s">
        <v>57</v>
      </c>
      <c r="BI453" t="s">
        <v>57</v>
      </c>
      <c r="BJ453" s="1" t="str">
        <f>HYPERLINK("http://exon.niaid.nih.gov/transcriptome/T_rubida/S1/links/CDD/Triru-contig_366-CDD.txt","PRK02228")</f>
        <v>PRK02228</v>
      </c>
      <c r="BK453" t="str">
        <f>HYPERLINK("http://www.ncbi.nlm.nih.gov/Structure/cdd/cddsrv.cgi?uid=PRK02228&amp;version=v4.0","0.18")</f>
        <v>0.18</v>
      </c>
      <c r="BL453" t="s">
        <v>2960</v>
      </c>
      <c r="BM453" s="1" t="str">
        <f>HYPERLINK("http://exon.niaid.nih.gov/transcriptome/T_rubida/S1/links/KOG/Triru-contig_366-KOG.txt","Predicted mitochondrial cholesterol transporter")</f>
        <v>Predicted mitochondrial cholesterol transporter</v>
      </c>
      <c r="BN453" t="str">
        <f>HYPERLINK("http://www.ncbi.nlm.nih.gov/COG/grace/shokog.cgi?KOG4136","2.6")</f>
        <v>2.6</v>
      </c>
      <c r="BO453" t="s">
        <v>2420</v>
      </c>
      <c r="BP453" s="1" t="str">
        <f>HYPERLINK("http://exon.niaid.nih.gov/transcriptome/T_rubida/S1/links/PFAM/Triru-contig_366-PFAM.txt","Cpn60_TCP1")</f>
        <v>Cpn60_TCP1</v>
      </c>
      <c r="BQ453" t="str">
        <f>HYPERLINK("http://pfam.sanger.ac.uk/family?acc=PF00118","0.31")</f>
        <v>0.31</v>
      </c>
      <c r="BR453" s="1" t="str">
        <f>HYPERLINK("http://exon.niaid.nih.gov/transcriptome/T_rubida/S1/links/SMART/Triru-contig_366-SMART.txt","RING")</f>
        <v>RING</v>
      </c>
      <c r="BS453" t="str">
        <f>HYPERLINK("http://smart.embl-heidelberg.de/smart/do_annotation.pl?DOMAIN=RING&amp;BLAST=DUMMY","0.039")</f>
        <v>0.039</v>
      </c>
      <c r="BT453" s="1" t="str">
        <f>HYPERLINK("http://exon.niaid.nih.gov/transcriptome/T_rubida/S1/links/PRK/Triru-contig_366-PRK.txt","V-type ATP synthase subunit F")</f>
        <v>V-type ATP synthase subunit F</v>
      </c>
      <c r="BU453">
        <v>0.08</v>
      </c>
      <c r="BV453" s="1" t="s">
        <v>57</v>
      </c>
      <c r="BW453" t="s">
        <v>57</v>
      </c>
      <c r="BX453" s="1" t="s">
        <v>57</v>
      </c>
      <c r="BY453" t="s">
        <v>57</v>
      </c>
    </row>
    <row r="454" spans="1:77">
      <c r="A454" t="str">
        <f>HYPERLINK("http://exon.niaid.nih.gov/transcriptome/T_rubida/S1/links/Triru/Triru-contig_532.txt","Triru-contig_532")</f>
        <v>Triru-contig_532</v>
      </c>
      <c r="B454">
        <v>1</v>
      </c>
      <c r="C454" t="str">
        <f>HYPERLINK("http://exon.niaid.nih.gov/transcriptome/T_rubida/S1/links/Triru/Triru-5-48-asb-532.txt","Contig-532")</f>
        <v>Contig-532</v>
      </c>
      <c r="D454" t="str">
        <f>HYPERLINK("http://exon.niaid.nih.gov/transcriptome/T_rubida/S1/links/Triru/Triru-5-48-532-CLU.txt","Contig532")</f>
        <v>Contig532</v>
      </c>
      <c r="E454" t="str">
        <f>HYPERLINK("http://exon.niaid.nih.gov/transcriptome/T_rubida/S1/links/Triru/Triru-5-48-532-qual.txt","53.6")</f>
        <v>53.6</v>
      </c>
      <c r="F454" t="s">
        <v>10</v>
      </c>
      <c r="G454">
        <v>73.3</v>
      </c>
      <c r="H454">
        <v>922</v>
      </c>
      <c r="I454" t="s">
        <v>544</v>
      </c>
      <c r="J454">
        <v>922</v>
      </c>
      <c r="K454">
        <v>941</v>
      </c>
      <c r="L454">
        <v>174</v>
      </c>
      <c r="M454" t="s">
        <v>5565</v>
      </c>
      <c r="N454" s="15">
        <v>3</v>
      </c>
      <c r="Q454" s="5" t="s">
        <v>4827</v>
      </c>
      <c r="R454" t="s">
        <v>4828</v>
      </c>
      <c r="V454" s="1" t="str">
        <f>HYPERLINK("http://exon.niaid.nih.gov/transcriptome/T_rubida/S1/links/NR/Triru-contig_532-NR.txt","family 50 glycosyltransferase")</f>
        <v>family 50 glycosyltransferase</v>
      </c>
      <c r="W454" t="str">
        <f>HYPERLINK("http://www.ncbi.nlm.nih.gov/sutils/blink.cgi?pid=328852206","3.3")</f>
        <v>3.3</v>
      </c>
      <c r="X454" t="str">
        <f>HYPERLINK("http://www.ncbi.nlm.nih.gov/protein/328852206","gi|328852206")</f>
        <v>gi|328852206</v>
      </c>
      <c r="Y454">
        <v>37.4</v>
      </c>
      <c r="Z454">
        <v>54</v>
      </c>
      <c r="AA454">
        <v>407</v>
      </c>
      <c r="AB454">
        <v>27</v>
      </c>
      <c r="AC454">
        <v>14</v>
      </c>
      <c r="AD454">
        <v>40</v>
      </c>
      <c r="AE454">
        <v>0</v>
      </c>
      <c r="AF454">
        <v>284</v>
      </c>
      <c r="AG454">
        <v>372</v>
      </c>
      <c r="AH454">
        <v>1</v>
      </c>
      <c r="AI454">
        <v>3</v>
      </c>
      <c r="AJ454" t="s">
        <v>11</v>
      </c>
      <c r="AL454" t="s">
        <v>4077</v>
      </c>
      <c r="AM454" t="s">
        <v>4078</v>
      </c>
      <c r="AN454" t="s">
        <v>4079</v>
      </c>
      <c r="AO454" s="1" t="str">
        <f>HYPERLINK("http://exon.niaid.nih.gov/transcriptome/T_rubida/S1/links/SWISSP/Triru-contig_532-SWISSP.txt","Undecaprenyl-diphosphatase")</f>
        <v>Undecaprenyl-diphosphatase</v>
      </c>
      <c r="AP454" t="str">
        <f>HYPERLINK("http://www.uniprot.org/uniprot/B5RR78","0.78")</f>
        <v>0.78</v>
      </c>
      <c r="AQ454" t="s">
        <v>4080</v>
      </c>
      <c r="AR454">
        <v>35</v>
      </c>
      <c r="AS454">
        <v>79</v>
      </c>
      <c r="AT454">
        <v>30</v>
      </c>
      <c r="AU454">
        <v>30</v>
      </c>
      <c r="AV454">
        <v>56</v>
      </c>
      <c r="AW454">
        <v>4</v>
      </c>
      <c r="AX454">
        <v>42</v>
      </c>
      <c r="AY454">
        <v>624</v>
      </c>
      <c r="AZ454">
        <v>1</v>
      </c>
      <c r="BA454">
        <v>3</v>
      </c>
      <c r="BB454" t="s">
        <v>11</v>
      </c>
      <c r="BC454">
        <v>6.3289999999999997</v>
      </c>
      <c r="BD454" t="s">
        <v>704</v>
      </c>
      <c r="BE454" t="s">
        <v>4081</v>
      </c>
      <c r="BF454" t="s">
        <v>4082</v>
      </c>
      <c r="BG454" t="s">
        <v>4083</v>
      </c>
      <c r="BH454" s="1" t="s">
        <v>57</v>
      </c>
      <c r="BI454" t="s">
        <v>57</v>
      </c>
      <c r="BJ454" s="1" t="str">
        <f>HYPERLINK("http://exon.niaid.nih.gov/transcriptome/T_rubida/S1/links/CDD/Triru-contig_532-CDD.txt","DUF443")</f>
        <v>DUF443</v>
      </c>
      <c r="BK454" t="str">
        <f>HYPERLINK("http://www.ncbi.nlm.nih.gov/Structure/cdd/cddsrv.cgi?uid=pfam04276&amp;version=v4.0","0.042")</f>
        <v>0.042</v>
      </c>
      <c r="BL454" t="s">
        <v>4084</v>
      </c>
      <c r="BM454" s="1" t="str">
        <f>HYPERLINK("http://exon.niaid.nih.gov/transcriptome/T_rubida/S1/links/KOG/Triru-contig_532-KOG.txt","Ankyrin repeat protein")</f>
        <v>Ankyrin repeat protein</v>
      </c>
      <c r="BN454" t="str">
        <f>HYPERLINK("http://www.ncbi.nlm.nih.gov/COG/grace/shokog.cgi?KOG0510","0.50")</f>
        <v>0.50</v>
      </c>
      <c r="BO454" t="s">
        <v>750</v>
      </c>
      <c r="BP454" s="1" t="str">
        <f>HYPERLINK("http://exon.niaid.nih.gov/transcriptome/T_rubida/S1/links/PFAM/Triru-contig_532-PFAM.txt","DUF443")</f>
        <v>DUF443</v>
      </c>
      <c r="BQ454" t="str">
        <f>HYPERLINK("http://pfam.sanger.ac.uk/family?acc=PF04276","0.008")</f>
        <v>0.008</v>
      </c>
      <c r="BR454" s="1" t="str">
        <f>HYPERLINK("http://exon.niaid.nih.gov/transcriptome/T_rubida/S1/links/SMART/Triru-contig_532-SMART.txt","AgrB")</f>
        <v>AgrB</v>
      </c>
      <c r="BS454" t="str">
        <f>HYPERLINK("http://smart.embl-heidelberg.de/smart/do_annotation.pl?DOMAIN=AgrB&amp;BLAST=DUMMY","0.007")</f>
        <v>0.007</v>
      </c>
      <c r="BT454" s="1" t="str">
        <f>HYPERLINK("http://exon.niaid.nih.gov/transcriptome/T_rubida/S1/links/PRK/Triru-contig_532-PRK.txt","NADH dehydrogenase subunit 5")</f>
        <v>NADH dehydrogenase subunit 5</v>
      </c>
      <c r="BU454">
        <v>3.6999999999999998E-2</v>
      </c>
      <c r="BV454" s="1" t="s">
        <v>57</v>
      </c>
      <c r="BW454" t="s">
        <v>57</v>
      </c>
      <c r="BX454" s="1" t="s">
        <v>57</v>
      </c>
      <c r="BY454" t="s">
        <v>57</v>
      </c>
    </row>
    <row r="455" spans="1:77">
      <c r="A455" t="str">
        <f>HYPERLINK("http://exon.niaid.nih.gov/transcriptome/T_rubida/S1/links/Triru/Triru-contig_500.txt","Triru-contig_500")</f>
        <v>Triru-contig_500</v>
      </c>
      <c r="B455">
        <v>1</v>
      </c>
      <c r="C455" t="str">
        <f>HYPERLINK("http://exon.niaid.nih.gov/transcriptome/T_rubida/S1/links/Triru/Triru-5-48-asb-500.txt","Contig-500")</f>
        <v>Contig-500</v>
      </c>
      <c r="D455" t="str">
        <f>HYPERLINK("http://exon.niaid.nih.gov/transcriptome/T_rubida/S1/links/Triru/Triru-5-48-500-CLU.txt","Contig500")</f>
        <v>Contig500</v>
      </c>
      <c r="E455" t="str">
        <f>HYPERLINK("http://exon.niaid.nih.gov/transcriptome/T_rubida/S1/links/Triru/Triru-5-48-500-qual.txt","47.9")</f>
        <v>47.9</v>
      </c>
      <c r="F455" t="s">
        <v>10</v>
      </c>
      <c r="G455">
        <v>56.6</v>
      </c>
      <c r="H455" t="s">
        <v>57</v>
      </c>
      <c r="I455" t="s">
        <v>512</v>
      </c>
      <c r="J455" t="s">
        <v>57</v>
      </c>
      <c r="K455">
        <v>601</v>
      </c>
      <c r="L455">
        <v>204</v>
      </c>
      <c r="M455" t="s">
        <v>5440</v>
      </c>
      <c r="N455" s="15">
        <v>2</v>
      </c>
      <c r="O455" s="14" t="str">
        <f>HYPERLINK("http://exon.niaid.nih.gov/transcriptome/T_rubida/S1/links/Sigp/TRIRU-CONTIG_500-SigP.txt","Cyt")</f>
        <v>Cyt</v>
      </c>
      <c r="Q455" s="5" t="s">
        <v>4827</v>
      </c>
      <c r="R455" t="s">
        <v>4828</v>
      </c>
      <c r="V455" s="1" t="str">
        <f>HYPERLINK("http://exon.niaid.nih.gov/transcriptome/T_rubida/S1/links/NR/Triru-contig_500-NR.txt","hypothetical protein ARALYDRAFT_477682")</f>
        <v>hypothetical protein ARALYDRAFT_477682</v>
      </c>
      <c r="W455" t="str">
        <f>HYPERLINK("http://www.ncbi.nlm.nih.gov/sutils/blink.cgi?pid=297833100","3.9")</f>
        <v>3.9</v>
      </c>
      <c r="X455" t="str">
        <f>HYPERLINK("http://www.ncbi.nlm.nih.gov/protein/297833100","gi|297833100")</f>
        <v>gi|297833100</v>
      </c>
      <c r="Y455">
        <v>35.799999999999997</v>
      </c>
      <c r="Z455">
        <v>25</v>
      </c>
      <c r="AA455">
        <v>434</v>
      </c>
      <c r="AB455">
        <v>50</v>
      </c>
      <c r="AC455">
        <v>6</v>
      </c>
      <c r="AD455">
        <v>13</v>
      </c>
      <c r="AE455">
        <v>0</v>
      </c>
      <c r="AF455">
        <v>165</v>
      </c>
      <c r="AG455">
        <v>220</v>
      </c>
      <c r="AH455">
        <v>1</v>
      </c>
      <c r="AI455">
        <v>1</v>
      </c>
      <c r="AJ455" t="s">
        <v>11</v>
      </c>
      <c r="AL455" t="s">
        <v>3860</v>
      </c>
      <c r="AM455" t="s">
        <v>3861</v>
      </c>
      <c r="AN455" t="s">
        <v>3862</v>
      </c>
      <c r="AO455" s="1" t="str">
        <f>HYPERLINK("http://exon.niaid.nih.gov/transcriptome/T_rubida/S1/links/SWISSP/Triru-contig_500-SWISSP.txt","Probable WRKY transcription factor 16")</f>
        <v>Probable WRKY transcription factor 16</v>
      </c>
      <c r="AP455" t="str">
        <f>HYPERLINK("http://www.uniprot.org/uniprot/Q9FL92","26")</f>
        <v>26</v>
      </c>
      <c r="AQ455" t="s">
        <v>3863</v>
      </c>
      <c r="AR455">
        <v>28.9</v>
      </c>
      <c r="AS455">
        <v>29</v>
      </c>
      <c r="AT455">
        <v>30</v>
      </c>
      <c r="AU455">
        <v>2</v>
      </c>
      <c r="AV455">
        <v>21</v>
      </c>
      <c r="AW455">
        <v>0</v>
      </c>
      <c r="AX455">
        <v>165</v>
      </c>
      <c r="AY455">
        <v>211</v>
      </c>
      <c r="AZ455">
        <v>1</v>
      </c>
      <c r="BA455">
        <v>1</v>
      </c>
      <c r="BB455" t="s">
        <v>11</v>
      </c>
      <c r="BD455" t="s">
        <v>704</v>
      </c>
      <c r="BE455" t="s">
        <v>906</v>
      </c>
      <c r="BF455" t="s">
        <v>3864</v>
      </c>
      <c r="BG455" t="s">
        <v>3865</v>
      </c>
      <c r="BH455" s="1" t="s">
        <v>57</v>
      </c>
      <c r="BI455" t="s">
        <v>57</v>
      </c>
      <c r="BJ455" s="1" t="str">
        <f>HYPERLINK("http://exon.niaid.nih.gov/transcriptome/T_rubida/S1/links/CDD/Triru-contig_500-CDD.txt","ACT_ACR_2")</f>
        <v>ACT_ACR_2</v>
      </c>
      <c r="BK455" t="str">
        <f>HYPERLINK("http://www.ncbi.nlm.nih.gov/Structure/cdd/cddsrv.cgi?uid=cd04925&amp;version=v4.0","2.8")</f>
        <v>2.8</v>
      </c>
      <c r="BL455" t="s">
        <v>3866</v>
      </c>
      <c r="BM455" s="1" t="str">
        <f>HYPERLINK("http://exon.niaid.nih.gov/transcriptome/T_rubida/S1/links/KOG/Triru-contig_500-KOG.txt","Smad anchor for receptor activation")</f>
        <v>Smad anchor for receptor activation</v>
      </c>
      <c r="BN455" t="str">
        <f>HYPERLINK("http://www.ncbi.nlm.nih.gov/COG/grace/shokog.cgi?KOG1841","1.3")</f>
        <v>1.3</v>
      </c>
      <c r="BO455" t="s">
        <v>2309</v>
      </c>
      <c r="BP455" s="1" t="str">
        <f>HYPERLINK("http://exon.niaid.nih.gov/transcriptome/T_rubida/S1/links/PFAM/Triru-contig_500-PFAM.txt","zf-DNA_Pol")</f>
        <v>zf-DNA_Pol</v>
      </c>
      <c r="BQ455" t="str">
        <f>HYPERLINK("http://pfam.sanger.ac.uk/family?acc=PF08996","1.5")</f>
        <v>1.5</v>
      </c>
      <c r="BR455" s="1" t="str">
        <f>HYPERLINK("http://exon.niaid.nih.gov/transcriptome/T_rubida/S1/links/SMART/Triru-contig_500-SMART.txt","ADEAMc")</f>
        <v>ADEAMc</v>
      </c>
      <c r="BS455" t="str">
        <f>HYPERLINK("http://smart.embl-heidelberg.de/smart/do_annotation.pl?DOMAIN=ADEAMc&amp;BLAST=DUMMY","0.15")</f>
        <v>0.15</v>
      </c>
      <c r="BT455" s="1" t="str">
        <f>HYPERLINK("http://exon.niaid.nih.gov/transcriptome/T_rubida/S1/links/PRK/Triru-contig_500-PRK.txt","phosphoserine transaminase.")</f>
        <v>phosphoserine transaminase.</v>
      </c>
      <c r="BU455">
        <v>1.9</v>
      </c>
      <c r="BV455" s="1" t="s">
        <v>57</v>
      </c>
      <c r="BW455" t="s">
        <v>57</v>
      </c>
      <c r="BX455" s="1" t="s">
        <v>57</v>
      </c>
      <c r="BY455" t="s">
        <v>57</v>
      </c>
    </row>
    <row r="456" spans="1:77">
      <c r="A456" t="str">
        <f>HYPERLINK("http://exon.niaid.nih.gov/transcriptome/T_rubida/S1/links/Triru/Triru-contig_183.txt","Triru-contig_183")</f>
        <v>Triru-contig_183</v>
      </c>
      <c r="B456">
        <v>1</v>
      </c>
      <c r="C456" t="str">
        <f>HYPERLINK("http://exon.niaid.nih.gov/transcriptome/T_rubida/S1/links/Triru/Triru-5-48-asb-183.txt","Contig-183")</f>
        <v>Contig-183</v>
      </c>
      <c r="D456" t="str">
        <f>HYPERLINK("http://exon.niaid.nih.gov/transcriptome/T_rubida/S1/links/Triru/Triru-5-48-183-CLU.txt","Contig183")</f>
        <v>Contig183</v>
      </c>
      <c r="E456" t="str">
        <f>HYPERLINK("http://exon.niaid.nih.gov/transcriptome/T_rubida/S1/links/Triru/Triru-5-48-183-qual.txt","43.1")</f>
        <v>43.1</v>
      </c>
      <c r="F456" t="s">
        <v>10</v>
      </c>
      <c r="G456">
        <v>76.8</v>
      </c>
      <c r="H456">
        <v>317</v>
      </c>
      <c r="I456" t="s">
        <v>195</v>
      </c>
      <c r="J456">
        <v>317</v>
      </c>
      <c r="K456">
        <v>336</v>
      </c>
      <c r="L456">
        <v>207</v>
      </c>
      <c r="M456" t="s">
        <v>5535</v>
      </c>
      <c r="N456" s="15">
        <v>2</v>
      </c>
      <c r="Q456" s="5" t="s">
        <v>4827</v>
      </c>
      <c r="R456" t="s">
        <v>4828</v>
      </c>
      <c r="V456" s="1" t="str">
        <f>HYPERLINK("http://exon.niaid.nih.gov/transcriptome/T_rubida/S1/links/NR/Triru-contig_183-NR.txt","NADH dehydrogenase subunit 5")</f>
        <v>NADH dehydrogenase subunit 5</v>
      </c>
      <c r="W456" t="str">
        <f>HYPERLINK("http://www.ncbi.nlm.nih.gov/sutils/blink.cgi?pid=302151395","3.9")</f>
        <v>3.9</v>
      </c>
      <c r="X456" t="str">
        <f>HYPERLINK("http://www.ncbi.nlm.nih.gov/protein/302151395","gi|302151395")</f>
        <v>gi|302151395</v>
      </c>
      <c r="Y456">
        <v>35</v>
      </c>
      <c r="Z456">
        <v>158</v>
      </c>
      <c r="AA456">
        <v>512</v>
      </c>
      <c r="AB456">
        <v>36</v>
      </c>
      <c r="AC456">
        <v>31</v>
      </c>
      <c r="AD456">
        <v>33</v>
      </c>
      <c r="AE456">
        <v>0</v>
      </c>
      <c r="AF456">
        <v>353</v>
      </c>
      <c r="AG456">
        <v>21</v>
      </c>
      <c r="AH456">
        <v>2</v>
      </c>
      <c r="AI456">
        <v>3</v>
      </c>
      <c r="AJ456" t="s">
        <v>11</v>
      </c>
      <c r="AK456">
        <v>1.266</v>
      </c>
      <c r="AL456" t="s">
        <v>1769</v>
      </c>
      <c r="AM456" t="s">
        <v>1770</v>
      </c>
      <c r="AN456" t="s">
        <v>1771</v>
      </c>
      <c r="AO456" s="1" t="str">
        <f>HYPERLINK("http://exon.niaid.nih.gov/transcriptome/T_rubida/S1/links/SWISSP/Triru-contig_183-SWISSP.txt","Protein RFT1 homolog")</f>
        <v>Protein RFT1 homolog</v>
      </c>
      <c r="AP456" t="str">
        <f>HYPERLINK("http://www.uniprot.org/uniprot/Q54IV7","6.2")</f>
        <v>6.2</v>
      </c>
      <c r="AQ456" t="s">
        <v>1772</v>
      </c>
      <c r="AR456">
        <v>29.6</v>
      </c>
      <c r="AS456">
        <v>56</v>
      </c>
      <c r="AT456">
        <v>28</v>
      </c>
      <c r="AU456">
        <v>11</v>
      </c>
      <c r="AV456">
        <v>41</v>
      </c>
      <c r="AW456">
        <v>10</v>
      </c>
      <c r="AX456">
        <v>473</v>
      </c>
      <c r="AY456">
        <v>176</v>
      </c>
      <c r="AZ456">
        <v>1</v>
      </c>
      <c r="BA456">
        <v>2</v>
      </c>
      <c r="BB456" t="s">
        <v>11</v>
      </c>
      <c r="BD456" t="s">
        <v>704</v>
      </c>
      <c r="BE456" t="s">
        <v>918</v>
      </c>
      <c r="BF456" t="s">
        <v>1773</v>
      </c>
      <c r="BG456" t="s">
        <v>1774</v>
      </c>
      <c r="BH456" s="1" t="s">
        <v>57</v>
      </c>
      <c r="BI456" t="s">
        <v>57</v>
      </c>
      <c r="BJ456" s="1" t="str">
        <f>HYPERLINK("http://exon.niaid.nih.gov/transcriptome/T_rubida/S1/links/CDD/Triru-contig_183-CDD.txt","ND2")</f>
        <v>ND2</v>
      </c>
      <c r="BK456" t="str">
        <f>HYPERLINK("http://www.ncbi.nlm.nih.gov/Structure/cdd/cddsrv.cgi?uid=MTH00160&amp;version=v4.0","0.055")</f>
        <v>0.055</v>
      </c>
      <c r="BL456" t="s">
        <v>1775</v>
      </c>
      <c r="BM456" s="1" t="str">
        <f>HYPERLINK("http://exon.niaid.nih.gov/transcriptome/T_rubida/S1/links/KOG/Triru-contig_183-KOG.txt","Helicase-like transcription factor HLTF/DNA helicase RAD5, DEAD-box superfamily")</f>
        <v>Helicase-like transcription factor HLTF/DNA helicase RAD5, DEAD-box superfamily</v>
      </c>
      <c r="BN456" t="str">
        <f>HYPERLINK("http://www.ncbi.nlm.nih.gov/COG/grace/shokog.cgi?KOG1001","1.2")</f>
        <v>1.2</v>
      </c>
      <c r="BO456" t="s">
        <v>1703</v>
      </c>
      <c r="BP456" s="1" t="str">
        <f>HYPERLINK("http://exon.niaid.nih.gov/transcriptome/T_rubida/S1/links/PFAM/Triru-contig_183-PFAM.txt","7TM_GPCR_Srz")</f>
        <v>7TM_GPCR_Srz</v>
      </c>
      <c r="BQ456" t="str">
        <f>HYPERLINK("http://pfam.sanger.ac.uk/family?acc=PF10325","0.070")</f>
        <v>0.070</v>
      </c>
      <c r="BR456" s="1" t="str">
        <f>HYPERLINK("http://exon.niaid.nih.gov/transcriptome/T_rubida/S1/links/SMART/Triru-contig_183-SMART.txt","TOPEUc")</f>
        <v>TOPEUc</v>
      </c>
      <c r="BS456" t="str">
        <f>HYPERLINK("http://smart.embl-heidelberg.de/smart/do_annotation.pl?DOMAIN=TOPEUc&amp;BLAST=DUMMY","0.024")</f>
        <v>0.024</v>
      </c>
      <c r="BT456" s="1" t="str">
        <f>HYPERLINK("http://exon.niaid.nih.gov/transcriptome/T_rubida/S1/links/PRK/Triru-contig_183-PRK.txt","NADH dehydrogenase subunit 2")</f>
        <v>NADH dehydrogenase subunit 2</v>
      </c>
      <c r="BU456">
        <v>2.1000000000000001E-2</v>
      </c>
      <c r="BV456" s="1" t="s">
        <v>57</v>
      </c>
      <c r="BW456" t="s">
        <v>57</v>
      </c>
      <c r="BX456" s="1" t="s">
        <v>57</v>
      </c>
      <c r="BY456" t="s">
        <v>57</v>
      </c>
    </row>
    <row r="457" spans="1:77">
      <c r="A457" t="str">
        <f>HYPERLINK("http://exon.niaid.nih.gov/transcriptome/T_rubida/S1/links/Triru/Triru-contig_540.txt","Triru-contig_540")</f>
        <v>Triru-contig_540</v>
      </c>
      <c r="B457">
        <v>1</v>
      </c>
      <c r="C457" t="str">
        <f>HYPERLINK("http://exon.niaid.nih.gov/transcriptome/T_rubida/S1/links/Triru/Triru-5-48-asb-540.txt","Contig-540")</f>
        <v>Contig-540</v>
      </c>
      <c r="D457" t="str">
        <f>HYPERLINK("http://exon.niaid.nih.gov/transcriptome/T_rubida/S1/links/Triru/Triru-5-48-540-CLU.txt","Contig540")</f>
        <v>Contig540</v>
      </c>
      <c r="E457" t="str">
        <f>HYPERLINK("http://exon.niaid.nih.gov/transcriptome/T_rubida/S1/links/Triru/Triru-5-48-540-qual.txt","60.8")</f>
        <v>60.8</v>
      </c>
      <c r="F457" t="s">
        <v>10</v>
      </c>
      <c r="G457">
        <v>72</v>
      </c>
      <c r="H457">
        <v>220</v>
      </c>
      <c r="I457" t="s">
        <v>552</v>
      </c>
      <c r="J457">
        <v>220</v>
      </c>
      <c r="K457">
        <v>239</v>
      </c>
      <c r="L457">
        <v>99</v>
      </c>
      <c r="M457" t="s">
        <v>5631</v>
      </c>
      <c r="N457" s="15">
        <v>1</v>
      </c>
      <c r="Q457" s="5" t="s">
        <v>4827</v>
      </c>
      <c r="R457" t="s">
        <v>4828</v>
      </c>
      <c r="V457" s="1" t="str">
        <f>HYPERLINK("http://exon.niaid.nih.gov/transcriptome/T_rubida/S1/links/NR/Triru-contig_540-NR.txt","hypothetical protein")</f>
        <v>hypothetical protein</v>
      </c>
      <c r="W457" t="str">
        <f>HYPERLINK("http://www.ncbi.nlm.nih.gov/sutils/blink.cgi?pid=82593867","3.9")</f>
        <v>3.9</v>
      </c>
      <c r="X457" t="str">
        <f>HYPERLINK("http://www.ncbi.nlm.nih.gov/protein/82593867","gi|82593867")</f>
        <v>gi|82593867</v>
      </c>
      <c r="Y457">
        <v>35</v>
      </c>
      <c r="Z457">
        <v>56</v>
      </c>
      <c r="AA457">
        <v>2140</v>
      </c>
      <c r="AB457">
        <v>36</v>
      </c>
      <c r="AC457">
        <v>3</v>
      </c>
      <c r="AD457">
        <v>39</v>
      </c>
      <c r="AE457">
        <v>0</v>
      </c>
      <c r="AF457">
        <v>561</v>
      </c>
      <c r="AG457">
        <v>8</v>
      </c>
      <c r="AH457">
        <v>1</v>
      </c>
      <c r="AI457">
        <v>2</v>
      </c>
      <c r="AJ457" t="s">
        <v>11</v>
      </c>
      <c r="AK457">
        <v>5.3570000000000002</v>
      </c>
      <c r="AL457" t="s">
        <v>2310</v>
      </c>
      <c r="AM457" t="s">
        <v>4128</v>
      </c>
      <c r="AN457" t="s">
        <v>4129</v>
      </c>
      <c r="AO457" s="1" t="str">
        <f>HYPERLINK("http://exon.niaid.nih.gov/transcriptome/T_rubida/S1/links/SWISSP/Triru-contig_540-SWISSP.txt","Splicing regulatory glutamine/lysine-rich protein 1")</f>
        <v>Splicing regulatory glutamine/lysine-rich protein 1</v>
      </c>
      <c r="AP457" t="str">
        <f>HYPERLINK("http://www.uniprot.org/uniprot/Q9JKL7","40")</f>
        <v>40</v>
      </c>
      <c r="AQ457" t="s">
        <v>4130</v>
      </c>
      <c r="AR457">
        <v>26.9</v>
      </c>
      <c r="AS457">
        <v>13</v>
      </c>
      <c r="AT457">
        <v>78</v>
      </c>
      <c r="AU457">
        <v>3</v>
      </c>
      <c r="AV457">
        <v>3</v>
      </c>
      <c r="AW457">
        <v>0</v>
      </c>
      <c r="AX457">
        <v>192</v>
      </c>
      <c r="AY457">
        <v>3</v>
      </c>
      <c r="AZ457">
        <v>1</v>
      </c>
      <c r="BA457">
        <v>3</v>
      </c>
      <c r="BB457" t="s">
        <v>11</v>
      </c>
      <c r="BD457" t="s">
        <v>704</v>
      </c>
      <c r="BE457" t="s">
        <v>1164</v>
      </c>
      <c r="BF457" t="s">
        <v>4131</v>
      </c>
      <c r="BG457" t="s">
        <v>4132</v>
      </c>
      <c r="BH457" s="1" t="s">
        <v>57</v>
      </c>
      <c r="BI457" t="s">
        <v>57</v>
      </c>
      <c r="BJ457" s="1" t="str">
        <f>HYPERLINK("http://exon.niaid.nih.gov/transcriptome/T_rubida/S1/links/CDD/Triru-contig_540-CDD.txt","ALG3")</f>
        <v>ALG3</v>
      </c>
      <c r="BK457" t="str">
        <f>HYPERLINK("http://www.ncbi.nlm.nih.gov/Structure/cdd/cddsrv.cgi?uid=pfam05208&amp;version=v4.0","0.81")</f>
        <v>0.81</v>
      </c>
      <c r="BL457" t="s">
        <v>4133</v>
      </c>
      <c r="BM457" s="1" t="str">
        <f>HYPERLINK("http://exon.niaid.nih.gov/transcriptome/T_rubida/S1/links/KOG/Triru-contig_540-KOG.txt","Mannosyltransferase")</f>
        <v>Mannosyltransferase</v>
      </c>
      <c r="BN457" t="str">
        <f>HYPERLINK("http://www.ncbi.nlm.nih.gov/COG/grace/shokog.cgi?KOG2762","1.1")</f>
        <v>1.1</v>
      </c>
      <c r="BO457" t="s">
        <v>946</v>
      </c>
      <c r="BP457" s="1" t="str">
        <f>HYPERLINK("http://exon.niaid.nih.gov/transcriptome/T_rubida/S1/links/PFAM/Triru-contig_540-PFAM.txt","ALG3")</f>
        <v>ALG3</v>
      </c>
      <c r="BQ457" t="str">
        <f>HYPERLINK("http://pfam.sanger.ac.uk/family?acc=PF05208","0.17")</f>
        <v>0.17</v>
      </c>
      <c r="BR457" s="1" t="str">
        <f>HYPERLINK("http://exon.niaid.nih.gov/transcriptome/T_rubida/S1/links/SMART/Triru-contig_540-SMART.txt","TFIIE")</f>
        <v>TFIIE</v>
      </c>
      <c r="BS457" t="str">
        <f>HYPERLINK("http://smart.embl-heidelberg.de/smart/do_annotation.pl?DOMAIN=TFIIE&amp;BLAST=DUMMY","0.33")</f>
        <v>0.33</v>
      </c>
      <c r="BT457" s="1" t="str">
        <f>HYPERLINK("http://exon.niaid.nih.gov/transcriptome/T_rubida/S1/links/PRK/Triru-contig_540-PRK.txt","NADH dehydrogenase subunit 2")</f>
        <v>NADH dehydrogenase subunit 2</v>
      </c>
      <c r="BU457">
        <v>0.59</v>
      </c>
      <c r="BV457" s="1" t="s">
        <v>57</v>
      </c>
      <c r="BW457" t="s">
        <v>57</v>
      </c>
      <c r="BX457" s="1" t="s">
        <v>57</v>
      </c>
      <c r="BY457" t="s">
        <v>57</v>
      </c>
    </row>
    <row r="458" spans="1:77">
      <c r="A458" t="str">
        <f>HYPERLINK("http://exon.niaid.nih.gov/transcriptome/T_rubida/S1/links/Triru/Triru-contig_631.txt","Triru-contig_631")</f>
        <v>Triru-contig_631</v>
      </c>
      <c r="B458">
        <v>1</v>
      </c>
      <c r="C458" t="str">
        <f>HYPERLINK("http://exon.niaid.nih.gov/transcriptome/T_rubida/S1/links/Triru/Triru-5-48-asb-631.txt","Contig-631")</f>
        <v>Contig-631</v>
      </c>
      <c r="D458" t="str">
        <f>HYPERLINK("http://exon.niaid.nih.gov/transcriptome/T_rubida/S1/links/Triru/Triru-5-48-631-CLU.txt","Contig631")</f>
        <v>Contig631</v>
      </c>
      <c r="E458" t="str">
        <f>HYPERLINK("http://exon.niaid.nih.gov/transcriptome/T_rubida/S1/links/Triru/Triru-5-48-631-qual.txt","61.1")</f>
        <v>61.1</v>
      </c>
      <c r="F458" t="s">
        <v>10</v>
      </c>
      <c r="G458">
        <v>78.3</v>
      </c>
      <c r="H458">
        <v>295</v>
      </c>
      <c r="I458" t="s">
        <v>643</v>
      </c>
      <c r="J458">
        <v>295</v>
      </c>
      <c r="K458">
        <v>314</v>
      </c>
      <c r="L458">
        <v>240</v>
      </c>
      <c r="M458" t="s">
        <v>5463</v>
      </c>
      <c r="N458" s="15">
        <v>3</v>
      </c>
      <c r="Q458" s="5" t="s">
        <v>4827</v>
      </c>
      <c r="R458" t="s">
        <v>4828</v>
      </c>
      <c r="V458" s="1" t="str">
        <f>HYPERLINK("http://exon.niaid.nih.gov/transcriptome/T_rubida/S1/links/NR/Triru-contig_631-NR.txt","Probable palmitoyltransferase ZDHHC21")</f>
        <v>Probable palmitoyltransferase ZDHHC21</v>
      </c>
      <c r="W458" t="str">
        <f>HYPERLINK("http://www.ncbi.nlm.nih.gov/sutils/blink.cgi?pid=225718756","4.0")</f>
        <v>4.0</v>
      </c>
      <c r="X458" t="str">
        <f>HYPERLINK("http://www.ncbi.nlm.nih.gov/protein/225718756","gi|225718756")</f>
        <v>gi|225718756</v>
      </c>
      <c r="Y458">
        <v>35</v>
      </c>
      <c r="Z458">
        <v>87</v>
      </c>
      <c r="AA458">
        <v>310</v>
      </c>
      <c r="AB458">
        <v>26</v>
      </c>
      <c r="AC458">
        <v>28</v>
      </c>
      <c r="AD458">
        <v>65</v>
      </c>
      <c r="AE458">
        <v>10</v>
      </c>
      <c r="AF458">
        <v>169</v>
      </c>
      <c r="AG458">
        <v>54</v>
      </c>
      <c r="AH458">
        <v>1</v>
      </c>
      <c r="AI458">
        <v>3</v>
      </c>
      <c r="AJ458" t="s">
        <v>11</v>
      </c>
      <c r="AK458">
        <v>1.149</v>
      </c>
      <c r="AL458" t="s">
        <v>4674</v>
      </c>
      <c r="AM458" t="s">
        <v>4675</v>
      </c>
      <c r="AN458" t="s">
        <v>4676</v>
      </c>
      <c r="AO458" s="1" t="str">
        <f>HYPERLINK("http://exon.niaid.nih.gov/transcriptome/T_rubida/S1/links/SWISSP/Triru-contig_631-SWISSP.txt","CBL-interacting serine/threonine-protein kinase 23")</f>
        <v>CBL-interacting serine/threonine-protein kinase 23</v>
      </c>
      <c r="AP458" t="str">
        <f>HYPERLINK("http://www.uniprot.org/uniprot/Q93VD3","0.42")</f>
        <v>0.42</v>
      </c>
      <c r="AQ458" t="s">
        <v>4677</v>
      </c>
      <c r="AR458">
        <v>33.5</v>
      </c>
      <c r="AS458">
        <v>45</v>
      </c>
      <c r="AT458">
        <v>36</v>
      </c>
      <c r="AU458">
        <v>10</v>
      </c>
      <c r="AV458">
        <v>29</v>
      </c>
      <c r="AW458">
        <v>0</v>
      </c>
      <c r="AX458">
        <v>60</v>
      </c>
      <c r="AY458">
        <v>72</v>
      </c>
      <c r="AZ458">
        <v>1</v>
      </c>
      <c r="BA458">
        <v>3</v>
      </c>
      <c r="BB458" t="s">
        <v>11</v>
      </c>
      <c r="BD458" t="s">
        <v>704</v>
      </c>
      <c r="BE458" t="s">
        <v>906</v>
      </c>
      <c r="BF458" t="s">
        <v>4678</v>
      </c>
      <c r="BG458" t="s">
        <v>4679</v>
      </c>
      <c r="BH458" s="1" t="s">
        <v>57</v>
      </c>
      <c r="BI458" t="s">
        <v>57</v>
      </c>
      <c r="BJ458" s="1" t="str">
        <f>HYPERLINK("http://exon.niaid.nih.gov/transcriptome/T_rubida/S1/links/CDD/Triru-contig_631-CDD.txt","ND2")</f>
        <v>ND2</v>
      </c>
      <c r="BK458" t="str">
        <f>HYPERLINK("http://www.ncbi.nlm.nih.gov/Structure/cdd/cddsrv.cgi?uid=MTH00160&amp;version=v4.0","2E-006")</f>
        <v>2E-006</v>
      </c>
      <c r="BL458" t="s">
        <v>4680</v>
      </c>
      <c r="BM458" s="1" t="str">
        <f>HYPERLINK("http://exon.niaid.nih.gov/transcriptome/T_rubida/S1/links/KOG/Triru-contig_631-KOG.txt","Chitin synthase/hyaluronan synthase (glycosyltransferases)")</f>
        <v>Chitin synthase/hyaluronan synthase (glycosyltransferases)</v>
      </c>
      <c r="BN458" t="str">
        <f>HYPERLINK("http://www.ncbi.nlm.nih.gov/COG/grace/shokog.cgi?KOG2571","0.002")</f>
        <v>0.002</v>
      </c>
      <c r="BO458" t="s">
        <v>760</v>
      </c>
      <c r="BP458" s="1" t="str">
        <f>HYPERLINK("http://exon.niaid.nih.gov/transcriptome/T_rubida/S1/links/PFAM/Triru-contig_631-PFAM.txt","DUF3796")</f>
        <v>DUF3796</v>
      </c>
      <c r="BQ458" t="str">
        <f>HYPERLINK("http://pfam.sanger.ac.uk/family?acc=PF12676","4E-005")</f>
        <v>4E-005</v>
      </c>
      <c r="BR458" s="1" t="str">
        <f>HYPERLINK("http://exon.niaid.nih.gov/transcriptome/T_rubida/S1/links/SMART/Triru-contig_631-SMART.txt","PSN")</f>
        <v>PSN</v>
      </c>
      <c r="BS458" t="str">
        <f>HYPERLINK("http://smart.embl-heidelberg.de/smart/do_annotation.pl?DOMAIN=PSN&amp;BLAST=DUMMY","3E-004")</f>
        <v>3E-004</v>
      </c>
      <c r="BT458" s="1" t="str">
        <f>HYPERLINK("http://exon.niaid.nih.gov/transcriptome/T_rubida/S1/links/PRK/Triru-contig_631-PRK.txt","NADH dehydrogenase subunit 2")</f>
        <v>NADH dehydrogenase subunit 2</v>
      </c>
      <c r="BU458" s="2">
        <v>5.9999999999999997E-7</v>
      </c>
      <c r="BV458" s="1" t="s">
        <v>57</v>
      </c>
      <c r="BW458" t="s">
        <v>57</v>
      </c>
      <c r="BX458" s="1" t="s">
        <v>57</v>
      </c>
      <c r="BY458" t="s">
        <v>57</v>
      </c>
    </row>
    <row r="459" spans="1:77">
      <c r="A459" t="str">
        <f>HYPERLINK("http://exon.niaid.nih.gov/transcriptome/T_rubida/S1/links/Triru/Triru-contig_350.txt","Triru-contig_350")</f>
        <v>Triru-contig_350</v>
      </c>
      <c r="B459">
        <v>1</v>
      </c>
      <c r="C459" t="str">
        <f>HYPERLINK("http://exon.niaid.nih.gov/transcriptome/T_rubida/S1/links/Triru/Triru-5-48-asb-350.txt","Contig-350")</f>
        <v>Contig-350</v>
      </c>
      <c r="D459" t="str">
        <f>HYPERLINK("http://exon.niaid.nih.gov/transcriptome/T_rubida/S1/links/Triru/Triru-5-48-350-CLU.txt","Contig350")</f>
        <v>Contig350</v>
      </c>
      <c r="E459" t="str">
        <f>HYPERLINK("http://exon.niaid.nih.gov/transcriptome/T_rubida/S1/links/Triru/Triru-5-48-350-qual.txt","62.6")</f>
        <v>62.6</v>
      </c>
      <c r="F459" t="s">
        <v>10</v>
      </c>
      <c r="G459">
        <v>68.3</v>
      </c>
      <c r="H459">
        <v>432</v>
      </c>
      <c r="I459" t="s">
        <v>362</v>
      </c>
      <c r="J459">
        <v>432</v>
      </c>
      <c r="K459">
        <v>451</v>
      </c>
      <c r="L459">
        <v>162</v>
      </c>
      <c r="M459" t="s">
        <v>5520</v>
      </c>
      <c r="N459" s="15">
        <v>3</v>
      </c>
      <c r="O459" s="14" t="str">
        <f>HYPERLINK("http://exon.niaid.nih.gov/transcriptome/T_rubida/S1/links/Sigp/TRIRU-CONTIG_350-SigP.txt","Cyt")</f>
        <v>Cyt</v>
      </c>
      <c r="Q459" s="5" t="s">
        <v>4827</v>
      </c>
      <c r="R459" t="s">
        <v>4828</v>
      </c>
      <c r="V459" s="1" t="str">
        <f>HYPERLINK("http://exon.niaid.nih.gov/transcriptome/T_rubida/S1/links/NR/Triru-contig_350-NR.txt","hypothetical protein ELI_1448")</f>
        <v>hypothetical protein ELI_1448</v>
      </c>
      <c r="W459" t="str">
        <f>HYPERLINK("http://www.ncbi.nlm.nih.gov/sutils/blink.cgi?pid=310827040","4.0")</f>
        <v>4.0</v>
      </c>
      <c r="X459" t="str">
        <f>HYPERLINK("http://www.ncbi.nlm.nih.gov/protein/310827040","gi|310827040")</f>
        <v>gi|310827040</v>
      </c>
      <c r="Y459">
        <v>35</v>
      </c>
      <c r="Z459">
        <v>38</v>
      </c>
      <c r="AA459">
        <v>193</v>
      </c>
      <c r="AB459">
        <v>38</v>
      </c>
      <c r="AC459">
        <v>20</v>
      </c>
      <c r="AD459">
        <v>24</v>
      </c>
      <c r="AE459">
        <v>0</v>
      </c>
      <c r="AF459">
        <v>35</v>
      </c>
      <c r="AG459">
        <v>261</v>
      </c>
      <c r="AH459">
        <v>1</v>
      </c>
      <c r="AI459">
        <v>3</v>
      </c>
      <c r="AJ459" t="s">
        <v>11</v>
      </c>
      <c r="AK459">
        <v>2.6320000000000001</v>
      </c>
      <c r="AL459" t="s">
        <v>2852</v>
      </c>
      <c r="AM459" t="s">
        <v>2853</v>
      </c>
      <c r="AN459" t="s">
        <v>2854</v>
      </c>
      <c r="AO459" s="1" t="str">
        <f>HYPERLINK("http://exon.niaid.nih.gov/transcriptome/T_rubida/S1/links/SWISSP/Triru-contig_350-SWISSP.txt","tRNA modification GTPase MnmE")</f>
        <v>tRNA modification GTPase MnmE</v>
      </c>
      <c r="AP459" t="str">
        <f>HYPERLINK("http://www.uniprot.org/uniprot/Q05FY9","0.40")</f>
        <v>0.40</v>
      </c>
      <c r="AQ459" t="s">
        <v>2855</v>
      </c>
      <c r="AR459">
        <v>33.9</v>
      </c>
      <c r="AS459">
        <v>38</v>
      </c>
      <c r="AT459">
        <v>42</v>
      </c>
      <c r="AU459">
        <v>9</v>
      </c>
      <c r="AV459">
        <v>23</v>
      </c>
      <c r="AW459">
        <v>0</v>
      </c>
      <c r="AX459">
        <v>170</v>
      </c>
      <c r="AY459">
        <v>207</v>
      </c>
      <c r="AZ459">
        <v>1</v>
      </c>
      <c r="BA459">
        <v>3</v>
      </c>
      <c r="BB459" t="s">
        <v>11</v>
      </c>
      <c r="BD459" t="s">
        <v>704</v>
      </c>
      <c r="BE459" t="s">
        <v>2856</v>
      </c>
      <c r="BF459" t="s">
        <v>2857</v>
      </c>
      <c r="BG459" t="s">
        <v>2858</v>
      </c>
      <c r="BH459" s="1" t="s">
        <v>57</v>
      </c>
      <c r="BI459" t="s">
        <v>57</v>
      </c>
      <c r="BJ459" s="1" t="str">
        <f>HYPERLINK("http://exon.niaid.nih.gov/transcriptome/T_rubida/S1/links/CDD/Triru-contig_350-CDD.txt","Baculo_RING")</f>
        <v>Baculo_RING</v>
      </c>
      <c r="BK459" t="str">
        <f>HYPERLINK("http://www.ncbi.nlm.nih.gov/Structure/cdd/cddsrv.cgi?uid=pfam05883&amp;version=v4.0","0.24")</f>
        <v>0.24</v>
      </c>
      <c r="BL459" t="s">
        <v>2859</v>
      </c>
      <c r="BM459" s="1" t="str">
        <f>HYPERLINK("http://exon.niaid.nih.gov/transcriptome/T_rubida/S1/links/KOG/Triru-contig_350-KOG.txt","rRNA processing protein Rrp5")</f>
        <v>rRNA processing protein Rrp5</v>
      </c>
      <c r="BN459" t="str">
        <f>HYPERLINK("http://www.ncbi.nlm.nih.gov/COG/grace/shokog.cgi?KOG1070","0.76")</f>
        <v>0.76</v>
      </c>
      <c r="BO459" t="s">
        <v>1002</v>
      </c>
      <c r="BP459" s="1" t="str">
        <f>HYPERLINK("http://exon.niaid.nih.gov/transcriptome/T_rubida/S1/links/PFAM/Triru-contig_350-PFAM.txt","Baculo_RING")</f>
        <v>Baculo_RING</v>
      </c>
      <c r="BQ459" t="str">
        <f>HYPERLINK("http://pfam.sanger.ac.uk/family?acc=PF05883","0.051")</f>
        <v>0.051</v>
      </c>
      <c r="BR459" s="1" t="str">
        <f>HYPERLINK("http://exon.niaid.nih.gov/transcriptome/T_rubida/S1/links/SMART/Triru-contig_350-SMART.txt","RhoGAP")</f>
        <v>RhoGAP</v>
      </c>
      <c r="BS459" t="str">
        <f>HYPERLINK("http://smart.embl-heidelberg.de/smart/do_annotation.pl?DOMAIN=RhoGAP&amp;BLAST=DUMMY","0.20")</f>
        <v>0.20</v>
      </c>
      <c r="BT459" s="1" t="str">
        <f>HYPERLINK("http://exon.niaid.nih.gov/transcriptome/T_rubida/S1/links/PRK/Triru-contig_350-PRK.txt","diguanylate cyclase AdrA")</f>
        <v>diguanylate cyclase AdrA</v>
      </c>
      <c r="BU459">
        <v>0.61</v>
      </c>
      <c r="BV459" s="1" t="s">
        <v>57</v>
      </c>
      <c r="BW459" t="s">
        <v>57</v>
      </c>
      <c r="BX459" s="1" t="s">
        <v>57</v>
      </c>
      <c r="BY459" t="s">
        <v>57</v>
      </c>
    </row>
    <row r="460" spans="1:77">
      <c r="A460" t="str">
        <f>HYPERLINK("http://exon.niaid.nih.gov/transcriptome/T_rubida/S1/links/Triru/Triru-contig_347.txt","Triru-contig_347")</f>
        <v>Triru-contig_347</v>
      </c>
      <c r="B460">
        <v>1</v>
      </c>
      <c r="C460" t="str">
        <f>HYPERLINK("http://exon.niaid.nih.gov/transcriptome/T_rubida/S1/links/Triru/Triru-5-48-asb-347.txt","Contig-347")</f>
        <v>Contig-347</v>
      </c>
      <c r="D460" t="str">
        <f>HYPERLINK("http://exon.niaid.nih.gov/transcriptome/T_rubida/S1/links/Triru/Triru-5-48-347-CLU.txt","Contig347")</f>
        <v>Contig347</v>
      </c>
      <c r="E460" t="str">
        <f>HYPERLINK("http://exon.niaid.nih.gov/transcriptome/T_rubida/S1/links/Triru/Triru-5-48-347-qual.txt","62.9")</f>
        <v>62.9</v>
      </c>
      <c r="F460" t="s">
        <v>10</v>
      </c>
      <c r="G460">
        <v>76.7</v>
      </c>
      <c r="H460">
        <v>281</v>
      </c>
      <c r="I460" t="s">
        <v>359</v>
      </c>
      <c r="J460">
        <v>281</v>
      </c>
      <c r="K460">
        <v>300</v>
      </c>
      <c r="L460">
        <v>108</v>
      </c>
      <c r="M460" t="s">
        <v>5570</v>
      </c>
      <c r="N460" s="15">
        <v>1</v>
      </c>
      <c r="Q460" s="5" t="s">
        <v>4827</v>
      </c>
      <c r="R460" t="s">
        <v>4828</v>
      </c>
      <c r="V460" s="1" t="str">
        <f>HYPERLINK("http://exon.niaid.nih.gov/transcriptome/T_rubida/S1/links/NR/Triru-contig_347-NR.txt","hypothetical protein LOC100503705")</f>
        <v>hypothetical protein LOC100503705</v>
      </c>
      <c r="W460" t="str">
        <f>HYPERLINK("http://www.ncbi.nlm.nih.gov/sutils/blink.cgi?pid=309267532","4.0")</f>
        <v>4.0</v>
      </c>
      <c r="X460" t="str">
        <f>HYPERLINK("http://www.ncbi.nlm.nih.gov/protein/309267532","gi|309267532")</f>
        <v>gi|309267532</v>
      </c>
      <c r="Y460">
        <v>35</v>
      </c>
      <c r="Z460">
        <v>45</v>
      </c>
      <c r="AA460">
        <v>475</v>
      </c>
      <c r="AB460">
        <v>36</v>
      </c>
      <c r="AC460">
        <v>10</v>
      </c>
      <c r="AD460">
        <v>29</v>
      </c>
      <c r="AE460">
        <v>0</v>
      </c>
      <c r="AF460">
        <v>84</v>
      </c>
      <c r="AG460">
        <v>96</v>
      </c>
      <c r="AH460">
        <v>1</v>
      </c>
      <c r="AI460">
        <v>3</v>
      </c>
      <c r="AJ460" t="s">
        <v>11</v>
      </c>
      <c r="AK460">
        <v>2.222</v>
      </c>
      <c r="AL460" t="s">
        <v>807</v>
      </c>
      <c r="AM460" t="s">
        <v>2830</v>
      </c>
      <c r="AN460" t="s">
        <v>2831</v>
      </c>
      <c r="AO460" s="1" t="str">
        <f>HYPERLINK("http://exon.niaid.nih.gov/transcriptome/T_rubida/S1/links/SWISSP/Triru-contig_347-SWISSP.txt","Putative membrane protein ycf1")</f>
        <v>Putative membrane protein ycf1</v>
      </c>
      <c r="AP460" t="str">
        <f>HYPERLINK("http://www.uniprot.org/uniprot/A4GYX4","6.2")</f>
        <v>6.2</v>
      </c>
      <c r="AQ460" t="s">
        <v>2832</v>
      </c>
      <c r="AR460">
        <v>29.6</v>
      </c>
      <c r="AS460">
        <v>79</v>
      </c>
      <c r="AT460">
        <v>25</v>
      </c>
      <c r="AU460">
        <v>4</v>
      </c>
      <c r="AV460">
        <v>60</v>
      </c>
      <c r="AW460">
        <v>14</v>
      </c>
      <c r="AX460">
        <v>1142</v>
      </c>
      <c r="AY460">
        <v>27</v>
      </c>
      <c r="AZ460">
        <v>1</v>
      </c>
      <c r="BA460">
        <v>3</v>
      </c>
      <c r="BB460" t="s">
        <v>11</v>
      </c>
      <c r="BC460">
        <v>2.532</v>
      </c>
      <c r="BD460" t="s">
        <v>704</v>
      </c>
      <c r="BE460" t="s">
        <v>2833</v>
      </c>
      <c r="BF460" t="s">
        <v>2834</v>
      </c>
      <c r="BG460" t="s">
        <v>2835</v>
      </c>
      <c r="BH460" s="1" t="s">
        <v>57</v>
      </c>
      <c r="BI460" t="s">
        <v>57</v>
      </c>
      <c r="BJ460" s="1" t="str">
        <f>HYPERLINK("http://exon.niaid.nih.gov/transcriptome/T_rubida/S1/links/CDD/Triru-contig_347-CDD.txt","ND5")</f>
        <v>ND5</v>
      </c>
      <c r="BK460" t="str">
        <f>HYPERLINK("http://www.ncbi.nlm.nih.gov/Structure/cdd/cddsrv.cgi?uid=MTH00165&amp;version=v4.0","0.007")</f>
        <v>0.007</v>
      </c>
      <c r="BL460" t="s">
        <v>2836</v>
      </c>
      <c r="BM460" s="1" t="str">
        <f>HYPERLINK("http://exon.niaid.nih.gov/transcriptome/T_rubida/S1/links/KOG/Triru-contig_347-KOG.txt","Predicted DHHC-type Zn-finger protein")</f>
        <v>Predicted DHHC-type Zn-finger protein</v>
      </c>
      <c r="BN460" t="str">
        <f>HYPERLINK("http://www.ncbi.nlm.nih.gov/COG/grace/shokog.cgi?KOG1315","0.24")</f>
        <v>0.24</v>
      </c>
      <c r="BO460" t="s">
        <v>750</v>
      </c>
      <c r="BP460" s="1" t="str">
        <f>HYPERLINK("http://exon.niaid.nih.gov/transcriptome/T_rubida/S1/links/PFAM/Triru-contig_347-PFAM.txt","7TM_GPCR_Srz")</f>
        <v>7TM_GPCR_Srz</v>
      </c>
      <c r="BQ460" t="str">
        <f>HYPERLINK("http://pfam.sanger.ac.uk/family?acc=PF10325","0.002")</f>
        <v>0.002</v>
      </c>
      <c r="BR460" s="1" t="str">
        <f>HYPERLINK("http://exon.niaid.nih.gov/transcriptome/T_rubida/S1/links/SMART/Triru-contig_347-SMART.txt","RasGAP")</f>
        <v>RasGAP</v>
      </c>
      <c r="BS460" t="str">
        <f>HYPERLINK("http://smart.embl-heidelberg.de/smart/do_annotation.pl?DOMAIN=RasGAP&amp;BLAST=DUMMY","0.041")</f>
        <v>0.041</v>
      </c>
      <c r="BT460" s="1" t="str">
        <f>HYPERLINK("http://exon.niaid.nih.gov/transcriptome/T_rubida/S1/links/PRK/Triru-contig_347-PRK.txt","NADH dehydrogenase subunit 5")</f>
        <v>NADH dehydrogenase subunit 5</v>
      </c>
      <c r="BU460">
        <v>3.0000000000000001E-3</v>
      </c>
      <c r="BV460" s="1" t="s">
        <v>57</v>
      </c>
      <c r="BW460" t="s">
        <v>57</v>
      </c>
      <c r="BX460" s="1" t="s">
        <v>57</v>
      </c>
      <c r="BY460" t="s">
        <v>57</v>
      </c>
    </row>
    <row r="461" spans="1:77">
      <c r="A461" t="str">
        <f>HYPERLINK("http://exon.niaid.nih.gov/transcriptome/T_rubida/S1/links/Triru/Triru-contig_416.txt","Triru-contig_416")</f>
        <v>Triru-contig_416</v>
      </c>
      <c r="B461">
        <v>1</v>
      </c>
      <c r="C461" t="str">
        <f>HYPERLINK("http://exon.niaid.nih.gov/transcriptome/T_rubida/S1/links/Triru/Triru-5-48-asb-416.txt","Contig-416")</f>
        <v>Contig-416</v>
      </c>
      <c r="D461" t="str">
        <f>HYPERLINK("http://exon.niaid.nih.gov/transcriptome/T_rubida/S1/links/Triru/Triru-5-48-416-CLU.txt","Contig416")</f>
        <v>Contig416</v>
      </c>
      <c r="E461" t="str">
        <f>HYPERLINK("http://exon.niaid.nih.gov/transcriptome/T_rubida/S1/links/Triru/Triru-5-48-416-qual.txt","27.8")</f>
        <v>27.8</v>
      </c>
      <c r="F461" t="s">
        <v>10</v>
      </c>
      <c r="G461">
        <v>66.2</v>
      </c>
      <c r="H461">
        <v>1049</v>
      </c>
      <c r="I461" t="s">
        <v>428</v>
      </c>
      <c r="J461">
        <v>1049</v>
      </c>
      <c r="K461">
        <v>1068</v>
      </c>
      <c r="L461">
        <v>303</v>
      </c>
      <c r="M461" t="s">
        <v>5661</v>
      </c>
      <c r="N461" s="15">
        <v>1</v>
      </c>
      <c r="Q461" s="5" t="s">
        <v>4827</v>
      </c>
      <c r="R461" t="s">
        <v>4828</v>
      </c>
      <c r="V461" s="1" t="str">
        <f>HYPERLINK("http://exon.niaid.nih.gov/transcriptome/T_rubida/S1/links/NR/Triru-contig_416-NR.txt","Pex2 / Pex12 amino terminal region family protein")</f>
        <v>Pex2 / Pex12 amino terminal region family protein</v>
      </c>
      <c r="W461" t="str">
        <f>HYPERLINK("http://www.ncbi.nlm.nih.gov/sutils/blink.cgi?pid=118381997","4.1")</f>
        <v>4.1</v>
      </c>
      <c r="X461" t="str">
        <f>HYPERLINK("http://www.ncbi.nlm.nih.gov/protein/118381997","gi|118381997")</f>
        <v>gi|118381997</v>
      </c>
      <c r="Y461">
        <v>37.4</v>
      </c>
      <c r="Z461">
        <v>83</v>
      </c>
      <c r="AA461">
        <v>319</v>
      </c>
      <c r="AB461">
        <v>27</v>
      </c>
      <c r="AC461">
        <v>26</v>
      </c>
      <c r="AD461">
        <v>62</v>
      </c>
      <c r="AE461">
        <v>3</v>
      </c>
      <c r="AF461">
        <v>83</v>
      </c>
      <c r="AG461">
        <v>148</v>
      </c>
      <c r="AH461">
        <v>1</v>
      </c>
      <c r="AI461">
        <v>1</v>
      </c>
      <c r="AJ461" t="s">
        <v>11</v>
      </c>
      <c r="AL461" t="s">
        <v>2366</v>
      </c>
      <c r="AM461" t="s">
        <v>3295</v>
      </c>
      <c r="AN461" t="s">
        <v>3296</v>
      </c>
      <c r="AO461" s="1" t="str">
        <f>HYPERLINK("http://exon.niaid.nih.gov/transcriptome/T_rubida/S1/links/SWISSP/Triru-contig_416-SWISSP.txt","ATP-dependent Clp protease ATP-binding subunit ClpX")</f>
        <v>ATP-dependent Clp protease ATP-binding subunit ClpX</v>
      </c>
      <c r="AP461" t="str">
        <f>HYPERLINK("http://www.uniprot.org/uniprot/Q8NN26","0.19")</f>
        <v>0.19</v>
      </c>
      <c r="AQ461" t="s">
        <v>3297</v>
      </c>
      <c r="AR461">
        <v>37.4</v>
      </c>
      <c r="AS461">
        <v>60</v>
      </c>
      <c r="AT461">
        <v>35</v>
      </c>
      <c r="AU461">
        <v>14</v>
      </c>
      <c r="AV461">
        <v>41</v>
      </c>
      <c r="AW461">
        <v>0</v>
      </c>
      <c r="AX461">
        <v>245</v>
      </c>
      <c r="AY461">
        <v>196</v>
      </c>
      <c r="AZ461">
        <v>1</v>
      </c>
      <c r="BA461">
        <v>1</v>
      </c>
      <c r="BB461" t="s">
        <v>11</v>
      </c>
      <c r="BD461" t="s">
        <v>704</v>
      </c>
      <c r="BE461" t="s">
        <v>3298</v>
      </c>
      <c r="BF461" t="s">
        <v>3299</v>
      </c>
      <c r="BG461" t="s">
        <v>3300</v>
      </c>
      <c r="BH461" s="1" t="s">
        <v>57</v>
      </c>
      <c r="BI461" t="s">
        <v>57</v>
      </c>
      <c r="BJ461" s="1" t="str">
        <f>HYPERLINK("http://exon.niaid.nih.gov/transcriptome/T_rubida/S1/links/CDD/Triru-contig_416-CDD.txt","TIGR00367")</f>
        <v>TIGR00367</v>
      </c>
      <c r="BK461" t="str">
        <f>HYPERLINK("http://www.ncbi.nlm.nih.gov/Structure/cdd/cddsrv.cgi?uid=TIGR00367&amp;version=v4.0","0.10")</f>
        <v>0.10</v>
      </c>
      <c r="BL461" t="s">
        <v>3301</v>
      </c>
      <c r="BM461" s="1" t="str">
        <f>HYPERLINK("http://exon.niaid.nih.gov/transcriptome/T_rubida/S1/links/KOG/Triru-contig_416-KOG.txt","K+-dependent Ca2+/Na+ exchanger NCKX1 and related proteins")</f>
        <v>K+-dependent Ca2+/Na+ exchanger NCKX1 and related proteins</v>
      </c>
      <c r="BN461" t="str">
        <f>HYPERLINK("http://www.ncbi.nlm.nih.gov/COG/grace/shokog.cgi?KOG1307","0.61")</f>
        <v>0.61</v>
      </c>
      <c r="BO461" t="s">
        <v>720</v>
      </c>
      <c r="BP461" s="1" t="str">
        <f>HYPERLINK("http://exon.niaid.nih.gov/transcriptome/T_rubida/S1/links/PFAM/Triru-contig_416-PFAM.txt","DUF1368")</f>
        <v>DUF1368</v>
      </c>
      <c r="BQ461" t="str">
        <f>HYPERLINK("http://pfam.sanger.ac.uk/family?acc=PF07112","0.24")</f>
        <v>0.24</v>
      </c>
      <c r="BR461" s="1" t="str">
        <f>HYPERLINK("http://exon.niaid.nih.gov/transcriptome/T_rubida/S1/links/SMART/Triru-contig_416-SMART.txt","TOP2c")</f>
        <v>TOP2c</v>
      </c>
      <c r="BS461" t="str">
        <f>HYPERLINK("http://smart.embl-heidelberg.de/smart/do_annotation.pl?DOMAIN=TOP2c&amp;BLAST=DUMMY","0.100")</f>
        <v>0.100</v>
      </c>
      <c r="BT461" s="1" t="str">
        <f>HYPERLINK("http://exon.niaid.nih.gov/transcriptome/T_rubida/S1/links/PRK/Triru-contig_416-PRK.txt","endonuclease subunit")</f>
        <v>endonuclease subunit</v>
      </c>
      <c r="BU461">
        <v>0.43</v>
      </c>
      <c r="BV461" s="1" t="s">
        <v>57</v>
      </c>
      <c r="BW461" t="s">
        <v>57</v>
      </c>
      <c r="BX461" s="1" t="s">
        <v>57</v>
      </c>
      <c r="BY461" t="s">
        <v>57</v>
      </c>
    </row>
    <row r="462" spans="1:77">
      <c r="A462" t="str">
        <f>HYPERLINK("http://exon.niaid.nih.gov/transcriptome/T_rubida/S1/links/Triru/Triru-contig_448.txt","Triru-contig_448")</f>
        <v>Triru-contig_448</v>
      </c>
      <c r="B462">
        <v>1</v>
      </c>
      <c r="C462" t="str">
        <f>HYPERLINK("http://exon.niaid.nih.gov/transcriptome/T_rubida/S1/links/Triru/Triru-5-48-asb-448.txt","Contig-448")</f>
        <v>Contig-448</v>
      </c>
      <c r="D462" t="str">
        <f>HYPERLINK("http://exon.niaid.nih.gov/transcriptome/T_rubida/S1/links/Triru/Triru-5-48-448-CLU.txt","Contig448")</f>
        <v>Contig448</v>
      </c>
      <c r="E462" t="str">
        <f>HYPERLINK("http://exon.niaid.nih.gov/transcriptome/T_rubida/S1/links/Triru/Triru-5-48-448-qual.txt","64.3")</f>
        <v>64.3</v>
      </c>
      <c r="F462" t="s">
        <v>10</v>
      </c>
      <c r="G462">
        <v>67</v>
      </c>
      <c r="H462">
        <v>554</v>
      </c>
      <c r="I462" t="s">
        <v>460</v>
      </c>
      <c r="J462">
        <v>554</v>
      </c>
      <c r="K462">
        <v>573</v>
      </c>
      <c r="L462">
        <v>168</v>
      </c>
      <c r="M462" t="s">
        <v>5497</v>
      </c>
      <c r="N462" s="15">
        <v>3</v>
      </c>
      <c r="Q462" s="5" t="s">
        <v>4827</v>
      </c>
      <c r="R462" t="s">
        <v>4828</v>
      </c>
      <c r="V462" s="1" t="str">
        <f>HYPERLINK("http://exon.niaid.nih.gov/transcriptome/T_rubida/S1/links/NR/Triru-contig_448-NR.txt","hypothetical protein DAPPUDRAFT_110446")</f>
        <v>hypothetical protein DAPPUDRAFT_110446</v>
      </c>
      <c r="W462" t="str">
        <f>HYPERLINK("http://www.ncbi.nlm.nih.gov/sutils/blink.cgi?pid=321461703","4.4")</f>
        <v>4.4</v>
      </c>
      <c r="X462" t="str">
        <f>HYPERLINK("http://www.ncbi.nlm.nih.gov/protein/321461703","gi|321461703")</f>
        <v>gi|321461703</v>
      </c>
      <c r="Y462">
        <v>35.4</v>
      </c>
      <c r="Z462">
        <v>107</v>
      </c>
      <c r="AA462">
        <v>479</v>
      </c>
      <c r="AB462">
        <v>28</v>
      </c>
      <c r="AC462">
        <v>23</v>
      </c>
      <c r="AD462">
        <v>79</v>
      </c>
      <c r="AE462">
        <v>1</v>
      </c>
      <c r="AF462">
        <v>182</v>
      </c>
      <c r="AG462">
        <v>96</v>
      </c>
      <c r="AH462">
        <v>1</v>
      </c>
      <c r="AI462">
        <v>3</v>
      </c>
      <c r="AJ462" t="s">
        <v>11</v>
      </c>
      <c r="AK462">
        <v>3.738</v>
      </c>
      <c r="AL462" t="s">
        <v>1866</v>
      </c>
      <c r="AM462" t="s">
        <v>3519</v>
      </c>
      <c r="AN462" t="s">
        <v>3520</v>
      </c>
      <c r="AO462" s="1" t="str">
        <f>HYPERLINK("http://exon.niaid.nih.gov/transcriptome/T_rubida/S1/links/SWISSP/Triru-contig_448-SWISSP.txt","Cell division cycle protein 23 homolog")</f>
        <v>Cell division cycle protein 23 homolog</v>
      </c>
      <c r="AP462" t="str">
        <f>HYPERLINK("http://www.uniprot.org/uniprot/Q9UJX2","18")</f>
        <v>18</v>
      </c>
      <c r="AQ462" t="s">
        <v>3521</v>
      </c>
      <c r="AR462">
        <v>29.3</v>
      </c>
      <c r="AS462">
        <v>102</v>
      </c>
      <c r="AT462">
        <v>25</v>
      </c>
      <c r="AU462">
        <v>17</v>
      </c>
      <c r="AV462">
        <v>81</v>
      </c>
      <c r="AW462">
        <v>11</v>
      </c>
      <c r="AX462">
        <v>434</v>
      </c>
      <c r="AY462">
        <v>2</v>
      </c>
      <c r="AZ462">
        <v>1</v>
      </c>
      <c r="BA462">
        <v>2</v>
      </c>
      <c r="BB462" t="s">
        <v>11</v>
      </c>
      <c r="BC462">
        <v>1.9610000000000001</v>
      </c>
      <c r="BD462" t="s">
        <v>704</v>
      </c>
      <c r="BE462" t="s">
        <v>1233</v>
      </c>
      <c r="BF462" t="s">
        <v>3522</v>
      </c>
      <c r="BG462" t="s">
        <v>3523</v>
      </c>
      <c r="BH462" s="1" t="s">
        <v>57</v>
      </c>
      <c r="BI462" t="s">
        <v>57</v>
      </c>
      <c r="BJ462" s="1" t="str">
        <f>HYPERLINK("http://exon.niaid.nih.gov/transcriptome/T_rubida/S1/links/CDD/Triru-contig_448-CDD.txt","7TM_GPCR_Sru")</f>
        <v>7TM_GPCR_Sru</v>
      </c>
      <c r="BK462" t="str">
        <f>HYPERLINK("http://www.ncbi.nlm.nih.gov/Structure/cdd/cddsrv.cgi?uid=pfam10322&amp;version=v4.0","1.1")</f>
        <v>1.1</v>
      </c>
      <c r="BL462" t="s">
        <v>3524</v>
      </c>
      <c r="BM462" s="1" t="str">
        <f>HYPERLINK("http://exon.niaid.nih.gov/transcriptome/T_rubida/S1/links/KOG/Triru-contig_448-KOG.txt","Predicted E3 ubiquitin ligase")</f>
        <v>Predicted E3 ubiquitin ligase</v>
      </c>
      <c r="BN462" t="str">
        <f>HYPERLINK("http://www.ncbi.nlm.nih.gov/COG/grace/shokog.cgi?KOG0827","0.68")</f>
        <v>0.68</v>
      </c>
      <c r="BO462" t="s">
        <v>954</v>
      </c>
      <c r="BP462" s="1" t="str">
        <f>HYPERLINK("http://exon.niaid.nih.gov/transcriptome/T_rubida/S1/links/PFAM/Triru-contig_448-PFAM.txt","7TM_GPCR_Sru")</f>
        <v>7TM_GPCR_Sru</v>
      </c>
      <c r="BQ462" t="str">
        <f>HYPERLINK("http://pfam.sanger.ac.uk/family?acc=PF10322","0.22")</f>
        <v>0.22</v>
      </c>
      <c r="BR462" s="1" t="str">
        <f>HYPERLINK("http://exon.niaid.nih.gov/transcriptome/T_rubida/S1/links/SMART/Triru-contig_448-SMART.txt","STI")</f>
        <v>STI</v>
      </c>
      <c r="BS462" t="str">
        <f>HYPERLINK("http://smart.embl-heidelberg.de/smart/do_annotation.pl?DOMAIN=STI&amp;BLAST=DUMMY","0.21")</f>
        <v>0.21</v>
      </c>
      <c r="BT462" s="1" t="str">
        <f>HYPERLINK("http://exon.niaid.nih.gov/transcriptome/T_rubida/S1/links/PRK/Triru-contig_448-PRK.txt","DNA polymerase III subunit epsilon")</f>
        <v>DNA polymerase III subunit epsilon</v>
      </c>
      <c r="BU462">
        <v>0.91</v>
      </c>
      <c r="BV462" s="1" t="s">
        <v>57</v>
      </c>
      <c r="BW462" t="s">
        <v>57</v>
      </c>
      <c r="BX462" s="1" t="s">
        <v>57</v>
      </c>
      <c r="BY462" t="s">
        <v>57</v>
      </c>
    </row>
    <row r="463" spans="1:77">
      <c r="A463" t="str">
        <f>HYPERLINK("http://exon.niaid.nih.gov/transcriptome/T_rubida/S1/links/Triru/Triru-contig_548.txt","Triru-contig_548")</f>
        <v>Triru-contig_548</v>
      </c>
      <c r="B463">
        <v>1</v>
      </c>
      <c r="C463" t="str">
        <f>HYPERLINK("http://exon.niaid.nih.gov/transcriptome/T_rubida/S1/links/Triru/Triru-5-48-asb-548.txt","Contig-548")</f>
        <v>Contig-548</v>
      </c>
      <c r="D463" t="str">
        <f>HYPERLINK("http://exon.niaid.nih.gov/transcriptome/T_rubida/S1/links/Triru/Triru-5-48-548-CLU.txt","Contig548")</f>
        <v>Contig548</v>
      </c>
      <c r="E463" t="str">
        <f>HYPERLINK("http://exon.niaid.nih.gov/transcriptome/T_rubida/S1/links/Triru/Triru-5-48-548-qual.txt","63.6")</f>
        <v>63.6</v>
      </c>
      <c r="F463" t="s">
        <v>10</v>
      </c>
      <c r="G463">
        <v>78</v>
      </c>
      <c r="H463">
        <v>503</v>
      </c>
      <c r="I463" t="s">
        <v>560</v>
      </c>
      <c r="J463">
        <v>503</v>
      </c>
      <c r="K463">
        <v>522</v>
      </c>
      <c r="L463">
        <v>150</v>
      </c>
      <c r="M463" t="s">
        <v>5490</v>
      </c>
      <c r="N463" s="15">
        <v>1</v>
      </c>
      <c r="O463" s="14" t="str">
        <f>HYPERLINK("http://exon.niaid.nih.gov/transcriptome/T_rubida/S1/links/Sigp/TRIRU-CONTIG_548-SigP.txt","Cyt")</f>
        <v>Cyt</v>
      </c>
      <c r="Q463" s="5" t="s">
        <v>4827</v>
      </c>
      <c r="R463" t="s">
        <v>4828</v>
      </c>
      <c r="V463" s="1" t="str">
        <f>HYPERLINK("http://exon.niaid.nih.gov/transcriptome/T_rubida/S1/links/NR/Triru-contig_548-NR.txt","ribosomal protein S4")</f>
        <v>ribosomal protein S4</v>
      </c>
      <c r="W463" t="str">
        <f>HYPERLINK("http://www.ncbi.nlm.nih.gov/sutils/blink.cgi?pid=321268723","4.5")</f>
        <v>4.5</v>
      </c>
      <c r="X463" t="str">
        <f>HYPERLINK("http://www.ncbi.nlm.nih.gov/protein/321268723","gi|321268723")</f>
        <v>gi|321268723</v>
      </c>
      <c r="Y463">
        <v>35</v>
      </c>
      <c r="Z463">
        <v>29</v>
      </c>
      <c r="AA463">
        <v>447</v>
      </c>
      <c r="AB463">
        <v>60</v>
      </c>
      <c r="AC463">
        <v>7</v>
      </c>
      <c r="AD463">
        <v>12</v>
      </c>
      <c r="AE463">
        <v>0</v>
      </c>
      <c r="AF463">
        <v>369</v>
      </c>
      <c r="AG463">
        <v>220</v>
      </c>
      <c r="AH463">
        <v>1</v>
      </c>
      <c r="AI463">
        <v>1</v>
      </c>
      <c r="AJ463" t="s">
        <v>11</v>
      </c>
      <c r="AK463">
        <v>3.448</v>
      </c>
      <c r="AL463" t="s">
        <v>4175</v>
      </c>
      <c r="AM463" t="s">
        <v>4176</v>
      </c>
      <c r="AN463" t="s">
        <v>4177</v>
      </c>
      <c r="AO463" s="1" t="str">
        <f>HYPERLINK("http://exon.niaid.nih.gov/transcriptome/T_rubida/S1/links/SWISSP/Triru-contig_548-SWISSP.txt","Caveolin-2")</f>
        <v>Caveolin-2</v>
      </c>
      <c r="AP463" t="str">
        <f>HYPERLINK("http://www.uniprot.org/uniprot/Q18879","6.5")</f>
        <v>6.5</v>
      </c>
      <c r="AQ463" t="s">
        <v>4178</v>
      </c>
      <c r="AR463">
        <v>30.4</v>
      </c>
      <c r="AS463">
        <v>40</v>
      </c>
      <c r="AT463">
        <v>43</v>
      </c>
      <c r="AU463">
        <v>12</v>
      </c>
      <c r="AV463">
        <v>23</v>
      </c>
      <c r="AW463">
        <v>0</v>
      </c>
      <c r="AX463">
        <v>253</v>
      </c>
      <c r="AY463">
        <v>63</v>
      </c>
      <c r="AZ463">
        <v>1</v>
      </c>
      <c r="BA463">
        <v>3</v>
      </c>
      <c r="BB463" t="s">
        <v>11</v>
      </c>
      <c r="BC463">
        <v>2.5</v>
      </c>
      <c r="BD463" t="s">
        <v>704</v>
      </c>
      <c r="BE463" t="s">
        <v>1385</v>
      </c>
      <c r="BF463" t="s">
        <v>4179</v>
      </c>
      <c r="BG463" t="s">
        <v>4180</v>
      </c>
      <c r="BH463" s="1" t="s">
        <v>57</v>
      </c>
      <c r="BI463" t="s">
        <v>57</v>
      </c>
      <c r="BJ463" s="1" t="str">
        <f>HYPERLINK("http://exon.niaid.nih.gov/transcriptome/T_rubida/S1/links/CDD/Triru-contig_548-CDD.txt","ND6")</f>
        <v>ND6</v>
      </c>
      <c r="BK463" t="str">
        <f>HYPERLINK("http://www.ncbi.nlm.nih.gov/Structure/cdd/cddsrv.cgi?uid=MTH00097&amp;version=v4.0","0.008")</f>
        <v>0.008</v>
      </c>
      <c r="BL463" t="s">
        <v>4181</v>
      </c>
      <c r="BM463" s="1" t="str">
        <f>HYPERLINK("http://exon.niaid.nih.gov/transcriptome/T_rubida/S1/links/KOG/Triru-contig_548-KOG.txt","Major facilitator superfamily permease - Cdc91p")</f>
        <v>Major facilitator superfamily permease - Cdc91p</v>
      </c>
      <c r="BN463" t="str">
        <f>HYPERLINK("http://www.ncbi.nlm.nih.gov/COG/grace/shokog.cgi?KOG2552","0.040")</f>
        <v>0.040</v>
      </c>
      <c r="BO463" t="s">
        <v>750</v>
      </c>
      <c r="BP463" s="1" t="str">
        <f>HYPERLINK("http://exon.niaid.nih.gov/transcriptome/T_rubida/S1/links/PFAM/Triru-contig_548-PFAM.txt","DUF3397")</f>
        <v>DUF3397</v>
      </c>
      <c r="BQ463" t="str">
        <f>HYPERLINK("http://pfam.sanger.ac.uk/family?acc=PF11877","0.004")</f>
        <v>0.004</v>
      </c>
      <c r="BR463" s="1" t="str">
        <f>HYPERLINK("http://exon.niaid.nih.gov/transcriptome/T_rubida/S1/links/SMART/Triru-contig_548-SMART.txt","PSN")</f>
        <v>PSN</v>
      </c>
      <c r="BS463" t="str">
        <f>HYPERLINK("http://smart.embl-heidelberg.de/smart/do_annotation.pl?DOMAIN=PSN&amp;BLAST=DUMMY","0.003")</f>
        <v>0.003</v>
      </c>
      <c r="BT463" s="1" t="str">
        <f>HYPERLINK("http://exon.niaid.nih.gov/transcriptome/T_rubida/S1/links/PRK/Triru-contig_548-PRK.txt","NADH dehydrogenase subunit 6")</f>
        <v>NADH dehydrogenase subunit 6</v>
      </c>
      <c r="BU463">
        <v>4.0000000000000001E-3</v>
      </c>
      <c r="BV463" s="1" t="s">
        <v>57</v>
      </c>
      <c r="BW463" t="s">
        <v>57</v>
      </c>
      <c r="BX463" s="1" t="s">
        <v>57</v>
      </c>
      <c r="BY463" t="s">
        <v>57</v>
      </c>
    </row>
    <row r="464" spans="1:77">
      <c r="A464" t="str">
        <f>HYPERLINK("http://exon.niaid.nih.gov/transcriptome/T_rubida/S1/links/Triru/Triru-contig_570.txt","Triru-contig_570")</f>
        <v>Triru-contig_570</v>
      </c>
      <c r="B464">
        <v>1</v>
      </c>
      <c r="C464" t="str">
        <f>HYPERLINK("http://exon.niaid.nih.gov/transcriptome/T_rubida/S1/links/Triru/Triru-5-48-asb-570.txt","Contig-570")</f>
        <v>Contig-570</v>
      </c>
      <c r="D464" t="str">
        <f>HYPERLINK("http://exon.niaid.nih.gov/transcriptome/T_rubida/S1/links/Triru/Triru-5-48-570-CLU.txt","Contig570")</f>
        <v>Contig570</v>
      </c>
      <c r="E464" t="str">
        <f>HYPERLINK("http://exon.niaid.nih.gov/transcriptome/T_rubida/S1/links/Triru/Triru-5-48-570-qual.txt","61.5")</f>
        <v>61.5</v>
      </c>
      <c r="F464">
        <v>0.3</v>
      </c>
      <c r="G464">
        <v>62.6</v>
      </c>
      <c r="H464">
        <v>572</v>
      </c>
      <c r="I464" t="s">
        <v>582</v>
      </c>
      <c r="J464">
        <v>572</v>
      </c>
      <c r="K464">
        <v>591</v>
      </c>
      <c r="L464">
        <v>195</v>
      </c>
      <c r="M464" t="s">
        <v>5504</v>
      </c>
      <c r="N464" s="15">
        <v>2</v>
      </c>
      <c r="Q464" s="5" t="s">
        <v>4827</v>
      </c>
      <c r="R464" t="s">
        <v>4828</v>
      </c>
      <c r="V464" s="1" t="str">
        <f>HYPERLINK("http://exon.niaid.nih.gov/transcriptome/T_rubida/S1/links/NR/Triru-contig_570-NR.txt","hypothetical protein DICPUDRAFT_153796")</f>
        <v>hypothetical protein DICPUDRAFT_153796</v>
      </c>
      <c r="W464" t="str">
        <f>HYPERLINK("http://www.ncbi.nlm.nih.gov/sutils/blink.cgi?pid=330802843","5.0")</f>
        <v>5.0</v>
      </c>
      <c r="X464" t="str">
        <f>HYPERLINK("http://www.ncbi.nlm.nih.gov/protein/330802843","gi|330802843")</f>
        <v>gi|330802843</v>
      </c>
      <c r="Y464">
        <v>26.2</v>
      </c>
      <c r="Z464">
        <v>69</v>
      </c>
      <c r="AA464">
        <v>552</v>
      </c>
      <c r="AB464">
        <v>40</v>
      </c>
      <c r="AC464">
        <v>13</v>
      </c>
      <c r="AD464">
        <v>13</v>
      </c>
      <c r="AE464">
        <v>0</v>
      </c>
      <c r="AF464">
        <v>329</v>
      </c>
      <c r="AG464">
        <v>427</v>
      </c>
      <c r="AH464">
        <v>3</v>
      </c>
      <c r="AI464">
        <v>2</v>
      </c>
      <c r="AJ464" t="s">
        <v>888</v>
      </c>
      <c r="AL464" t="s">
        <v>4320</v>
      </c>
      <c r="AM464" t="s">
        <v>4321</v>
      </c>
      <c r="AN464" t="s">
        <v>4322</v>
      </c>
      <c r="AO464" s="1" t="str">
        <f>HYPERLINK("http://exon.niaid.nih.gov/transcriptome/T_rubida/S1/links/SWISSP/Triru-contig_570-SWISSP.txt","Uncharacterized protein DDB_G0285189")</f>
        <v>Uncharacterized protein DDB_G0285189</v>
      </c>
      <c r="AP464" t="str">
        <f>HYPERLINK("http://www.uniprot.org/uniprot/Q54NK1","1.3")</f>
        <v>1.3</v>
      </c>
      <c r="AQ464" t="s">
        <v>4323</v>
      </c>
      <c r="AR464">
        <v>33.1</v>
      </c>
      <c r="AS464">
        <v>26</v>
      </c>
      <c r="AT464">
        <v>55</v>
      </c>
      <c r="AU464">
        <v>18</v>
      </c>
      <c r="AV464">
        <v>12</v>
      </c>
      <c r="AW464">
        <v>0</v>
      </c>
      <c r="AX464">
        <v>104</v>
      </c>
      <c r="AY464">
        <v>439</v>
      </c>
      <c r="AZ464">
        <v>1</v>
      </c>
      <c r="BA464">
        <v>1</v>
      </c>
      <c r="BB464" t="s">
        <v>11</v>
      </c>
      <c r="BC464">
        <v>7.6920000000000002</v>
      </c>
      <c r="BD464" t="s">
        <v>704</v>
      </c>
      <c r="BE464" t="s">
        <v>918</v>
      </c>
      <c r="BF464" t="s">
        <v>4324</v>
      </c>
      <c r="BG464" t="s">
        <v>4325</v>
      </c>
      <c r="BH464" s="1" t="s">
        <v>57</v>
      </c>
      <c r="BI464" t="s">
        <v>57</v>
      </c>
      <c r="BJ464" s="1" t="str">
        <f>HYPERLINK("http://exon.niaid.nih.gov/transcriptome/T_rubida/S1/links/CDD/Triru-contig_570-CDD.txt","Mycoplas_LppA")</f>
        <v>Mycoplas_LppA</v>
      </c>
      <c r="BK464" t="str">
        <f>HYPERLINK("http://www.ncbi.nlm.nih.gov/Structure/cdd/cddsrv.cgi?uid=TIGR03490&amp;version=v4.0","0.28")</f>
        <v>0.28</v>
      </c>
      <c r="BL464" t="s">
        <v>4326</v>
      </c>
      <c r="BM464" s="1" t="str">
        <f>HYPERLINK("http://exon.niaid.nih.gov/transcriptome/T_rubida/S1/links/KOG/Triru-contig_570-KOG.txt","DNA polymerase alpha, catalytic subunit")</f>
        <v>DNA polymerase alpha, catalytic subunit</v>
      </c>
      <c r="BN464" t="str">
        <f>HYPERLINK("http://www.ncbi.nlm.nih.gov/COG/grace/shokog.cgi?KOG0970","3.0")</f>
        <v>3.0</v>
      </c>
      <c r="BO464" t="s">
        <v>785</v>
      </c>
      <c r="BP464" s="1" t="str">
        <f>HYPERLINK("http://exon.niaid.nih.gov/transcriptome/T_rubida/S1/links/PFAM/Triru-contig_570-PFAM.txt","Viral_Hsp90")</f>
        <v>Viral_Hsp90</v>
      </c>
      <c r="BQ464" t="str">
        <f>HYPERLINK("http://pfam.sanger.ac.uk/family?acc=PF03225","0.20")</f>
        <v>0.20</v>
      </c>
      <c r="BR464" s="1" t="str">
        <f>HYPERLINK("http://exon.niaid.nih.gov/transcriptome/T_rubida/S1/links/SMART/Triru-contig_570-SMART.txt","PreSET")</f>
        <v>PreSET</v>
      </c>
      <c r="BS464" t="str">
        <f>HYPERLINK("http://smart.embl-heidelberg.de/smart/do_annotation.pl?DOMAIN=PreSET&amp;BLAST=DUMMY","0.11")</f>
        <v>0.11</v>
      </c>
      <c r="BT464" s="1" t="str">
        <f>HYPERLINK("http://exon.niaid.nih.gov/transcriptome/T_rubida/S1/links/PRK/Triru-contig_570-PRK.txt","NADH dehydrogenase subunit 2")</f>
        <v>NADH dehydrogenase subunit 2</v>
      </c>
      <c r="BU464">
        <v>0.8</v>
      </c>
      <c r="BV464" s="1" t="s">
        <v>57</v>
      </c>
      <c r="BW464" t="s">
        <v>57</v>
      </c>
      <c r="BX464" s="1" t="s">
        <v>57</v>
      </c>
      <c r="BY464" t="s">
        <v>57</v>
      </c>
    </row>
    <row r="465" spans="1:77">
      <c r="A465" t="str">
        <f>HYPERLINK("http://exon.niaid.nih.gov/transcriptome/T_rubida/S1/links/Triru/Triru-contig_588.txt","Triru-contig_588")</f>
        <v>Triru-contig_588</v>
      </c>
      <c r="B465">
        <v>1</v>
      </c>
      <c r="C465" t="str">
        <f>HYPERLINK("http://exon.niaid.nih.gov/transcriptome/T_rubida/S1/links/Triru/Triru-5-48-asb-588.txt","Contig-588")</f>
        <v>Contig-588</v>
      </c>
      <c r="D465" t="str">
        <f>HYPERLINK("http://exon.niaid.nih.gov/transcriptome/T_rubida/S1/links/Triru/Triru-5-48-588-CLU.txt","Contig588")</f>
        <v>Contig588</v>
      </c>
      <c r="E465" t="str">
        <f>HYPERLINK("http://exon.niaid.nih.gov/transcriptome/T_rubida/S1/links/Triru/Triru-5-48-588-qual.txt","61.")</f>
        <v>61.</v>
      </c>
      <c r="F465" t="s">
        <v>10</v>
      </c>
      <c r="G465">
        <v>64.2</v>
      </c>
      <c r="H465">
        <v>266</v>
      </c>
      <c r="I465" t="s">
        <v>600</v>
      </c>
      <c r="J465">
        <v>266</v>
      </c>
      <c r="K465">
        <v>285</v>
      </c>
      <c r="L465">
        <v>117</v>
      </c>
      <c r="M465" t="s">
        <v>5492</v>
      </c>
      <c r="N465" s="15">
        <v>3</v>
      </c>
      <c r="Q465" s="5" t="s">
        <v>4827</v>
      </c>
      <c r="R465" t="s">
        <v>4828</v>
      </c>
      <c r="V465" s="1" t="str">
        <f>HYPERLINK("http://exon.niaid.nih.gov/transcriptome/T_rubida/S1/links/NR/Triru-contig_588-NR.txt","olfactory receptor family 5")</f>
        <v>olfactory receptor family 5</v>
      </c>
      <c r="W465" t="str">
        <f>HYPERLINK("http://www.ncbi.nlm.nih.gov/sutils/blink.cgi?pid=254943266","5.1")</f>
        <v>5.1</v>
      </c>
      <c r="X465" t="str">
        <f>HYPERLINK("http://www.ncbi.nlm.nih.gov/protein/254943266","gi|254943266")</f>
        <v>gi|254943266</v>
      </c>
      <c r="Y465">
        <v>34.700000000000003</v>
      </c>
      <c r="Z465">
        <v>41</v>
      </c>
      <c r="AA465">
        <v>237</v>
      </c>
      <c r="AB465">
        <v>41</v>
      </c>
      <c r="AC465">
        <v>18</v>
      </c>
      <c r="AD465">
        <v>27</v>
      </c>
      <c r="AE465">
        <v>0</v>
      </c>
      <c r="AF465">
        <v>110</v>
      </c>
      <c r="AG465">
        <v>123</v>
      </c>
      <c r="AH465">
        <v>1</v>
      </c>
      <c r="AI465">
        <v>3</v>
      </c>
      <c r="AJ465" t="s">
        <v>11</v>
      </c>
      <c r="AK465">
        <v>2.4390000000000001</v>
      </c>
      <c r="AL465" t="s">
        <v>4409</v>
      </c>
      <c r="AM465" t="s">
        <v>4433</v>
      </c>
      <c r="AN465" t="s">
        <v>4411</v>
      </c>
      <c r="AO465" s="1" t="str">
        <f>HYPERLINK("http://exon.niaid.nih.gov/transcriptome/T_rubida/S1/links/SWISSP/Triru-contig_588-SWISSP.txt","Olfactory receptor 5AC1")</f>
        <v>Olfactory receptor 5AC1</v>
      </c>
      <c r="AP465" t="str">
        <f>HYPERLINK("http://www.uniprot.org/uniprot/P0C628","1.2")</f>
        <v>1.2</v>
      </c>
      <c r="AQ465" t="s">
        <v>4412</v>
      </c>
      <c r="AR465">
        <v>32</v>
      </c>
      <c r="AS465">
        <v>41</v>
      </c>
      <c r="AT465">
        <v>39</v>
      </c>
      <c r="AU465">
        <v>14</v>
      </c>
      <c r="AV465">
        <v>28</v>
      </c>
      <c r="AW465">
        <v>0</v>
      </c>
      <c r="AX465">
        <v>164</v>
      </c>
      <c r="AY465">
        <v>123</v>
      </c>
      <c r="AZ465">
        <v>1</v>
      </c>
      <c r="BA465">
        <v>3</v>
      </c>
      <c r="BB465" t="s">
        <v>11</v>
      </c>
      <c r="BC465">
        <v>2.4390000000000001</v>
      </c>
      <c r="BD465" t="s">
        <v>704</v>
      </c>
      <c r="BE465" t="s">
        <v>1233</v>
      </c>
      <c r="BF465" t="s">
        <v>4434</v>
      </c>
      <c r="BG465" t="s">
        <v>4435</v>
      </c>
      <c r="BH465" s="1" t="s">
        <v>57</v>
      </c>
      <c r="BI465" t="s">
        <v>57</v>
      </c>
      <c r="BJ465" s="1" t="str">
        <f>HYPERLINK("http://exon.niaid.nih.gov/transcriptome/T_rubida/S1/links/CDD/Triru-contig_588-CDD.txt","PRK08993")</f>
        <v>PRK08993</v>
      </c>
      <c r="BK465" t="str">
        <f>HYPERLINK("http://www.ncbi.nlm.nih.gov/Structure/cdd/cddsrv.cgi?uid=PRK08993&amp;version=v4.0","1.3")</f>
        <v>1.3</v>
      </c>
      <c r="BL465" t="s">
        <v>4436</v>
      </c>
      <c r="BM465" s="1" t="str">
        <f>HYPERLINK("http://exon.niaid.nih.gov/transcriptome/T_rubida/S1/links/KOG/Triru-contig_588-KOG.txt","T-type voltage-gated Ca2+ channel, pore-forming alpha1I subunit")</f>
        <v>T-type voltage-gated Ca2+ channel, pore-forming alpha1I subunit</v>
      </c>
      <c r="BN465" t="str">
        <f>HYPERLINK("http://www.ncbi.nlm.nih.gov/COG/grace/shokog.cgi?KOG2302","0.73")</f>
        <v>0.73</v>
      </c>
      <c r="BO465" t="s">
        <v>720</v>
      </c>
      <c r="BP465" s="1" t="str">
        <f>HYPERLINK("http://exon.niaid.nih.gov/transcriptome/T_rubida/S1/links/PFAM/Triru-contig_588-PFAM.txt","DUF918")</f>
        <v>DUF918</v>
      </c>
      <c r="BQ465" t="str">
        <f>HYPERLINK("http://pfam.sanger.ac.uk/family?acc=PF06033","0.56")</f>
        <v>0.56</v>
      </c>
      <c r="BR465" s="1" t="str">
        <f>HYPERLINK("http://exon.niaid.nih.gov/transcriptome/T_rubida/S1/links/SMART/Triru-contig_588-SMART.txt","ZnF_C4")</f>
        <v>ZnF_C4</v>
      </c>
      <c r="BS465" t="str">
        <f>HYPERLINK("http://smart.embl-heidelberg.de/smart/do_annotation.pl?DOMAIN=ZnF_C4&amp;BLAST=DUMMY","0.043")</f>
        <v>0.043</v>
      </c>
      <c r="BT465" s="1" t="str">
        <f>HYPERLINK("http://exon.niaid.nih.gov/transcriptome/T_rubida/S1/links/PRK/Triru-contig_588-PRK.txt","2-deoxy-D-gluconate 3-dehydrogenase")</f>
        <v>2-deoxy-D-gluconate 3-dehydrogenase</v>
      </c>
      <c r="BU465">
        <v>0.47</v>
      </c>
      <c r="BV465" s="1" t="s">
        <v>57</v>
      </c>
      <c r="BW465" t="s">
        <v>57</v>
      </c>
      <c r="BX465" s="1" t="s">
        <v>57</v>
      </c>
      <c r="BY465" t="s">
        <v>57</v>
      </c>
    </row>
    <row r="466" spans="1:77">
      <c r="A466" t="str">
        <f>HYPERLINK("http://exon.niaid.nih.gov/transcriptome/T_rubida/S1/links/Triru/Triru-contig_558.txt","Triru-contig_558")</f>
        <v>Triru-contig_558</v>
      </c>
      <c r="B466">
        <v>1</v>
      </c>
      <c r="C466" t="str">
        <f>HYPERLINK("http://exon.niaid.nih.gov/transcriptome/T_rubida/S1/links/Triru/Triru-5-48-asb-558.txt","Contig-558")</f>
        <v>Contig-558</v>
      </c>
      <c r="D466" t="str">
        <f>HYPERLINK("http://exon.niaid.nih.gov/transcriptome/T_rubida/S1/links/Triru/Triru-5-48-558-CLU.txt","Contig558")</f>
        <v>Contig558</v>
      </c>
      <c r="E466" t="str">
        <f>HYPERLINK("http://exon.niaid.nih.gov/transcriptome/T_rubida/S1/links/Triru/Triru-5-48-558-qual.txt","44.6")</f>
        <v>44.6</v>
      </c>
      <c r="F466" t="s">
        <v>10</v>
      </c>
      <c r="G466">
        <v>72.7</v>
      </c>
      <c r="H466">
        <v>256</v>
      </c>
      <c r="I466" t="s">
        <v>570</v>
      </c>
      <c r="J466">
        <v>256</v>
      </c>
      <c r="K466">
        <v>275</v>
      </c>
      <c r="L466">
        <v>210</v>
      </c>
      <c r="M466" t="s">
        <v>5493</v>
      </c>
      <c r="N466" s="15">
        <v>1</v>
      </c>
      <c r="Q466" s="5" t="s">
        <v>4827</v>
      </c>
      <c r="R466" t="s">
        <v>4828</v>
      </c>
      <c r="V466" s="1" t="str">
        <f>HYPERLINK("http://exon.niaid.nih.gov/transcriptome/T_rubida/S1/links/NR/Triru-contig_558-NR.txt","sphingosine kinase 1-like")</f>
        <v>sphingosine kinase 1-like</v>
      </c>
      <c r="W466" t="str">
        <f>HYPERLINK("http://www.ncbi.nlm.nih.gov/sutils/blink.cgi?pid=326665667","5.1")</f>
        <v>5.1</v>
      </c>
      <c r="X466" t="str">
        <f>HYPERLINK("http://www.ncbi.nlm.nih.gov/protein/326665667","gi|326665667")</f>
        <v>gi|326665667</v>
      </c>
      <c r="Y466">
        <v>34.700000000000003</v>
      </c>
      <c r="Z466">
        <v>36</v>
      </c>
      <c r="AA466">
        <v>342</v>
      </c>
      <c r="AB466">
        <v>40</v>
      </c>
      <c r="AC466">
        <v>11</v>
      </c>
      <c r="AD466">
        <v>22</v>
      </c>
      <c r="AE466">
        <v>0</v>
      </c>
      <c r="AF466">
        <v>116</v>
      </c>
      <c r="AG466">
        <v>40</v>
      </c>
      <c r="AH466">
        <v>1</v>
      </c>
      <c r="AI466">
        <v>1</v>
      </c>
      <c r="AJ466" t="s">
        <v>11</v>
      </c>
      <c r="AL466" t="s">
        <v>1556</v>
      </c>
      <c r="AM466" t="s">
        <v>4244</v>
      </c>
      <c r="AN466" t="s">
        <v>4245</v>
      </c>
      <c r="AO466" s="1" t="str">
        <f>HYPERLINK("http://exon.niaid.nih.gov/transcriptome/T_rubida/S1/links/SWISSP/Triru-contig_558-SWISSP.txt","Uncharacterized protein UU112")</f>
        <v>Uncharacterized protein UU112</v>
      </c>
      <c r="AP466" t="str">
        <f>HYPERLINK("http://www.uniprot.org/uniprot/Q9PR32","4.7")</f>
        <v>4.7</v>
      </c>
      <c r="AQ466" t="s">
        <v>4246</v>
      </c>
      <c r="AR466">
        <v>30</v>
      </c>
      <c r="AS466">
        <v>41</v>
      </c>
      <c r="AT466">
        <v>30</v>
      </c>
      <c r="AU466">
        <v>11</v>
      </c>
      <c r="AV466">
        <v>29</v>
      </c>
      <c r="AW466">
        <v>0</v>
      </c>
      <c r="AX466">
        <v>145</v>
      </c>
      <c r="AY466">
        <v>61</v>
      </c>
      <c r="AZ466">
        <v>1</v>
      </c>
      <c r="BA466">
        <v>1</v>
      </c>
      <c r="BB466" t="s">
        <v>11</v>
      </c>
      <c r="BD466" t="s">
        <v>704</v>
      </c>
      <c r="BE466" t="s">
        <v>4247</v>
      </c>
      <c r="BF466" t="s">
        <v>4248</v>
      </c>
      <c r="BG466" t="s">
        <v>4249</v>
      </c>
      <c r="BH466" s="1" t="s">
        <v>57</v>
      </c>
      <c r="BI466" t="s">
        <v>57</v>
      </c>
      <c r="BJ466" s="1" t="str">
        <f>HYPERLINK("http://exon.niaid.nih.gov/transcriptome/T_rubida/S1/links/CDD/Triru-contig_558-CDD.txt","DUF3792")</f>
        <v>DUF3792</v>
      </c>
      <c r="BK466" t="str">
        <f>HYPERLINK("http://www.ncbi.nlm.nih.gov/Structure/cdd/cddsrv.cgi?uid=pfam12670&amp;version=v4.0","0.41")</f>
        <v>0.41</v>
      </c>
      <c r="BL466" t="s">
        <v>4250</v>
      </c>
      <c r="BM466" s="1" t="str">
        <f>HYPERLINK("http://exon.niaid.nih.gov/transcriptome/T_rubida/S1/links/KOG/Triru-contig_558-KOG.txt","Ypt/Rab-specific GTPase-activating protein GYP6")</f>
        <v>Ypt/Rab-specific GTPase-activating protein GYP6</v>
      </c>
      <c r="BN466" t="str">
        <f>HYPERLINK("http://www.ncbi.nlm.nih.gov/COG/grace/shokog.cgi?KOG1091","0.65")</f>
        <v>0.65</v>
      </c>
      <c r="BO466" t="s">
        <v>1082</v>
      </c>
      <c r="BP466" s="1" t="str">
        <f>HYPERLINK("http://exon.niaid.nih.gov/transcriptome/T_rubida/S1/links/PFAM/Triru-contig_558-PFAM.txt","DUF3792")</f>
        <v>DUF3792</v>
      </c>
      <c r="BQ466" t="str">
        <f>HYPERLINK("http://pfam.sanger.ac.uk/family?acc=PF12670","0.088")</f>
        <v>0.088</v>
      </c>
      <c r="BR466" s="1" t="str">
        <f>HYPERLINK("http://exon.niaid.nih.gov/transcriptome/T_rubida/S1/links/SMART/Triru-contig_558-SMART.txt","HOLI")</f>
        <v>HOLI</v>
      </c>
      <c r="BS466" t="str">
        <f>HYPERLINK("http://smart.embl-heidelberg.de/smart/do_annotation.pl?DOMAIN=HOLI&amp;BLAST=DUMMY","0.15")</f>
        <v>0.15</v>
      </c>
      <c r="BT466" s="1" t="str">
        <f>HYPERLINK("http://exon.niaid.nih.gov/transcriptome/T_rubida/S1/links/PRK/Triru-contig_558-PRK.txt","NADH dehydrogenase subunit 4")</f>
        <v>NADH dehydrogenase subunit 4</v>
      </c>
      <c r="BU466">
        <v>0.98</v>
      </c>
      <c r="BV466" s="1" t="s">
        <v>57</v>
      </c>
      <c r="BW466" t="s">
        <v>57</v>
      </c>
      <c r="BX466" s="1" t="s">
        <v>57</v>
      </c>
      <c r="BY466" t="s">
        <v>57</v>
      </c>
    </row>
    <row r="467" spans="1:77">
      <c r="A467" t="str">
        <f>HYPERLINK("http://exon.niaid.nih.gov/transcriptome/T_rubida/S1/links/Triru/Triru-contig_639.txt","Triru-contig_639")</f>
        <v>Triru-contig_639</v>
      </c>
      <c r="B467">
        <v>1</v>
      </c>
      <c r="C467" t="str">
        <f>HYPERLINK("http://exon.niaid.nih.gov/transcriptome/T_rubida/S1/links/Triru/Triru-5-48-asb-639.txt","Contig-639")</f>
        <v>Contig-639</v>
      </c>
      <c r="D467" t="str">
        <f>HYPERLINK("http://exon.niaid.nih.gov/transcriptome/T_rubida/S1/links/Triru/Triru-5-48-639-CLU.txt","Contig639")</f>
        <v>Contig639</v>
      </c>
      <c r="E467" t="str">
        <f>HYPERLINK("http://exon.niaid.nih.gov/transcriptome/T_rubida/S1/links/Triru/Triru-5-48-639-qual.txt","51.6")</f>
        <v>51.6</v>
      </c>
      <c r="F467" t="s">
        <v>10</v>
      </c>
      <c r="G467">
        <v>68.099999999999994</v>
      </c>
      <c r="H467">
        <v>163</v>
      </c>
      <c r="I467" t="s">
        <v>651</v>
      </c>
      <c r="J467">
        <v>163</v>
      </c>
      <c r="K467">
        <v>182</v>
      </c>
      <c r="L467">
        <v>144</v>
      </c>
      <c r="M467" t="s">
        <v>5563</v>
      </c>
      <c r="N467" s="15">
        <v>2</v>
      </c>
      <c r="Q467" s="5" t="s">
        <v>4827</v>
      </c>
      <c r="R467" t="s">
        <v>4828</v>
      </c>
      <c r="V467" s="1" t="str">
        <f>HYPERLINK("http://exon.niaid.nih.gov/transcriptome/T_rubida/S1/links/NR/Triru-contig_639-NR.txt","cytochrome c biogenesis protein")</f>
        <v>cytochrome c biogenesis protein</v>
      </c>
      <c r="W467" t="str">
        <f>HYPERLINK("http://www.ncbi.nlm.nih.gov/sutils/blink.cgi?pid=11466751","5.1")</f>
        <v>5.1</v>
      </c>
      <c r="X467" t="str">
        <f>HYPERLINK("http://www.ncbi.nlm.nih.gov/protein/11466751","gi|11466751")</f>
        <v>gi|11466751</v>
      </c>
      <c r="Y467">
        <v>34.700000000000003</v>
      </c>
      <c r="Z467">
        <v>43</v>
      </c>
      <c r="AA467">
        <v>320</v>
      </c>
      <c r="AB467">
        <v>40</v>
      </c>
      <c r="AC467">
        <v>14</v>
      </c>
      <c r="AD467">
        <v>27</v>
      </c>
      <c r="AE467">
        <v>0</v>
      </c>
      <c r="AF467">
        <v>168</v>
      </c>
      <c r="AG467">
        <v>11</v>
      </c>
      <c r="AH467">
        <v>1</v>
      </c>
      <c r="AI467">
        <v>2</v>
      </c>
      <c r="AJ467" t="s">
        <v>11</v>
      </c>
      <c r="AL467" t="s">
        <v>2253</v>
      </c>
      <c r="AM467" t="s">
        <v>4717</v>
      </c>
      <c r="AN467" t="s">
        <v>4718</v>
      </c>
      <c r="AO467" s="1" t="str">
        <f>HYPERLINK("http://exon.niaid.nih.gov/transcriptome/T_rubida/S1/links/SWISSP/Triru-contig_639-SWISSP.txt","Cytochrome c biogenesis protein ccsA")</f>
        <v>Cytochrome c biogenesis protein ccsA</v>
      </c>
      <c r="AP467" t="str">
        <f>HYPERLINK("http://www.uniprot.org/uniprot/P12214","0.19")</f>
        <v>0.19</v>
      </c>
      <c r="AQ467" t="s">
        <v>4719</v>
      </c>
      <c r="AR467">
        <v>34.700000000000003</v>
      </c>
      <c r="AS467">
        <v>43</v>
      </c>
      <c r="AT467">
        <v>40</v>
      </c>
      <c r="AU467">
        <v>14</v>
      </c>
      <c r="AV467">
        <v>27</v>
      </c>
      <c r="AW467">
        <v>0</v>
      </c>
      <c r="AX467">
        <v>168</v>
      </c>
      <c r="AY467">
        <v>11</v>
      </c>
      <c r="AZ467">
        <v>1</v>
      </c>
      <c r="BA467">
        <v>2</v>
      </c>
      <c r="BB467" t="s">
        <v>11</v>
      </c>
      <c r="BD467" t="s">
        <v>704</v>
      </c>
      <c r="BE467" t="s">
        <v>2253</v>
      </c>
      <c r="BF467" t="s">
        <v>4720</v>
      </c>
      <c r="BG467" t="s">
        <v>4721</v>
      </c>
      <c r="BH467" s="1" t="s">
        <v>57</v>
      </c>
      <c r="BI467" t="s">
        <v>57</v>
      </c>
      <c r="BJ467" s="1" t="str">
        <f>HYPERLINK("http://exon.niaid.nih.gov/transcriptome/T_rubida/S1/links/CDD/Triru-contig_639-CDD.txt","PLDc_PSS_G_neg_")</f>
        <v>PLDc_PSS_G_neg_</v>
      </c>
      <c r="BK467" t="str">
        <f>HYPERLINK("http://www.ncbi.nlm.nih.gov/Structure/cdd/cddsrv.cgi?uid=cd09136&amp;version=v4.0","0.12")</f>
        <v>0.12</v>
      </c>
      <c r="BL467" t="s">
        <v>4722</v>
      </c>
      <c r="BM467" s="1" t="str">
        <f>HYPERLINK("http://exon.niaid.nih.gov/transcriptome/T_rubida/S1/links/KOG/Triru-contig_639-KOG.txt","O-acetyltransferase")</f>
        <v>O-acetyltransferase</v>
      </c>
      <c r="BN467" t="str">
        <f>HYPERLINK("http://www.ncbi.nlm.nih.gov/COG/grace/shokog.cgi?KOG1699","0.90")</f>
        <v>0.90</v>
      </c>
      <c r="BO467" t="s">
        <v>750</v>
      </c>
      <c r="BP467" s="1" t="str">
        <f>HYPERLINK("http://exon.niaid.nih.gov/transcriptome/T_rubida/S1/links/PFAM/Triru-contig_639-PFAM.txt","NMT_C")</f>
        <v>NMT_C</v>
      </c>
      <c r="BQ467" t="str">
        <f>HYPERLINK("http://pfam.sanger.ac.uk/family?acc=PF02799","0.082")</f>
        <v>0.082</v>
      </c>
      <c r="BR467" s="1" t="str">
        <f>HYPERLINK("http://exon.niaid.nih.gov/transcriptome/T_rubida/S1/links/SMART/Triru-contig_639-SMART.txt","LA")</f>
        <v>LA</v>
      </c>
      <c r="BS467" t="str">
        <f>HYPERLINK("http://smart.embl-heidelberg.de/smart/do_annotation.pl?DOMAIN=LA&amp;BLAST=DUMMY","0.26")</f>
        <v>0.26</v>
      </c>
      <c r="BT467" s="1" t="str">
        <f>HYPERLINK("http://exon.niaid.nih.gov/transcriptome/T_rubida/S1/links/PRK/Triru-contig_639-PRK.txt","phosphatidylserine synthase")</f>
        <v>phosphatidylserine synthase</v>
      </c>
      <c r="BU467">
        <v>9.0999999999999998E-2</v>
      </c>
      <c r="BV467" s="1" t="s">
        <v>57</v>
      </c>
      <c r="BW467" t="s">
        <v>57</v>
      </c>
      <c r="BX467" s="1" t="s">
        <v>57</v>
      </c>
      <c r="BY467" t="s">
        <v>57</v>
      </c>
    </row>
    <row r="468" spans="1:77">
      <c r="A468" t="str">
        <f>HYPERLINK("http://exon.niaid.nih.gov/transcriptome/T_rubida/S1/links/Triru/Triru-contig_507.txt","Triru-contig_507")</f>
        <v>Triru-contig_507</v>
      </c>
      <c r="B468">
        <v>1</v>
      </c>
      <c r="C468" t="str">
        <f>HYPERLINK("http://exon.niaid.nih.gov/transcriptome/T_rubida/S1/links/Triru/Triru-5-48-asb-507.txt","Contig-507")</f>
        <v>Contig-507</v>
      </c>
      <c r="D468" t="str">
        <f>HYPERLINK("http://exon.niaid.nih.gov/transcriptome/T_rubida/S1/links/Triru/Triru-5-48-507-CLU.txt","Contig507")</f>
        <v>Contig507</v>
      </c>
      <c r="E468" t="str">
        <f>HYPERLINK("http://exon.niaid.nih.gov/transcriptome/T_rubida/S1/links/Triru/Triru-5-48-507-qual.txt","46.4")</f>
        <v>46.4</v>
      </c>
      <c r="F468" t="s">
        <v>10</v>
      </c>
      <c r="G468">
        <v>68.2</v>
      </c>
      <c r="H468">
        <v>472</v>
      </c>
      <c r="I468" t="s">
        <v>519</v>
      </c>
      <c r="J468">
        <v>472</v>
      </c>
      <c r="K468">
        <v>491</v>
      </c>
      <c r="L468">
        <v>138</v>
      </c>
      <c r="M468" t="s">
        <v>5616</v>
      </c>
      <c r="N468" s="15">
        <v>1</v>
      </c>
      <c r="Q468" s="5" t="s">
        <v>4827</v>
      </c>
      <c r="R468" t="s">
        <v>4828</v>
      </c>
      <c r="V468" s="1" t="str">
        <f>HYPERLINK("http://exon.niaid.nih.gov/transcriptome/T_rubida/S1/links/NR/Triru-contig_507-NR.txt","EBA-175")</f>
        <v>EBA-175</v>
      </c>
      <c r="W468" t="str">
        <f>HYPERLINK("http://www.ncbi.nlm.nih.gov/sutils/blink.cgi?pid=61661397","5.2")</f>
        <v>5.2</v>
      </c>
      <c r="X468" t="str">
        <f>HYPERLINK("http://www.ncbi.nlm.nih.gov/protein/61661397","gi|61661397")</f>
        <v>gi|61661397</v>
      </c>
      <c r="Y468">
        <v>34.700000000000003</v>
      </c>
      <c r="Z468">
        <v>35</v>
      </c>
      <c r="AA468">
        <v>308</v>
      </c>
      <c r="AB468">
        <v>41</v>
      </c>
      <c r="AC468">
        <v>12</v>
      </c>
      <c r="AD468">
        <v>21</v>
      </c>
      <c r="AE468">
        <v>0</v>
      </c>
      <c r="AF468">
        <v>115</v>
      </c>
      <c r="AG468">
        <v>42</v>
      </c>
      <c r="AH468">
        <v>1</v>
      </c>
      <c r="AI468">
        <v>3</v>
      </c>
      <c r="AJ468" t="s">
        <v>11</v>
      </c>
      <c r="AK468">
        <v>2.8570000000000002</v>
      </c>
      <c r="AL468" t="s">
        <v>1577</v>
      </c>
      <c r="AM468" t="s">
        <v>3909</v>
      </c>
      <c r="AN468" t="s">
        <v>3910</v>
      </c>
      <c r="AO468" s="1" t="str">
        <f>HYPERLINK("http://exon.niaid.nih.gov/transcriptome/T_rubida/S1/links/SWISSP/Triru-contig_507-SWISSP.txt","Erythrocyte-binding antigen 175")</f>
        <v>Erythrocyte-binding antigen 175</v>
      </c>
      <c r="AP468" t="str">
        <f>HYPERLINK("http://www.uniprot.org/uniprot/P19214","2.5")</f>
        <v>2.5</v>
      </c>
      <c r="AQ468" t="s">
        <v>3911</v>
      </c>
      <c r="AR468">
        <v>31.6</v>
      </c>
      <c r="AS468">
        <v>35</v>
      </c>
      <c r="AT468">
        <v>38</v>
      </c>
      <c r="AU468">
        <v>3</v>
      </c>
      <c r="AV468">
        <v>22</v>
      </c>
      <c r="AW468">
        <v>0</v>
      </c>
      <c r="AX468">
        <v>567</v>
      </c>
      <c r="AY468">
        <v>42</v>
      </c>
      <c r="AZ468">
        <v>1</v>
      </c>
      <c r="BA468">
        <v>3</v>
      </c>
      <c r="BB468" t="s">
        <v>11</v>
      </c>
      <c r="BC468">
        <v>2.8570000000000002</v>
      </c>
      <c r="BD468" t="s">
        <v>704</v>
      </c>
      <c r="BE468" t="s">
        <v>3912</v>
      </c>
      <c r="BF468" t="s">
        <v>3913</v>
      </c>
      <c r="BG468" t="s">
        <v>3914</v>
      </c>
      <c r="BH468" s="1" t="s">
        <v>57</v>
      </c>
      <c r="BI468" t="s">
        <v>57</v>
      </c>
      <c r="BJ468" s="1" t="str">
        <f>HYPERLINK("http://exon.niaid.nih.gov/transcriptome/T_rubida/S1/links/CDD/Triru-contig_507-CDD.txt","ND4")</f>
        <v>ND4</v>
      </c>
      <c r="BK468" t="str">
        <f>HYPERLINK("http://www.ncbi.nlm.nih.gov/Structure/cdd/cddsrv.cgi?uid=MTH00205&amp;version=v4.0","8E-004")</f>
        <v>8E-004</v>
      </c>
      <c r="BL468" t="s">
        <v>3915</v>
      </c>
      <c r="BM468" s="1" t="str">
        <f>HYPERLINK("http://exon.niaid.nih.gov/transcriptome/T_rubida/S1/links/KOG/Triru-contig_507-KOG.txt","H+/oligopeptide symporter")</f>
        <v>H+/oligopeptide symporter</v>
      </c>
      <c r="BN468" t="str">
        <f>HYPERLINK("http://www.ncbi.nlm.nih.gov/COG/grace/shokog.cgi?KOG1237","0.002")</f>
        <v>0.002</v>
      </c>
      <c r="BO468" t="s">
        <v>839</v>
      </c>
      <c r="BP468" s="1" t="str">
        <f>HYPERLINK("http://exon.niaid.nih.gov/transcriptome/T_rubida/S1/links/PFAM/Triru-contig_507-PFAM.txt","7TM_GPCR_Srz")</f>
        <v>7TM_GPCR_Srz</v>
      </c>
      <c r="BQ468" t="str">
        <f>HYPERLINK("http://pfam.sanger.ac.uk/family?acc=PF10325","0.002")</f>
        <v>0.002</v>
      </c>
      <c r="BR468" s="1" t="str">
        <f>HYPERLINK("http://exon.niaid.nih.gov/transcriptome/T_rubida/S1/links/SMART/Triru-contig_507-SMART.txt","TLC")</f>
        <v>TLC</v>
      </c>
      <c r="BS468" t="str">
        <f>HYPERLINK("http://smart.embl-heidelberg.de/smart/do_annotation.pl?DOMAIN=TLC&amp;BLAST=DUMMY","0.080")</f>
        <v>0.080</v>
      </c>
      <c r="BT468" s="1" t="str">
        <f>HYPERLINK("http://exon.niaid.nih.gov/transcriptome/T_rubida/S1/links/PRK/Triru-contig_507-PRK.txt","NADH dehydrogenase subunit 4")</f>
        <v>NADH dehydrogenase subunit 4</v>
      </c>
      <c r="BU468" s="2">
        <v>2.9999999999999997E-4</v>
      </c>
      <c r="BV468" s="1" t="s">
        <v>57</v>
      </c>
      <c r="BW468" t="s">
        <v>57</v>
      </c>
      <c r="BX468" s="1" t="s">
        <v>57</v>
      </c>
      <c r="BY468" t="s">
        <v>57</v>
      </c>
    </row>
    <row r="469" spans="1:77">
      <c r="A469" t="str">
        <f>HYPERLINK("http://exon.niaid.nih.gov/transcriptome/T_rubida/S1/links/Triru/Triru-contig_44.txt","Triru-contig_44")</f>
        <v>Triru-contig_44</v>
      </c>
      <c r="B469">
        <v>1</v>
      </c>
      <c r="C469" t="str">
        <f>HYPERLINK("http://exon.niaid.nih.gov/transcriptome/T_rubida/S1/links/Triru/Triru-5-48-asb-44.txt","Contig-44")</f>
        <v>Contig-44</v>
      </c>
      <c r="D469" t="str">
        <f>HYPERLINK("http://exon.niaid.nih.gov/transcriptome/T_rubida/S1/links/Triru/Triru-5-48-44-CLU.txt","Contig44")</f>
        <v>Contig44</v>
      </c>
      <c r="E469" t="str">
        <f>HYPERLINK("http://exon.niaid.nih.gov/transcriptome/T_rubida/S1/links/Triru/Triru-5-48-44-qual.txt","17.8")</f>
        <v>17.8</v>
      </c>
      <c r="F469" t="s">
        <v>10</v>
      </c>
      <c r="G469">
        <v>60.3</v>
      </c>
      <c r="H469">
        <v>361</v>
      </c>
      <c r="I469" t="s">
        <v>55</v>
      </c>
      <c r="J469">
        <v>361</v>
      </c>
      <c r="K469">
        <v>380</v>
      </c>
      <c r="L469">
        <v>138</v>
      </c>
      <c r="M469" t="s">
        <v>5669</v>
      </c>
      <c r="N469" s="15">
        <v>3</v>
      </c>
      <c r="Q469" s="5" t="s">
        <v>4827</v>
      </c>
      <c r="R469" t="s">
        <v>4828</v>
      </c>
      <c r="V469" s="1" t="str">
        <f>HYPERLINK("http://exon.niaid.nih.gov/transcriptome/T_rubida/S1/links/NR/Triru-contig_44-NR.txt","predicted protein")</f>
        <v>predicted protein</v>
      </c>
      <c r="W469" t="str">
        <f>HYPERLINK("http://www.ncbi.nlm.nih.gov/sutils/blink.cgi?pid=224000289","5.2")</f>
        <v>5.2</v>
      </c>
      <c r="X469" t="str">
        <f>HYPERLINK("http://www.ncbi.nlm.nih.gov/protein/224000289","gi|224000289")</f>
        <v>gi|224000289</v>
      </c>
      <c r="Y469">
        <v>34.700000000000003</v>
      </c>
      <c r="Z469">
        <v>64</v>
      </c>
      <c r="AA469">
        <v>441</v>
      </c>
      <c r="AB469">
        <v>36</v>
      </c>
      <c r="AC469">
        <v>15</v>
      </c>
      <c r="AD469">
        <v>41</v>
      </c>
      <c r="AE469">
        <v>3</v>
      </c>
      <c r="AF469">
        <v>7</v>
      </c>
      <c r="AG469">
        <v>128</v>
      </c>
      <c r="AH469">
        <v>1</v>
      </c>
      <c r="AI469">
        <v>2</v>
      </c>
      <c r="AJ469" t="s">
        <v>11</v>
      </c>
      <c r="AK469">
        <v>3.125</v>
      </c>
      <c r="AL469" t="s">
        <v>902</v>
      </c>
      <c r="AM469" t="s">
        <v>903</v>
      </c>
      <c r="AN469" t="s">
        <v>904</v>
      </c>
      <c r="AO469" s="1" t="str">
        <f>HYPERLINK("http://exon.niaid.nih.gov/transcriptome/T_rubida/S1/links/SWISSP/Triru-contig_44-SWISSP.txt","Probable pectinesterase/pectinesterase inhibitor 33")</f>
        <v>Probable pectinesterase/pectinesterase inhibitor 33</v>
      </c>
      <c r="AP469" t="str">
        <f>HYPERLINK("http://www.uniprot.org/uniprot/Q9STY3","0.97")</f>
        <v>0.97</v>
      </c>
      <c r="AQ469" t="s">
        <v>905</v>
      </c>
      <c r="AR469">
        <v>32.299999999999997</v>
      </c>
      <c r="AS469">
        <v>45</v>
      </c>
      <c r="AT469">
        <v>41</v>
      </c>
      <c r="AU469">
        <v>8</v>
      </c>
      <c r="AV469">
        <v>27</v>
      </c>
      <c r="AW469">
        <v>2</v>
      </c>
      <c r="AX469">
        <v>12</v>
      </c>
      <c r="AY469">
        <v>55</v>
      </c>
      <c r="AZ469">
        <v>1</v>
      </c>
      <c r="BA469">
        <v>1</v>
      </c>
      <c r="BB469" t="s">
        <v>11</v>
      </c>
      <c r="BC469">
        <v>4.444</v>
      </c>
      <c r="BD469" t="s">
        <v>704</v>
      </c>
      <c r="BE469" t="s">
        <v>906</v>
      </c>
      <c r="BF469" t="s">
        <v>907</v>
      </c>
      <c r="BG469" t="s">
        <v>908</v>
      </c>
      <c r="BH469" s="1" t="s">
        <v>57</v>
      </c>
      <c r="BI469" t="s">
        <v>57</v>
      </c>
      <c r="BJ469" s="1" t="str">
        <f>HYPERLINK("http://exon.niaid.nih.gov/transcriptome/T_rubida/S1/links/CDD/Triru-contig_44-CDD.txt","PRK11595")</f>
        <v>PRK11595</v>
      </c>
      <c r="BK469" t="str">
        <f>HYPERLINK("http://www.ncbi.nlm.nih.gov/Structure/cdd/cddsrv.cgi?uid=PRK11595&amp;version=v4.0","0.23")</f>
        <v>0.23</v>
      </c>
      <c r="BL469" t="s">
        <v>909</v>
      </c>
      <c r="BM469" s="1" t="str">
        <f>HYPERLINK("http://exon.niaid.nih.gov/transcriptome/T_rubida/S1/links/KOG/Triru-contig_44-KOG.txt","Uncharacterized protein PSP1 (suppressor of DNA polymerase alpha mutations in yeast)")</f>
        <v>Uncharacterized protein PSP1 (suppressor of DNA polymerase alpha mutations in yeast)</v>
      </c>
      <c r="BN469" t="str">
        <f>HYPERLINK("http://www.ncbi.nlm.nih.gov/COG/grace/shokog.cgi?KOG4679","0.30")</f>
        <v>0.30</v>
      </c>
      <c r="BO469" t="s">
        <v>750</v>
      </c>
      <c r="BP469" s="1" t="str">
        <f>HYPERLINK("http://exon.niaid.nih.gov/transcriptome/T_rubida/S1/links/PFAM/Triru-contig_44-PFAM.txt","U-box")</f>
        <v>U-box</v>
      </c>
      <c r="BQ469" t="str">
        <f>HYPERLINK("http://pfam.sanger.ac.uk/family?acc=PF04564","0.057")</f>
        <v>0.057</v>
      </c>
      <c r="BR469" s="1" t="str">
        <f>HYPERLINK("http://exon.niaid.nih.gov/transcriptome/T_rubida/S1/links/SMART/Triru-contig_44-SMART.txt","ACR")</f>
        <v>ACR</v>
      </c>
      <c r="BS469" t="str">
        <f>HYPERLINK("http://smart.embl-heidelberg.de/smart/do_annotation.pl?DOMAIN=ACR&amp;BLAST=DUMMY","0.31")</f>
        <v>0.31</v>
      </c>
      <c r="BT469" s="1" t="str">
        <f>HYPERLINK("http://exon.niaid.nih.gov/transcriptome/T_rubida/S1/links/PRK/Triru-contig_44-PRK.txt","DNA utilization protein GntX")</f>
        <v>DNA utilization protein GntX</v>
      </c>
      <c r="BU469">
        <v>0.11</v>
      </c>
      <c r="BV469" s="1" t="s">
        <v>57</v>
      </c>
      <c r="BW469" t="s">
        <v>57</v>
      </c>
      <c r="BX469" s="1" t="s">
        <v>57</v>
      </c>
      <c r="BY469" t="s">
        <v>57</v>
      </c>
    </row>
    <row r="470" spans="1:77">
      <c r="A470" t="str">
        <f>HYPERLINK("http://exon.niaid.nih.gov/transcriptome/T_rubida/S1/links/Triru/Triru-contig_279.txt","Triru-contig_279")</f>
        <v>Triru-contig_279</v>
      </c>
      <c r="B470">
        <v>1</v>
      </c>
      <c r="C470" t="str">
        <f>HYPERLINK("http://exon.niaid.nih.gov/transcriptome/T_rubida/S1/links/Triru/Triru-5-48-asb-279.txt","Contig-279")</f>
        <v>Contig-279</v>
      </c>
      <c r="D470" t="str">
        <f>HYPERLINK("http://exon.niaid.nih.gov/transcriptome/T_rubida/S1/links/Triru/Triru-5-48-279-CLU.txt","Contig279")</f>
        <v>Contig279</v>
      </c>
      <c r="E470" t="str">
        <f>HYPERLINK("http://exon.niaid.nih.gov/transcriptome/T_rubida/S1/links/Triru/Triru-5-48-279-qual.txt","64.9")</f>
        <v>64.9</v>
      </c>
      <c r="F470">
        <v>0.2</v>
      </c>
      <c r="G470">
        <v>74.900000000000006</v>
      </c>
      <c r="H470">
        <v>627</v>
      </c>
      <c r="I470" t="s">
        <v>291</v>
      </c>
      <c r="J470">
        <v>627</v>
      </c>
      <c r="K470">
        <v>646</v>
      </c>
      <c r="L470">
        <v>180</v>
      </c>
      <c r="M470" t="s">
        <v>5543</v>
      </c>
      <c r="N470" s="15">
        <v>3</v>
      </c>
      <c r="O470" s="14" t="str">
        <f>HYPERLINK("http://exon.niaid.nih.gov/transcriptome/T_rubida/S1/links/Sigp/TRIRU-CONTIG_279-SigP.txt","Cyt")</f>
        <v>Cyt</v>
      </c>
      <c r="Q470" s="5" t="s">
        <v>4827</v>
      </c>
      <c r="R470" t="s">
        <v>4828</v>
      </c>
      <c r="V470" s="1" t="str">
        <f>HYPERLINK("http://exon.niaid.nih.gov/transcriptome/T_rubida/S1/links/NR/Triru-contig_279-NR.txt","hypothetical protein IMG5_015140")</f>
        <v>hypothetical protein IMG5_015140</v>
      </c>
      <c r="W470" t="str">
        <f>HYPERLINK("http://www.ncbi.nlm.nih.gov/sutils/blink.cgi?pid=340508695","6.0")</f>
        <v>6.0</v>
      </c>
      <c r="X470" t="str">
        <f>HYPERLINK("http://www.ncbi.nlm.nih.gov/protein/340508695","gi|340508695")</f>
        <v>gi|340508695</v>
      </c>
      <c r="Y470">
        <v>35.4</v>
      </c>
      <c r="Z470">
        <v>49</v>
      </c>
      <c r="AA470">
        <v>348</v>
      </c>
      <c r="AB470">
        <v>42</v>
      </c>
      <c r="AC470">
        <v>14</v>
      </c>
      <c r="AD470">
        <v>29</v>
      </c>
      <c r="AE470">
        <v>3</v>
      </c>
      <c r="AF470">
        <v>287</v>
      </c>
      <c r="AG470">
        <v>406</v>
      </c>
      <c r="AH470">
        <v>1</v>
      </c>
      <c r="AI470">
        <v>1</v>
      </c>
      <c r="AJ470" t="s">
        <v>11</v>
      </c>
      <c r="AK470">
        <v>2.0409999999999999</v>
      </c>
      <c r="AL470" t="s">
        <v>1593</v>
      </c>
      <c r="AM470" t="s">
        <v>2360</v>
      </c>
      <c r="AN470" t="s">
        <v>2361</v>
      </c>
      <c r="AO470" s="1" t="str">
        <f>HYPERLINK("http://exon.niaid.nih.gov/transcriptome/T_rubida/S1/links/SWISSP/Triru-contig_279-SWISSP.txt","Probable lysosomal cobalamin transporter")</f>
        <v>Probable lysosomal cobalamin transporter</v>
      </c>
      <c r="AP470" t="str">
        <f>HYPERLINK("http://www.uniprot.org/uniprot/Q7SYR6","23")</f>
        <v>23</v>
      </c>
      <c r="AQ470" t="s">
        <v>2362</v>
      </c>
      <c r="AR470">
        <v>29.3</v>
      </c>
      <c r="AS470">
        <v>47</v>
      </c>
      <c r="AT470">
        <v>31</v>
      </c>
      <c r="AU470">
        <v>9</v>
      </c>
      <c r="AV470">
        <v>33</v>
      </c>
      <c r="AW470">
        <v>0</v>
      </c>
      <c r="AX470">
        <v>295</v>
      </c>
      <c r="AY470">
        <v>163</v>
      </c>
      <c r="AZ470">
        <v>1</v>
      </c>
      <c r="BA470">
        <v>1</v>
      </c>
      <c r="BB470" t="s">
        <v>11</v>
      </c>
      <c r="BC470">
        <v>6.383</v>
      </c>
      <c r="BD470" t="s">
        <v>704</v>
      </c>
      <c r="BE470" t="s">
        <v>2158</v>
      </c>
      <c r="BF470" t="s">
        <v>2363</v>
      </c>
      <c r="BG470" t="s">
        <v>2364</v>
      </c>
      <c r="BH470" s="1" t="s">
        <v>57</v>
      </c>
      <c r="BI470" t="s">
        <v>57</v>
      </c>
      <c r="BJ470" s="1" t="str">
        <f>HYPERLINK("http://exon.niaid.nih.gov/transcriptome/T_rubida/S1/links/CDD/Triru-contig_279-CDD.txt","7TM_GPCR_Srz")</f>
        <v>7TM_GPCR_Srz</v>
      </c>
      <c r="BK470" t="str">
        <f>HYPERLINK("http://www.ncbi.nlm.nih.gov/Structure/cdd/cddsrv.cgi?uid=pfam10325&amp;version=v4.0","0.015")</f>
        <v>0.015</v>
      </c>
      <c r="BL470" t="s">
        <v>2365</v>
      </c>
      <c r="BM470" s="1" t="str">
        <f>HYPERLINK("http://exon.niaid.nih.gov/transcriptome/T_rubida/S1/links/KOG/Triru-contig_279-KOG.txt","Ca2+-modulated nonselective cation channel polycystin")</f>
        <v>Ca2+-modulated nonselective cation channel polycystin</v>
      </c>
      <c r="BN470" t="str">
        <f>HYPERLINK("http://www.ncbi.nlm.nih.gov/COG/grace/shokog.cgi?KOG3599","1.2")</f>
        <v>1.2</v>
      </c>
      <c r="BO470" t="s">
        <v>720</v>
      </c>
      <c r="BP470" s="1" t="str">
        <f>HYPERLINK("http://exon.niaid.nih.gov/transcriptome/T_rubida/S1/links/PFAM/Triru-contig_279-PFAM.txt","7TM_GPCR_Srz")</f>
        <v>7TM_GPCR_Srz</v>
      </c>
      <c r="BQ470" t="str">
        <f>HYPERLINK("http://pfam.sanger.ac.uk/family?acc=PF10325","0.003")</f>
        <v>0.003</v>
      </c>
      <c r="BR470" s="1" t="str">
        <f>HYPERLINK("http://exon.niaid.nih.gov/transcriptome/T_rubida/S1/links/SMART/Triru-contig_279-SMART.txt","AgrB")</f>
        <v>AgrB</v>
      </c>
      <c r="BS470" t="str">
        <f>HYPERLINK("http://smart.embl-heidelberg.de/smart/do_annotation.pl?DOMAIN=AgrB&amp;BLAST=DUMMY","0.003")</f>
        <v>0.003</v>
      </c>
      <c r="BT470" s="1" t="str">
        <f>HYPERLINK("http://exon.niaid.nih.gov/transcriptome/T_rubida/S1/links/PRK/Triru-contig_279-PRK.txt","NADH dehydrogenase subunit 4")</f>
        <v>NADH dehydrogenase subunit 4</v>
      </c>
      <c r="BU470">
        <v>1.7999999999999999E-2</v>
      </c>
      <c r="BV470" s="1" t="s">
        <v>57</v>
      </c>
      <c r="BW470" t="s">
        <v>57</v>
      </c>
      <c r="BX470" s="1" t="s">
        <v>57</v>
      </c>
      <c r="BY470" t="s">
        <v>57</v>
      </c>
    </row>
    <row r="471" spans="1:77">
      <c r="A471" t="str">
        <f>HYPERLINK("http://exon.niaid.nih.gov/transcriptome/T_rubida/S1/links/Triru/Triru-contig_472.txt","Triru-contig_472")</f>
        <v>Triru-contig_472</v>
      </c>
      <c r="B471">
        <v>1</v>
      </c>
      <c r="C471" t="str">
        <f>HYPERLINK("http://exon.niaid.nih.gov/transcriptome/T_rubida/S1/links/Triru/Triru-5-48-asb-472.txt","Contig-472")</f>
        <v>Contig-472</v>
      </c>
      <c r="D471" t="str">
        <f>HYPERLINK("http://exon.niaid.nih.gov/transcriptome/T_rubida/S1/links/Triru/Triru-5-48-472-CLU.txt","Contig472")</f>
        <v>Contig472</v>
      </c>
      <c r="E471" t="str">
        <f>HYPERLINK("http://exon.niaid.nih.gov/transcriptome/T_rubida/S1/links/Triru/Triru-5-48-472-qual.txt","53.9")</f>
        <v>53.9</v>
      </c>
      <c r="F471" t="s">
        <v>10</v>
      </c>
      <c r="G471">
        <v>68.099999999999994</v>
      </c>
      <c r="H471">
        <v>639</v>
      </c>
      <c r="I471" t="s">
        <v>484</v>
      </c>
      <c r="J471">
        <v>639</v>
      </c>
      <c r="K471">
        <v>658</v>
      </c>
      <c r="L471">
        <v>165</v>
      </c>
      <c r="M471" t="s">
        <v>5619</v>
      </c>
      <c r="N471" s="15">
        <v>2</v>
      </c>
      <c r="Q471" s="5" t="s">
        <v>4827</v>
      </c>
      <c r="R471" t="s">
        <v>4828</v>
      </c>
      <c r="V471" s="1" t="str">
        <f>HYPERLINK("http://exon.niaid.nih.gov/transcriptome/T_rubida/S1/links/NR/Triru-contig_472-NR.txt","conserved Plasmodium protein")</f>
        <v>conserved Plasmodium protein</v>
      </c>
      <c r="W471" t="str">
        <f>HYPERLINK("http://www.ncbi.nlm.nih.gov/sutils/blink.cgi?pid=124801252","6.3")</f>
        <v>6.3</v>
      </c>
      <c r="X471" t="str">
        <f>HYPERLINK("http://www.ncbi.nlm.nih.gov/protein/124801252","gi|124801252")</f>
        <v>gi|124801252</v>
      </c>
      <c r="Y471">
        <v>35.4</v>
      </c>
      <c r="Z471">
        <v>61</v>
      </c>
      <c r="AA471">
        <v>1166</v>
      </c>
      <c r="AB471">
        <v>36</v>
      </c>
      <c r="AC471">
        <v>5</v>
      </c>
      <c r="AD471">
        <v>41</v>
      </c>
      <c r="AE471">
        <v>1</v>
      </c>
      <c r="AF471">
        <v>407</v>
      </c>
      <c r="AG471">
        <v>425</v>
      </c>
      <c r="AH471">
        <v>1</v>
      </c>
      <c r="AI471">
        <v>2</v>
      </c>
      <c r="AJ471" t="s">
        <v>11</v>
      </c>
      <c r="AK471">
        <v>1.639</v>
      </c>
      <c r="AL471" t="s">
        <v>1103</v>
      </c>
      <c r="AM471" t="s">
        <v>3670</v>
      </c>
      <c r="AN471" t="s">
        <v>3671</v>
      </c>
      <c r="AO471" s="1" t="str">
        <f>HYPERLINK("http://exon.niaid.nih.gov/transcriptome/T_rubida/S1/links/SWISSP/Triru-contig_472-SWISSP.txt","Nuclear migration protein NUM1")</f>
        <v>Nuclear migration protein NUM1</v>
      </c>
      <c r="AP471" t="str">
        <f>HYPERLINK("http://www.uniprot.org/uniprot/Q00402","4.7")</f>
        <v>4.7</v>
      </c>
      <c r="AQ471" t="s">
        <v>3672</v>
      </c>
      <c r="AR471">
        <v>31.6</v>
      </c>
      <c r="AS471">
        <v>68</v>
      </c>
      <c r="AT471">
        <v>33</v>
      </c>
      <c r="AU471">
        <v>3</v>
      </c>
      <c r="AV471">
        <v>46</v>
      </c>
      <c r="AW471">
        <v>8</v>
      </c>
      <c r="AX471">
        <v>89</v>
      </c>
      <c r="AY471">
        <v>32</v>
      </c>
      <c r="AZ471">
        <v>1</v>
      </c>
      <c r="BA471">
        <v>2</v>
      </c>
      <c r="BB471" t="s">
        <v>11</v>
      </c>
      <c r="BC471">
        <v>4.4119999999999999</v>
      </c>
      <c r="BD471" t="s">
        <v>704</v>
      </c>
      <c r="BE471" t="s">
        <v>1487</v>
      </c>
      <c r="BF471" t="s">
        <v>3673</v>
      </c>
      <c r="BG471" t="s">
        <v>3674</v>
      </c>
      <c r="BH471" s="1" t="s">
        <v>57</v>
      </c>
      <c r="BI471" t="s">
        <v>57</v>
      </c>
      <c r="BJ471" s="1" t="str">
        <f>HYPERLINK("http://exon.niaid.nih.gov/transcriptome/T_rubida/S1/links/CDD/Triru-contig_472-CDD.txt","7TM_GPCR_Srbc")</f>
        <v>7TM_GPCR_Srbc</v>
      </c>
      <c r="BK471" t="str">
        <f>HYPERLINK("http://www.ncbi.nlm.nih.gov/Structure/cdd/cddsrv.cgi?uid=pfam10316&amp;version=v4.0","0.027")</f>
        <v>0.027</v>
      </c>
      <c r="BL471" t="s">
        <v>3675</v>
      </c>
      <c r="BM471" s="1" t="str">
        <f>HYPERLINK("http://exon.niaid.nih.gov/transcriptome/T_rubida/S1/links/KOG/Triru-contig_472-KOG.txt","Germ-line stem cell division protein Hiwi/Piwi; negative developmental regulator")</f>
        <v>Germ-line stem cell division protein Hiwi/Piwi; negative developmental regulator</v>
      </c>
      <c r="BN471" t="str">
        <f>HYPERLINK("http://www.ncbi.nlm.nih.gov/COG/grace/shokog.cgi?KOG1042","0.15")</f>
        <v>0.15</v>
      </c>
      <c r="BO471" t="s">
        <v>715</v>
      </c>
      <c r="BP471" s="1" t="str">
        <f>HYPERLINK("http://exon.niaid.nih.gov/transcriptome/T_rubida/S1/links/PFAM/Triru-contig_472-PFAM.txt","7TM_GPCR_Srbc")</f>
        <v>7TM_GPCR_Srbc</v>
      </c>
      <c r="BQ471" t="str">
        <f>HYPERLINK("http://pfam.sanger.ac.uk/family?acc=PF10316","0.005")</f>
        <v>0.005</v>
      </c>
      <c r="BR471" s="1" t="str">
        <f>HYPERLINK("http://exon.niaid.nih.gov/transcriptome/T_rubida/S1/links/SMART/Triru-contig_472-SMART.txt","AgrD")</f>
        <v>AgrD</v>
      </c>
      <c r="BS471" t="str">
        <f>HYPERLINK("http://smart.embl-heidelberg.de/smart/do_annotation.pl?DOMAIN=AgrD&amp;BLAST=DUMMY","0.26")</f>
        <v>0.26</v>
      </c>
      <c r="BT471" s="1" t="str">
        <f>HYPERLINK("http://exon.niaid.nih.gov/transcriptome/T_rubida/S1/links/PRK/Triru-contig_472-PRK.txt","reticulocyte binding protein 2-like protein")</f>
        <v>reticulocyte binding protein 2-like protein</v>
      </c>
      <c r="BU471">
        <v>0.15</v>
      </c>
      <c r="BV471" s="1" t="s">
        <v>57</v>
      </c>
      <c r="BW471" t="s">
        <v>57</v>
      </c>
      <c r="BX471" s="1" t="s">
        <v>57</v>
      </c>
      <c r="BY471" t="s">
        <v>57</v>
      </c>
    </row>
    <row r="472" spans="1:77">
      <c r="A472" t="str">
        <f>HYPERLINK("http://exon.niaid.nih.gov/transcriptome/T_rubida/S1/links/Triru/Triru-contig_578.txt","Triru-contig_578")</f>
        <v>Triru-contig_578</v>
      </c>
      <c r="B472">
        <v>1</v>
      </c>
      <c r="C472" t="str">
        <f>HYPERLINK("http://exon.niaid.nih.gov/transcriptome/T_rubida/S1/links/Triru/Triru-5-48-asb-578.txt","Contig-578")</f>
        <v>Contig-578</v>
      </c>
      <c r="D472" t="str">
        <f>HYPERLINK("http://exon.niaid.nih.gov/transcriptome/T_rubida/S1/links/Triru/Triru-5-48-578-CLU.txt","Contig578")</f>
        <v>Contig578</v>
      </c>
      <c r="E472" t="str">
        <f>HYPERLINK("http://exon.niaid.nih.gov/transcriptome/T_rubida/S1/links/Triru/Triru-5-48-578-qual.txt","31.8")</f>
        <v>31.8</v>
      </c>
      <c r="F472">
        <v>0.8</v>
      </c>
      <c r="G472">
        <v>68.7</v>
      </c>
      <c r="H472">
        <v>224</v>
      </c>
      <c r="I472" t="s">
        <v>590</v>
      </c>
      <c r="J472">
        <v>224</v>
      </c>
      <c r="K472">
        <v>243</v>
      </c>
      <c r="L472">
        <v>111</v>
      </c>
      <c r="M472" t="s">
        <v>5423</v>
      </c>
      <c r="N472" s="15">
        <v>2</v>
      </c>
      <c r="Q472" s="5" t="s">
        <v>4827</v>
      </c>
      <c r="R472" t="s">
        <v>4828</v>
      </c>
      <c r="V472" s="1" t="str">
        <f>HYPERLINK("http://exon.niaid.nih.gov/transcriptome/T_rubida/S1/links/NR/Triru-contig_578-NR.txt","hypothetical protein G5I_09399")</f>
        <v>hypothetical protein G5I_09399</v>
      </c>
      <c r="W472" t="str">
        <f>HYPERLINK("http://www.ncbi.nlm.nih.gov/sutils/blink.cgi?pid=332021941","6.7")</f>
        <v>6.7</v>
      </c>
      <c r="X472" t="str">
        <f>HYPERLINK("http://www.ncbi.nlm.nih.gov/protein/332021941","gi|332021941")</f>
        <v>gi|332021941</v>
      </c>
      <c r="Y472">
        <v>34.299999999999997</v>
      </c>
      <c r="Z472">
        <v>42</v>
      </c>
      <c r="AA472">
        <v>491</v>
      </c>
      <c r="AB472">
        <v>30</v>
      </c>
      <c r="AC472">
        <v>9</v>
      </c>
      <c r="AD472">
        <v>30</v>
      </c>
      <c r="AE472">
        <v>0</v>
      </c>
      <c r="AF472">
        <v>140</v>
      </c>
      <c r="AG472">
        <v>90</v>
      </c>
      <c r="AH472">
        <v>1</v>
      </c>
      <c r="AI472">
        <v>3</v>
      </c>
      <c r="AJ472" t="s">
        <v>11</v>
      </c>
      <c r="AK472">
        <v>2.3809999999999998</v>
      </c>
      <c r="AL472" t="s">
        <v>2597</v>
      </c>
      <c r="AM472" t="s">
        <v>4375</v>
      </c>
      <c r="AN472" t="s">
        <v>4376</v>
      </c>
      <c r="AO472" s="1" t="str">
        <f>HYPERLINK("http://exon.niaid.nih.gov/transcriptome/T_rubida/S1/links/SWISSP/Triru-contig_578-SWISSP.txt","Laccase-4")</f>
        <v>Laccase-4</v>
      </c>
      <c r="AP472" t="str">
        <f>HYPERLINK("http://www.uniprot.org/uniprot/Q02081","40")</f>
        <v>40</v>
      </c>
      <c r="AQ472" t="s">
        <v>4377</v>
      </c>
      <c r="AR472">
        <v>26.9</v>
      </c>
      <c r="AS472">
        <v>38</v>
      </c>
      <c r="AT472">
        <v>35</v>
      </c>
      <c r="AU472">
        <v>7</v>
      </c>
      <c r="AV472">
        <v>26</v>
      </c>
      <c r="AW472">
        <v>0</v>
      </c>
      <c r="AX472">
        <v>396</v>
      </c>
      <c r="AY472">
        <v>23</v>
      </c>
      <c r="AZ472">
        <v>1</v>
      </c>
      <c r="BA472">
        <v>2</v>
      </c>
      <c r="BB472" t="s">
        <v>11</v>
      </c>
      <c r="BC472">
        <v>2.6320000000000001</v>
      </c>
      <c r="BD472" t="s">
        <v>704</v>
      </c>
      <c r="BE472" t="s">
        <v>4378</v>
      </c>
      <c r="BF472" t="s">
        <v>4379</v>
      </c>
      <c r="BG472" t="s">
        <v>4380</v>
      </c>
      <c r="BH472" s="1" t="s">
        <v>57</v>
      </c>
      <c r="BI472" t="s">
        <v>57</v>
      </c>
      <c r="BJ472" s="1" t="str">
        <f>HYPERLINK("http://exon.niaid.nih.gov/transcriptome/T_rubida/S1/links/CDD/Triru-contig_578-CDD.txt","lanti_perm_MutE")</f>
        <v>lanti_perm_MutE</v>
      </c>
      <c r="BK472" t="str">
        <f>HYPERLINK("http://www.ncbi.nlm.nih.gov/Structure/cdd/cddsrv.cgi?uid=TIGR03732&amp;version=v4.0","0.52")</f>
        <v>0.52</v>
      </c>
      <c r="BL472" t="s">
        <v>4381</v>
      </c>
      <c r="BM472" s="1" t="str">
        <f>HYPERLINK("http://exon.niaid.nih.gov/transcriptome/T_rubida/S1/links/KOG/Triru-contig_578-KOG.txt","Amino acid transporters")</f>
        <v>Amino acid transporters</v>
      </c>
      <c r="BN472" t="str">
        <f>HYPERLINK("http://www.ncbi.nlm.nih.gov/COG/grace/shokog.cgi?KOG1304","0.85")</f>
        <v>0.85</v>
      </c>
      <c r="BO472" t="s">
        <v>839</v>
      </c>
      <c r="BP472" s="1" t="str">
        <f>HYPERLINK("http://exon.niaid.nih.gov/transcriptome/T_rubida/S1/links/PFAM/Triru-contig_578-PFAM.txt","Corona_M")</f>
        <v>Corona_M</v>
      </c>
      <c r="BQ472" t="str">
        <f>HYPERLINK("http://pfam.sanger.ac.uk/family?acc=PF01635","0.65")</f>
        <v>0.65</v>
      </c>
      <c r="BR472" s="1" t="str">
        <f>HYPERLINK("http://exon.niaid.nih.gov/transcriptome/T_rubida/S1/links/SMART/Triru-contig_578-SMART.txt","VKc")</f>
        <v>VKc</v>
      </c>
      <c r="BS472" t="str">
        <f>HYPERLINK("http://smart.embl-heidelberg.de/smart/do_annotation.pl?DOMAIN=VKc&amp;BLAST=DUMMY","0.51")</f>
        <v>0.51</v>
      </c>
      <c r="BT472" s="1" t="str">
        <f>HYPERLINK("http://exon.niaid.nih.gov/transcriptome/T_rubida/S1/links/PRK/Triru-contig_578-PRK.txt","NADH dehydrogenase subunit 2")</f>
        <v>NADH dehydrogenase subunit 2</v>
      </c>
      <c r="BU472">
        <v>0.21</v>
      </c>
      <c r="BV472" s="1" t="s">
        <v>57</v>
      </c>
      <c r="BW472" t="s">
        <v>57</v>
      </c>
      <c r="BX472" s="1" t="s">
        <v>57</v>
      </c>
      <c r="BY472" t="s">
        <v>57</v>
      </c>
    </row>
    <row r="473" spans="1:77">
      <c r="A473" t="str">
        <f>HYPERLINK("http://exon.niaid.nih.gov/transcriptome/T_rubida/S1/links/Triru/Triru-contig_263.txt","Triru-contig_263")</f>
        <v>Triru-contig_263</v>
      </c>
      <c r="B473">
        <v>1</v>
      </c>
      <c r="C473" t="str">
        <f>HYPERLINK("http://exon.niaid.nih.gov/transcriptome/T_rubida/S1/links/Triru/Triru-5-48-asb-263.txt","Contig-263")</f>
        <v>Contig-263</v>
      </c>
      <c r="D473" t="str">
        <f>HYPERLINK("http://exon.niaid.nih.gov/transcriptome/T_rubida/S1/links/Triru/Triru-5-48-263-CLU.txt","Contig263")</f>
        <v>Contig263</v>
      </c>
      <c r="E473" t="str">
        <f>HYPERLINK("http://exon.niaid.nih.gov/transcriptome/T_rubida/S1/links/Triru/Triru-5-48-263-qual.txt","19.6")</f>
        <v>19.6</v>
      </c>
      <c r="F473" t="s">
        <v>10</v>
      </c>
      <c r="G473">
        <v>70</v>
      </c>
      <c r="H473">
        <v>481</v>
      </c>
      <c r="I473" t="s">
        <v>275</v>
      </c>
      <c r="J473">
        <v>481</v>
      </c>
      <c r="K473">
        <v>500</v>
      </c>
      <c r="L473">
        <v>183</v>
      </c>
      <c r="M473" t="s">
        <v>5438</v>
      </c>
      <c r="N473" s="15">
        <v>2</v>
      </c>
      <c r="Q473" s="5" t="s">
        <v>4827</v>
      </c>
      <c r="R473" t="s">
        <v>4828</v>
      </c>
      <c r="V473" s="1" t="str">
        <f>HYPERLINK("http://exon.niaid.nih.gov/transcriptome/T_rubida/S1/links/NR/Triru-contig_263-NR.txt","vigilin-like, partial")</f>
        <v>vigilin-like, partial</v>
      </c>
      <c r="W473" t="str">
        <f>HYPERLINK("http://www.ncbi.nlm.nih.gov/sutils/blink.cgi?pid=328794350","6.7")</f>
        <v>6.7</v>
      </c>
      <c r="X473" t="str">
        <f>HYPERLINK("http://www.ncbi.nlm.nih.gov/protein/328794350","gi|328794350")</f>
        <v>gi|328794350</v>
      </c>
      <c r="Y473">
        <v>34.299999999999997</v>
      </c>
      <c r="Z473">
        <v>33</v>
      </c>
      <c r="AA473">
        <v>265</v>
      </c>
      <c r="AB473">
        <v>44</v>
      </c>
      <c r="AC473">
        <v>13</v>
      </c>
      <c r="AD473">
        <v>19</v>
      </c>
      <c r="AE473">
        <v>0</v>
      </c>
      <c r="AF473">
        <v>60</v>
      </c>
      <c r="AG473">
        <v>17</v>
      </c>
      <c r="AH473">
        <v>1</v>
      </c>
      <c r="AI473">
        <v>2</v>
      </c>
      <c r="AJ473" t="s">
        <v>11</v>
      </c>
      <c r="AL473" t="s">
        <v>1153</v>
      </c>
      <c r="AM473" t="s">
        <v>2250</v>
      </c>
      <c r="AN473" t="s">
        <v>2251</v>
      </c>
      <c r="AO473" s="1" t="str">
        <f>HYPERLINK("http://exon.niaid.nih.gov/transcriptome/T_rubida/S1/links/SWISSP/Triru-contig_263-SWISSP.txt","Uncharacterized tatC-like protein ymf16")</f>
        <v>Uncharacterized tatC-like protein ymf16</v>
      </c>
      <c r="AP473" t="str">
        <f>HYPERLINK("http://www.uniprot.org/uniprot/P38459","22")</f>
        <v>22</v>
      </c>
      <c r="AQ473" t="s">
        <v>2252</v>
      </c>
      <c r="AR473">
        <v>28.5</v>
      </c>
      <c r="AS473">
        <v>31</v>
      </c>
      <c r="AT473">
        <v>34</v>
      </c>
      <c r="AU473">
        <v>13</v>
      </c>
      <c r="AV473">
        <v>21</v>
      </c>
      <c r="AW473">
        <v>0</v>
      </c>
      <c r="AX473">
        <v>98</v>
      </c>
      <c r="AY473">
        <v>148</v>
      </c>
      <c r="AZ473">
        <v>1</v>
      </c>
      <c r="BA473">
        <v>1</v>
      </c>
      <c r="BB473" t="s">
        <v>11</v>
      </c>
      <c r="BC473">
        <v>6.452</v>
      </c>
      <c r="BD473" t="s">
        <v>704</v>
      </c>
      <c r="BE473" t="s">
        <v>2253</v>
      </c>
      <c r="BF473" t="s">
        <v>2254</v>
      </c>
      <c r="BG473" t="s">
        <v>2255</v>
      </c>
      <c r="BH473" s="1" t="s">
        <v>57</v>
      </c>
      <c r="BI473" t="s">
        <v>57</v>
      </c>
      <c r="BJ473" s="1" t="str">
        <f>HYPERLINK("http://exon.niaid.nih.gov/transcriptome/T_rubida/S1/links/CDD/Triru-contig_263-CDD.txt","PRK00566")</f>
        <v>PRK00566</v>
      </c>
      <c r="BK473" t="str">
        <f>HYPERLINK("http://www.ncbi.nlm.nih.gov/Structure/cdd/cddsrv.cgi?uid=PRK00566&amp;version=v4.0","0.17")</f>
        <v>0.17</v>
      </c>
      <c r="BL473" t="s">
        <v>2256</v>
      </c>
      <c r="BM473" s="1" t="str">
        <f>HYPERLINK("http://exon.niaid.nih.gov/transcriptome/T_rubida/S1/links/KOG/Triru-contig_263-KOG.txt","Predicted sugar transporter")</f>
        <v>Predicted sugar transporter</v>
      </c>
      <c r="BN473" t="str">
        <f>HYPERLINK("http://www.ncbi.nlm.nih.gov/COG/grace/shokog.cgi?KOG4686","0.75")</f>
        <v>0.75</v>
      </c>
      <c r="BO473" t="s">
        <v>946</v>
      </c>
      <c r="BP473" s="1" t="str">
        <f>HYPERLINK("http://exon.niaid.nih.gov/transcriptome/T_rubida/S1/links/PFAM/Triru-contig_263-PFAM.txt","DUF1561")</f>
        <v>DUF1561</v>
      </c>
      <c r="BQ473" t="str">
        <f>HYPERLINK("http://pfam.sanger.ac.uk/family?acc=PF07598","0.096")</f>
        <v>0.096</v>
      </c>
      <c r="BR473" s="1" t="str">
        <f>HYPERLINK("http://exon.niaid.nih.gov/transcriptome/T_rubida/S1/links/SMART/Triru-contig_263-SMART.txt","TOP4c")</f>
        <v>TOP4c</v>
      </c>
      <c r="BS473" t="str">
        <f>HYPERLINK("http://smart.embl-heidelberg.de/smart/do_annotation.pl?DOMAIN=TOP4c&amp;BLAST=DUMMY","0.073")</f>
        <v>0.073</v>
      </c>
      <c r="BT473" s="1" t="str">
        <f>HYPERLINK("http://exon.niaid.nih.gov/transcriptome/T_rubida/S1/links/PRK/Triru-contig_263-PRK.txt","DNA-directed RNA polymerase subunit beta'")</f>
        <v>DNA-directed RNA polymerase subunit beta'</v>
      </c>
      <c r="BU473">
        <v>7.5999999999999998E-2</v>
      </c>
      <c r="BV473" s="1" t="s">
        <v>57</v>
      </c>
      <c r="BW473" t="s">
        <v>57</v>
      </c>
      <c r="BX473" s="1" t="s">
        <v>57</v>
      </c>
      <c r="BY473" t="s">
        <v>57</v>
      </c>
    </row>
    <row r="474" spans="1:77">
      <c r="A474" t="str">
        <f>HYPERLINK("http://exon.niaid.nih.gov/transcriptome/T_rubida/S1/links/Triru/Triru-contig_496.txt","Triru-contig_496")</f>
        <v>Triru-contig_496</v>
      </c>
      <c r="B474">
        <v>1</v>
      </c>
      <c r="C474" t="str">
        <f>HYPERLINK("http://exon.niaid.nih.gov/transcriptome/T_rubida/S1/links/Triru/Triru-5-48-asb-496.txt","Contig-496")</f>
        <v>Contig-496</v>
      </c>
      <c r="D474" t="str">
        <f>HYPERLINK("http://exon.niaid.nih.gov/transcriptome/T_rubida/S1/links/Triru/Triru-5-48-496-CLU.txt","Contig496")</f>
        <v>Contig496</v>
      </c>
      <c r="E474" t="str">
        <f>HYPERLINK("http://exon.niaid.nih.gov/transcriptome/T_rubida/S1/links/Triru/Triru-5-48-496-qual.txt","65.")</f>
        <v>65.</v>
      </c>
      <c r="F474" t="s">
        <v>10</v>
      </c>
      <c r="G474">
        <v>81</v>
      </c>
      <c r="H474">
        <v>292</v>
      </c>
      <c r="I474" t="s">
        <v>508</v>
      </c>
      <c r="J474">
        <v>292</v>
      </c>
      <c r="K474">
        <v>311</v>
      </c>
      <c r="L474">
        <v>114</v>
      </c>
      <c r="M474" t="s">
        <v>5560</v>
      </c>
      <c r="N474" s="15">
        <v>1</v>
      </c>
      <c r="Q474" s="5" t="s">
        <v>4827</v>
      </c>
      <c r="R474" t="s">
        <v>4828</v>
      </c>
      <c r="V474" s="1" t="str">
        <f>HYPERLINK("http://exon.niaid.nih.gov/transcriptome/T_rubida/S1/links/NR/Triru-contig_496-NR.txt","hypothetical protein LOAG_15015")</f>
        <v>hypothetical protein LOAG_15015</v>
      </c>
      <c r="W474" t="str">
        <f>HYPERLINK("http://www.ncbi.nlm.nih.gov/sutils/blink.cgi?pid=312105679","6.7")</f>
        <v>6.7</v>
      </c>
      <c r="X474" t="str">
        <f>HYPERLINK("http://www.ncbi.nlm.nih.gov/protein/312105679","gi|312105679")</f>
        <v>gi|312105679</v>
      </c>
      <c r="Y474">
        <v>34.299999999999997</v>
      </c>
      <c r="Z474">
        <v>59</v>
      </c>
      <c r="AA474">
        <v>196</v>
      </c>
      <c r="AB474">
        <v>31</v>
      </c>
      <c r="AC474">
        <v>31</v>
      </c>
      <c r="AD474">
        <v>44</v>
      </c>
      <c r="AE474">
        <v>3</v>
      </c>
      <c r="AF474">
        <v>93</v>
      </c>
      <c r="AG474">
        <v>81</v>
      </c>
      <c r="AH474">
        <v>1</v>
      </c>
      <c r="AI474">
        <v>3</v>
      </c>
      <c r="AJ474" t="s">
        <v>11</v>
      </c>
      <c r="AK474">
        <v>5.085</v>
      </c>
      <c r="AL474" t="s">
        <v>2021</v>
      </c>
      <c r="AM474" t="s">
        <v>3840</v>
      </c>
      <c r="AN474" t="s">
        <v>3841</v>
      </c>
      <c r="AO474" s="1" t="str">
        <f>HYPERLINK("http://exon.niaid.nih.gov/transcriptome/T_rubida/S1/links/SWISSP/Triru-contig_496-SWISSP.txt","Voltage-dependent L-type calcium channel subunit alpha-1F")</f>
        <v>Voltage-dependent L-type calcium channel subunit alpha-1F</v>
      </c>
      <c r="AP474" t="str">
        <f>HYPERLINK("http://www.uniprot.org/uniprot/O60840","8.0")</f>
        <v>8.0</v>
      </c>
      <c r="AQ474" t="s">
        <v>3842</v>
      </c>
      <c r="AR474">
        <v>29.3</v>
      </c>
      <c r="AS474">
        <v>23</v>
      </c>
      <c r="AT474">
        <v>51</v>
      </c>
      <c r="AU474">
        <v>1</v>
      </c>
      <c r="AV474">
        <v>16</v>
      </c>
      <c r="AW474">
        <v>0</v>
      </c>
      <c r="AX474">
        <v>729</v>
      </c>
      <c r="AY474">
        <v>84</v>
      </c>
      <c r="AZ474">
        <v>1</v>
      </c>
      <c r="BA474">
        <v>3</v>
      </c>
      <c r="BB474" t="s">
        <v>11</v>
      </c>
      <c r="BC474">
        <v>8.6959999999999997</v>
      </c>
      <c r="BD474" t="s">
        <v>704</v>
      </c>
      <c r="BE474" t="s">
        <v>1233</v>
      </c>
      <c r="BF474" t="s">
        <v>3843</v>
      </c>
      <c r="BG474" t="s">
        <v>3844</v>
      </c>
      <c r="BH474" s="1" t="s">
        <v>57</v>
      </c>
      <c r="BI474" t="s">
        <v>57</v>
      </c>
      <c r="BJ474" s="1" t="str">
        <f>HYPERLINK("http://exon.niaid.nih.gov/transcriptome/T_rubida/S1/links/CDD/Triru-contig_496-CDD.txt","Oxidored_q1_C")</f>
        <v>Oxidored_q1_C</v>
      </c>
      <c r="BK474" t="str">
        <f>HYPERLINK("http://www.ncbi.nlm.nih.gov/Structure/cdd/cddsrv.cgi?uid=pfam01010&amp;version=v4.0","0.26")</f>
        <v>0.26</v>
      </c>
      <c r="BL474" t="s">
        <v>3845</v>
      </c>
      <c r="BM474" s="1" t="str">
        <f>HYPERLINK("http://exon.niaid.nih.gov/transcriptome/T_rubida/S1/links/KOG/Triru-contig_496-KOG.txt","H+/oligopeptide symporter")</f>
        <v>H+/oligopeptide symporter</v>
      </c>
      <c r="BN474" t="str">
        <f>HYPERLINK("http://www.ncbi.nlm.nih.gov/COG/grace/shokog.cgi?KOG1237","0.93")</f>
        <v>0.93</v>
      </c>
      <c r="BO474" t="s">
        <v>839</v>
      </c>
      <c r="BP474" s="1" t="str">
        <f>HYPERLINK("http://exon.niaid.nih.gov/transcriptome/T_rubida/S1/links/PFAM/Triru-contig_496-PFAM.txt","Oxidored_q1_C")</f>
        <v>Oxidored_q1_C</v>
      </c>
      <c r="BQ474" t="str">
        <f>HYPERLINK("http://pfam.sanger.ac.uk/family?acc=PF01010","0.056")</f>
        <v>0.056</v>
      </c>
      <c r="BR474" s="1" t="str">
        <f>HYPERLINK("http://exon.niaid.nih.gov/transcriptome/T_rubida/S1/links/SMART/Triru-contig_496-SMART.txt","AgrB")</f>
        <v>AgrB</v>
      </c>
      <c r="BS474" t="str">
        <f>HYPERLINK("http://smart.embl-heidelberg.de/smart/do_annotation.pl?DOMAIN=AgrB&amp;BLAST=DUMMY","0.29")</f>
        <v>0.29</v>
      </c>
      <c r="BT474" s="1" t="str">
        <f>HYPERLINK("http://exon.niaid.nih.gov/transcriptome/T_rubida/S1/links/PRK/Triru-contig_496-PRK.txt","NADH dehydrogenase subunit 5.")</f>
        <v>NADH dehydrogenase subunit 5.</v>
      </c>
      <c r="BU474">
        <v>0.3</v>
      </c>
      <c r="BV474" s="1" t="s">
        <v>57</v>
      </c>
      <c r="BW474" t="s">
        <v>57</v>
      </c>
      <c r="BX474" s="1" t="s">
        <v>57</v>
      </c>
      <c r="BY474" t="s">
        <v>57</v>
      </c>
    </row>
    <row r="475" spans="1:77">
      <c r="A475" t="str">
        <f>HYPERLINK("http://exon.niaid.nih.gov/transcriptome/T_rubida/S1/links/Triru/Triru-contig_385.txt","Triru-contig_385")</f>
        <v>Triru-contig_385</v>
      </c>
      <c r="B475">
        <v>1</v>
      </c>
      <c r="C475" t="str">
        <f>HYPERLINK("http://exon.niaid.nih.gov/transcriptome/T_rubida/S1/links/Triru/Triru-5-48-asb-385.txt","Contig-385")</f>
        <v>Contig-385</v>
      </c>
      <c r="D475" t="str">
        <f>HYPERLINK("http://exon.niaid.nih.gov/transcriptome/T_rubida/S1/links/Triru/Triru-5-48-385-CLU.txt","Contig385")</f>
        <v>Contig385</v>
      </c>
      <c r="E475" t="str">
        <f>HYPERLINK("http://exon.niaid.nih.gov/transcriptome/T_rubida/S1/links/Triru/Triru-5-48-385-qual.txt","38.6")</f>
        <v>38.6</v>
      </c>
      <c r="F475">
        <v>0.5</v>
      </c>
      <c r="G475">
        <v>67.900000000000006</v>
      </c>
      <c r="H475">
        <v>389</v>
      </c>
      <c r="I475" t="s">
        <v>397</v>
      </c>
      <c r="J475">
        <v>389</v>
      </c>
      <c r="K475">
        <v>408</v>
      </c>
      <c r="L475">
        <v>204</v>
      </c>
      <c r="M475" t="s">
        <v>5703</v>
      </c>
      <c r="N475" s="15">
        <v>2</v>
      </c>
      <c r="Q475" s="5" t="s">
        <v>4827</v>
      </c>
      <c r="R475" t="s">
        <v>4828</v>
      </c>
      <c r="V475" s="1" t="str">
        <f>HYPERLINK("http://exon.niaid.nih.gov/transcriptome/T_rubida/S1/links/NR/Triru-contig_385-NR.txt","citrate-dependent iron transporter")</f>
        <v>citrate-dependent iron transporter</v>
      </c>
      <c r="W475" t="str">
        <f>HYPERLINK("http://www.ncbi.nlm.nih.gov/sutils/blink.cgi?pid=21232480","6.7")</f>
        <v>6.7</v>
      </c>
      <c r="X475" t="str">
        <f>HYPERLINK("http://www.ncbi.nlm.nih.gov/protein/21232480","gi|21232480")</f>
        <v>gi|21232480</v>
      </c>
      <c r="Y475">
        <v>34.299999999999997</v>
      </c>
      <c r="Z475">
        <v>87</v>
      </c>
      <c r="AA475">
        <v>709</v>
      </c>
      <c r="AB475">
        <v>26</v>
      </c>
      <c r="AC475">
        <v>12</v>
      </c>
      <c r="AD475">
        <v>68</v>
      </c>
      <c r="AE475">
        <v>0</v>
      </c>
      <c r="AF475">
        <v>608</v>
      </c>
      <c r="AG475">
        <v>23</v>
      </c>
      <c r="AH475">
        <v>1</v>
      </c>
      <c r="AI475">
        <v>2</v>
      </c>
      <c r="AJ475" t="s">
        <v>11</v>
      </c>
      <c r="AK475">
        <v>1.149</v>
      </c>
      <c r="AL475" t="s">
        <v>3085</v>
      </c>
      <c r="AM475" t="s">
        <v>3086</v>
      </c>
      <c r="AN475" t="s">
        <v>3087</v>
      </c>
      <c r="AO475" s="1" t="str">
        <f>HYPERLINK("http://exon.niaid.nih.gov/transcriptome/T_rubida/S1/links/SWISSP/Triru-contig_385-SWISSP.txt","C-reactive protein")</f>
        <v>C-reactive protein</v>
      </c>
      <c r="AP475" t="str">
        <f>HYPERLINK("http://www.uniprot.org/uniprot/O19062","2.8")</f>
        <v>2.8</v>
      </c>
      <c r="AQ475" t="s">
        <v>3088</v>
      </c>
      <c r="AR475">
        <v>30.8</v>
      </c>
      <c r="AS475">
        <v>43</v>
      </c>
      <c r="AT475">
        <v>27</v>
      </c>
      <c r="AU475">
        <v>20</v>
      </c>
      <c r="AV475">
        <v>32</v>
      </c>
      <c r="AW475">
        <v>0</v>
      </c>
      <c r="AX475">
        <v>43</v>
      </c>
      <c r="AY475">
        <v>74</v>
      </c>
      <c r="AZ475">
        <v>1</v>
      </c>
      <c r="BA475">
        <v>2</v>
      </c>
      <c r="BB475" t="s">
        <v>11</v>
      </c>
      <c r="BD475" t="s">
        <v>704</v>
      </c>
      <c r="BE475" t="s">
        <v>2025</v>
      </c>
      <c r="BF475" t="s">
        <v>3089</v>
      </c>
      <c r="BG475" t="s">
        <v>3090</v>
      </c>
      <c r="BH475" s="1" t="s">
        <v>57</v>
      </c>
      <c r="BI475" t="s">
        <v>57</v>
      </c>
      <c r="BJ475" s="1" t="str">
        <f>HYPERLINK("http://exon.niaid.nih.gov/transcriptome/T_rubida/S1/links/CDD/Triru-contig_385-CDD.txt","ND5")</f>
        <v>ND5</v>
      </c>
      <c r="BK475" t="str">
        <f>HYPERLINK("http://www.ncbi.nlm.nih.gov/Structure/cdd/cddsrv.cgi?uid=MTH00208&amp;version=v4.0","0.021")</f>
        <v>0.021</v>
      </c>
      <c r="BL475" t="s">
        <v>3091</v>
      </c>
      <c r="BM475" s="1" t="str">
        <f>HYPERLINK("http://exon.niaid.nih.gov/transcriptome/T_rubida/S1/links/KOG/Triru-contig_385-KOG.txt","Mitochondrial chaperonin, Cpn60/Hsp60p")</f>
        <v>Mitochondrial chaperonin, Cpn60/Hsp60p</v>
      </c>
      <c r="BN475" t="str">
        <f>HYPERLINK("http://www.ncbi.nlm.nih.gov/COG/grace/shokog.cgi?KOG0356","0.57")</f>
        <v>0.57</v>
      </c>
      <c r="BO475" t="s">
        <v>954</v>
      </c>
      <c r="BP475" s="1" t="str">
        <f>HYPERLINK("http://exon.niaid.nih.gov/transcriptome/T_rubida/S1/links/PFAM/Triru-contig_385-PFAM.txt","Tyr-DNA_phospho")</f>
        <v>Tyr-DNA_phospho</v>
      </c>
      <c r="BQ475" t="str">
        <f>HYPERLINK("http://pfam.sanger.ac.uk/family?acc=PF06087","0.21")</f>
        <v>0.21</v>
      </c>
      <c r="BR475" s="1" t="str">
        <f>HYPERLINK("http://exon.niaid.nih.gov/transcriptome/T_rubida/S1/links/SMART/Triru-contig_385-SMART.txt","UBQ")</f>
        <v>UBQ</v>
      </c>
      <c r="BS475" t="str">
        <f>HYPERLINK("http://smart.embl-heidelberg.de/smart/do_annotation.pl?DOMAIN=UBQ&amp;BLAST=DUMMY","0.16")</f>
        <v>0.16</v>
      </c>
      <c r="BT475" s="1" t="str">
        <f>HYPERLINK("http://exon.niaid.nih.gov/transcriptome/T_rubida/S1/links/PRK/Triru-contig_385-PRK.txt","NADH dehydrogenase subunit 5")</f>
        <v>NADH dehydrogenase subunit 5</v>
      </c>
      <c r="BU475">
        <v>0.01</v>
      </c>
      <c r="BV475" s="1" t="s">
        <v>57</v>
      </c>
      <c r="BW475" t="s">
        <v>57</v>
      </c>
      <c r="BX475" s="1" t="s">
        <v>57</v>
      </c>
      <c r="BY475" t="s">
        <v>57</v>
      </c>
    </row>
    <row r="476" spans="1:77">
      <c r="A476" t="str">
        <f>HYPERLINK("http://exon.niaid.nih.gov/transcriptome/T_rubida/S1/links/Triru/Triru-contig_620.txt","Triru-contig_620")</f>
        <v>Triru-contig_620</v>
      </c>
      <c r="B476">
        <v>1</v>
      </c>
      <c r="C476" t="str">
        <f>HYPERLINK("http://exon.niaid.nih.gov/transcriptome/T_rubida/S1/links/Triru/Triru-5-48-asb-620.txt","Contig-620")</f>
        <v>Contig-620</v>
      </c>
      <c r="D476" t="str">
        <f>HYPERLINK("http://exon.niaid.nih.gov/transcriptome/T_rubida/S1/links/Triru/Triru-5-48-620-CLU.txt","Contig620")</f>
        <v>Contig620</v>
      </c>
      <c r="E476" t="str">
        <f>HYPERLINK("http://exon.niaid.nih.gov/transcriptome/T_rubida/S1/links/Triru/Triru-5-48-620-qual.txt","53.3")</f>
        <v>53.3</v>
      </c>
      <c r="F476" t="s">
        <v>10</v>
      </c>
      <c r="G476">
        <v>77.900000000000006</v>
      </c>
      <c r="H476">
        <v>383</v>
      </c>
      <c r="I476" t="s">
        <v>632</v>
      </c>
      <c r="J476">
        <v>383</v>
      </c>
      <c r="K476">
        <v>402</v>
      </c>
      <c r="L476">
        <v>132</v>
      </c>
      <c r="M476" t="s">
        <v>5462</v>
      </c>
      <c r="N476" s="15">
        <v>2</v>
      </c>
      <c r="Q476" s="5" t="s">
        <v>4827</v>
      </c>
      <c r="R476" t="s">
        <v>4828</v>
      </c>
      <c r="V476" s="1" t="str">
        <f>HYPERLINK("http://exon.niaid.nih.gov/transcriptome/T_rubida/S1/links/NR/Triru-contig_620-NR.txt","hypothetical protein crov543")</f>
        <v>hypothetical protein crov543</v>
      </c>
      <c r="W476" t="str">
        <f>HYPERLINK("http://www.ncbi.nlm.nih.gov/sutils/blink.cgi?pid=310831533","6.8")</f>
        <v>6.8</v>
      </c>
      <c r="X476" t="str">
        <f>HYPERLINK("http://www.ncbi.nlm.nih.gov/protein/310831533","gi|310831533")</f>
        <v>gi|310831533</v>
      </c>
      <c r="Y476">
        <v>34.299999999999997</v>
      </c>
      <c r="Z476">
        <v>27</v>
      </c>
      <c r="AA476">
        <v>140</v>
      </c>
      <c r="AB476">
        <v>53</v>
      </c>
      <c r="AC476">
        <v>20</v>
      </c>
      <c r="AD476">
        <v>14</v>
      </c>
      <c r="AE476">
        <v>0</v>
      </c>
      <c r="AF476">
        <v>32</v>
      </c>
      <c r="AG476">
        <v>253</v>
      </c>
      <c r="AH476">
        <v>1</v>
      </c>
      <c r="AI476">
        <v>1</v>
      </c>
      <c r="AJ476" t="s">
        <v>11</v>
      </c>
      <c r="AL476" t="s">
        <v>4617</v>
      </c>
      <c r="AM476" t="s">
        <v>4618</v>
      </c>
      <c r="AN476" t="s">
        <v>4619</v>
      </c>
      <c r="AO476" s="1" t="str">
        <f>HYPERLINK("http://exon.niaid.nih.gov/transcriptome/T_rubida/S1/links/SWISSP/Triru-contig_620-SWISSP.txt","Calcium uptake protein 1, mitochondrial")</f>
        <v>Calcium uptake protein 1, mitochondrial</v>
      </c>
      <c r="AP476" t="str">
        <f>HYPERLINK("http://www.uniprot.org/uniprot/Q4R518","6.1")</f>
        <v>6.1</v>
      </c>
      <c r="AQ476" t="s">
        <v>4620</v>
      </c>
      <c r="AR476">
        <v>29.6</v>
      </c>
      <c r="AS476">
        <v>69</v>
      </c>
      <c r="AT476">
        <v>33</v>
      </c>
      <c r="AU476">
        <v>15</v>
      </c>
      <c r="AV476">
        <v>50</v>
      </c>
      <c r="AW476">
        <v>7</v>
      </c>
      <c r="AX476">
        <v>144</v>
      </c>
      <c r="AY476">
        <v>86</v>
      </c>
      <c r="AZ476">
        <v>1</v>
      </c>
      <c r="BA476">
        <v>2</v>
      </c>
      <c r="BB476" t="s">
        <v>11</v>
      </c>
      <c r="BC476">
        <v>2.899</v>
      </c>
      <c r="BD476" t="s">
        <v>704</v>
      </c>
      <c r="BE476" t="s">
        <v>1148</v>
      </c>
      <c r="BF476" t="s">
        <v>4621</v>
      </c>
      <c r="BG476" t="s">
        <v>4622</v>
      </c>
      <c r="BH476" s="1" t="s">
        <v>57</v>
      </c>
      <c r="BI476" t="s">
        <v>57</v>
      </c>
      <c r="BJ476" s="1" t="str">
        <f>HYPERLINK("http://exon.niaid.nih.gov/transcriptome/T_rubida/S1/links/CDD/Triru-contig_620-CDD.txt","ND4")</f>
        <v>ND4</v>
      </c>
      <c r="BK476" t="str">
        <f>HYPERLINK("http://www.ncbi.nlm.nih.gov/Structure/cdd/cddsrv.cgi?uid=MTH00094&amp;version=v4.0","0.12")</f>
        <v>0.12</v>
      </c>
      <c r="BL476" t="s">
        <v>4623</v>
      </c>
      <c r="BM476" s="1" t="str">
        <f>HYPERLINK("http://exon.niaid.nih.gov/transcriptome/T_rubida/S1/links/KOG/Triru-contig_620-KOG.txt","Predicted membrane protein")</f>
        <v>Predicted membrane protein</v>
      </c>
      <c r="BN476" t="str">
        <f>HYPERLINK("http://www.ncbi.nlm.nih.gov/COG/grace/shokog.cgi?KOG2490","0.11")</f>
        <v>0.11</v>
      </c>
      <c r="BO476" t="s">
        <v>737</v>
      </c>
      <c r="BP476" s="1" t="str">
        <f>HYPERLINK("http://exon.niaid.nih.gov/transcriptome/T_rubida/S1/links/PFAM/Triru-contig_620-PFAM.txt","SAM_decarbox")</f>
        <v>SAM_decarbox</v>
      </c>
      <c r="BQ476" t="str">
        <f>HYPERLINK("http://pfam.sanger.ac.uk/family?acc=PF01536","0.041")</f>
        <v>0.041</v>
      </c>
      <c r="BR476" s="1" t="str">
        <f>HYPERLINK("http://exon.niaid.nih.gov/transcriptome/T_rubida/S1/links/SMART/Triru-contig_620-SMART.txt","Resolvase")</f>
        <v>Resolvase</v>
      </c>
      <c r="BS476" t="str">
        <f>HYPERLINK("http://smart.embl-heidelberg.de/smart/do_annotation.pl?DOMAIN=Resolvase&amp;BLAST=DUMMY","0.061")</f>
        <v>0.061</v>
      </c>
      <c r="BT476" s="1" t="str">
        <f>HYPERLINK("http://exon.niaid.nih.gov/transcriptome/T_rubida/S1/links/PRK/Triru-contig_620-PRK.txt","NADH dehydrogenase subunit 4")</f>
        <v>NADH dehydrogenase subunit 4</v>
      </c>
      <c r="BU476">
        <v>5.2999999999999999E-2</v>
      </c>
      <c r="BV476" s="1" t="s">
        <v>57</v>
      </c>
      <c r="BW476" t="s">
        <v>57</v>
      </c>
      <c r="BX476" s="1" t="s">
        <v>57</v>
      </c>
      <c r="BY476" t="s">
        <v>57</v>
      </c>
    </row>
    <row r="477" spans="1:77">
      <c r="A477" t="str">
        <f>HYPERLINK("http://exon.niaid.nih.gov/transcriptome/T_rubida/S1/links/Triru/Triru-contig_459.txt","Triru-contig_459")</f>
        <v>Triru-contig_459</v>
      </c>
      <c r="B477">
        <v>1</v>
      </c>
      <c r="C477" t="str">
        <f>HYPERLINK("http://exon.niaid.nih.gov/transcriptome/T_rubida/S1/links/Triru/Triru-5-48-asb-459.txt","Contig-459")</f>
        <v>Contig-459</v>
      </c>
      <c r="D477" t="str">
        <f>HYPERLINK("http://exon.niaid.nih.gov/transcriptome/T_rubida/S1/links/Triru/Triru-5-48-459-CLU.txt","Contig459")</f>
        <v>Contig459</v>
      </c>
      <c r="E477" t="str">
        <f>HYPERLINK("http://exon.niaid.nih.gov/transcriptome/T_rubida/S1/links/Triru/Triru-5-48-459-qual.txt","38.8")</f>
        <v>38.8</v>
      </c>
      <c r="F477" t="s">
        <v>10</v>
      </c>
      <c r="G477">
        <v>79.8</v>
      </c>
      <c r="H477">
        <v>471</v>
      </c>
      <c r="I477" t="s">
        <v>471</v>
      </c>
      <c r="J477">
        <v>471</v>
      </c>
      <c r="K477">
        <v>490</v>
      </c>
      <c r="L477">
        <v>120</v>
      </c>
      <c r="M477" t="s">
        <v>5568</v>
      </c>
      <c r="N477" s="15">
        <v>2</v>
      </c>
      <c r="Q477" s="5" t="s">
        <v>4827</v>
      </c>
      <c r="R477" t="s">
        <v>4828</v>
      </c>
      <c r="V477" s="1" t="str">
        <f>HYPERLINK("http://exon.niaid.nih.gov/transcriptome/T_rubida/S1/links/NR/Triru-contig_459-NR.txt","hypothetical protein")</f>
        <v>hypothetical protein</v>
      </c>
      <c r="W477" t="str">
        <f>HYPERLINK("http://www.ncbi.nlm.nih.gov/sutils/blink.cgi?pid=167535686","6.8")</f>
        <v>6.8</v>
      </c>
      <c r="X477" t="str">
        <f>HYPERLINK("http://www.ncbi.nlm.nih.gov/protein/167535686","gi|167535686")</f>
        <v>gi|167535686</v>
      </c>
      <c r="Y477">
        <v>34.299999999999997</v>
      </c>
      <c r="Z477">
        <v>106</v>
      </c>
      <c r="AA477">
        <v>5741</v>
      </c>
      <c r="AB477">
        <v>29</v>
      </c>
      <c r="AC477">
        <v>2</v>
      </c>
      <c r="AD477">
        <v>85</v>
      </c>
      <c r="AE477">
        <v>2</v>
      </c>
      <c r="AF477">
        <v>4328</v>
      </c>
      <c r="AG477">
        <v>79</v>
      </c>
      <c r="AH477">
        <v>1</v>
      </c>
      <c r="AI477">
        <v>1</v>
      </c>
      <c r="AJ477" t="s">
        <v>11</v>
      </c>
      <c r="AK477">
        <v>7.5469999999999997</v>
      </c>
      <c r="AL477" t="s">
        <v>2837</v>
      </c>
      <c r="AM477" t="s">
        <v>3591</v>
      </c>
      <c r="AN477" t="s">
        <v>3592</v>
      </c>
      <c r="AO477" s="1" t="str">
        <f>HYPERLINK("http://exon.niaid.nih.gov/transcriptome/T_rubida/S1/links/SWISSP/Triru-contig_459-SWISSP.txt","Ribosomal protein VAR1, mitochondrial")</f>
        <v>Ribosomal protein VAR1, mitochondrial</v>
      </c>
      <c r="AP477" t="str">
        <f>HYPERLINK("http://www.uniprot.org/uniprot/Q35905","1.5")</f>
        <v>1.5</v>
      </c>
      <c r="AQ477" t="s">
        <v>3593</v>
      </c>
      <c r="AR477">
        <v>32.299999999999997</v>
      </c>
      <c r="AS477">
        <v>148</v>
      </c>
      <c r="AT477">
        <v>24</v>
      </c>
      <c r="AU477">
        <v>40</v>
      </c>
      <c r="AV477">
        <v>98</v>
      </c>
      <c r="AW477">
        <v>11</v>
      </c>
      <c r="AX477">
        <v>135</v>
      </c>
      <c r="AY477">
        <v>73</v>
      </c>
      <c r="AZ477">
        <v>2</v>
      </c>
      <c r="BA477">
        <v>1</v>
      </c>
      <c r="BB477" t="s">
        <v>11</v>
      </c>
      <c r="BC477">
        <v>5.4050000000000002</v>
      </c>
      <c r="BD477" t="s">
        <v>704</v>
      </c>
      <c r="BE477" t="s">
        <v>3594</v>
      </c>
      <c r="BF477" t="s">
        <v>3595</v>
      </c>
      <c r="BG477" t="s">
        <v>3596</v>
      </c>
      <c r="BH477" s="1" t="s">
        <v>57</v>
      </c>
      <c r="BI477" t="s">
        <v>57</v>
      </c>
      <c r="BJ477" s="1" t="str">
        <f>HYPERLINK("http://exon.niaid.nih.gov/transcriptome/T_rubida/S1/links/CDD/Triru-contig_459-CDD.txt","ND5")</f>
        <v>ND5</v>
      </c>
      <c r="BK477" t="str">
        <f>HYPERLINK("http://www.ncbi.nlm.nih.gov/Structure/cdd/cddsrv.cgi?uid=MTH00165&amp;version=v4.0","5E-004")</f>
        <v>5E-004</v>
      </c>
      <c r="BL477" t="s">
        <v>3597</v>
      </c>
      <c r="BM477" s="1" t="str">
        <f>HYPERLINK("http://exon.niaid.nih.gov/transcriptome/T_rubida/S1/links/KOG/Triru-contig_459-KOG.txt","Bestrophin (Best vitelliform macular dystrophy-associated protein)")</f>
        <v>Bestrophin (Best vitelliform macular dystrophy-associated protein)</v>
      </c>
      <c r="BN477" t="str">
        <f>HYPERLINK("http://www.ncbi.nlm.nih.gov/COG/grace/shokog.cgi?KOG3547","0.28")</f>
        <v>0.28</v>
      </c>
      <c r="BO477" t="s">
        <v>750</v>
      </c>
      <c r="BP477" s="1" t="str">
        <f>HYPERLINK("http://exon.niaid.nih.gov/transcriptome/T_rubida/S1/links/PFAM/Triru-contig_459-PFAM.txt","7tm_7")</f>
        <v>7tm_7</v>
      </c>
      <c r="BQ477" t="str">
        <f>HYPERLINK("http://pfam.sanger.ac.uk/family?acc=PF08395","0.005")</f>
        <v>0.005</v>
      </c>
      <c r="BR477" s="1" t="str">
        <f>HYPERLINK("http://exon.niaid.nih.gov/transcriptome/T_rubida/S1/links/SMART/Triru-contig_459-SMART.txt","TLC")</f>
        <v>TLC</v>
      </c>
      <c r="BS477" t="str">
        <f>HYPERLINK("http://smart.embl-heidelberg.de/smart/do_annotation.pl?DOMAIN=TLC&amp;BLAST=DUMMY","0.004")</f>
        <v>0.004</v>
      </c>
      <c r="BT477" s="1" t="str">
        <f>HYPERLINK("http://exon.niaid.nih.gov/transcriptome/T_rubida/S1/links/PRK/Triru-contig_459-PRK.txt","NADH dehydrogenase subunit 5")</f>
        <v>NADH dehydrogenase subunit 5</v>
      </c>
      <c r="BU477" s="2">
        <v>2.0000000000000001E-4</v>
      </c>
      <c r="BV477" s="1" t="s">
        <v>57</v>
      </c>
      <c r="BW477" t="s">
        <v>57</v>
      </c>
      <c r="BX477" s="1" t="s">
        <v>57</v>
      </c>
      <c r="BY477" t="s">
        <v>57</v>
      </c>
    </row>
    <row r="478" spans="1:77">
      <c r="A478" t="str">
        <f>HYPERLINK("http://exon.niaid.nih.gov/transcriptome/T_rubida/S1/links/Triru/Triru-contig_134.txt","Triru-contig_134")</f>
        <v>Triru-contig_134</v>
      </c>
      <c r="B478">
        <v>2</v>
      </c>
      <c r="C478" t="str">
        <f>HYPERLINK("http://exon.niaid.nih.gov/transcriptome/T_rubida/S1/links/Triru/Triru-5-48-asb-134.txt","Contig-134")</f>
        <v>Contig-134</v>
      </c>
      <c r="D478" t="str">
        <f>HYPERLINK("http://exon.niaid.nih.gov/transcriptome/T_rubida/S1/links/Triru/Triru-5-48-134-CLU.txt","Contig134")</f>
        <v>Contig134</v>
      </c>
      <c r="E478" t="str">
        <f>HYPERLINK("http://exon.niaid.nih.gov/transcriptome/T_rubida/S1/links/Triru/Triru-5-48-134-qual.txt","87.6")</f>
        <v>87.6</v>
      </c>
      <c r="F478" t="s">
        <v>10</v>
      </c>
      <c r="G478">
        <v>60.6</v>
      </c>
      <c r="H478">
        <v>407</v>
      </c>
      <c r="I478" t="s">
        <v>146</v>
      </c>
      <c r="J478">
        <v>407</v>
      </c>
      <c r="K478">
        <v>426</v>
      </c>
      <c r="L478">
        <v>123</v>
      </c>
      <c r="M478" t="s">
        <v>5705</v>
      </c>
      <c r="N478" s="15">
        <v>1</v>
      </c>
      <c r="Q478" s="5" t="s">
        <v>4827</v>
      </c>
      <c r="R478" t="s">
        <v>4828</v>
      </c>
      <c r="V478" s="1" t="str">
        <f>HYPERLINK("http://exon.niaid.nih.gov/transcriptome/T_rubida/S1/links/NR/Triru-contig_134-NR.txt","LOW QUALITY PROTEIN: exonuclease 3'-5' domain-containing protein 1-like")</f>
        <v>LOW QUALITY PROTEIN: exonuclease 3'-5' domain-containing protein 1-like</v>
      </c>
      <c r="W478" t="str">
        <f>HYPERLINK("http://www.ncbi.nlm.nih.gov/sutils/blink.cgi?pid=301620462","6.8")</f>
        <v>6.8</v>
      </c>
      <c r="X478" t="str">
        <f>HYPERLINK("http://www.ncbi.nlm.nih.gov/protein/301620462","gi|301620462")</f>
        <v>gi|301620462</v>
      </c>
      <c r="Y478">
        <v>34.299999999999997</v>
      </c>
      <c r="Z478">
        <v>33</v>
      </c>
      <c r="AA478">
        <v>490</v>
      </c>
      <c r="AB478">
        <v>47</v>
      </c>
      <c r="AC478">
        <v>7</v>
      </c>
      <c r="AD478">
        <v>19</v>
      </c>
      <c r="AE478">
        <v>0</v>
      </c>
      <c r="AF478">
        <v>26</v>
      </c>
      <c r="AG478">
        <v>127</v>
      </c>
      <c r="AH478">
        <v>1</v>
      </c>
      <c r="AI478">
        <v>1</v>
      </c>
      <c r="AJ478" t="s">
        <v>11</v>
      </c>
      <c r="AL478" t="s">
        <v>1498</v>
      </c>
      <c r="AM478" t="s">
        <v>1499</v>
      </c>
      <c r="AN478" t="s">
        <v>1500</v>
      </c>
      <c r="AO478" s="1" t="str">
        <f>HYPERLINK("http://exon.niaid.nih.gov/transcriptome/T_rubida/S1/links/SWISSP/Triru-contig_134-SWISSP.txt","Protein argonaute PNH1")</f>
        <v>Protein argonaute PNH1</v>
      </c>
      <c r="AP478" t="str">
        <f>HYPERLINK("http://www.uniprot.org/uniprot/Q69VD5","14")</f>
        <v>14</v>
      </c>
      <c r="AQ478" t="s">
        <v>1501</v>
      </c>
      <c r="AR478">
        <v>28.5</v>
      </c>
      <c r="AS478">
        <v>27</v>
      </c>
      <c r="AT478">
        <v>35</v>
      </c>
      <c r="AU478">
        <v>3</v>
      </c>
      <c r="AV478">
        <v>18</v>
      </c>
      <c r="AW478">
        <v>0</v>
      </c>
      <c r="AX478">
        <v>680</v>
      </c>
      <c r="AY478">
        <v>142</v>
      </c>
      <c r="AZ478">
        <v>1</v>
      </c>
      <c r="BA478">
        <v>1</v>
      </c>
      <c r="BB478" t="s">
        <v>11</v>
      </c>
      <c r="BD478" t="s">
        <v>704</v>
      </c>
      <c r="BE478" t="s">
        <v>1364</v>
      </c>
      <c r="BF478" t="s">
        <v>1502</v>
      </c>
      <c r="BG478" t="s">
        <v>1503</v>
      </c>
      <c r="BH478" s="1" t="s">
        <v>57</v>
      </c>
      <c r="BI478" t="s">
        <v>57</v>
      </c>
      <c r="BJ478" s="1" t="str">
        <f>HYPERLINK("http://exon.niaid.nih.gov/transcriptome/T_rubida/S1/links/CDD/Triru-contig_134-CDD.txt","TLP_HIUase")</f>
        <v>TLP_HIUase</v>
      </c>
      <c r="BK478" t="str">
        <f>HYPERLINK("http://www.ncbi.nlm.nih.gov/Structure/cdd/cddsrv.cgi?uid=cd05822&amp;version=v4.0","0.88")</f>
        <v>0.88</v>
      </c>
      <c r="BL478" t="s">
        <v>1504</v>
      </c>
      <c r="BM478" s="1" t="str">
        <f>HYPERLINK("http://exon.niaid.nih.gov/transcriptome/T_rubida/S1/links/KOG/Triru-contig_134-KOG.txt","Tumor-specific antigen (contains WD repeats)")</f>
        <v>Tumor-specific antigen (contains WD repeats)</v>
      </c>
      <c r="BN478" t="str">
        <f>HYPERLINK("http://www.ncbi.nlm.nih.gov/COG/grace/shokog.cgi?KOG1445","1.7")</f>
        <v>1.7</v>
      </c>
      <c r="BO478" t="s">
        <v>867</v>
      </c>
      <c r="BP478" s="1" t="str">
        <f>HYPERLINK("http://exon.niaid.nih.gov/transcriptome/T_rubida/S1/links/PFAM/Triru-contig_134-PFAM.txt","Arginase")</f>
        <v>Arginase</v>
      </c>
      <c r="BQ478" t="str">
        <f>HYPERLINK("http://pfam.sanger.ac.uk/family?acc=PF00491","1.1")</f>
        <v>1.1</v>
      </c>
      <c r="BR478" s="1" t="str">
        <f>HYPERLINK("http://exon.niaid.nih.gov/transcriptome/T_rubida/S1/links/SMART/Triru-contig_134-SMART.txt","Adenylsucc_synt")</f>
        <v>Adenylsucc_synt</v>
      </c>
      <c r="BS478" t="str">
        <f>HYPERLINK("http://smart.embl-heidelberg.de/smart/do_annotation.pl?DOMAIN=Adenylsucc_synt&amp;BLAST=DUMMY","0.040")</f>
        <v>0.040</v>
      </c>
      <c r="BT478" s="1" t="str">
        <f>HYPERLINK("http://exon.niaid.nih.gov/transcriptome/T_rubida/S1/links/PRK/Triru-contig_134-PRK.txt","putative inner membrane protein")</f>
        <v>putative inner membrane protein</v>
      </c>
      <c r="BU478">
        <v>0.56999999999999995</v>
      </c>
      <c r="BV478" s="1" t="s">
        <v>57</v>
      </c>
      <c r="BW478" t="s">
        <v>57</v>
      </c>
      <c r="BX478" s="1" t="s">
        <v>57</v>
      </c>
      <c r="BY478" t="s">
        <v>57</v>
      </c>
    </row>
    <row r="479" spans="1:77">
      <c r="A479" t="str">
        <f>HYPERLINK("http://exon.niaid.nih.gov/transcriptome/T_rubida/S1/links/Triru/Triru-contig_481.txt","Triru-contig_481")</f>
        <v>Triru-contig_481</v>
      </c>
      <c r="B479">
        <v>1</v>
      </c>
      <c r="C479" t="str">
        <f>HYPERLINK("http://exon.niaid.nih.gov/transcriptome/T_rubida/S1/links/Triru/Triru-5-48-asb-481.txt","Contig-481")</f>
        <v>Contig-481</v>
      </c>
      <c r="D479" t="str">
        <f>HYPERLINK("http://exon.niaid.nih.gov/transcriptome/T_rubida/S1/links/Triru/Triru-5-48-481-CLU.txt","Contig481")</f>
        <v>Contig481</v>
      </c>
      <c r="E479" t="str">
        <f>HYPERLINK("http://exon.niaid.nih.gov/transcriptome/T_rubida/S1/links/Triru/Triru-5-48-481-qual.txt","65.5")</f>
        <v>65.5</v>
      </c>
      <c r="F479" t="s">
        <v>10</v>
      </c>
      <c r="G479">
        <v>61.1</v>
      </c>
      <c r="H479">
        <v>565</v>
      </c>
      <c r="I479" t="s">
        <v>493</v>
      </c>
      <c r="J479">
        <v>565</v>
      </c>
      <c r="K479">
        <v>584</v>
      </c>
      <c r="L479">
        <v>204</v>
      </c>
      <c r="M479" t="s">
        <v>5502</v>
      </c>
      <c r="N479" s="15">
        <v>1</v>
      </c>
      <c r="O479" s="14" t="str">
        <f>HYPERLINK("http://exon.niaid.nih.gov/transcriptome/T_rubida/S1/links/Sigp/TRIRU-CONTIG_481-SigP.txt","Cyt")</f>
        <v>Cyt</v>
      </c>
      <c r="Q479" s="5" t="s">
        <v>4827</v>
      </c>
      <c r="R479" t="s">
        <v>4828</v>
      </c>
      <c r="V479" s="1" t="str">
        <f>HYPERLINK("http://exon.niaid.nih.gov/transcriptome/T_rubida/S1/links/NR/Triru-contig_481-NR.txt","hypothetical protein DDB_G0285631")</f>
        <v>hypothetical protein DDB_G0285631</v>
      </c>
      <c r="W479" t="str">
        <f>HYPERLINK("http://www.ncbi.nlm.nih.gov/sutils/blink.cgi?pid=66808911","7.9")</f>
        <v>7.9</v>
      </c>
      <c r="X479" t="str">
        <f>HYPERLINK("http://www.ncbi.nlm.nih.gov/protein/66808911","gi|66808911")</f>
        <v>gi|66808911</v>
      </c>
      <c r="Y479">
        <v>34.700000000000003</v>
      </c>
      <c r="Z479">
        <v>67</v>
      </c>
      <c r="AA479">
        <v>623</v>
      </c>
      <c r="AB479">
        <v>31</v>
      </c>
      <c r="AC479">
        <v>11</v>
      </c>
      <c r="AD479">
        <v>49</v>
      </c>
      <c r="AE479">
        <v>8</v>
      </c>
      <c r="AF479">
        <v>176</v>
      </c>
      <c r="AG479">
        <v>346</v>
      </c>
      <c r="AH479">
        <v>1</v>
      </c>
      <c r="AI479">
        <v>1</v>
      </c>
      <c r="AJ479" t="s">
        <v>11</v>
      </c>
      <c r="AK479">
        <v>2.9849999999999999</v>
      </c>
      <c r="AL479" t="s">
        <v>3733</v>
      </c>
      <c r="AM479" t="s">
        <v>3734</v>
      </c>
      <c r="AN479" t="s">
        <v>3735</v>
      </c>
      <c r="AO479" s="1" t="str">
        <f>HYPERLINK("http://exon.niaid.nih.gov/transcriptome/T_rubida/S1/links/SWISSP/Triru-contig_481-SWISSP.txt","Uncharacterized protein YuaQ")</f>
        <v>Uncharacterized protein YuaQ</v>
      </c>
      <c r="AP479" t="str">
        <f>HYPERLINK("http://www.uniprot.org/uniprot/Q9JMS3","11")</f>
        <v>11</v>
      </c>
      <c r="AQ479" t="s">
        <v>3736</v>
      </c>
      <c r="AR479">
        <v>30</v>
      </c>
      <c r="AS479">
        <v>22</v>
      </c>
      <c r="AT479">
        <v>47</v>
      </c>
      <c r="AU479">
        <v>2</v>
      </c>
      <c r="AV479">
        <v>12</v>
      </c>
      <c r="AW479">
        <v>0</v>
      </c>
      <c r="AX479">
        <v>377</v>
      </c>
      <c r="AY479">
        <v>256</v>
      </c>
      <c r="AZ479">
        <v>1</v>
      </c>
      <c r="BA479">
        <v>1</v>
      </c>
      <c r="BB479" t="s">
        <v>11</v>
      </c>
      <c r="BD479" t="s">
        <v>704</v>
      </c>
      <c r="BE479" t="s">
        <v>3737</v>
      </c>
      <c r="BF479" t="s">
        <v>3738</v>
      </c>
      <c r="BG479" t="s">
        <v>3739</v>
      </c>
      <c r="BH479" s="1" t="s">
        <v>57</v>
      </c>
      <c r="BI479" t="s">
        <v>57</v>
      </c>
      <c r="BJ479" s="1" t="str">
        <f>HYPERLINK("http://exon.niaid.nih.gov/transcriptome/T_rubida/S1/links/CDD/Triru-contig_481-CDD.txt","ND4L")</f>
        <v>ND4L</v>
      </c>
      <c r="BK479" t="str">
        <f>HYPERLINK("http://www.ncbi.nlm.nih.gov/Structure/cdd/cddsrv.cgi?uid=MTH00061&amp;version=v4.0","0.17")</f>
        <v>0.17</v>
      </c>
      <c r="BL479" t="s">
        <v>3740</v>
      </c>
      <c r="BM479" s="1" t="str">
        <f>HYPERLINK("http://exon.niaid.nih.gov/transcriptome/T_rubida/S1/links/KOG/Triru-contig_481-KOG.txt","Adhesion-type protein")</f>
        <v>Adhesion-type protein</v>
      </c>
      <c r="BN479" t="str">
        <f>HYPERLINK("http://www.ncbi.nlm.nih.gov/COG/grace/shokog.cgi?KOG4802","0.99")</f>
        <v>0.99</v>
      </c>
      <c r="BO479" t="s">
        <v>1916</v>
      </c>
      <c r="BP479" s="1" t="str">
        <f>HYPERLINK("http://exon.niaid.nih.gov/transcriptome/T_rubida/S1/links/PFAM/Triru-contig_481-PFAM.txt","Poxvirus_B22R")</f>
        <v>Poxvirus_B22R</v>
      </c>
      <c r="BQ479" t="str">
        <f>HYPERLINK("http://pfam.sanger.ac.uk/family?acc=PF04395","0.38")</f>
        <v>0.38</v>
      </c>
      <c r="BR479" s="1" t="str">
        <f>HYPERLINK("http://exon.niaid.nih.gov/transcriptome/T_rubida/S1/links/SMART/Triru-contig_481-SMART.txt","ZnF_C4")</f>
        <v>ZnF_C4</v>
      </c>
      <c r="BS479" t="str">
        <f>HYPERLINK("http://smart.embl-heidelberg.de/smart/do_annotation.pl?DOMAIN=ZnF_C4&amp;BLAST=DUMMY","0.17")</f>
        <v>0.17</v>
      </c>
      <c r="BT479" s="1" t="str">
        <f>HYPERLINK("http://exon.niaid.nih.gov/transcriptome/T_rubida/S1/links/PRK/Triru-contig_481-PRK.txt","NADH dehydrogenase subunit 4L")</f>
        <v>NADH dehydrogenase subunit 4L</v>
      </c>
      <c r="BU479">
        <v>7.5999999999999998E-2</v>
      </c>
      <c r="BV479" s="1" t="s">
        <v>57</v>
      </c>
      <c r="BW479" t="s">
        <v>57</v>
      </c>
      <c r="BX479" s="1" t="s">
        <v>57</v>
      </c>
      <c r="BY479" t="s">
        <v>57</v>
      </c>
    </row>
    <row r="480" spans="1:77">
      <c r="A480" t="str">
        <f>HYPERLINK("http://exon.niaid.nih.gov/transcriptome/T_rubida/S1/links/Triru/Triru-contig_374.txt","Triru-contig_374")</f>
        <v>Triru-contig_374</v>
      </c>
      <c r="B480">
        <v>1</v>
      </c>
      <c r="C480" t="str">
        <f>HYPERLINK("http://exon.niaid.nih.gov/transcriptome/T_rubida/S1/links/Triru/Triru-5-48-asb-374.txt","Contig-374")</f>
        <v>Contig-374</v>
      </c>
      <c r="D480" t="str">
        <f>HYPERLINK("http://exon.niaid.nih.gov/transcriptome/T_rubida/S1/links/Triru/Triru-5-48-374-CLU.txt","Contig374")</f>
        <v>Contig374</v>
      </c>
      <c r="E480" t="str">
        <f>HYPERLINK("http://exon.niaid.nih.gov/transcriptome/T_rubida/S1/links/Triru/Triru-5-48-374-qual.txt","15.")</f>
        <v>15.</v>
      </c>
      <c r="F480" t="s">
        <v>10</v>
      </c>
      <c r="G480">
        <v>62.8</v>
      </c>
      <c r="H480">
        <v>747</v>
      </c>
      <c r="I480" t="s">
        <v>386</v>
      </c>
      <c r="J480">
        <v>747</v>
      </c>
      <c r="K480">
        <v>766</v>
      </c>
      <c r="L480">
        <v>276</v>
      </c>
      <c r="M480" t="s">
        <v>5572</v>
      </c>
      <c r="N480" s="15">
        <v>3</v>
      </c>
      <c r="Q480" s="5" t="s">
        <v>4827</v>
      </c>
      <c r="R480" t="s">
        <v>4828</v>
      </c>
      <c r="V480" s="1" t="str">
        <f>HYPERLINK("http://exon.niaid.nih.gov/transcriptome/T_rubida/S1/links/NR/Triru-contig_374-NR.txt","proline-rich mucin homolog")</f>
        <v>proline-rich mucin homolog</v>
      </c>
      <c r="W480" t="str">
        <f>HYPERLINK("http://www.ncbi.nlm.nih.gov/sutils/blink.cgi?pid=5305335","8.2")</f>
        <v>8.2</v>
      </c>
      <c r="X480" t="str">
        <f>HYPERLINK("http://www.ncbi.nlm.nih.gov/protein/5305335","gi|5305335")</f>
        <v>gi|5305335</v>
      </c>
      <c r="Y480">
        <v>30.4</v>
      </c>
      <c r="Z480">
        <v>61</v>
      </c>
      <c r="AA480">
        <v>763</v>
      </c>
      <c r="AB480">
        <v>37</v>
      </c>
      <c r="AC480">
        <v>8</v>
      </c>
      <c r="AD480">
        <v>28</v>
      </c>
      <c r="AE480">
        <v>1</v>
      </c>
      <c r="AF480">
        <v>24</v>
      </c>
      <c r="AG480">
        <v>527</v>
      </c>
      <c r="AH480">
        <v>2</v>
      </c>
      <c r="AI480">
        <v>3</v>
      </c>
      <c r="AJ480" t="s">
        <v>888</v>
      </c>
      <c r="AL480" t="s">
        <v>3010</v>
      </c>
      <c r="AM480" t="s">
        <v>3011</v>
      </c>
      <c r="AN480" t="s">
        <v>3012</v>
      </c>
      <c r="AO480" s="1" t="str">
        <f>HYPERLINK("http://exon.niaid.nih.gov/transcriptome/T_rubida/S1/links/SWISSP/Triru-contig_374-SWISSP.txt","Protein FAM59A")</f>
        <v>Protein FAM59A</v>
      </c>
      <c r="AP480" t="str">
        <f>HYPERLINK("http://www.uniprot.org/uniprot/Q6NRE4","0.43")</f>
        <v>0.43</v>
      </c>
      <c r="AQ480" t="s">
        <v>3013</v>
      </c>
      <c r="AR480">
        <v>35.4</v>
      </c>
      <c r="AS480">
        <v>69</v>
      </c>
      <c r="AT480">
        <v>33</v>
      </c>
      <c r="AU480">
        <v>8</v>
      </c>
      <c r="AV480">
        <v>49</v>
      </c>
      <c r="AW480">
        <v>0</v>
      </c>
      <c r="AX480">
        <v>504</v>
      </c>
      <c r="AY480">
        <v>525</v>
      </c>
      <c r="AZ480">
        <v>1</v>
      </c>
      <c r="BA480">
        <v>3</v>
      </c>
      <c r="BB480" t="s">
        <v>11</v>
      </c>
      <c r="BD480" t="s">
        <v>704</v>
      </c>
      <c r="BE480" t="s">
        <v>2158</v>
      </c>
      <c r="BF480" t="s">
        <v>3014</v>
      </c>
      <c r="BG480" t="s">
        <v>3015</v>
      </c>
      <c r="BH480" s="1" t="s">
        <v>57</v>
      </c>
      <c r="BI480" t="s">
        <v>57</v>
      </c>
      <c r="BJ480" s="1" t="str">
        <f>HYPERLINK("http://exon.niaid.nih.gov/transcriptome/T_rubida/S1/links/CDD/Triru-contig_374-CDD.txt","COG0733")</f>
        <v>COG0733</v>
      </c>
      <c r="BK480" t="str">
        <f>HYPERLINK("http://www.ncbi.nlm.nih.gov/Structure/cdd/cddsrv.cgi?uid=COG0733&amp;version=v4.0","0.82")</f>
        <v>0.82</v>
      </c>
      <c r="BL480" t="s">
        <v>3016</v>
      </c>
      <c r="BM480" s="1" t="str">
        <f>HYPERLINK("http://exon.niaid.nih.gov/transcriptome/T_rubida/S1/links/KOG/Triru-contig_374-KOG.txt","Medium-chain acyl-CoA dehydrogenase")</f>
        <v>Medium-chain acyl-CoA dehydrogenase</v>
      </c>
      <c r="BN480" t="str">
        <f>HYPERLINK("http://www.ncbi.nlm.nih.gov/COG/grace/shokog.cgi?KOG0140","1.2")</f>
        <v>1.2</v>
      </c>
      <c r="BO480" t="s">
        <v>709</v>
      </c>
      <c r="BP480" s="1" t="str">
        <f>HYPERLINK("http://exon.niaid.nih.gov/transcriptome/T_rubida/S1/links/PFAM/Triru-contig_374-PFAM.txt","SMN")</f>
        <v>SMN</v>
      </c>
      <c r="BQ480" t="str">
        <f>HYPERLINK("http://pfam.sanger.ac.uk/family?acc=PF06003","0.23")</f>
        <v>0.23</v>
      </c>
      <c r="BR480" s="1" t="str">
        <f>HYPERLINK("http://exon.niaid.nih.gov/transcriptome/T_rubida/S1/links/SMART/Triru-contig_374-SMART.txt","AgrB")</f>
        <v>AgrB</v>
      </c>
      <c r="BS480" t="str">
        <f>HYPERLINK("http://smart.embl-heidelberg.de/smart/do_annotation.pl?DOMAIN=AgrB&amp;BLAST=DUMMY","0.15")</f>
        <v>0.15</v>
      </c>
      <c r="BT480" s="1" t="str">
        <f>HYPERLINK("http://exon.niaid.nih.gov/transcriptome/T_rubida/S1/links/PRK/Triru-contig_374-PRK.txt","trimethylamine N-oxide reductase I catalytic subunit")</f>
        <v>trimethylamine N-oxide reductase I catalytic subunit</v>
      </c>
      <c r="BU480">
        <v>0.56000000000000005</v>
      </c>
      <c r="BV480" s="1" t="s">
        <v>57</v>
      </c>
      <c r="BW480" t="s">
        <v>57</v>
      </c>
      <c r="BX480" s="1" t="s">
        <v>57</v>
      </c>
      <c r="BY480" t="s">
        <v>57</v>
      </c>
    </row>
    <row r="481" spans="1:77">
      <c r="A481" t="str">
        <f>HYPERLINK("http://exon.niaid.nih.gov/transcriptome/T_rubida/S1/links/Triru/Triru-contig_394.txt","Triru-contig_394")</f>
        <v>Triru-contig_394</v>
      </c>
      <c r="B481">
        <v>1</v>
      </c>
      <c r="C481" t="str">
        <f>HYPERLINK("http://exon.niaid.nih.gov/transcriptome/T_rubida/S1/links/Triru/Triru-5-48-asb-394.txt","Contig-394")</f>
        <v>Contig-394</v>
      </c>
      <c r="D481" t="str">
        <f>HYPERLINK("http://exon.niaid.nih.gov/transcriptome/T_rubida/S1/links/Triru/Triru-5-48-394-CLU.txt","Contig394")</f>
        <v>Contig394</v>
      </c>
      <c r="E481" t="str">
        <f>HYPERLINK("http://exon.niaid.nih.gov/transcriptome/T_rubida/S1/links/Triru/Triru-5-48-394-qual.txt","30.1")</f>
        <v>30.1</v>
      </c>
      <c r="F481" t="s">
        <v>10</v>
      </c>
      <c r="G481">
        <v>68.8</v>
      </c>
      <c r="H481">
        <v>994</v>
      </c>
      <c r="I481" t="s">
        <v>406</v>
      </c>
      <c r="J481">
        <v>994</v>
      </c>
      <c r="K481">
        <v>1013</v>
      </c>
      <c r="L481">
        <v>252</v>
      </c>
      <c r="M481" t="s">
        <v>5682</v>
      </c>
      <c r="N481" s="15">
        <v>1</v>
      </c>
      <c r="O481" s="14" t="str">
        <f>HYPERLINK("http://exon.niaid.nih.gov/transcriptome/T_rubida/S1/links/Sigp/TRIRU-CONTIG_394-SigP.txt","Cyt")</f>
        <v>Cyt</v>
      </c>
      <c r="Q481" s="5" t="s">
        <v>4827</v>
      </c>
      <c r="R481" t="s">
        <v>4828</v>
      </c>
      <c r="V481" s="1" t="str">
        <f>HYPERLINK("http://exon.niaid.nih.gov/transcriptome/T_rubida/S1/links/NR/Triru-contig_394-NR.txt","putative HHH motif-containing secreted peptide")</f>
        <v>putative HHH motif-containing secreted peptide</v>
      </c>
      <c r="W481" t="str">
        <f>HYPERLINK("http://www.ncbi.nlm.nih.gov/sutils/blink.cgi?pid=149689168","8.3")</f>
        <v>8.3</v>
      </c>
      <c r="X481" t="str">
        <f>HYPERLINK("http://www.ncbi.nlm.nih.gov/protein/149689168","gi|149689168")</f>
        <v>gi|149689168</v>
      </c>
      <c r="Y481">
        <v>36.200000000000003</v>
      </c>
      <c r="Z481">
        <v>66</v>
      </c>
      <c r="AA481">
        <v>74</v>
      </c>
      <c r="AB481">
        <v>41</v>
      </c>
      <c r="AC481">
        <v>91</v>
      </c>
      <c r="AD481">
        <v>39</v>
      </c>
      <c r="AE481">
        <v>10</v>
      </c>
      <c r="AF481">
        <v>6</v>
      </c>
      <c r="AG481">
        <v>126</v>
      </c>
      <c r="AH481">
        <v>1</v>
      </c>
      <c r="AI481">
        <v>3</v>
      </c>
      <c r="AJ481" t="s">
        <v>11</v>
      </c>
      <c r="AK481">
        <v>3.03</v>
      </c>
      <c r="AL481" t="s">
        <v>1067</v>
      </c>
      <c r="AM481" t="s">
        <v>3150</v>
      </c>
      <c r="AN481" t="s">
        <v>3151</v>
      </c>
      <c r="AO481" s="1" t="str">
        <f>HYPERLINK("http://exon.niaid.nih.gov/transcriptome/T_rubida/S1/links/SWISSP/Triru-contig_394-SWISSP.txt","tRNA (guanine-N(7)-)-methyltransferase")</f>
        <v>tRNA (guanine-N(7)-)-methyltransferase</v>
      </c>
      <c r="AP481" t="str">
        <f>HYPERLINK("http://www.uniprot.org/uniprot/A7H2A2","13")</f>
        <v>13</v>
      </c>
      <c r="AQ481" t="s">
        <v>3152</v>
      </c>
      <c r="AR481">
        <v>31.2</v>
      </c>
      <c r="AS481">
        <v>48</v>
      </c>
      <c r="AT481">
        <v>34</v>
      </c>
      <c r="AU481">
        <v>13</v>
      </c>
      <c r="AV481">
        <v>32</v>
      </c>
      <c r="AW481">
        <v>0</v>
      </c>
      <c r="AX481">
        <v>24</v>
      </c>
      <c r="AY481">
        <v>836</v>
      </c>
      <c r="AZ481">
        <v>1</v>
      </c>
      <c r="BA481">
        <v>2</v>
      </c>
      <c r="BB481" t="s">
        <v>11</v>
      </c>
      <c r="BC481">
        <v>6.25</v>
      </c>
      <c r="BD481" t="s">
        <v>704</v>
      </c>
      <c r="BE481" t="s">
        <v>3153</v>
      </c>
      <c r="BF481" t="s">
        <v>3154</v>
      </c>
      <c r="BG481" t="s">
        <v>3155</v>
      </c>
      <c r="BH481" s="1" t="s">
        <v>57</v>
      </c>
      <c r="BI481" t="s">
        <v>57</v>
      </c>
      <c r="BJ481" s="1" t="str">
        <f>HYPERLINK("http://exon.niaid.nih.gov/transcriptome/T_rubida/S1/links/CDD/Triru-contig_394-CDD.txt","TOPRIM_TopoIA_T")</f>
        <v>TOPRIM_TopoIA_T</v>
      </c>
      <c r="BK481" t="str">
        <f>HYPERLINK("http://www.ncbi.nlm.nih.gov/Structure/cdd/cddsrv.cgi?uid=cd03362&amp;version=v4.0","0.20")</f>
        <v>0.20</v>
      </c>
      <c r="BL481" t="s">
        <v>3156</v>
      </c>
      <c r="BM481" s="1" t="str">
        <f>HYPERLINK("http://exon.niaid.nih.gov/transcriptome/T_rubida/S1/links/KOG/Triru-contig_394-KOG.txt","Uncharacterized conserved protein")</f>
        <v>Uncharacterized conserved protein</v>
      </c>
      <c r="BN481" t="str">
        <f>HYPERLINK("http://www.ncbi.nlm.nih.gov/COG/grace/shokog.cgi?KOG1910","0.39")</f>
        <v>0.39</v>
      </c>
      <c r="BO481" t="s">
        <v>737</v>
      </c>
      <c r="BP481" s="1" t="str">
        <f>HYPERLINK("http://exon.niaid.nih.gov/transcriptome/T_rubida/S1/links/PFAM/Triru-contig_394-PFAM.txt","Cohesin_load")</f>
        <v>Cohesin_load</v>
      </c>
      <c r="BQ481" t="str">
        <f>HYPERLINK("http://pfam.sanger.ac.uk/family?acc=PF10345","0.11")</f>
        <v>0.11</v>
      </c>
      <c r="BR481" s="1" t="str">
        <f>HYPERLINK("http://exon.niaid.nih.gov/transcriptome/T_rubida/S1/links/SMART/Triru-contig_394-SMART.txt","POLXc")</f>
        <v>POLXc</v>
      </c>
      <c r="BS481" t="str">
        <f>HYPERLINK("http://smart.embl-heidelberg.de/smart/do_annotation.pl?DOMAIN=POLXc&amp;BLAST=DUMMY","0.12")</f>
        <v>0.12</v>
      </c>
      <c r="BT481" s="1" t="str">
        <f>HYPERLINK("http://exon.niaid.nih.gov/transcriptome/T_rubida/S1/links/PRK/Triru-contig_394-PRK.txt","camphor resistance protein CrcB")</f>
        <v>camphor resistance protein CrcB</v>
      </c>
      <c r="BU481">
        <v>0.53</v>
      </c>
      <c r="BV481" s="1" t="s">
        <v>57</v>
      </c>
      <c r="BW481" t="s">
        <v>57</v>
      </c>
      <c r="BX481" s="1" t="s">
        <v>57</v>
      </c>
      <c r="BY481" t="s">
        <v>57</v>
      </c>
    </row>
    <row r="482" spans="1:77">
      <c r="A482" t="str">
        <f>HYPERLINK("http://exon.niaid.nih.gov/transcriptome/T_rubida/S1/links/Triru/Triru-contig_388.txt","Triru-contig_388")</f>
        <v>Triru-contig_388</v>
      </c>
      <c r="B482">
        <v>1</v>
      </c>
      <c r="C482" t="str">
        <f>HYPERLINK("http://exon.niaid.nih.gov/transcriptome/T_rubida/S1/links/Triru/Triru-5-48-asb-388.txt","Contig-388")</f>
        <v>Contig-388</v>
      </c>
      <c r="D482" t="str">
        <f>HYPERLINK("http://exon.niaid.nih.gov/transcriptome/T_rubida/S1/links/Triru/Triru-5-48-388-CLU.txt","Contig388")</f>
        <v>Contig388</v>
      </c>
      <c r="E482" t="str">
        <f>HYPERLINK("http://exon.niaid.nih.gov/transcriptome/T_rubida/S1/links/Triru/Triru-5-48-388-qual.txt","64.1")</f>
        <v>64.1</v>
      </c>
      <c r="F482" t="s">
        <v>10</v>
      </c>
      <c r="G482">
        <v>57.7</v>
      </c>
      <c r="H482">
        <v>525</v>
      </c>
      <c r="I482" t="s">
        <v>400</v>
      </c>
      <c r="J482">
        <v>525</v>
      </c>
      <c r="K482">
        <v>544</v>
      </c>
      <c r="L482">
        <v>198</v>
      </c>
      <c r="M482" t="s">
        <v>5700</v>
      </c>
      <c r="N482" s="15">
        <v>1</v>
      </c>
      <c r="O482" s="14" t="str">
        <f>HYPERLINK("http://exon.niaid.nih.gov/transcriptome/T_rubida/S1/links/Sigp/TRIRU-CONTIG_388-SigP.txt","Cyt")</f>
        <v>Cyt</v>
      </c>
      <c r="Q482" s="5" t="s">
        <v>4827</v>
      </c>
      <c r="R482" t="s">
        <v>4828</v>
      </c>
      <c r="V482" s="1" t="str">
        <f>HYPERLINK("http://exon.niaid.nih.gov/transcriptome/T_rubida/S1/links/NR/Triru-contig_388-NR.txt","unnamed protein product")</f>
        <v>unnamed protein product</v>
      </c>
      <c r="W482" t="str">
        <f>HYPERLINK("http://www.ncbi.nlm.nih.gov/sutils/blink.cgi?pid=297742744","8.6")</f>
        <v>8.6</v>
      </c>
      <c r="X482" t="str">
        <f>HYPERLINK("http://www.ncbi.nlm.nih.gov/protein/297742744","gi|297742744")</f>
        <v>gi|297742744</v>
      </c>
      <c r="Y482">
        <v>34.299999999999997</v>
      </c>
      <c r="Z482">
        <v>54</v>
      </c>
      <c r="AA482">
        <v>1633</v>
      </c>
      <c r="AB482">
        <v>41</v>
      </c>
      <c r="AC482">
        <v>3</v>
      </c>
      <c r="AD482">
        <v>34</v>
      </c>
      <c r="AE482">
        <v>3</v>
      </c>
      <c r="AF482">
        <v>1252</v>
      </c>
      <c r="AG482">
        <v>196</v>
      </c>
      <c r="AH482">
        <v>1</v>
      </c>
      <c r="AI482">
        <v>1</v>
      </c>
      <c r="AJ482" t="s">
        <v>11</v>
      </c>
      <c r="AL482" t="s">
        <v>3107</v>
      </c>
      <c r="AM482" t="s">
        <v>3108</v>
      </c>
      <c r="AN482" t="s">
        <v>1666</v>
      </c>
      <c r="AO482" s="1" t="str">
        <f>HYPERLINK("http://exon.niaid.nih.gov/transcriptome/T_rubida/S1/links/SWISSP/Triru-contig_388-SWISSP.txt","Uncharacterized protein AF_0631")</f>
        <v>Uncharacterized protein AF_0631</v>
      </c>
      <c r="AP482" t="str">
        <f>HYPERLINK("http://www.uniprot.org/uniprot/O29624","16")</f>
        <v>16</v>
      </c>
      <c r="AQ482" t="s">
        <v>3109</v>
      </c>
      <c r="AR482">
        <v>29.3</v>
      </c>
      <c r="AS482">
        <v>32</v>
      </c>
      <c r="AT482">
        <v>33</v>
      </c>
      <c r="AU482">
        <v>24</v>
      </c>
      <c r="AV482">
        <v>22</v>
      </c>
      <c r="AW482">
        <v>0</v>
      </c>
      <c r="AX482">
        <v>21</v>
      </c>
      <c r="AY482">
        <v>232</v>
      </c>
      <c r="AZ482">
        <v>1</v>
      </c>
      <c r="BA482">
        <v>1</v>
      </c>
      <c r="BB482" t="s">
        <v>11</v>
      </c>
      <c r="BD482" t="s">
        <v>704</v>
      </c>
      <c r="BE482" t="s">
        <v>3110</v>
      </c>
      <c r="BF482" t="s">
        <v>3111</v>
      </c>
      <c r="BG482" t="s">
        <v>3112</v>
      </c>
      <c r="BH482" s="1" t="s">
        <v>57</v>
      </c>
      <c r="BI482" t="s">
        <v>57</v>
      </c>
      <c r="BJ482" s="1" t="str">
        <f>HYPERLINK("http://exon.niaid.nih.gov/transcriptome/T_rubida/S1/links/CDD/Triru-contig_388-CDD.txt","Cytochrome_b_N")</f>
        <v>Cytochrome_b_N</v>
      </c>
      <c r="BK482" t="str">
        <f>HYPERLINK("http://www.ncbi.nlm.nih.gov/Structure/cdd/cddsrv.cgi?uid=cd00284&amp;version=v4.0","0.059")</f>
        <v>0.059</v>
      </c>
      <c r="BL482" t="s">
        <v>3113</v>
      </c>
      <c r="BM482" s="1" t="str">
        <f>HYPERLINK("http://exon.niaid.nih.gov/transcriptome/T_rubida/S1/links/KOG/Triru-contig_388-KOG.txt","p53-mediated apoptosis protein EI24/PIG8")</f>
        <v>p53-mediated apoptosis protein EI24/PIG8</v>
      </c>
      <c r="BN482" t="str">
        <f>HYPERLINK("http://www.ncbi.nlm.nih.gov/COG/grace/shokog.cgi?KOG3966","0.93")</f>
        <v>0.93</v>
      </c>
      <c r="BO482" t="s">
        <v>3114</v>
      </c>
      <c r="BP482" s="1" t="str">
        <f>HYPERLINK("http://exon.niaid.nih.gov/transcriptome/T_rubida/S1/links/PFAM/Triru-contig_388-PFAM.txt","Noggin")</f>
        <v>Noggin</v>
      </c>
      <c r="BQ482" t="str">
        <f>HYPERLINK("http://pfam.sanger.ac.uk/family?acc=PF05806","0.32")</f>
        <v>0.32</v>
      </c>
      <c r="BR482" s="1" t="str">
        <f>HYPERLINK("http://exon.niaid.nih.gov/transcriptome/T_rubida/S1/links/SMART/Triru-contig_388-SMART.txt","TNF")</f>
        <v>TNF</v>
      </c>
      <c r="BS482" t="str">
        <f>HYPERLINK("http://smart.embl-heidelberg.de/smart/do_annotation.pl?DOMAIN=TNF&amp;BLAST=DUMMY","0.12")</f>
        <v>0.12</v>
      </c>
      <c r="BT482" s="1" t="str">
        <f>HYPERLINK("http://exon.niaid.nih.gov/transcriptome/T_rubida/S1/links/PRK/Triru-contig_388-PRK.txt","conjugal transfer pilus assembly protein TraU")</f>
        <v>conjugal transfer pilus assembly protein TraU</v>
      </c>
      <c r="BU482">
        <v>7.0000000000000007E-2</v>
      </c>
      <c r="BV482" s="1" t="s">
        <v>57</v>
      </c>
      <c r="BW482" t="s">
        <v>57</v>
      </c>
      <c r="BX482" s="1" t="s">
        <v>57</v>
      </c>
      <c r="BY482" t="s">
        <v>57</v>
      </c>
    </row>
    <row r="483" spans="1:77">
      <c r="A483" t="str">
        <f>HYPERLINK("http://exon.niaid.nih.gov/transcriptome/T_rubida/S1/links/Triru/Triru-contig_199.txt","Triru-contig_199")</f>
        <v>Triru-contig_199</v>
      </c>
      <c r="B483">
        <v>1</v>
      </c>
      <c r="C483" t="str">
        <f>HYPERLINK("http://exon.niaid.nih.gov/transcriptome/T_rubida/S1/links/Triru/Triru-5-48-asb-199.txt","Contig-199")</f>
        <v>Contig-199</v>
      </c>
      <c r="D483" t="str">
        <f>HYPERLINK("http://exon.niaid.nih.gov/transcriptome/T_rubida/S1/links/Triru/Triru-5-48-199-CLU.txt","Contig199")</f>
        <v>Contig199</v>
      </c>
      <c r="E483" t="str">
        <f>HYPERLINK("http://exon.niaid.nih.gov/transcriptome/T_rubida/S1/links/Triru/Triru-5-48-199-qual.txt","59.2")</f>
        <v>59.2</v>
      </c>
      <c r="F483" t="s">
        <v>10</v>
      </c>
      <c r="G483">
        <v>49.5</v>
      </c>
      <c r="H483">
        <v>264</v>
      </c>
      <c r="I483" t="s">
        <v>211</v>
      </c>
      <c r="J483">
        <v>264</v>
      </c>
      <c r="K483">
        <v>283</v>
      </c>
      <c r="L483">
        <v>207</v>
      </c>
      <c r="M483" t="s">
        <v>5417</v>
      </c>
      <c r="N483" s="15">
        <v>1</v>
      </c>
      <c r="O483" s="14" t="str">
        <f>HYPERLINK("http://exon.niaid.nih.gov/transcriptome/T_rubida/S1/links/Sigp/TRIRU-CONTIG_199-SigP.txt","Cyt")</f>
        <v>Cyt</v>
      </c>
      <c r="Q483" s="5" t="s">
        <v>4827</v>
      </c>
      <c r="R483" t="s">
        <v>4828</v>
      </c>
      <c r="V483" s="1" t="str">
        <f>HYPERLINK("http://exon.niaid.nih.gov/transcriptome/T_rubida/S1/links/NR/Triru-contig_199-NR.txt","Phosphoglycerate Mutase")</f>
        <v>Phosphoglycerate Mutase</v>
      </c>
      <c r="W483" t="str">
        <f>HYPERLINK("http://www.ncbi.nlm.nih.gov/sutils/blink.cgi?pid=329113799","8.7")</f>
        <v>8.7</v>
      </c>
      <c r="X483" t="str">
        <f>HYPERLINK("http://www.ncbi.nlm.nih.gov/protein/329113799","gi|329113799")</f>
        <v>gi|329113799</v>
      </c>
      <c r="Y483">
        <v>33.9</v>
      </c>
      <c r="Z483">
        <v>44</v>
      </c>
      <c r="AA483">
        <v>243</v>
      </c>
      <c r="AB483">
        <v>35</v>
      </c>
      <c r="AC483">
        <v>19</v>
      </c>
      <c r="AD483">
        <v>29</v>
      </c>
      <c r="AE483">
        <v>0</v>
      </c>
      <c r="AF483">
        <v>147</v>
      </c>
      <c r="AG483">
        <v>93</v>
      </c>
      <c r="AH483">
        <v>1</v>
      </c>
      <c r="AI483">
        <v>3</v>
      </c>
      <c r="AJ483" t="s">
        <v>11</v>
      </c>
      <c r="AL483" t="s">
        <v>1858</v>
      </c>
      <c r="AM483" t="s">
        <v>1859</v>
      </c>
      <c r="AN483" t="s">
        <v>1860</v>
      </c>
      <c r="AO483" s="1" t="str">
        <f>HYPERLINK("http://exon.niaid.nih.gov/transcriptome/T_rubida/S1/links/SWISSP/Triru-contig_199-SWISSP.txt","Chaperone protein DnaJ")</f>
        <v>Chaperone protein DnaJ</v>
      </c>
      <c r="AP483" t="str">
        <f>HYPERLINK("http://www.uniprot.org/uniprot/Q6AEC0","8.0")</f>
        <v>8.0</v>
      </c>
      <c r="AQ483" t="s">
        <v>1861</v>
      </c>
      <c r="AR483">
        <v>29.3</v>
      </c>
      <c r="AS483">
        <v>27</v>
      </c>
      <c r="AT483">
        <v>42</v>
      </c>
      <c r="AU483">
        <v>8</v>
      </c>
      <c r="AV483">
        <v>16</v>
      </c>
      <c r="AW483">
        <v>0</v>
      </c>
      <c r="AX483">
        <v>153</v>
      </c>
      <c r="AY483">
        <v>25</v>
      </c>
      <c r="AZ483">
        <v>1</v>
      </c>
      <c r="BA483">
        <v>1</v>
      </c>
      <c r="BB483" t="s">
        <v>11</v>
      </c>
      <c r="BD483" t="s">
        <v>704</v>
      </c>
      <c r="BE483" t="s">
        <v>1862</v>
      </c>
      <c r="BF483" t="s">
        <v>1863</v>
      </c>
      <c r="BG483" t="s">
        <v>1864</v>
      </c>
      <c r="BH483" s="1" t="s">
        <v>57</v>
      </c>
      <c r="BI483" t="s">
        <v>57</v>
      </c>
      <c r="BJ483" s="1" t="str">
        <f>HYPERLINK("http://exon.niaid.nih.gov/transcriptome/T_rubida/S1/links/CDD/Triru-contig_199-CDD.txt","PLN02225")</f>
        <v>PLN02225</v>
      </c>
      <c r="BK483" t="str">
        <f>HYPERLINK("http://www.ncbi.nlm.nih.gov/Structure/cdd/cddsrv.cgi?uid=PLN02225&amp;version=v4.0","0.38")</f>
        <v>0.38</v>
      </c>
      <c r="BL483" t="s">
        <v>1865</v>
      </c>
      <c r="BM483" s="1" t="str">
        <f>HYPERLINK("http://exon.niaid.nih.gov/transcriptome/T_rubida/S1/links/KOG/Triru-contig_199-KOG.txt","Tyrosine kinase, EPH (ephrin) receptor family")</f>
        <v>Tyrosine kinase, EPH (ephrin) receptor family</v>
      </c>
      <c r="BN483" t="str">
        <f>HYPERLINK("http://www.ncbi.nlm.nih.gov/COG/grace/shokog.cgi?KOG0196","0.074")</f>
        <v>0.074</v>
      </c>
      <c r="BO483" t="s">
        <v>728</v>
      </c>
      <c r="BP483" s="1" t="str">
        <f>HYPERLINK("http://exon.niaid.nih.gov/transcriptome/T_rubida/S1/links/PFAM/Triru-contig_199-PFAM.txt","Atrophin-1")</f>
        <v>Atrophin-1</v>
      </c>
      <c r="BQ483" t="str">
        <f>HYPERLINK("http://pfam.sanger.ac.uk/family?acc=PF03154","0.52")</f>
        <v>0.52</v>
      </c>
      <c r="BR483" s="1" t="str">
        <f>HYPERLINK("http://exon.niaid.nih.gov/transcriptome/T_rubida/S1/links/SMART/Triru-contig_199-SMART.txt","IFabd")</f>
        <v>IFabd</v>
      </c>
      <c r="BS483" t="str">
        <f>HYPERLINK("http://smart.embl-heidelberg.de/smart/do_annotation.pl?DOMAIN=IFabd&amp;BLAST=DUMMY","0.061")</f>
        <v>0.061</v>
      </c>
      <c r="BT483" s="1" t="str">
        <f>HYPERLINK("http://exon.niaid.nih.gov/transcriptome/T_rubida/S1/links/PRK/Triru-contig_199-PRK.txt","1-deoxy-D-xylulose-5-phosphate synthase.")</f>
        <v>1-deoxy-D-xylulose-5-phosphate synthase.</v>
      </c>
      <c r="BU483">
        <v>0.14000000000000001</v>
      </c>
      <c r="BV483" s="1" t="s">
        <v>57</v>
      </c>
      <c r="BW483" t="s">
        <v>57</v>
      </c>
      <c r="BX483" s="1" t="s">
        <v>57</v>
      </c>
      <c r="BY483" t="s">
        <v>57</v>
      </c>
    </row>
    <row r="484" spans="1:77">
      <c r="A484" t="str">
        <f>HYPERLINK("http://exon.niaid.nih.gov/transcriptome/T_rubida/S1/links/Triru/Triru-contig_248.txt","Triru-contig_248")</f>
        <v>Triru-contig_248</v>
      </c>
      <c r="B484">
        <v>1</v>
      </c>
      <c r="C484" t="str">
        <f>HYPERLINK("http://exon.niaid.nih.gov/transcriptome/T_rubida/S1/links/Triru/Triru-5-48-asb-248.txt","Contig-248")</f>
        <v>Contig-248</v>
      </c>
      <c r="D484" t="str">
        <f>HYPERLINK("http://exon.niaid.nih.gov/transcriptome/T_rubida/S1/links/Triru/Triru-5-48-248-CLU.txt","Contig248")</f>
        <v>Contig248</v>
      </c>
      <c r="E484" t="str">
        <f>HYPERLINK("http://exon.niaid.nih.gov/transcriptome/T_rubida/S1/links/Triru/Triru-5-48-248-qual.txt","56.8")</f>
        <v>56.8</v>
      </c>
      <c r="F484" t="s">
        <v>10</v>
      </c>
      <c r="G484">
        <v>69.2</v>
      </c>
      <c r="H484">
        <v>124</v>
      </c>
      <c r="I484" t="s">
        <v>260</v>
      </c>
      <c r="J484">
        <v>124</v>
      </c>
      <c r="K484">
        <v>143</v>
      </c>
      <c r="L484">
        <v>108</v>
      </c>
      <c r="M484" t="s">
        <v>5574</v>
      </c>
      <c r="N484" s="15">
        <v>2</v>
      </c>
      <c r="Q484" s="5" t="s">
        <v>4827</v>
      </c>
      <c r="R484" t="s">
        <v>4828</v>
      </c>
      <c r="V484" s="1" t="str">
        <f>HYPERLINK("http://exon.niaid.nih.gov/transcriptome/T_rubida/S1/links/NR/Triru-contig_248-NR.txt","predicted protein")</f>
        <v>predicted protein</v>
      </c>
      <c r="W484" t="str">
        <f>HYPERLINK("http://www.ncbi.nlm.nih.gov/sutils/blink.cgi?pid=290978370","8.7")</f>
        <v>8.7</v>
      </c>
      <c r="X484" t="str">
        <f>HYPERLINK("http://www.ncbi.nlm.nih.gov/protein/290978370","gi|290978370")</f>
        <v>gi|290978370</v>
      </c>
      <c r="Y484">
        <v>33.9</v>
      </c>
      <c r="Z484">
        <v>29</v>
      </c>
      <c r="AA484">
        <v>277</v>
      </c>
      <c r="AB484">
        <v>56</v>
      </c>
      <c r="AC484">
        <v>11</v>
      </c>
      <c r="AD484">
        <v>13</v>
      </c>
      <c r="AE484">
        <v>1</v>
      </c>
      <c r="AF484">
        <v>240</v>
      </c>
      <c r="AG484">
        <v>17</v>
      </c>
      <c r="AH484">
        <v>1</v>
      </c>
      <c r="AI484">
        <v>2</v>
      </c>
      <c r="AJ484" t="s">
        <v>11</v>
      </c>
      <c r="AL484" t="s">
        <v>1696</v>
      </c>
      <c r="AM484" t="s">
        <v>2166</v>
      </c>
      <c r="AN484" t="s">
        <v>2167</v>
      </c>
      <c r="AO484" s="1" t="str">
        <f>HYPERLINK("http://exon.niaid.nih.gov/transcriptome/T_rubida/S1/links/SWISSP/Triru-contig_248-SWISSP.txt","Putative elongation of fatty acids protein 2")</f>
        <v>Putative elongation of fatty acids protein 2</v>
      </c>
      <c r="AP484" t="str">
        <f>HYPERLINK("http://www.uniprot.org/uniprot/Q7LKX0","1.6")</f>
        <v>1.6</v>
      </c>
      <c r="AQ484" t="s">
        <v>2168</v>
      </c>
      <c r="AR484">
        <v>31.6</v>
      </c>
      <c r="AS484">
        <v>33</v>
      </c>
      <c r="AT484">
        <v>44</v>
      </c>
      <c r="AU484">
        <v>11</v>
      </c>
      <c r="AV484">
        <v>19</v>
      </c>
      <c r="AW484">
        <v>2</v>
      </c>
      <c r="AX484">
        <v>244</v>
      </c>
      <c r="AY484">
        <v>5</v>
      </c>
      <c r="AZ484">
        <v>1</v>
      </c>
      <c r="BA484">
        <v>2</v>
      </c>
      <c r="BB484" t="s">
        <v>11</v>
      </c>
      <c r="BD484" t="s">
        <v>704</v>
      </c>
      <c r="BE484" t="s">
        <v>950</v>
      </c>
      <c r="BF484" t="s">
        <v>2169</v>
      </c>
      <c r="BG484" t="s">
        <v>2170</v>
      </c>
      <c r="BH484" s="1" t="s">
        <v>57</v>
      </c>
      <c r="BI484" t="s">
        <v>57</v>
      </c>
      <c r="BJ484" s="1" t="str">
        <f>HYPERLINK("http://exon.niaid.nih.gov/transcriptome/T_rubida/S1/links/CDD/Triru-contig_248-CDD.txt","ELO")</f>
        <v>ELO</v>
      </c>
      <c r="BK484" t="str">
        <f>HYPERLINK("http://www.ncbi.nlm.nih.gov/Structure/cdd/cddsrv.cgi?uid=pfam01151&amp;version=v4.0","3E-005")</f>
        <v>3E-005</v>
      </c>
      <c r="BL484" t="s">
        <v>2171</v>
      </c>
      <c r="BM484" s="1" t="str">
        <f>HYPERLINK("http://exon.niaid.nih.gov/transcriptome/T_rubida/S1/links/KOG/Triru-contig_248-KOG.txt","Fatty acyl-CoA elongase/Polyunsaturated fatty acid specific elongation enzyme")</f>
        <v>Fatty acyl-CoA elongase/Polyunsaturated fatty acid specific elongation enzyme</v>
      </c>
      <c r="BN484" t="str">
        <f>HYPERLINK("http://www.ncbi.nlm.nih.gov/COG/grace/shokog.cgi?KOG3071","0.003")</f>
        <v>0.003</v>
      </c>
      <c r="BO484" t="s">
        <v>709</v>
      </c>
      <c r="BP484" s="1" t="str">
        <f>HYPERLINK("http://exon.niaid.nih.gov/transcriptome/T_rubida/S1/links/PFAM/Triru-contig_248-PFAM.txt","ELO")</f>
        <v>ELO</v>
      </c>
      <c r="BQ484" t="str">
        <f>HYPERLINK("http://pfam.sanger.ac.uk/family?acc=PF01151","7E-006")</f>
        <v>7E-006</v>
      </c>
      <c r="BR484" s="1" t="str">
        <f>HYPERLINK("http://exon.niaid.nih.gov/transcriptome/T_rubida/S1/links/SMART/Triru-contig_248-SMART.txt","ZnF_CHCC")</f>
        <v>ZnF_CHCC</v>
      </c>
      <c r="BS484" t="str">
        <f>HYPERLINK("http://smart.embl-heidelberg.de/smart/do_annotation.pl?DOMAIN=ZnF_CHCC&amp;BLAST=DUMMY","0.14")</f>
        <v>0.14</v>
      </c>
      <c r="BT484" s="1" t="str">
        <f>HYPERLINK("http://exon.niaid.nih.gov/transcriptome/T_rubida/S1/links/PRK/Triru-contig_248-PRK.txt","ATP-dependent DNA helicase RecG")</f>
        <v>ATP-dependent DNA helicase RecG</v>
      </c>
      <c r="BU484">
        <v>0.53</v>
      </c>
      <c r="BV484" s="1" t="s">
        <v>57</v>
      </c>
      <c r="BW484" t="s">
        <v>57</v>
      </c>
      <c r="BX484" s="1" t="s">
        <v>57</v>
      </c>
      <c r="BY484" t="s">
        <v>57</v>
      </c>
    </row>
    <row r="485" spans="1:77">
      <c r="A485" t="str">
        <f>HYPERLINK("http://exon.niaid.nih.gov/transcriptome/T_rubida/S1/links/Triru/Triru-contig_301.txt","Triru-contig_301")</f>
        <v>Triru-contig_301</v>
      </c>
      <c r="B485">
        <v>1</v>
      </c>
      <c r="C485" t="str">
        <f>HYPERLINK("http://exon.niaid.nih.gov/transcriptome/T_rubida/S1/links/Triru/Triru-5-48-asb-301.txt","Contig-301")</f>
        <v>Contig-301</v>
      </c>
      <c r="D485" t="str">
        <f>HYPERLINK("http://exon.niaid.nih.gov/transcriptome/T_rubida/S1/links/Triru/Triru-5-48-301-CLU.txt","Contig301")</f>
        <v>Contig301</v>
      </c>
      <c r="E485" t="str">
        <f>HYPERLINK("http://exon.niaid.nih.gov/transcriptome/T_rubida/S1/links/Triru/Triru-5-48-301-qual.txt","66.1")</f>
        <v>66.1</v>
      </c>
      <c r="F485" t="s">
        <v>10</v>
      </c>
      <c r="G485">
        <v>69.599999999999994</v>
      </c>
      <c r="H485">
        <v>343</v>
      </c>
      <c r="I485" t="s">
        <v>313</v>
      </c>
      <c r="J485">
        <v>343</v>
      </c>
      <c r="K485">
        <v>362</v>
      </c>
      <c r="L485">
        <v>165</v>
      </c>
      <c r="M485" t="s">
        <v>5595</v>
      </c>
      <c r="N485" s="15">
        <v>1</v>
      </c>
      <c r="Q485" s="5" t="s">
        <v>4827</v>
      </c>
      <c r="R485" t="s">
        <v>4828</v>
      </c>
      <c r="V485" s="1" t="str">
        <f>HYPERLINK("http://exon.niaid.nih.gov/transcriptome/T_rubida/S1/links/NR/Triru-contig_301-NR.txt","Os01g0685500")</f>
        <v>Os01g0685500</v>
      </c>
      <c r="W485" t="str">
        <f>HYPERLINK("http://www.ncbi.nlm.nih.gov/sutils/blink.cgi?pid=115439237","8.7")</f>
        <v>8.7</v>
      </c>
      <c r="X485" t="str">
        <f>HYPERLINK("http://www.ncbi.nlm.nih.gov/protein/115439237","gi|115439237")</f>
        <v>gi|115439237</v>
      </c>
      <c r="Y485">
        <v>33.9</v>
      </c>
      <c r="Z485">
        <v>62</v>
      </c>
      <c r="AA485">
        <v>318</v>
      </c>
      <c r="AB485">
        <v>31</v>
      </c>
      <c r="AC485">
        <v>20</v>
      </c>
      <c r="AD485">
        <v>43</v>
      </c>
      <c r="AE485">
        <v>0</v>
      </c>
      <c r="AF485">
        <v>24</v>
      </c>
      <c r="AG485">
        <v>7</v>
      </c>
      <c r="AH485">
        <v>1</v>
      </c>
      <c r="AI485">
        <v>1</v>
      </c>
      <c r="AJ485" t="s">
        <v>11</v>
      </c>
      <c r="AK485">
        <v>1.613</v>
      </c>
      <c r="AL485" t="s">
        <v>1924</v>
      </c>
      <c r="AM485" t="s">
        <v>2516</v>
      </c>
      <c r="AN485" t="s">
        <v>2517</v>
      </c>
      <c r="AO485" s="1" t="str">
        <f>HYPERLINK("http://exon.niaid.nih.gov/transcriptome/T_rubida/S1/links/SWISSP/Triru-contig_301-SWISSP.txt","Protein ecsB")</f>
        <v>Protein ecsB</v>
      </c>
      <c r="AP485" t="str">
        <f>HYPERLINK("http://www.uniprot.org/uniprot/P55340","6.2")</f>
        <v>6.2</v>
      </c>
      <c r="AQ485" t="s">
        <v>2518</v>
      </c>
      <c r="AR485">
        <v>29.6</v>
      </c>
      <c r="AS485">
        <v>39</v>
      </c>
      <c r="AT485">
        <v>32</v>
      </c>
      <c r="AU485">
        <v>10</v>
      </c>
      <c r="AV485">
        <v>27</v>
      </c>
      <c r="AW485">
        <v>0</v>
      </c>
      <c r="AX485">
        <v>77</v>
      </c>
      <c r="AY485">
        <v>222</v>
      </c>
      <c r="AZ485">
        <v>1</v>
      </c>
      <c r="BA485">
        <v>3</v>
      </c>
      <c r="BB485" t="s">
        <v>11</v>
      </c>
      <c r="BC485">
        <v>5.1280000000000001</v>
      </c>
      <c r="BD485" t="s">
        <v>704</v>
      </c>
      <c r="BE485" t="s">
        <v>1525</v>
      </c>
      <c r="BF485" t="s">
        <v>2519</v>
      </c>
      <c r="BG485" t="s">
        <v>2520</v>
      </c>
      <c r="BH485" s="1" t="s">
        <v>57</v>
      </c>
      <c r="BI485" t="s">
        <v>57</v>
      </c>
      <c r="BJ485" s="1" t="str">
        <f>HYPERLINK("http://exon.niaid.nih.gov/transcriptome/T_rubida/S1/links/CDD/Triru-contig_301-CDD.txt","SYS1")</f>
        <v>SYS1</v>
      </c>
      <c r="BK485" t="str">
        <f>HYPERLINK("http://www.ncbi.nlm.nih.gov/Structure/cdd/cddsrv.cgi?uid=pfam09801&amp;version=v4.0","0.10")</f>
        <v>0.10</v>
      </c>
      <c r="BL485" t="s">
        <v>2521</v>
      </c>
      <c r="BM485" s="1" t="str">
        <f>HYPERLINK("http://exon.niaid.nih.gov/transcriptome/T_rubida/S1/links/KOG/Triru-contig_301-KOG.txt","Germ-line stem cell division protein Hiwi/Piwi; negative developmental regulator")</f>
        <v>Germ-line stem cell division protein Hiwi/Piwi; negative developmental regulator</v>
      </c>
      <c r="BN485" t="str">
        <f>HYPERLINK("http://www.ncbi.nlm.nih.gov/COG/grace/shokog.cgi?KOG1042","0.82")</f>
        <v>0.82</v>
      </c>
      <c r="BO485" t="s">
        <v>715</v>
      </c>
      <c r="BP485" s="1" t="str">
        <f>HYPERLINK("http://exon.niaid.nih.gov/transcriptome/T_rubida/S1/links/PFAM/Triru-contig_301-PFAM.txt","SYS1")</f>
        <v>SYS1</v>
      </c>
      <c r="BQ485" t="str">
        <f>HYPERLINK("http://pfam.sanger.ac.uk/family?acc=PF09801","0.023")</f>
        <v>0.023</v>
      </c>
      <c r="BR485" s="1" t="str">
        <f>HYPERLINK("http://exon.niaid.nih.gov/transcriptome/T_rubida/S1/links/SMART/Triru-contig_301-SMART.txt","PIPKc")</f>
        <v>PIPKc</v>
      </c>
      <c r="BS485" t="str">
        <f>HYPERLINK("http://smart.embl-heidelberg.de/smart/do_annotation.pl?DOMAIN=PIPKc&amp;BLAST=DUMMY","0.023")</f>
        <v>0.023</v>
      </c>
      <c r="BT485" s="1" t="str">
        <f>HYPERLINK("http://exon.niaid.nih.gov/transcriptome/T_rubida/S1/links/PRK/Triru-contig_301-PRK.txt","Plasmodium Vir superfamily")</f>
        <v>Plasmodium Vir superfamily</v>
      </c>
      <c r="BU485">
        <v>0.11</v>
      </c>
      <c r="BV485" s="1" t="s">
        <v>57</v>
      </c>
      <c r="BW485" t="s">
        <v>57</v>
      </c>
      <c r="BX485" s="1" t="s">
        <v>57</v>
      </c>
      <c r="BY485" t="s">
        <v>57</v>
      </c>
    </row>
    <row r="486" spans="1:77">
      <c r="A486" t="str">
        <f>HYPERLINK("http://exon.niaid.nih.gov/transcriptome/T_rubida/S1/links/Triru/Triru-contig_181.txt","Triru-contig_181")</f>
        <v>Triru-contig_181</v>
      </c>
      <c r="B486">
        <v>1</v>
      </c>
      <c r="C486" t="str">
        <f>HYPERLINK("http://exon.niaid.nih.gov/transcriptome/T_rubida/S1/links/Triru/Triru-5-48-asb-181.txt","Contig-181")</f>
        <v>Contig-181</v>
      </c>
      <c r="D486" t="str">
        <f>HYPERLINK("http://exon.niaid.nih.gov/transcriptome/T_rubida/S1/links/Triru/Triru-5-48-181-CLU.txt","Contig181")</f>
        <v>Contig181</v>
      </c>
      <c r="E486" t="str">
        <f>HYPERLINK("http://exon.niaid.nih.gov/transcriptome/T_rubida/S1/links/Triru/Triru-5-48-181-qual.txt","63.6")</f>
        <v>63.6</v>
      </c>
      <c r="F486" t="s">
        <v>10</v>
      </c>
      <c r="G486">
        <v>66.8</v>
      </c>
      <c r="H486">
        <v>219</v>
      </c>
      <c r="I486" t="s">
        <v>193</v>
      </c>
      <c r="J486">
        <v>219</v>
      </c>
      <c r="K486">
        <v>238</v>
      </c>
      <c r="L486">
        <v>165</v>
      </c>
      <c r="M486" t="s">
        <v>5419</v>
      </c>
      <c r="N486" s="15">
        <v>3</v>
      </c>
      <c r="O486" s="14" t="str">
        <f>HYPERLINK("http://exon.niaid.nih.gov/transcriptome/T_rubida/S1/links/Sigp/TRIRU-CONTIG_181-SigP.txt","Cyt")</f>
        <v>Cyt</v>
      </c>
      <c r="Q486" s="5" t="s">
        <v>4827</v>
      </c>
      <c r="R486" t="s">
        <v>4828</v>
      </c>
      <c r="V486" s="1" t="str">
        <f>HYPERLINK("http://exon.niaid.nih.gov/transcriptome/T_rubida/S1/links/NR/Triru-contig_181-NR.txt","hypothetical protein AXYL_05978")</f>
        <v>hypothetical protein AXYL_05978</v>
      </c>
      <c r="W486" t="str">
        <f>HYPERLINK("http://www.ncbi.nlm.nih.gov/sutils/blink.cgi?pid=311109134","8.8")</f>
        <v>8.8</v>
      </c>
      <c r="X486" t="str">
        <f>HYPERLINK("http://www.ncbi.nlm.nih.gov/protein/311109134","gi|311109134")</f>
        <v>gi|311109134</v>
      </c>
      <c r="Y486">
        <v>33.9</v>
      </c>
      <c r="Z486">
        <v>50</v>
      </c>
      <c r="AA486">
        <v>301</v>
      </c>
      <c r="AB486">
        <v>35</v>
      </c>
      <c r="AC486">
        <v>17</v>
      </c>
      <c r="AD486">
        <v>33</v>
      </c>
      <c r="AE486">
        <v>5</v>
      </c>
      <c r="AF486">
        <v>130</v>
      </c>
      <c r="AG486">
        <v>8</v>
      </c>
      <c r="AH486">
        <v>1</v>
      </c>
      <c r="AI486">
        <v>2</v>
      </c>
      <c r="AJ486" t="s">
        <v>11</v>
      </c>
      <c r="AK486">
        <v>2</v>
      </c>
      <c r="AL486" t="s">
        <v>1761</v>
      </c>
      <c r="AM486" t="s">
        <v>1762</v>
      </c>
      <c r="AN486" t="s">
        <v>1763</v>
      </c>
      <c r="AO486" s="1" t="str">
        <f>HYPERLINK("http://exon.niaid.nih.gov/transcriptome/T_rubida/S1/links/SWISSP/Triru-contig_181-SWISSP.txt","Putative UPF0479 protein YOR396C-A")</f>
        <v>Putative UPF0479 protein YOR396C-A</v>
      </c>
      <c r="AP486" t="str">
        <f>HYPERLINK("http://www.uniprot.org/uniprot/P0CL40","11")</f>
        <v>11</v>
      </c>
      <c r="AQ486" t="s">
        <v>1764</v>
      </c>
      <c r="AR486">
        <v>28.9</v>
      </c>
      <c r="AS486">
        <v>42</v>
      </c>
      <c r="AT486">
        <v>40</v>
      </c>
      <c r="AU486">
        <v>27</v>
      </c>
      <c r="AV486">
        <v>28</v>
      </c>
      <c r="AW486">
        <v>2</v>
      </c>
      <c r="AX486">
        <v>26</v>
      </c>
      <c r="AY486">
        <v>31</v>
      </c>
      <c r="AZ486">
        <v>1</v>
      </c>
      <c r="BA486">
        <v>1</v>
      </c>
      <c r="BB486" t="s">
        <v>11</v>
      </c>
      <c r="BC486">
        <v>4.7619999999999996</v>
      </c>
      <c r="BD486" t="s">
        <v>704</v>
      </c>
      <c r="BE486" t="s">
        <v>1487</v>
      </c>
      <c r="BF486" t="s">
        <v>1765</v>
      </c>
      <c r="BG486" t="s">
        <v>1766</v>
      </c>
      <c r="BH486" s="1" t="s">
        <v>57</v>
      </c>
      <c r="BI486" t="s">
        <v>57</v>
      </c>
      <c r="BJ486" s="1" t="str">
        <f>HYPERLINK("http://exon.niaid.nih.gov/transcriptome/T_rubida/S1/links/CDD/Triru-contig_181-CDD.txt","FimP")</f>
        <v>FimP</v>
      </c>
      <c r="BK486" t="str">
        <f>HYPERLINK("http://www.ncbi.nlm.nih.gov/Structure/cdd/cddsrv.cgi?uid=pfam09766&amp;version=v4.0","0.015")</f>
        <v>0.015</v>
      </c>
      <c r="BL486" t="s">
        <v>1767</v>
      </c>
      <c r="BM486" s="1" t="str">
        <f>HYPERLINK("http://exon.niaid.nih.gov/transcriptome/T_rubida/S1/links/KOG/Triru-contig_181-KOG.txt","Predicted RING-containing E3 ubiquitin ligase")</f>
        <v>Predicted RING-containing E3 ubiquitin ligase</v>
      </c>
      <c r="BN486" t="str">
        <f>HYPERLINK("http://www.ncbi.nlm.nih.gov/COG/grace/shokog.cgi?KOG1734","0.75")</f>
        <v>0.75</v>
      </c>
      <c r="BO486" t="s">
        <v>954</v>
      </c>
      <c r="BP486" s="1" t="str">
        <f>HYPERLINK("http://exon.niaid.nih.gov/transcriptome/T_rubida/S1/links/PFAM/Triru-contig_181-PFAM.txt","FimP")</f>
        <v>FimP</v>
      </c>
      <c r="BQ486" t="str">
        <f>HYPERLINK("http://pfam.sanger.ac.uk/family?acc=PF09766","0.003")</f>
        <v>0.003</v>
      </c>
      <c r="BR486" s="1" t="str">
        <f>HYPERLINK("http://exon.niaid.nih.gov/transcriptome/T_rubida/S1/links/SMART/Triru-contig_181-SMART.txt","HTH_ARAC")</f>
        <v>HTH_ARAC</v>
      </c>
      <c r="BS486" t="str">
        <f>HYPERLINK("http://smart.embl-heidelberg.de/smart/do_annotation.pl?DOMAIN=HTH_ARAC&amp;BLAST=DUMMY","0.082")</f>
        <v>0.082</v>
      </c>
      <c r="BT486" s="1" t="str">
        <f>HYPERLINK("http://exon.niaid.nih.gov/transcriptome/T_rubida/S1/links/PRK/Triru-contig_181-PRK.txt","lysine transporter")</f>
        <v>lysine transporter</v>
      </c>
      <c r="BU486">
        <v>1.5</v>
      </c>
      <c r="BV486" s="1" t="s">
        <v>57</v>
      </c>
      <c r="BW486" t="s">
        <v>57</v>
      </c>
      <c r="BX486" s="1" t="s">
        <v>57</v>
      </c>
      <c r="BY486" t="s">
        <v>57</v>
      </c>
    </row>
    <row r="487" spans="1:77">
      <c r="A487" t="str">
        <f>HYPERLINK("http://exon.niaid.nih.gov/transcriptome/T_rubida/S1/links/Triru/Triru-contig_311.txt","Triru-contig_311")</f>
        <v>Triru-contig_311</v>
      </c>
      <c r="B487">
        <v>1</v>
      </c>
      <c r="C487" t="str">
        <f>HYPERLINK("http://exon.niaid.nih.gov/transcriptome/T_rubida/S1/links/Triru/Triru-5-48-asb-311.txt","Contig-311")</f>
        <v>Contig-311</v>
      </c>
      <c r="D487" t="str">
        <f>HYPERLINK("http://exon.niaid.nih.gov/transcriptome/T_rubida/S1/links/Triru/Triru-5-48-311-CLU.txt","Contig311")</f>
        <v>Contig311</v>
      </c>
      <c r="E487" t="str">
        <f>HYPERLINK("http://exon.niaid.nih.gov/transcriptome/T_rubida/S1/links/Triru/Triru-5-48-311-qual.txt","63.6")</f>
        <v>63.6</v>
      </c>
      <c r="F487" t="s">
        <v>10</v>
      </c>
      <c r="G487">
        <v>74.5</v>
      </c>
      <c r="H487">
        <v>216</v>
      </c>
      <c r="I487" t="s">
        <v>323</v>
      </c>
      <c r="J487">
        <v>216</v>
      </c>
      <c r="K487">
        <v>235</v>
      </c>
      <c r="L487">
        <v>114</v>
      </c>
      <c r="M487" t="s">
        <v>5607</v>
      </c>
      <c r="N487" s="15">
        <v>2</v>
      </c>
      <c r="Q487" s="5" t="s">
        <v>4827</v>
      </c>
      <c r="R487" t="s">
        <v>4828</v>
      </c>
      <c r="V487" s="1" t="str">
        <f>HYPERLINK("http://exon.niaid.nih.gov/transcriptome/T_rubida/S1/links/NR/Triru-contig_311-NR.txt","hypothetical protein SNOG_14807")</f>
        <v>hypothetical protein SNOG_14807</v>
      </c>
      <c r="W487" t="str">
        <f>HYPERLINK("http://www.ncbi.nlm.nih.gov/sutils/blink.cgi?pid=169623152","8.8")</f>
        <v>8.8</v>
      </c>
      <c r="X487" t="str">
        <f>HYPERLINK("http://www.ncbi.nlm.nih.gov/protein/169623152","gi|169623152")</f>
        <v>gi|169623152</v>
      </c>
      <c r="Y487">
        <v>33.9</v>
      </c>
      <c r="Z487">
        <v>40</v>
      </c>
      <c r="AA487">
        <v>55</v>
      </c>
      <c r="AB487">
        <v>40</v>
      </c>
      <c r="AC487">
        <v>75</v>
      </c>
      <c r="AD487">
        <v>25</v>
      </c>
      <c r="AE487">
        <v>0</v>
      </c>
      <c r="AF487">
        <v>10</v>
      </c>
      <c r="AG487">
        <v>76</v>
      </c>
      <c r="AH487">
        <v>1</v>
      </c>
      <c r="AI487">
        <v>1</v>
      </c>
      <c r="AJ487" t="s">
        <v>11</v>
      </c>
      <c r="AK487">
        <v>5</v>
      </c>
      <c r="AL487" t="s">
        <v>2585</v>
      </c>
      <c r="AM487" t="s">
        <v>2586</v>
      </c>
      <c r="AN487" t="s">
        <v>2587</v>
      </c>
      <c r="AO487" s="1" t="str">
        <f>HYPERLINK("http://exon.niaid.nih.gov/transcriptome/T_rubida/S1/links/SWISSP/Triru-contig_311-SWISSP.txt","Staphylococcal secretory antigen ssaA2")</f>
        <v>Staphylococcal secretory antigen ssaA2</v>
      </c>
      <c r="AP487" t="str">
        <f>HYPERLINK("http://www.uniprot.org/uniprot/Q7A423","24")</f>
        <v>24</v>
      </c>
      <c r="AQ487" t="s">
        <v>2588</v>
      </c>
      <c r="AR487">
        <v>27.7</v>
      </c>
      <c r="AS487">
        <v>30</v>
      </c>
      <c r="AT487">
        <v>38</v>
      </c>
      <c r="AU487">
        <v>12</v>
      </c>
      <c r="AV487">
        <v>19</v>
      </c>
      <c r="AW487">
        <v>0</v>
      </c>
      <c r="AX487">
        <v>74</v>
      </c>
      <c r="AY487">
        <v>55</v>
      </c>
      <c r="AZ487">
        <v>1</v>
      </c>
      <c r="BA487">
        <v>1</v>
      </c>
      <c r="BB487" t="s">
        <v>11</v>
      </c>
      <c r="BC487">
        <v>6.6669999999999998</v>
      </c>
      <c r="BD487" t="s">
        <v>704</v>
      </c>
      <c r="BE487" t="s">
        <v>2589</v>
      </c>
      <c r="BF487" t="s">
        <v>2590</v>
      </c>
      <c r="BG487" t="s">
        <v>2591</v>
      </c>
      <c r="BH487" s="1" t="s">
        <v>57</v>
      </c>
      <c r="BI487" t="s">
        <v>57</v>
      </c>
      <c r="BJ487" s="1" t="str">
        <f>HYPERLINK("http://exon.niaid.nih.gov/transcriptome/T_rubida/S1/links/CDD/Triru-contig_311-CDD.txt","PduL")</f>
        <v>PduL</v>
      </c>
      <c r="BK487" t="str">
        <f>HYPERLINK("http://www.ncbi.nlm.nih.gov/Structure/cdd/cddsrv.cgi?uid=pfam06130&amp;version=v4.0","1.8")</f>
        <v>1.8</v>
      </c>
      <c r="BL487" t="s">
        <v>2592</v>
      </c>
      <c r="BM487" s="1" t="str">
        <f>HYPERLINK("http://exon.niaid.nih.gov/transcriptome/T_rubida/S1/links/KOG/Triru-contig_311-KOG.txt","O-acetyltransferase")</f>
        <v>O-acetyltransferase</v>
      </c>
      <c r="BN487" t="str">
        <f>HYPERLINK("http://www.ncbi.nlm.nih.gov/COG/grace/shokog.cgi?KOG1699","2.2")</f>
        <v>2.2</v>
      </c>
      <c r="BO487" t="s">
        <v>750</v>
      </c>
      <c r="BP487" s="1" t="str">
        <f>HYPERLINK("http://exon.niaid.nih.gov/transcriptome/T_rubida/S1/links/PFAM/Triru-contig_311-PFAM.txt","PduL")</f>
        <v>PduL</v>
      </c>
      <c r="BQ487" t="str">
        <f>HYPERLINK("http://pfam.sanger.ac.uk/family?acc=PF06130","0.37")</f>
        <v>0.37</v>
      </c>
      <c r="BR487" s="1" t="str">
        <f>HYPERLINK("http://exon.niaid.nih.gov/transcriptome/T_rubida/S1/links/SMART/Triru-contig_311-SMART.txt","LY")</f>
        <v>LY</v>
      </c>
      <c r="BS487" t="str">
        <f>HYPERLINK("http://smart.embl-heidelberg.de/smart/do_annotation.pl?DOMAIN=LY&amp;BLAST=DUMMY","0.36")</f>
        <v>0.36</v>
      </c>
      <c r="BT487" s="1" t="str">
        <f>HYPERLINK("http://exon.niaid.nih.gov/transcriptome/T_rubida/S1/links/PRK/Triru-contig_311-PRK.txt","putative DNA-binding transcriptional regulator")</f>
        <v>putative DNA-binding transcriptional regulator</v>
      </c>
      <c r="BU487">
        <v>0.87</v>
      </c>
      <c r="BV487" s="1" t="s">
        <v>57</v>
      </c>
      <c r="BW487" t="s">
        <v>57</v>
      </c>
      <c r="BX487" s="1" t="s">
        <v>57</v>
      </c>
      <c r="BY487" t="s">
        <v>57</v>
      </c>
    </row>
    <row r="488" spans="1:77">
      <c r="A488" t="str">
        <f>HYPERLINK("http://exon.niaid.nih.gov/transcriptome/T_rubida/S1/links/Triru/Triru-contig_280.txt","Triru-contig_280")</f>
        <v>Triru-contig_280</v>
      </c>
      <c r="B488">
        <v>1</v>
      </c>
      <c r="C488" t="str">
        <f>HYPERLINK("http://exon.niaid.nih.gov/transcriptome/T_rubida/S1/links/Triru/Triru-5-48-asb-280.txt","Contig-280")</f>
        <v>Contig-280</v>
      </c>
      <c r="D488" t="str">
        <f>HYPERLINK("http://exon.niaid.nih.gov/transcriptome/T_rubida/S1/links/Triru/Triru-5-48-280-CLU.txt","Contig280")</f>
        <v>Contig280</v>
      </c>
      <c r="E488" t="str">
        <f>HYPERLINK("http://exon.niaid.nih.gov/transcriptome/T_rubida/S1/links/Triru/Triru-5-48-280-qual.txt","29.9")</f>
        <v>29.9</v>
      </c>
      <c r="F488">
        <v>0.5</v>
      </c>
      <c r="G488">
        <v>56.5</v>
      </c>
      <c r="H488">
        <v>386</v>
      </c>
      <c r="I488" t="s">
        <v>292</v>
      </c>
      <c r="J488">
        <v>386</v>
      </c>
      <c r="K488">
        <v>405</v>
      </c>
      <c r="L488">
        <v>156</v>
      </c>
      <c r="M488" t="s">
        <v>5662</v>
      </c>
      <c r="N488" s="15">
        <v>2</v>
      </c>
      <c r="Q488" s="5" t="s">
        <v>4827</v>
      </c>
      <c r="R488" t="s">
        <v>4828</v>
      </c>
      <c r="V488" s="1" t="str">
        <f>HYPERLINK("http://exon.niaid.nih.gov/transcriptome/T_rubida/S1/links/NR/Triru-contig_280-NR.txt","hypothetical protein TTHERM_00439180")</f>
        <v>hypothetical protein TTHERM_00439180</v>
      </c>
      <c r="W488" t="str">
        <f>HYPERLINK("http://www.ncbi.nlm.nih.gov/sutils/blink.cgi?pid=118369220","8.8")</f>
        <v>8.8</v>
      </c>
      <c r="X488" t="str">
        <f>HYPERLINK("http://www.ncbi.nlm.nih.gov/protein/118369220","gi|118369220")</f>
        <v>gi|118369220</v>
      </c>
      <c r="Y488">
        <v>33.9</v>
      </c>
      <c r="Z488">
        <v>39</v>
      </c>
      <c r="AA488">
        <v>104</v>
      </c>
      <c r="AB488">
        <v>37</v>
      </c>
      <c r="AC488">
        <v>38</v>
      </c>
      <c r="AD488">
        <v>25</v>
      </c>
      <c r="AE488">
        <v>0</v>
      </c>
      <c r="AF488">
        <v>23</v>
      </c>
      <c r="AG488">
        <v>2</v>
      </c>
      <c r="AH488">
        <v>1</v>
      </c>
      <c r="AI488">
        <v>2</v>
      </c>
      <c r="AJ488" t="s">
        <v>11</v>
      </c>
      <c r="AL488" t="s">
        <v>2366</v>
      </c>
      <c r="AM488" t="s">
        <v>2367</v>
      </c>
      <c r="AN488" t="s">
        <v>2368</v>
      </c>
      <c r="AO488" s="1" t="str">
        <f>HYPERLINK("http://exon.niaid.nih.gov/transcriptome/T_rubida/S1/links/SWISSP/Triru-contig_280-SWISSP.txt","UPF0187 protein alr2987")</f>
        <v>UPF0187 protein alr2987</v>
      </c>
      <c r="AP488" t="str">
        <f>HYPERLINK("http://www.uniprot.org/uniprot/Q8YSU5","4.7")</f>
        <v>4.7</v>
      </c>
      <c r="AQ488" t="s">
        <v>2369</v>
      </c>
      <c r="AR488">
        <v>30</v>
      </c>
      <c r="AS488">
        <v>41</v>
      </c>
      <c r="AT488">
        <v>40</v>
      </c>
      <c r="AU488">
        <v>14</v>
      </c>
      <c r="AV488">
        <v>30</v>
      </c>
      <c r="AW488">
        <v>0</v>
      </c>
      <c r="AX488">
        <v>88</v>
      </c>
      <c r="AY488">
        <v>101</v>
      </c>
      <c r="AZ488">
        <v>1</v>
      </c>
      <c r="BA488">
        <v>2</v>
      </c>
      <c r="BB488" t="s">
        <v>11</v>
      </c>
      <c r="BC488">
        <v>2.4390000000000001</v>
      </c>
      <c r="BD488" t="s">
        <v>704</v>
      </c>
      <c r="BE488" t="s">
        <v>2370</v>
      </c>
      <c r="BF488" t="s">
        <v>2371</v>
      </c>
      <c r="BG488" t="s">
        <v>2372</v>
      </c>
      <c r="BH488" s="1" t="s">
        <v>57</v>
      </c>
      <c r="BI488" t="s">
        <v>57</v>
      </c>
      <c r="BJ488" s="1" t="str">
        <f>HYPERLINK("http://exon.niaid.nih.gov/transcriptome/T_rubida/S1/links/CDD/Triru-contig_280-CDD.txt","Pombe_5TM")</f>
        <v>Pombe_5TM</v>
      </c>
      <c r="BK488" t="str">
        <f>HYPERLINK("http://www.ncbi.nlm.nih.gov/Structure/cdd/cddsrv.cgi?uid=pfam09437&amp;version=v4.0","0.16")</f>
        <v>0.16</v>
      </c>
      <c r="BL488" t="s">
        <v>2373</v>
      </c>
      <c r="BM488" s="1" t="str">
        <f>HYPERLINK("http://exon.niaid.nih.gov/transcriptome/T_rubida/S1/links/KOG/Triru-contig_280-KOG.txt","Tyrosine kinase negative regulator CBL")</f>
        <v>Tyrosine kinase negative regulator CBL</v>
      </c>
      <c r="BN488" t="str">
        <f>HYPERLINK("http://www.ncbi.nlm.nih.gov/COG/grace/shokog.cgi?KOG1785","0.53")</f>
        <v>0.53</v>
      </c>
      <c r="BO488" t="s">
        <v>2309</v>
      </c>
      <c r="BP488" s="1" t="str">
        <f>HYPERLINK("http://exon.niaid.nih.gov/transcriptome/T_rubida/S1/links/PFAM/Triru-contig_280-PFAM.txt","Pombe_5TM")</f>
        <v>Pombe_5TM</v>
      </c>
      <c r="BQ488" t="str">
        <f>HYPERLINK("http://pfam.sanger.ac.uk/family?acc=PF09437","0.035")</f>
        <v>0.035</v>
      </c>
      <c r="BR488" s="1" t="str">
        <f>HYPERLINK("http://exon.niaid.nih.gov/transcriptome/T_rubida/S1/links/SMART/Triru-contig_280-SMART.txt","IB")</f>
        <v>IB</v>
      </c>
      <c r="BS488" t="str">
        <f>HYPERLINK("http://smart.embl-heidelberg.de/smart/do_annotation.pl?DOMAIN=IB&amp;BLAST=DUMMY","0.064")</f>
        <v>0.064</v>
      </c>
      <c r="BT488" s="1" t="str">
        <f>HYPERLINK("http://exon.niaid.nih.gov/transcriptome/T_rubida/S1/links/PRK/Triru-contig_280-PRK.txt","G protein-coupled chemokine receptor-like protein")</f>
        <v>G protein-coupled chemokine receptor-like protein</v>
      </c>
      <c r="BU488">
        <v>0.11</v>
      </c>
      <c r="BV488" s="1" t="s">
        <v>57</v>
      </c>
      <c r="BW488" t="s">
        <v>57</v>
      </c>
      <c r="BX488" s="1" t="s">
        <v>57</v>
      </c>
      <c r="BY488" t="s">
        <v>57</v>
      </c>
    </row>
    <row r="489" spans="1:77">
      <c r="A489" t="str">
        <f>HYPERLINK("http://exon.niaid.nih.gov/transcriptome/T_rubida/S1/links/Triru/Triru-contig_164.txt","Triru-contig_164")</f>
        <v>Triru-contig_164</v>
      </c>
      <c r="B489">
        <v>1</v>
      </c>
      <c r="C489" t="str">
        <f>HYPERLINK("http://exon.niaid.nih.gov/transcriptome/T_rubida/S1/links/Triru/Triru-5-48-asb-164.txt","Contig-164")</f>
        <v>Contig-164</v>
      </c>
      <c r="D489" t="str">
        <f>HYPERLINK("http://exon.niaid.nih.gov/transcriptome/T_rubida/S1/links/Triru/Triru-5-48-164-CLU.txt","Contig164")</f>
        <v>Contig164</v>
      </c>
      <c r="E489" t="str">
        <f>HYPERLINK("http://exon.niaid.nih.gov/transcriptome/T_rubida/S1/links/Triru/Triru-5-48-164-qual.txt","21.6")</f>
        <v>21.6</v>
      </c>
      <c r="F489" t="s">
        <v>10</v>
      </c>
      <c r="G489">
        <v>71.599999999999994</v>
      </c>
      <c r="H489">
        <v>189</v>
      </c>
      <c r="I489" t="s">
        <v>176</v>
      </c>
      <c r="J489">
        <v>189</v>
      </c>
      <c r="K489">
        <v>208</v>
      </c>
      <c r="L489">
        <v>87</v>
      </c>
      <c r="M489" t="s">
        <v>5679</v>
      </c>
      <c r="N489" s="15">
        <v>1</v>
      </c>
      <c r="Q489" s="5" t="s">
        <v>4827</v>
      </c>
      <c r="R489" t="s">
        <v>4828</v>
      </c>
      <c r="V489" s="1" t="str">
        <f>HYPERLINK("http://exon.niaid.nih.gov/transcriptome/T_rubida/S1/links/NR/Triru-contig_164-NR.txt","unnamed protein product")</f>
        <v>unnamed protein product</v>
      </c>
      <c r="W489" t="str">
        <f>HYPERLINK("http://www.ncbi.nlm.nih.gov/sutils/blink.cgi?pid=270046168","8.8")</f>
        <v>8.8</v>
      </c>
      <c r="X489" t="str">
        <f>HYPERLINK("http://www.ncbi.nlm.nih.gov/protein/270046168","gi|270046168")</f>
        <v>gi|270046168</v>
      </c>
      <c r="Y489">
        <v>33.9</v>
      </c>
      <c r="Z489">
        <v>31</v>
      </c>
      <c r="AA489">
        <v>177</v>
      </c>
      <c r="AB489">
        <v>46</v>
      </c>
      <c r="AC489">
        <v>18</v>
      </c>
      <c r="AD489">
        <v>17</v>
      </c>
      <c r="AE489">
        <v>0</v>
      </c>
      <c r="AF489">
        <v>145</v>
      </c>
      <c r="AG489">
        <v>25</v>
      </c>
      <c r="AH489">
        <v>1</v>
      </c>
      <c r="AI489">
        <v>1</v>
      </c>
      <c r="AJ489" t="s">
        <v>11</v>
      </c>
      <c r="AK489">
        <v>3.226</v>
      </c>
      <c r="AL489" t="s">
        <v>700</v>
      </c>
      <c r="AM489" t="s">
        <v>1665</v>
      </c>
      <c r="AN489" t="s">
        <v>1666</v>
      </c>
      <c r="AO489" s="1" t="str">
        <f>HYPERLINK("http://exon.niaid.nih.gov/transcriptome/T_rubida/S1/links/SWISSP/Triru-contig_164-SWISSP.txt","Uncharacterized protein in nifH2 5'region")</f>
        <v>Uncharacterized protein in nifH2 5'region</v>
      </c>
      <c r="AP489" t="str">
        <f>HYPERLINK("http://www.uniprot.org/uniprot/P54805","68")</f>
        <v>68</v>
      </c>
      <c r="AQ489" t="s">
        <v>1667</v>
      </c>
      <c r="AR489">
        <v>26.2</v>
      </c>
      <c r="AS489">
        <v>29</v>
      </c>
      <c r="AT489">
        <v>33</v>
      </c>
      <c r="AU489">
        <v>16</v>
      </c>
      <c r="AV489">
        <v>20</v>
      </c>
      <c r="AW489">
        <v>0</v>
      </c>
      <c r="AX489">
        <v>67</v>
      </c>
      <c r="AY489">
        <v>8</v>
      </c>
      <c r="AZ489">
        <v>1</v>
      </c>
      <c r="BA489">
        <v>2</v>
      </c>
      <c r="BB489" t="s">
        <v>11</v>
      </c>
      <c r="BC489">
        <v>3.448</v>
      </c>
      <c r="BD489" t="s">
        <v>704</v>
      </c>
      <c r="BE489" t="s">
        <v>1668</v>
      </c>
      <c r="BF489" t="s">
        <v>1669</v>
      </c>
      <c r="BG489" t="s">
        <v>1670</v>
      </c>
      <c r="BH489" s="1" t="s">
        <v>57</v>
      </c>
      <c r="BI489" t="s">
        <v>57</v>
      </c>
      <c r="BJ489" s="1" t="str">
        <f>HYPERLINK("http://exon.niaid.nih.gov/transcriptome/T_rubida/S1/links/CDD/Triru-contig_164-CDD.txt","Papilloma_E5")</f>
        <v>Papilloma_E5</v>
      </c>
      <c r="BK489" t="str">
        <f>HYPERLINK("http://www.ncbi.nlm.nih.gov/Structure/cdd/cddsrv.cgi?uid=pfam03025&amp;version=v4.0","2.3")</f>
        <v>2.3</v>
      </c>
      <c r="BL489" t="s">
        <v>1671</v>
      </c>
      <c r="BM489" s="1" t="str">
        <f>HYPERLINK("http://exon.niaid.nih.gov/transcriptome/T_rubida/S1/links/KOG/Triru-contig_164-KOG.txt","GDP-fucose transporter")</f>
        <v>GDP-fucose transporter</v>
      </c>
      <c r="BN489" t="str">
        <f>HYPERLINK("http://www.ncbi.nlm.nih.gov/COG/grace/shokog.cgi?KOG1442","0.92")</f>
        <v>0.92</v>
      </c>
      <c r="BO489" t="s">
        <v>1672</v>
      </c>
      <c r="BP489" s="1" t="str">
        <f>HYPERLINK("http://exon.niaid.nih.gov/transcriptome/T_rubida/S1/links/PFAM/Triru-contig_164-PFAM.txt","Papilloma_E5")</f>
        <v>Papilloma_E5</v>
      </c>
      <c r="BQ489" t="str">
        <f>HYPERLINK("http://pfam.sanger.ac.uk/family?acc=PF03025","0.48")</f>
        <v>0.48</v>
      </c>
      <c r="BR489" s="1" t="str">
        <f>HYPERLINK("http://exon.niaid.nih.gov/transcriptome/T_rubida/S1/links/SMART/Triru-contig_164-SMART.txt","LITAF")</f>
        <v>LITAF</v>
      </c>
      <c r="BS489" t="str">
        <f>HYPERLINK("http://smart.embl-heidelberg.de/smart/do_annotation.pl?DOMAIN=LITAF&amp;BLAST=DUMMY","0.13")</f>
        <v>0.13</v>
      </c>
      <c r="BT489" s="1" t="str">
        <f>HYPERLINK("http://exon.niaid.nih.gov/transcriptome/T_rubida/S1/links/PRK/Triru-contig_164-PRK.txt","tol-pal system protein YbgF")</f>
        <v>tol-pal system protein YbgF</v>
      </c>
      <c r="BU489">
        <v>1.5</v>
      </c>
      <c r="BV489" s="1" t="s">
        <v>57</v>
      </c>
      <c r="BW489" t="s">
        <v>57</v>
      </c>
      <c r="BX489" s="1" t="s">
        <v>57</v>
      </c>
      <c r="BY489" t="s">
        <v>57</v>
      </c>
    </row>
    <row r="490" spans="1:77">
      <c r="A490" t="str">
        <f>HYPERLINK("http://exon.niaid.nih.gov/transcriptome/T_rubida/S1/links/Triru/Triru-contig_138.txt","Triru-contig_138")</f>
        <v>Triru-contig_138</v>
      </c>
      <c r="B490">
        <v>2</v>
      </c>
      <c r="C490" t="str">
        <f>HYPERLINK("http://exon.niaid.nih.gov/transcriptome/T_rubida/S1/links/Triru/Triru-5-48-asb-138.txt","Contig-138")</f>
        <v>Contig-138</v>
      </c>
      <c r="D490" t="str">
        <f>HYPERLINK("http://exon.niaid.nih.gov/transcriptome/T_rubida/S1/links/Triru/Triru-5-48-138-CLU.txt","Contig138")</f>
        <v>Contig138</v>
      </c>
      <c r="E490" t="str">
        <f>HYPERLINK("http://exon.niaid.nih.gov/transcriptome/T_rubida/S1/links/Triru/Triru-5-48-138-qual.txt","42.5")</f>
        <v>42.5</v>
      </c>
      <c r="F490" t="s">
        <v>10</v>
      </c>
      <c r="G490">
        <v>73.900000000000006</v>
      </c>
      <c r="H490">
        <v>376</v>
      </c>
      <c r="I490" t="s">
        <v>150</v>
      </c>
      <c r="J490">
        <v>376</v>
      </c>
      <c r="K490">
        <v>395</v>
      </c>
      <c r="L490">
        <v>159</v>
      </c>
      <c r="M490" t="s">
        <v>5473</v>
      </c>
      <c r="N490" s="15">
        <v>3</v>
      </c>
      <c r="Q490" s="5" t="s">
        <v>4827</v>
      </c>
      <c r="R490" t="s">
        <v>4828</v>
      </c>
      <c r="V490" s="1" t="str">
        <f>HYPERLINK("http://exon.niaid.nih.gov/transcriptome/T_rubida/S1/links/NR/Triru-contig_138-NR.txt","hypothetical protein PAa_0709")</f>
        <v>hypothetical protein PAa_0709</v>
      </c>
      <c r="W490" t="str">
        <f>HYPERLINK("http://www.ncbi.nlm.nih.gov/sutils/blink.cgi?pid=197294743","8.9")</f>
        <v>8.9</v>
      </c>
      <c r="X490" t="str">
        <f>HYPERLINK("http://www.ncbi.nlm.nih.gov/protein/197294743","gi|197294743")</f>
        <v>gi|197294743</v>
      </c>
      <c r="Y490">
        <v>33.9</v>
      </c>
      <c r="Z490">
        <v>76</v>
      </c>
      <c r="AA490">
        <v>102</v>
      </c>
      <c r="AB490">
        <v>32</v>
      </c>
      <c r="AC490">
        <v>75</v>
      </c>
      <c r="AD490">
        <v>56</v>
      </c>
      <c r="AE490">
        <v>0</v>
      </c>
      <c r="AF490">
        <v>11</v>
      </c>
      <c r="AG490">
        <v>9</v>
      </c>
      <c r="AH490">
        <v>1</v>
      </c>
      <c r="AI490">
        <v>3</v>
      </c>
      <c r="AJ490" t="s">
        <v>11</v>
      </c>
      <c r="AK490">
        <v>2.6320000000000001</v>
      </c>
      <c r="AL490" t="s">
        <v>1521</v>
      </c>
      <c r="AM490" t="s">
        <v>1522</v>
      </c>
      <c r="AN490" t="s">
        <v>1523</v>
      </c>
      <c r="AO490" s="1" t="str">
        <f>HYPERLINK("http://exon.niaid.nih.gov/transcriptome/T_rubida/S1/links/SWISSP/Triru-contig_138-SWISSP.txt","Uncharacterized MFS-type transporter yfmI")</f>
        <v>Uncharacterized MFS-type transporter yfmI</v>
      </c>
      <c r="AP490" t="str">
        <f>HYPERLINK("http://www.uniprot.org/uniprot/O34440","8.0")</f>
        <v>8.0</v>
      </c>
      <c r="AQ490" t="s">
        <v>1524</v>
      </c>
      <c r="AR490">
        <v>29.3</v>
      </c>
      <c r="AS490">
        <v>61</v>
      </c>
      <c r="AT490">
        <v>36</v>
      </c>
      <c r="AU490">
        <v>15</v>
      </c>
      <c r="AV490">
        <v>42</v>
      </c>
      <c r="AW490">
        <v>4</v>
      </c>
      <c r="AX490">
        <v>16</v>
      </c>
      <c r="AY490">
        <v>13</v>
      </c>
      <c r="AZ490">
        <v>1</v>
      </c>
      <c r="BA490">
        <v>1</v>
      </c>
      <c r="BB490" t="s">
        <v>11</v>
      </c>
      <c r="BC490">
        <v>4.9180000000000001</v>
      </c>
      <c r="BD490" t="s">
        <v>704</v>
      </c>
      <c r="BE490" t="s">
        <v>1525</v>
      </c>
      <c r="BF490" t="s">
        <v>1526</v>
      </c>
      <c r="BG490" t="s">
        <v>1527</v>
      </c>
      <c r="BH490" s="1" t="s">
        <v>57</v>
      </c>
      <c r="BI490" t="s">
        <v>57</v>
      </c>
      <c r="BJ490" s="1" t="str">
        <f>HYPERLINK("http://exon.niaid.nih.gov/transcriptome/T_rubida/S1/links/CDD/Triru-contig_138-CDD.txt","ATP6")</f>
        <v>ATP6</v>
      </c>
      <c r="BK490" t="str">
        <f>HYPERLINK("http://www.ncbi.nlm.nih.gov/Structure/cdd/cddsrv.cgi?uid=MTH00087&amp;version=v4.0","0.022")</f>
        <v>0.022</v>
      </c>
      <c r="BL490" t="s">
        <v>1528</v>
      </c>
      <c r="BM490" s="1" t="str">
        <f>HYPERLINK("http://exon.niaid.nih.gov/transcriptome/T_rubida/S1/links/KOG/Triru-contig_138-KOG.txt","Ferric reductase, NADH/NADPH oxidase and related proteins")</f>
        <v>Ferric reductase, NADH/NADPH oxidase and related proteins</v>
      </c>
      <c r="BN490" t="str">
        <f>HYPERLINK("http://www.ncbi.nlm.nih.gov/COG/grace/shokog.cgi?KOG0039","0.48")</f>
        <v>0.48</v>
      </c>
      <c r="BO490" t="s">
        <v>1529</v>
      </c>
      <c r="BP490" s="1" t="str">
        <f>HYPERLINK("http://exon.niaid.nih.gov/transcriptome/T_rubida/S1/links/PFAM/Triru-contig_138-PFAM.txt","Seipin")</f>
        <v>Seipin</v>
      </c>
      <c r="BQ490" t="str">
        <f>HYPERLINK("http://pfam.sanger.ac.uk/family?acc=PF06775","0.064")</f>
        <v>0.064</v>
      </c>
      <c r="BR490" s="1" t="str">
        <f>HYPERLINK("http://exon.niaid.nih.gov/transcriptome/T_rubida/S1/links/SMART/Triru-contig_138-SMART.txt","AgrB")</f>
        <v>AgrB</v>
      </c>
      <c r="BS490" t="str">
        <f>HYPERLINK("http://smart.embl-heidelberg.de/smart/do_annotation.pl?DOMAIN=AgrB&amp;BLAST=DUMMY","0.080")</f>
        <v>0.080</v>
      </c>
      <c r="BT490" s="1" t="str">
        <f>HYPERLINK("http://exon.niaid.nih.gov/transcriptome/T_rubida/S1/links/PRK/Triru-contig_138-PRK.txt","ATP synthase F0 subunit 6")</f>
        <v>ATP synthase F0 subunit 6</v>
      </c>
      <c r="BU490">
        <v>1.0999999999999999E-2</v>
      </c>
      <c r="BV490" s="1" t="s">
        <v>57</v>
      </c>
      <c r="BW490" t="s">
        <v>57</v>
      </c>
      <c r="BX490" s="1" t="s">
        <v>57</v>
      </c>
      <c r="BY490" t="s">
        <v>57</v>
      </c>
    </row>
    <row r="491" spans="1:77">
      <c r="A491" t="str">
        <f>HYPERLINK("http://exon.niaid.nih.gov/transcriptome/T_rubida/S1/links/Triru/Triru-contig_628.txt","Triru-contig_628")</f>
        <v>Triru-contig_628</v>
      </c>
      <c r="B491">
        <v>1</v>
      </c>
      <c r="C491" t="str">
        <f>HYPERLINK("http://exon.niaid.nih.gov/transcriptome/T_rubida/S1/links/Triru/Triru-5-48-asb-628.txt","Contig-628")</f>
        <v>Contig-628</v>
      </c>
      <c r="D491" t="str">
        <f>HYPERLINK("http://exon.niaid.nih.gov/transcriptome/T_rubida/S1/links/Triru/Triru-5-48-628-CLU.txt","Contig628")</f>
        <v>Contig628</v>
      </c>
      <c r="E491" t="str">
        <f>HYPERLINK("http://exon.niaid.nih.gov/transcriptome/T_rubida/S1/links/Triru/Triru-5-48-628-qual.txt","24.")</f>
        <v>24.</v>
      </c>
      <c r="F491" t="s">
        <v>10</v>
      </c>
      <c r="G491">
        <v>54.5</v>
      </c>
      <c r="H491">
        <v>377</v>
      </c>
      <c r="I491" t="s">
        <v>640</v>
      </c>
      <c r="J491">
        <v>377</v>
      </c>
      <c r="K491">
        <v>396</v>
      </c>
      <c r="L491">
        <v>213</v>
      </c>
      <c r="M491" t="s">
        <v>5519</v>
      </c>
      <c r="N491" s="15">
        <v>3</v>
      </c>
      <c r="O491" s="14" t="str">
        <f>HYPERLINK("http://exon.niaid.nih.gov/transcriptome/T_rubida/S1/links/Sigp/TRIRU-CONTIG_628-SigP.txt","Cyt")</f>
        <v>Cyt</v>
      </c>
      <c r="Q491" s="5" t="s">
        <v>4827</v>
      </c>
      <c r="R491" t="s">
        <v>4828</v>
      </c>
      <c r="V491" s="1" t="str">
        <f>HYPERLINK("http://exon.niaid.nih.gov/transcriptome/T_rubida/S1/links/NR/Triru-contig_628-NR.txt","selenocysteine lyase")</f>
        <v>selenocysteine lyase</v>
      </c>
      <c r="W491" t="str">
        <f>HYPERLINK("http://www.ncbi.nlm.nih.gov/sutils/blink.cgi?pid=85375377","8.9")</f>
        <v>8.9</v>
      </c>
      <c r="X491" t="str">
        <f>HYPERLINK("http://www.ncbi.nlm.nih.gov/protein/85375377","gi|85375377")</f>
        <v>gi|85375377</v>
      </c>
      <c r="Y491">
        <v>33.9</v>
      </c>
      <c r="Z491">
        <v>23</v>
      </c>
      <c r="AA491">
        <v>399</v>
      </c>
      <c r="AB491">
        <v>50</v>
      </c>
      <c r="AC491">
        <v>6</v>
      </c>
      <c r="AD491">
        <v>12</v>
      </c>
      <c r="AE491">
        <v>0</v>
      </c>
      <c r="AF491">
        <v>129</v>
      </c>
      <c r="AG491">
        <v>180</v>
      </c>
      <c r="AH491">
        <v>1</v>
      </c>
      <c r="AI491">
        <v>3</v>
      </c>
      <c r="AJ491" t="s">
        <v>11</v>
      </c>
      <c r="AL491" t="s">
        <v>4662</v>
      </c>
      <c r="AM491" t="s">
        <v>4663</v>
      </c>
      <c r="AN491" t="s">
        <v>4664</v>
      </c>
      <c r="AO491" s="1" t="str">
        <f>HYPERLINK("http://exon.niaid.nih.gov/transcriptome/T_rubida/S1/links/SWISSP/Triru-contig_628-SWISSP.txt","DNA ligase")</f>
        <v>DNA ligase</v>
      </c>
      <c r="AP491" t="str">
        <f>HYPERLINK("http://www.uniprot.org/uniprot/A1WRA7","3.6")</f>
        <v>3.6</v>
      </c>
      <c r="AQ491" t="s">
        <v>4665</v>
      </c>
      <c r="AR491">
        <v>30.4</v>
      </c>
      <c r="AS491">
        <v>51</v>
      </c>
      <c r="AT491">
        <v>36</v>
      </c>
      <c r="AU491">
        <v>8</v>
      </c>
      <c r="AV491">
        <v>33</v>
      </c>
      <c r="AW491">
        <v>2</v>
      </c>
      <c r="AX491">
        <v>260</v>
      </c>
      <c r="AY491">
        <v>84</v>
      </c>
      <c r="AZ491">
        <v>1</v>
      </c>
      <c r="BA491">
        <v>3</v>
      </c>
      <c r="BB491" t="s">
        <v>11</v>
      </c>
      <c r="BC491">
        <v>1.9610000000000001</v>
      </c>
      <c r="BD491" t="s">
        <v>704</v>
      </c>
      <c r="BE491" t="s">
        <v>4666</v>
      </c>
      <c r="BF491" t="s">
        <v>4667</v>
      </c>
      <c r="BG491" t="s">
        <v>4668</v>
      </c>
      <c r="BH491" s="1" t="s">
        <v>57</v>
      </c>
      <c r="BI491" t="s">
        <v>57</v>
      </c>
      <c r="BJ491" s="1" t="str">
        <f>HYPERLINK("http://exon.niaid.nih.gov/transcriptome/T_rubida/S1/links/CDD/Triru-contig_628-CDD.txt","PRK03202")</f>
        <v>PRK03202</v>
      </c>
      <c r="BK491" t="str">
        <f>HYPERLINK("http://www.ncbi.nlm.nih.gov/Structure/cdd/cddsrv.cgi?uid=PRK03202&amp;version=v4.0","0.17")</f>
        <v>0.17</v>
      </c>
      <c r="BL491" t="s">
        <v>4669</v>
      </c>
      <c r="BM491" s="1" t="str">
        <f>HYPERLINK("http://exon.niaid.nih.gov/transcriptome/T_rubida/S1/links/KOG/Triru-contig_628-KOG.txt","Predicted cleavage and polyadenylation specificity factor (CPSF subunit)")</f>
        <v>Predicted cleavage and polyadenylation specificity factor (CPSF subunit)</v>
      </c>
      <c r="BN491" t="str">
        <f>HYPERLINK("http://www.ncbi.nlm.nih.gov/COG/grace/shokog.cgi?KOG1136","0.10")</f>
        <v>0.10</v>
      </c>
      <c r="BO491" t="s">
        <v>1002</v>
      </c>
      <c r="BP491" s="1" t="str">
        <f>HYPERLINK("http://exon.niaid.nih.gov/transcriptome/T_rubida/S1/links/PFAM/Triru-contig_628-PFAM.txt","Radical_SAM_N")</f>
        <v>Radical_SAM_N</v>
      </c>
      <c r="BQ491" t="str">
        <f>HYPERLINK("http://pfam.sanger.ac.uk/family?acc=PF08497","0.082")</f>
        <v>0.082</v>
      </c>
      <c r="BR491" s="1" t="str">
        <f>HYPERLINK("http://exon.niaid.nih.gov/transcriptome/T_rubida/S1/links/SMART/Triru-contig_628-SMART.txt","LITAF")</f>
        <v>LITAF</v>
      </c>
      <c r="BS491" t="str">
        <f>HYPERLINK("http://smart.embl-heidelberg.de/smart/do_annotation.pl?DOMAIN=LITAF&amp;BLAST=DUMMY","0.054")</f>
        <v>0.054</v>
      </c>
      <c r="BT491" s="1" t="str">
        <f>HYPERLINK("http://exon.niaid.nih.gov/transcriptome/T_rubida/S1/links/PRK/Triru-contig_628-PRK.txt","6-phosphofructokinase")</f>
        <v>6-phosphofructokinase</v>
      </c>
      <c r="BU491">
        <v>0.08</v>
      </c>
      <c r="BV491" s="1" t="s">
        <v>57</v>
      </c>
      <c r="BW491" t="s">
        <v>57</v>
      </c>
      <c r="BX491" s="1" t="s">
        <v>57</v>
      </c>
      <c r="BY491" t="s">
        <v>57</v>
      </c>
    </row>
    <row r="492" spans="1:77">
      <c r="A492" t="str">
        <f>HYPERLINK("http://exon.niaid.nih.gov/transcriptome/T_rubida/S1/links/Triru/Triru-contig_405.txt","Triru-contig_405")</f>
        <v>Triru-contig_405</v>
      </c>
      <c r="B492">
        <v>1</v>
      </c>
      <c r="C492" t="str">
        <f>HYPERLINK("http://exon.niaid.nih.gov/transcriptome/T_rubida/S1/links/Triru/Triru-5-48-asb-405.txt","Contig-405")</f>
        <v>Contig-405</v>
      </c>
      <c r="D492" t="str">
        <f>HYPERLINK("http://exon.niaid.nih.gov/transcriptome/T_rubida/S1/links/Triru/Triru-5-48-405-CLU.txt","Contig405")</f>
        <v>Contig405</v>
      </c>
      <c r="E492" t="str">
        <f>HYPERLINK("http://exon.niaid.nih.gov/transcriptome/T_rubida/S1/links/Triru/Triru-5-48-405-qual.txt","64.7")</f>
        <v>64.7</v>
      </c>
      <c r="F492" t="s">
        <v>10</v>
      </c>
      <c r="G492">
        <v>69.8</v>
      </c>
      <c r="H492">
        <v>405</v>
      </c>
      <c r="I492" t="s">
        <v>417</v>
      </c>
      <c r="J492">
        <v>405</v>
      </c>
      <c r="K492">
        <v>424</v>
      </c>
      <c r="L492">
        <v>117</v>
      </c>
      <c r="M492" t="s">
        <v>5628</v>
      </c>
      <c r="N492" s="15">
        <v>3</v>
      </c>
      <c r="Q492" s="5" t="s">
        <v>4827</v>
      </c>
      <c r="R492" t="s">
        <v>4828</v>
      </c>
      <c r="V492" s="1" t="str">
        <f>HYPERLINK("http://exon.niaid.nih.gov/transcriptome/T_rubida/S1/links/NR/Triru-contig_405-NR.txt","hypothetical protein, conserved in Apicomplexan species")</f>
        <v>hypothetical protein, conserved in Apicomplexan species</v>
      </c>
      <c r="W492" t="str">
        <f>HYPERLINK("http://www.ncbi.nlm.nih.gov/sutils/blink.cgi?pid=221061751","8.9")</f>
        <v>8.9</v>
      </c>
      <c r="X492" t="str">
        <f>HYPERLINK("http://www.ncbi.nlm.nih.gov/protein/221061751","gi|221061751")</f>
        <v>gi|221061751</v>
      </c>
      <c r="Y492">
        <v>33.9</v>
      </c>
      <c r="Z492">
        <v>56</v>
      </c>
      <c r="AA492">
        <v>941</v>
      </c>
      <c r="AB492">
        <v>26</v>
      </c>
      <c r="AC492">
        <v>6</v>
      </c>
      <c r="AD492">
        <v>42</v>
      </c>
      <c r="AE492">
        <v>0</v>
      </c>
      <c r="AF492">
        <v>667</v>
      </c>
      <c r="AG492">
        <v>153</v>
      </c>
      <c r="AH492">
        <v>1</v>
      </c>
      <c r="AI492">
        <v>3</v>
      </c>
      <c r="AJ492" t="s">
        <v>11</v>
      </c>
      <c r="AK492">
        <v>1.786</v>
      </c>
      <c r="AL492" t="s">
        <v>3226</v>
      </c>
      <c r="AM492" t="s">
        <v>3227</v>
      </c>
      <c r="AN492" t="s">
        <v>3228</v>
      </c>
      <c r="AO492" s="1" t="str">
        <f>HYPERLINK("http://exon.niaid.nih.gov/transcriptome/T_rubida/S1/links/SWISSP/Triru-contig_405-SWISSP.txt","Phosphoenolpyruvate carboxylase")</f>
        <v>Phosphoenolpyruvate carboxylase</v>
      </c>
      <c r="AP492" t="str">
        <f>HYPERLINK("http://www.uniprot.org/uniprot/Q8DV10","1.6")</f>
        <v>1.6</v>
      </c>
      <c r="AQ492" t="s">
        <v>3229</v>
      </c>
      <c r="AR492">
        <v>31.6</v>
      </c>
      <c r="AS492">
        <v>54</v>
      </c>
      <c r="AT492">
        <v>29</v>
      </c>
      <c r="AU492">
        <v>6</v>
      </c>
      <c r="AV492">
        <v>39</v>
      </c>
      <c r="AW492">
        <v>5</v>
      </c>
      <c r="AX492">
        <v>280</v>
      </c>
      <c r="AY492">
        <v>177</v>
      </c>
      <c r="AZ492">
        <v>1</v>
      </c>
      <c r="BA492">
        <v>3</v>
      </c>
      <c r="BB492" t="s">
        <v>11</v>
      </c>
      <c r="BC492">
        <v>1.8520000000000001</v>
      </c>
      <c r="BD492" t="s">
        <v>704</v>
      </c>
      <c r="BE492" t="s">
        <v>3230</v>
      </c>
      <c r="BF492" t="s">
        <v>3231</v>
      </c>
      <c r="BG492" t="s">
        <v>3232</v>
      </c>
      <c r="BH492" s="1" t="s">
        <v>57</v>
      </c>
      <c r="BI492" t="s">
        <v>57</v>
      </c>
      <c r="BJ492" s="1" t="str">
        <f>HYPERLINK("http://exon.niaid.nih.gov/transcriptome/T_rubida/S1/links/CDD/Triru-contig_405-CDD.txt","COG4906")</f>
        <v>COG4906</v>
      </c>
      <c r="BK492" t="str">
        <f>HYPERLINK("http://www.ncbi.nlm.nih.gov/Structure/cdd/cddsrv.cgi?uid=COG4906&amp;version=v4.0","2.4")</f>
        <v>2.4</v>
      </c>
      <c r="BL492" t="s">
        <v>3233</v>
      </c>
      <c r="BM492" s="1" t="str">
        <f>HYPERLINK("http://exon.niaid.nih.gov/transcriptome/T_rubida/S1/links/KOG/Triru-contig_405-KOG.txt","Uncharacterized conserved protein")</f>
        <v>Uncharacterized conserved protein</v>
      </c>
      <c r="BN492" t="str">
        <f>HYPERLINK("http://www.ncbi.nlm.nih.gov/COG/grace/shokog.cgi?KOG4539","2.8")</f>
        <v>2.8</v>
      </c>
      <c r="BO492" t="s">
        <v>737</v>
      </c>
      <c r="BP492" s="1" t="str">
        <f>HYPERLINK("http://exon.niaid.nih.gov/transcriptome/T_rubida/S1/links/PFAM/Triru-contig_405-PFAM.txt","MSG")</f>
        <v>MSG</v>
      </c>
      <c r="BQ492" t="str">
        <f>HYPERLINK("http://pfam.sanger.ac.uk/family?acc=PF02349","0.57")</f>
        <v>0.57</v>
      </c>
      <c r="BR492" s="1" t="str">
        <f>HYPERLINK("http://exon.niaid.nih.gov/transcriptome/T_rubida/S1/links/SMART/Triru-contig_405-SMART.txt","SO")</f>
        <v>SO</v>
      </c>
      <c r="BS492" t="str">
        <f>HYPERLINK("http://smart.embl-heidelberg.de/smart/do_annotation.pl?DOMAIN=SO&amp;BLAST=DUMMY","0.074")</f>
        <v>0.074</v>
      </c>
      <c r="BT492" s="1" t="str">
        <f>HYPERLINK("http://exon.niaid.nih.gov/transcriptome/T_rubida/S1/links/PRK/Triru-contig_405-PRK.txt","cysteinyl-tRNA-synthetase")</f>
        <v>cysteinyl-tRNA-synthetase</v>
      </c>
      <c r="BU492">
        <v>1.8</v>
      </c>
      <c r="BV492" s="1" t="s">
        <v>57</v>
      </c>
      <c r="BW492" t="s">
        <v>57</v>
      </c>
      <c r="BX492" s="1" t="s">
        <v>57</v>
      </c>
      <c r="BY492" t="s">
        <v>57</v>
      </c>
    </row>
    <row r="493" spans="1:77">
      <c r="A493" t="str">
        <f>HYPERLINK("http://exon.niaid.nih.gov/transcriptome/T_rubida/S1/links/Triru/Triru-contig_379.txt","Triru-contig_379")</f>
        <v>Triru-contig_379</v>
      </c>
      <c r="B493">
        <v>1</v>
      </c>
      <c r="C493" t="str">
        <f>HYPERLINK("http://exon.niaid.nih.gov/transcriptome/T_rubida/S1/links/Triru/Triru-5-48-asb-379.txt","Contig-379")</f>
        <v>Contig-379</v>
      </c>
      <c r="D493" t="str">
        <f>HYPERLINK("http://exon.niaid.nih.gov/transcriptome/T_rubida/S1/links/Triru/Triru-5-48-379-CLU.txt","Contig379")</f>
        <v>Contig379</v>
      </c>
      <c r="E493" t="str">
        <f>HYPERLINK("http://exon.niaid.nih.gov/transcriptome/T_rubida/S1/links/Triru/Triru-5-48-379-qual.txt","60.2")</f>
        <v>60.2</v>
      </c>
      <c r="F493" t="s">
        <v>10</v>
      </c>
      <c r="G493">
        <v>58</v>
      </c>
      <c r="H493">
        <v>424</v>
      </c>
      <c r="I493" t="s">
        <v>391</v>
      </c>
      <c r="J493">
        <v>424</v>
      </c>
      <c r="K493">
        <v>443</v>
      </c>
      <c r="L493">
        <v>156</v>
      </c>
      <c r="M493" t="s">
        <v>5655</v>
      </c>
      <c r="N493" s="15">
        <v>3</v>
      </c>
      <c r="O493" s="14" t="str">
        <f>HYPERLINK("http://exon.niaid.nih.gov/transcriptome/T_rubida/S1/links/Sigp/TRIRU-CONTIG_379-SigP.txt","SIG")</f>
        <v>SIG</v>
      </c>
      <c r="P493" t="s">
        <v>5058</v>
      </c>
      <c r="Q493" s="5" t="s">
        <v>4827</v>
      </c>
      <c r="R493" t="s">
        <v>4828</v>
      </c>
      <c r="V493" s="1" t="str">
        <f>HYPERLINK("http://exon.niaid.nih.gov/transcriptome/T_rubida/S1/links/NR/Triru-contig_379-NR.txt","Secreted protein")</f>
        <v>Secreted protein</v>
      </c>
      <c r="W493" t="str">
        <f>HYPERLINK("http://www.ncbi.nlm.nih.gov/sutils/blink.cgi?pid=294814758","8.9")</f>
        <v>8.9</v>
      </c>
      <c r="X493" t="str">
        <f>HYPERLINK("http://www.ncbi.nlm.nih.gov/protein/294814758","gi|294814758")</f>
        <v>gi|294814758</v>
      </c>
      <c r="Y493">
        <v>33.9</v>
      </c>
      <c r="Z493">
        <v>39</v>
      </c>
      <c r="AA493">
        <v>122</v>
      </c>
      <c r="AB493">
        <v>37</v>
      </c>
      <c r="AC493">
        <v>33</v>
      </c>
      <c r="AD493">
        <v>25</v>
      </c>
      <c r="AE493">
        <v>0</v>
      </c>
      <c r="AF493">
        <v>16</v>
      </c>
      <c r="AG493">
        <v>120</v>
      </c>
      <c r="AH493">
        <v>1</v>
      </c>
      <c r="AI493">
        <v>3</v>
      </c>
      <c r="AJ493" t="s">
        <v>11</v>
      </c>
      <c r="AL493" t="s">
        <v>3044</v>
      </c>
      <c r="AM493" t="s">
        <v>3045</v>
      </c>
      <c r="AN493" t="s">
        <v>3046</v>
      </c>
      <c r="AO493" s="1" t="str">
        <f>HYPERLINK("http://exon.niaid.nih.gov/transcriptome/T_rubida/S1/links/SWISSP/Triru-contig_379-SWISSP.txt","Ribosomal RNA small subunit methyltransferase I")</f>
        <v>Ribosomal RNA small subunit methyltransferase I</v>
      </c>
      <c r="AP493" t="str">
        <f>HYPERLINK("http://www.uniprot.org/uniprot/Q9JWJ7","9.4")</f>
        <v>9.4</v>
      </c>
      <c r="AQ493" t="s">
        <v>3047</v>
      </c>
      <c r="AR493">
        <v>29.3</v>
      </c>
      <c r="AS493">
        <v>28</v>
      </c>
      <c r="AT493">
        <v>45</v>
      </c>
      <c r="AU493">
        <v>10</v>
      </c>
      <c r="AV493">
        <v>17</v>
      </c>
      <c r="AW493">
        <v>0</v>
      </c>
      <c r="AX493">
        <v>151</v>
      </c>
      <c r="AY493">
        <v>173</v>
      </c>
      <c r="AZ493">
        <v>1</v>
      </c>
      <c r="BA493">
        <v>2</v>
      </c>
      <c r="BB493" t="s">
        <v>11</v>
      </c>
      <c r="BC493">
        <v>3.5710000000000002</v>
      </c>
      <c r="BD493" t="s">
        <v>704</v>
      </c>
      <c r="BE493" t="s">
        <v>3048</v>
      </c>
      <c r="BF493" t="s">
        <v>3049</v>
      </c>
      <c r="BG493" t="s">
        <v>3050</v>
      </c>
      <c r="BH493" s="1" t="s">
        <v>57</v>
      </c>
      <c r="BI493" t="s">
        <v>57</v>
      </c>
      <c r="BJ493" s="1" t="str">
        <f>HYPERLINK("http://exon.niaid.nih.gov/transcriptome/T_rubida/S1/links/CDD/Triru-contig_379-CDD.txt","PRK03356")</f>
        <v>PRK03356</v>
      </c>
      <c r="BK493" t="str">
        <f>HYPERLINK("http://www.ncbi.nlm.nih.gov/Structure/cdd/cddsrv.cgi?uid=PRK03356&amp;version=v4.0","0.77")</f>
        <v>0.77</v>
      </c>
      <c r="BL493" t="s">
        <v>3051</v>
      </c>
      <c r="BM493" s="1" t="str">
        <f>HYPERLINK("http://exon.niaid.nih.gov/transcriptome/T_rubida/S1/links/KOG/Triru-contig_379-KOG.txt","Uncharacterized MYND Zn-finger protein")</f>
        <v>Uncharacterized MYND Zn-finger protein</v>
      </c>
      <c r="BN493" t="str">
        <f>HYPERLINK("http://www.ncbi.nlm.nih.gov/COG/grace/shokog.cgi?KOG2061","0.59")</f>
        <v>0.59</v>
      </c>
      <c r="BO493" t="s">
        <v>750</v>
      </c>
      <c r="BP493" s="1" t="str">
        <f>HYPERLINK("http://exon.niaid.nih.gov/transcriptome/T_rubida/S1/links/PFAM/Triru-contig_379-PFAM.txt","Aminotran_1_2")</f>
        <v>Aminotran_1_2</v>
      </c>
      <c r="BQ493" t="str">
        <f>HYPERLINK("http://pfam.sanger.ac.uk/family?acc=PF00155","0.59")</f>
        <v>0.59</v>
      </c>
      <c r="BR493" s="1" t="str">
        <f>HYPERLINK("http://exon.niaid.nih.gov/transcriptome/T_rubida/S1/links/SMART/Triru-contig_379-SMART.txt","UBCc")</f>
        <v>UBCc</v>
      </c>
      <c r="BS493" t="str">
        <f>HYPERLINK("http://smart.embl-heidelberg.de/smart/do_annotation.pl?DOMAIN=UBCc&amp;BLAST=DUMMY","0.20")</f>
        <v>0.20</v>
      </c>
      <c r="BT493" s="1" t="str">
        <f>HYPERLINK("http://exon.niaid.nih.gov/transcriptome/T_rubida/S1/links/PRK/Triru-contig_379-PRK.txt","L-carnitine/gamma-butyrobetaine antiporter")</f>
        <v>L-carnitine/gamma-butyrobetaine antiporter</v>
      </c>
      <c r="BU493">
        <v>0.36</v>
      </c>
      <c r="BV493" s="1" t="s">
        <v>57</v>
      </c>
      <c r="BW493" t="s">
        <v>57</v>
      </c>
      <c r="BX493" s="1" t="s">
        <v>57</v>
      </c>
      <c r="BY493" t="s">
        <v>57</v>
      </c>
    </row>
    <row r="494" spans="1:77">
      <c r="A494" t="str">
        <f>HYPERLINK("http://exon.niaid.nih.gov/transcriptome/T_rubida/S1/links/Triru/Triru-contig_207.txt","Triru-contig_207")</f>
        <v>Triru-contig_207</v>
      </c>
      <c r="B494">
        <v>1</v>
      </c>
      <c r="C494" t="str">
        <f>HYPERLINK("http://exon.niaid.nih.gov/transcriptome/T_rubida/S1/links/Triru/Triru-5-48-asb-207.txt","Contig-207")</f>
        <v>Contig-207</v>
      </c>
      <c r="D494" t="str">
        <f>HYPERLINK("http://exon.niaid.nih.gov/transcriptome/T_rubida/S1/links/Triru/Triru-5-48-207-CLU.txt","Contig207")</f>
        <v>Contig207</v>
      </c>
      <c r="E494" t="str">
        <f>HYPERLINK("http://exon.niaid.nih.gov/transcriptome/T_rubida/S1/links/Triru/Triru-5-48-207-qual.txt","57.2")</f>
        <v>57.2</v>
      </c>
      <c r="F494" t="s">
        <v>10</v>
      </c>
      <c r="G494">
        <v>55.9</v>
      </c>
      <c r="H494">
        <v>237</v>
      </c>
      <c r="I494" t="s">
        <v>219</v>
      </c>
      <c r="J494">
        <v>237</v>
      </c>
      <c r="K494">
        <v>256</v>
      </c>
      <c r="L494">
        <v>195</v>
      </c>
      <c r="M494" t="s">
        <v>5654</v>
      </c>
      <c r="N494" s="15">
        <v>3</v>
      </c>
      <c r="Q494" s="5" t="s">
        <v>4827</v>
      </c>
      <c r="R494" t="s">
        <v>4828</v>
      </c>
      <c r="V494" s="1" t="str">
        <f>HYPERLINK("http://exon.niaid.nih.gov/transcriptome/T_rubida/S1/links/NR/Triru-contig_207-NR.txt","hypothetical protein SORBIDRAFT_10g022640")</f>
        <v>hypothetical protein SORBIDRAFT_10g022640</v>
      </c>
      <c r="W494" t="str">
        <f>HYPERLINK("http://www.ncbi.nlm.nih.gov/sutils/blink.cgi?pid=242096230","9.0")</f>
        <v>9.0</v>
      </c>
      <c r="X494" t="str">
        <f>HYPERLINK("http://www.ncbi.nlm.nih.gov/protein/242096230","gi|242096230")</f>
        <v>gi|242096230</v>
      </c>
      <c r="Y494">
        <v>33.9</v>
      </c>
      <c r="Z494">
        <v>43</v>
      </c>
      <c r="AA494">
        <v>293</v>
      </c>
      <c r="AB494">
        <v>29</v>
      </c>
      <c r="AC494">
        <v>15</v>
      </c>
      <c r="AD494">
        <v>34</v>
      </c>
      <c r="AE494">
        <v>0</v>
      </c>
      <c r="AF494">
        <v>24</v>
      </c>
      <c r="AG494">
        <v>87</v>
      </c>
      <c r="AH494">
        <v>1</v>
      </c>
      <c r="AI494">
        <v>3</v>
      </c>
      <c r="AJ494" t="s">
        <v>11</v>
      </c>
      <c r="AK494">
        <v>2.3260000000000001</v>
      </c>
      <c r="AL494" t="s">
        <v>1909</v>
      </c>
      <c r="AM494" t="s">
        <v>1910</v>
      </c>
      <c r="AN494" t="s">
        <v>1911</v>
      </c>
      <c r="AO494" s="1" t="str">
        <f>HYPERLINK("http://exon.niaid.nih.gov/transcriptome/T_rubida/S1/links/SWISSP/Triru-contig_207-SWISSP.txt","Tektin-3")</f>
        <v>Tektin-3</v>
      </c>
      <c r="AP494" t="str">
        <f>HYPERLINK("http://www.uniprot.org/uniprot/Q9BXF9","2.7")</f>
        <v>2.7</v>
      </c>
      <c r="AQ494" t="s">
        <v>1912</v>
      </c>
      <c r="AR494">
        <v>30.8</v>
      </c>
      <c r="AS494">
        <v>76</v>
      </c>
      <c r="AT494">
        <v>24</v>
      </c>
      <c r="AU494">
        <v>16</v>
      </c>
      <c r="AV494">
        <v>58</v>
      </c>
      <c r="AW494">
        <v>15</v>
      </c>
      <c r="AX494">
        <v>31</v>
      </c>
      <c r="AY494">
        <v>48</v>
      </c>
      <c r="AZ494">
        <v>1</v>
      </c>
      <c r="BA494">
        <v>3</v>
      </c>
      <c r="BB494" t="s">
        <v>11</v>
      </c>
      <c r="BC494">
        <v>1.3160000000000001</v>
      </c>
      <c r="BD494" t="s">
        <v>704</v>
      </c>
      <c r="BE494" t="s">
        <v>1233</v>
      </c>
      <c r="BF494" t="s">
        <v>1913</v>
      </c>
      <c r="BG494" t="s">
        <v>1914</v>
      </c>
      <c r="BH494" s="1" t="s">
        <v>57</v>
      </c>
      <c r="BI494" t="s">
        <v>57</v>
      </c>
      <c r="BJ494" s="1" t="str">
        <f>HYPERLINK("http://exon.niaid.nih.gov/transcriptome/T_rubida/S1/links/CDD/Triru-contig_207-CDD.txt","PRK09579")</f>
        <v>PRK09579</v>
      </c>
      <c r="BK494" t="str">
        <f>HYPERLINK("http://www.ncbi.nlm.nih.gov/Structure/cdd/cddsrv.cgi?uid=PRK09579&amp;version=v4.0","0.32")</f>
        <v>0.32</v>
      </c>
      <c r="BL494" t="s">
        <v>1915</v>
      </c>
      <c r="BM494" s="1" t="str">
        <f>HYPERLINK("http://exon.niaid.nih.gov/transcriptome/T_rubida/S1/links/KOG/Triru-contig_207-KOG.txt","Ultrahigh sulfur keratin-associated protein")</f>
        <v>Ultrahigh sulfur keratin-associated protein</v>
      </c>
      <c r="BN494" t="str">
        <f>HYPERLINK("http://www.ncbi.nlm.nih.gov/COG/grace/shokog.cgi?KOG4726","0.42")</f>
        <v>0.42</v>
      </c>
      <c r="BO494" t="s">
        <v>1916</v>
      </c>
      <c r="BP494" s="1" t="str">
        <f>HYPERLINK("http://exon.niaid.nih.gov/transcriptome/T_rubida/S1/links/PFAM/Triru-contig_207-PFAM.txt","VESA1_N")</f>
        <v>VESA1_N</v>
      </c>
      <c r="BQ494" t="str">
        <f>HYPERLINK("http://pfam.sanger.ac.uk/family?acc=PF12785","0.36")</f>
        <v>0.36</v>
      </c>
      <c r="BR494" s="1" t="str">
        <f>HYPERLINK("http://exon.niaid.nih.gov/transcriptome/T_rubida/S1/links/SMART/Triru-contig_207-SMART.txt","ML")</f>
        <v>ML</v>
      </c>
      <c r="BS494" t="str">
        <f>HYPERLINK("http://smart.embl-heidelberg.de/smart/do_annotation.pl?DOMAIN=ML&amp;BLAST=DUMMY","0.057")</f>
        <v>0.057</v>
      </c>
      <c r="BT494" s="1" t="str">
        <f>HYPERLINK("http://exon.niaid.nih.gov/transcriptome/T_rubida/S1/links/PRK/Triru-contig_207-PRK.txt","multidrug efflux protein")</f>
        <v>multidrug efflux protein</v>
      </c>
      <c r="BU494">
        <v>0.12</v>
      </c>
      <c r="BV494" s="1" t="s">
        <v>57</v>
      </c>
      <c r="BW494" t="s">
        <v>57</v>
      </c>
      <c r="BX494" s="1" t="s">
        <v>57</v>
      </c>
      <c r="BY494" t="s">
        <v>57</v>
      </c>
    </row>
    <row r="495" spans="1:77">
      <c r="A495" t="str">
        <f>HYPERLINK("http://exon.niaid.nih.gov/transcriptome/T_rubida/S1/links/Triru/Triru-contig_430.txt","Triru-contig_430")</f>
        <v>Triru-contig_430</v>
      </c>
      <c r="B495">
        <v>1</v>
      </c>
      <c r="C495" t="str">
        <f>HYPERLINK("http://exon.niaid.nih.gov/transcriptome/T_rubida/S1/links/Triru/Triru-5-48-asb-430.txt","Contig-430")</f>
        <v>Contig-430</v>
      </c>
      <c r="D495" t="str">
        <f>HYPERLINK("http://exon.niaid.nih.gov/transcriptome/T_rubida/S1/links/Triru/Triru-5-48-430-CLU.txt","Contig430")</f>
        <v>Contig430</v>
      </c>
      <c r="E495" t="str">
        <f>HYPERLINK("http://exon.niaid.nih.gov/transcriptome/T_rubida/S1/links/Triru/Triru-5-48-430-qual.txt","35.3")</f>
        <v>35.3</v>
      </c>
      <c r="F495" t="s">
        <v>10</v>
      </c>
      <c r="G495">
        <v>74</v>
      </c>
      <c r="H495">
        <v>612</v>
      </c>
      <c r="I495" t="s">
        <v>442</v>
      </c>
      <c r="J495">
        <v>612</v>
      </c>
      <c r="K495">
        <v>631</v>
      </c>
      <c r="L495">
        <v>180</v>
      </c>
      <c r="M495" t="s">
        <v>5551</v>
      </c>
      <c r="N495" s="15">
        <v>2</v>
      </c>
      <c r="O495" s="14" t="str">
        <f>HYPERLINK("http://exon.niaid.nih.gov/transcriptome/T_rubida/S1/links/Sigp/TRIRU-CONTIG_430-SigP.txt","Cyt")</f>
        <v>Cyt</v>
      </c>
      <c r="Q495" s="5" t="s">
        <v>4827</v>
      </c>
      <c r="R495" t="s">
        <v>4828</v>
      </c>
      <c r="V495" s="1" t="str">
        <f>HYPERLINK("http://exon.niaid.nih.gov/transcriptome/T_rubida/S1/links/NR/Triru-contig_430-NR.txt","hypothetical protein Lacal_2816")</f>
        <v>hypothetical protein Lacal_2816</v>
      </c>
      <c r="W495" t="str">
        <f>HYPERLINK("http://www.ncbi.nlm.nih.gov/sutils/blink.cgi?pid=336173945","9.8")</f>
        <v>9.8</v>
      </c>
      <c r="X495" t="str">
        <f>HYPERLINK("http://www.ncbi.nlm.nih.gov/protein/336173945","gi|336173945")</f>
        <v>gi|336173945</v>
      </c>
      <c r="Y495">
        <v>34.700000000000003</v>
      </c>
      <c r="Z495">
        <v>71</v>
      </c>
      <c r="AA495">
        <v>332</v>
      </c>
      <c r="AB495">
        <v>35</v>
      </c>
      <c r="AC495">
        <v>22</v>
      </c>
      <c r="AD495">
        <v>48</v>
      </c>
      <c r="AE495">
        <v>4</v>
      </c>
      <c r="AF495">
        <v>124</v>
      </c>
      <c r="AG495">
        <v>149</v>
      </c>
      <c r="AH495">
        <v>1</v>
      </c>
      <c r="AI495">
        <v>2</v>
      </c>
      <c r="AJ495" t="s">
        <v>11</v>
      </c>
      <c r="AK495">
        <v>2.8170000000000002</v>
      </c>
      <c r="AL495" t="s">
        <v>3393</v>
      </c>
      <c r="AM495" t="s">
        <v>3394</v>
      </c>
      <c r="AN495" t="s">
        <v>3395</v>
      </c>
      <c r="AO495" s="1" t="str">
        <f>HYPERLINK("http://exon.niaid.nih.gov/transcriptome/T_rubida/S1/links/SWISSP/Triru-contig_430-SWISSP.txt","Fukutin")</f>
        <v>Fukutin</v>
      </c>
      <c r="AP495" t="str">
        <f>HYPERLINK("http://www.uniprot.org/uniprot/Q60HG0","3.4")</f>
        <v>3.4</v>
      </c>
      <c r="AQ495" t="s">
        <v>3396</v>
      </c>
      <c r="AR495">
        <v>32</v>
      </c>
      <c r="AS495">
        <v>76</v>
      </c>
      <c r="AT495">
        <v>24</v>
      </c>
      <c r="AU495">
        <v>17</v>
      </c>
      <c r="AV495">
        <v>58</v>
      </c>
      <c r="AW495">
        <v>5</v>
      </c>
      <c r="AX495">
        <v>340</v>
      </c>
      <c r="AY495">
        <v>115</v>
      </c>
      <c r="AZ495">
        <v>1</v>
      </c>
      <c r="BA495">
        <v>1</v>
      </c>
      <c r="BB495" t="s">
        <v>11</v>
      </c>
      <c r="BC495">
        <v>2.6320000000000001</v>
      </c>
      <c r="BD495" t="s">
        <v>704</v>
      </c>
      <c r="BE495" t="s">
        <v>1148</v>
      </c>
      <c r="BF495" t="s">
        <v>3397</v>
      </c>
      <c r="BG495" t="s">
        <v>3398</v>
      </c>
      <c r="BH495" s="1" t="s">
        <v>57</v>
      </c>
      <c r="BI495" t="s">
        <v>57</v>
      </c>
      <c r="BJ495" s="1" t="str">
        <f>HYPERLINK("http://exon.niaid.nih.gov/transcriptome/T_rubida/S1/links/CDD/Triru-contig_430-CDD.txt","DUF3278")</f>
        <v>DUF3278</v>
      </c>
      <c r="BK495" t="str">
        <f>HYPERLINK("http://www.ncbi.nlm.nih.gov/Structure/cdd/cddsrv.cgi?uid=pfam11683&amp;version=v4.0","0.11")</f>
        <v>0.11</v>
      </c>
      <c r="BL495" t="s">
        <v>3399</v>
      </c>
      <c r="BM495" s="1" t="str">
        <f>HYPERLINK("http://exon.niaid.nih.gov/transcriptome/T_rubida/S1/links/KOG/Triru-contig_430-KOG.txt","Zn2+ transporter")</f>
        <v>Zn2+ transporter</v>
      </c>
      <c r="BN495" t="str">
        <f>HYPERLINK("http://www.ncbi.nlm.nih.gov/COG/grace/shokog.cgi?KOG1482","0.40")</f>
        <v>0.40</v>
      </c>
      <c r="BO495" t="s">
        <v>849</v>
      </c>
      <c r="BP495" s="1" t="str">
        <f>HYPERLINK("http://exon.niaid.nih.gov/transcriptome/T_rubida/S1/links/PFAM/Triru-contig_430-PFAM.txt","DUF3278")</f>
        <v>DUF3278</v>
      </c>
      <c r="BQ495" t="str">
        <f>HYPERLINK("http://pfam.sanger.ac.uk/family?acc=PF11683","0.023")</f>
        <v>0.023</v>
      </c>
      <c r="BR495" s="1" t="str">
        <f>HYPERLINK("http://exon.niaid.nih.gov/transcriptome/T_rubida/S1/links/SMART/Triru-contig_430-SMART.txt","AgrB")</f>
        <v>AgrB</v>
      </c>
      <c r="BS495" t="str">
        <f>HYPERLINK("http://smart.embl-heidelberg.de/smart/do_annotation.pl?DOMAIN=AgrB&amp;BLAST=DUMMY","0.77")</f>
        <v>0.77</v>
      </c>
      <c r="BT495" s="1" t="str">
        <f>HYPERLINK("http://exon.niaid.nih.gov/transcriptome/T_rubida/S1/links/PRK/Triru-contig_430-PRK.txt","NADH dehydrogenase subunit 5")</f>
        <v>NADH dehydrogenase subunit 5</v>
      </c>
      <c r="BU495">
        <v>0.21</v>
      </c>
      <c r="BV495" s="1" t="s">
        <v>57</v>
      </c>
      <c r="BW495" t="s">
        <v>57</v>
      </c>
      <c r="BX495" s="1" t="s">
        <v>57</v>
      </c>
      <c r="BY495" t="s">
        <v>57</v>
      </c>
    </row>
    <row r="496" spans="1:77">
      <c r="A496" t="str">
        <f>HYPERLINK("http://exon.niaid.nih.gov/transcriptome/T_rubida/S1/links/Triru/Triru-contig_393.txt","Triru-contig_393")</f>
        <v>Triru-contig_393</v>
      </c>
      <c r="B496">
        <v>1</v>
      </c>
      <c r="C496" t="str">
        <f>HYPERLINK("http://exon.niaid.nih.gov/transcriptome/T_rubida/S1/links/Triru/Triru-5-48-asb-393.txt","Contig-393")</f>
        <v>Contig-393</v>
      </c>
      <c r="D496" t="str">
        <f>HYPERLINK("http://exon.niaid.nih.gov/transcriptome/T_rubida/S1/links/Triru/Triru-5-48-393-CLU.txt","Contig393")</f>
        <v>Contig393</v>
      </c>
      <c r="E496" t="str">
        <f>HYPERLINK("http://exon.niaid.nih.gov/transcriptome/T_rubida/S1/links/Triru/Triru-5-48-393-qual.txt","63.9")</f>
        <v>63.9</v>
      </c>
      <c r="F496" t="s">
        <v>10</v>
      </c>
      <c r="G496">
        <v>63.8</v>
      </c>
      <c r="H496">
        <v>620</v>
      </c>
      <c r="I496" t="s">
        <v>405</v>
      </c>
      <c r="J496">
        <v>620</v>
      </c>
      <c r="K496">
        <v>639</v>
      </c>
      <c r="L496">
        <v>243</v>
      </c>
      <c r="M496" t="s">
        <v>5620</v>
      </c>
      <c r="N496" s="15">
        <v>2</v>
      </c>
      <c r="O496" s="14" t="str">
        <f>HYPERLINK("http://exon.niaid.nih.gov/transcriptome/T_rubida/S1/links/Sigp/TRIRU-CONTIG_393-SigP.txt","Cyt")</f>
        <v>Cyt</v>
      </c>
      <c r="Q496" s="5" t="s">
        <v>4827</v>
      </c>
      <c r="R496" t="s">
        <v>4828</v>
      </c>
      <c r="V496" s="1" t="str">
        <f>HYPERLINK("http://exon.niaid.nih.gov/transcriptome/T_rubida/S1/links/NR/Triru-contig_393-NR.txt","cysteine repeat modular protein, putative")</f>
        <v>cysteine repeat modular protein, putative</v>
      </c>
      <c r="W496" t="str">
        <f>HYPERLINK("http://www.ncbi.nlm.nih.gov/sutils/blink.cgi?pid=296005161","10")</f>
        <v>10</v>
      </c>
      <c r="X496" t="str">
        <f>HYPERLINK("http://www.ncbi.nlm.nih.gov/protein/296005161","gi|296005161")</f>
        <v>gi|296005161</v>
      </c>
      <c r="Y496">
        <v>34.700000000000003</v>
      </c>
      <c r="Z496">
        <v>86</v>
      </c>
      <c r="AA496">
        <v>2487</v>
      </c>
      <c r="AB496">
        <v>33</v>
      </c>
      <c r="AC496">
        <v>3</v>
      </c>
      <c r="AD496">
        <v>61</v>
      </c>
      <c r="AE496">
        <v>6</v>
      </c>
      <c r="AF496">
        <v>677</v>
      </c>
      <c r="AG496">
        <v>118</v>
      </c>
      <c r="AH496">
        <v>1</v>
      </c>
      <c r="AI496">
        <v>1</v>
      </c>
      <c r="AJ496" t="s">
        <v>11</v>
      </c>
      <c r="AK496">
        <v>3.488</v>
      </c>
      <c r="AL496" t="s">
        <v>1103</v>
      </c>
      <c r="AM496" t="s">
        <v>3143</v>
      </c>
      <c r="AN496" t="s">
        <v>3144</v>
      </c>
      <c r="AO496" s="1" t="str">
        <f>HYPERLINK("http://exon.niaid.nih.gov/transcriptome/T_rubida/S1/links/SWISSP/Triru-contig_393-SWISSP.txt","Actin-like protein ARP6")</f>
        <v>Actin-like protein ARP6</v>
      </c>
      <c r="AP496" t="str">
        <f>HYPERLINK("http://www.uniprot.org/uniprot/Q6BML9","22")</f>
        <v>22</v>
      </c>
      <c r="AQ496" t="s">
        <v>3145</v>
      </c>
      <c r="AR496">
        <v>29.3</v>
      </c>
      <c r="AS496">
        <v>67</v>
      </c>
      <c r="AT496">
        <v>28</v>
      </c>
      <c r="AU496">
        <v>17</v>
      </c>
      <c r="AV496">
        <v>49</v>
      </c>
      <c r="AW496">
        <v>8</v>
      </c>
      <c r="AX496">
        <v>26</v>
      </c>
      <c r="AY496">
        <v>401</v>
      </c>
      <c r="AZ496">
        <v>1</v>
      </c>
      <c r="BA496">
        <v>2</v>
      </c>
      <c r="BB496" t="s">
        <v>11</v>
      </c>
      <c r="BD496" t="s">
        <v>704</v>
      </c>
      <c r="BE496" t="s">
        <v>1834</v>
      </c>
      <c r="BF496" t="s">
        <v>3146</v>
      </c>
      <c r="BG496" t="s">
        <v>3147</v>
      </c>
      <c r="BH496" s="1" t="s">
        <v>57</v>
      </c>
      <c r="BI496" t="s">
        <v>57</v>
      </c>
      <c r="BJ496" s="1" t="str">
        <f>HYPERLINK("http://exon.niaid.nih.gov/transcriptome/T_rubida/S1/links/CDD/Triru-contig_393-CDD.txt","ND4")</f>
        <v>ND4</v>
      </c>
      <c r="BK496" t="str">
        <f>HYPERLINK("http://www.ncbi.nlm.nih.gov/Structure/cdd/cddsrv.cgi?uid=MTH00124&amp;version=v4.0","0.020")</f>
        <v>0.020</v>
      </c>
      <c r="BL496" t="s">
        <v>3148</v>
      </c>
      <c r="BM496" s="1" t="str">
        <f>HYPERLINK("http://exon.niaid.nih.gov/transcriptome/T_rubida/S1/links/KOG/Triru-contig_393-KOG.txt","Sister chromatid cohesion protein SCC2/Nipped-B")</f>
        <v>Sister chromatid cohesion protein SCC2/Nipped-B</v>
      </c>
      <c r="BN496" t="str">
        <f>HYPERLINK("http://www.ncbi.nlm.nih.gov/COG/grace/shokog.cgi?KOG1020","0.003")</f>
        <v>0.003</v>
      </c>
      <c r="BO496" t="s">
        <v>3149</v>
      </c>
      <c r="BP496" s="1" t="str">
        <f>HYPERLINK("http://exon.niaid.nih.gov/transcriptome/T_rubida/S1/links/PFAM/Triru-contig_393-PFAM.txt","DUF3169")</f>
        <v>DUF3169</v>
      </c>
      <c r="BQ496" t="str">
        <f>HYPERLINK("http://pfam.sanger.ac.uk/family?acc=PF11368","0.17")</f>
        <v>0.17</v>
      </c>
      <c r="BR496" s="1" t="str">
        <f>HYPERLINK("http://exon.niaid.nih.gov/transcriptome/T_rubida/S1/links/SMART/Triru-contig_393-SMART.txt","DWB")</f>
        <v>DWB</v>
      </c>
      <c r="BS496" t="str">
        <f>HYPERLINK("http://smart.embl-heidelberg.de/smart/do_annotation.pl?DOMAIN=DWB&amp;BLAST=DUMMY","0.050")</f>
        <v>0.050</v>
      </c>
      <c r="BT496" s="1" t="str">
        <f>HYPERLINK("http://exon.niaid.nih.gov/transcriptome/T_rubida/S1/links/PRK/Triru-contig_393-PRK.txt","NADH dehydrogenase subunit 4")</f>
        <v>NADH dehydrogenase subunit 4</v>
      </c>
      <c r="BU496">
        <v>8.9999999999999993E-3</v>
      </c>
      <c r="BV496" s="1" t="s">
        <v>57</v>
      </c>
      <c r="BW496" t="s">
        <v>57</v>
      </c>
      <c r="BX496" s="1" t="s">
        <v>57</v>
      </c>
      <c r="BY496" t="s">
        <v>57</v>
      </c>
    </row>
    <row r="497" spans="1:77">
      <c r="A497" t="str">
        <f>HYPERLINK("http://exon.niaid.nih.gov/transcriptome/T_rubida/S1/links/Triru/Triru-contig_497.txt","Triru-contig_497")</f>
        <v>Triru-contig_497</v>
      </c>
      <c r="B497">
        <v>1</v>
      </c>
      <c r="C497" t="str">
        <f>HYPERLINK("http://exon.niaid.nih.gov/transcriptome/T_rubida/S1/links/Triru/Triru-5-48-asb-497.txt","Contig-497")</f>
        <v>Contig-497</v>
      </c>
      <c r="D497" t="str">
        <f>HYPERLINK("http://exon.niaid.nih.gov/transcriptome/T_rubida/S1/links/Triru/Triru-5-48-497-CLU.txt","Contig497")</f>
        <v>Contig497</v>
      </c>
      <c r="E497" t="str">
        <f>HYPERLINK("http://exon.niaid.nih.gov/transcriptome/T_rubida/S1/links/Triru/Triru-5-48-497-qual.txt","55.5")</f>
        <v>55.5</v>
      </c>
      <c r="F497" t="s">
        <v>10</v>
      </c>
      <c r="G497">
        <v>77.099999999999994</v>
      </c>
      <c r="H497">
        <v>836</v>
      </c>
      <c r="I497" t="s">
        <v>509</v>
      </c>
      <c r="J497">
        <v>836</v>
      </c>
      <c r="K497">
        <v>855</v>
      </c>
      <c r="L497">
        <v>177</v>
      </c>
      <c r="M497" t="s">
        <v>5539</v>
      </c>
      <c r="N497" s="15">
        <v>3</v>
      </c>
      <c r="Q497" s="5" t="s">
        <v>4827</v>
      </c>
      <c r="R497" t="s">
        <v>4828</v>
      </c>
      <c r="V497" s="1" t="str">
        <f>HYPERLINK("http://exon.niaid.nih.gov/transcriptome/T_rubida/S1/links/NR/Triru-contig_497-NR.txt","hypothetical protein HG1285_04373")</f>
        <v>hypothetical protein HG1285_04373</v>
      </c>
      <c r="W497" t="str">
        <f>HYPERLINK("http://www.ncbi.nlm.nih.gov/sutils/blink.cgi?pid=163785225","11")</f>
        <v>11</v>
      </c>
      <c r="X497" t="str">
        <f>HYPERLINK("http://www.ncbi.nlm.nih.gov/protein/163785225","gi|163785225")</f>
        <v>gi|163785225</v>
      </c>
      <c r="Y497">
        <v>35.4</v>
      </c>
      <c r="Z497">
        <v>168</v>
      </c>
      <c r="AA497">
        <v>258</v>
      </c>
      <c r="AB497">
        <v>26</v>
      </c>
      <c r="AC497">
        <v>66</v>
      </c>
      <c r="AD497">
        <v>129</v>
      </c>
      <c r="AE497">
        <v>17</v>
      </c>
      <c r="AF497">
        <v>39</v>
      </c>
      <c r="AG497">
        <v>42</v>
      </c>
      <c r="AH497">
        <v>1</v>
      </c>
      <c r="AI497">
        <v>3</v>
      </c>
      <c r="AJ497" t="s">
        <v>11</v>
      </c>
      <c r="AK497">
        <v>3.5710000000000002</v>
      </c>
      <c r="AL497" t="s">
        <v>3846</v>
      </c>
      <c r="AM497" t="s">
        <v>3847</v>
      </c>
      <c r="AN497" t="s">
        <v>3848</v>
      </c>
      <c r="AO497" s="1" t="str">
        <f>HYPERLINK("http://exon.niaid.nih.gov/transcriptome/T_rubida/S1/links/SWISSP/Triru-contig_497-SWISSP.txt","Serine/threonine-protein kinase TEL1")</f>
        <v>Serine/threonine-protein kinase TEL1</v>
      </c>
      <c r="AP497" t="str">
        <f>HYPERLINK("http://www.uniprot.org/uniprot/Q6CP76","5.7")</f>
        <v>5.7</v>
      </c>
      <c r="AQ497" t="s">
        <v>3849</v>
      </c>
      <c r="AR497">
        <v>32</v>
      </c>
      <c r="AS497">
        <v>59</v>
      </c>
      <c r="AT497">
        <v>35</v>
      </c>
      <c r="AU497">
        <v>2</v>
      </c>
      <c r="AV497">
        <v>39</v>
      </c>
      <c r="AW497">
        <v>4</v>
      </c>
      <c r="AX497">
        <v>1712</v>
      </c>
      <c r="AY497">
        <v>15</v>
      </c>
      <c r="AZ497">
        <v>1</v>
      </c>
      <c r="BA497">
        <v>3</v>
      </c>
      <c r="BB497" t="s">
        <v>11</v>
      </c>
      <c r="BD497" t="s">
        <v>704</v>
      </c>
      <c r="BE497" t="s">
        <v>2651</v>
      </c>
      <c r="BF497" t="s">
        <v>3850</v>
      </c>
      <c r="BG497" t="s">
        <v>3851</v>
      </c>
      <c r="BH497" s="1" t="s">
        <v>57</v>
      </c>
      <c r="BI497" t="s">
        <v>57</v>
      </c>
      <c r="BJ497" s="1" t="str">
        <f>HYPERLINK("http://exon.niaid.nih.gov/transcriptome/T_rubida/S1/links/CDD/Triru-contig_497-CDD.txt","ND2")</f>
        <v>ND2</v>
      </c>
      <c r="BK497" t="str">
        <f>HYPERLINK("http://www.ncbi.nlm.nih.gov/Structure/cdd/cddsrv.cgi?uid=MTH00059&amp;version=v4.0","0.009")</f>
        <v>0.009</v>
      </c>
      <c r="BL497" t="s">
        <v>3852</v>
      </c>
      <c r="BM497" s="1" t="str">
        <f>HYPERLINK("http://exon.niaid.nih.gov/transcriptome/T_rubida/S1/links/KOG/Triru-contig_497-KOG.txt","N-acetylglucosaminyltransferase complex, subunit PIG-Q/GPI1, required for phosphatidylinositol biosynthesis")</f>
        <v>N-acetylglucosaminyltransferase complex, subunit PIG-Q/GPI1, required for phosphatidylinositol biosynthesis</v>
      </c>
      <c r="BN497" t="str">
        <f>HYPERLINK("http://www.ncbi.nlm.nih.gov/COG/grace/shokog.cgi?KOG1183","0.52")</f>
        <v>0.52</v>
      </c>
      <c r="BO497" t="s">
        <v>3518</v>
      </c>
      <c r="BP497" s="1" t="str">
        <f>HYPERLINK("http://exon.niaid.nih.gov/transcriptome/T_rubida/S1/links/PFAM/Triru-contig_497-PFAM.txt","MpPF26")</f>
        <v>MpPF26</v>
      </c>
      <c r="BQ497" t="str">
        <f>HYPERLINK("http://pfam.sanger.ac.uk/family?acc=PF07666","0.15")</f>
        <v>0.15</v>
      </c>
      <c r="BR497" s="1" t="str">
        <f>HYPERLINK("http://exon.niaid.nih.gov/transcriptome/T_rubida/S1/links/SMART/Triru-contig_497-SMART.txt","LITAF")</f>
        <v>LITAF</v>
      </c>
      <c r="BS497" t="str">
        <f>HYPERLINK("http://smart.embl-heidelberg.de/smart/do_annotation.pl?DOMAIN=LITAF&amp;BLAST=DUMMY","0.58")</f>
        <v>0.58</v>
      </c>
      <c r="BT497" s="1" t="str">
        <f>HYPERLINK("http://exon.niaid.nih.gov/transcriptome/T_rubida/S1/links/PRK/Triru-contig_497-PRK.txt","NADH dehydrogenase subunit 2")</f>
        <v>NADH dehydrogenase subunit 2</v>
      </c>
      <c r="BU497">
        <v>4.0000000000000001E-3</v>
      </c>
      <c r="BV497" s="1" t="s">
        <v>57</v>
      </c>
      <c r="BW497" t="s">
        <v>57</v>
      </c>
      <c r="BX497" s="1" t="s">
        <v>57</v>
      </c>
      <c r="BY497" t="s">
        <v>57</v>
      </c>
    </row>
    <row r="498" spans="1:77">
      <c r="A498" t="str">
        <f>HYPERLINK("http://exon.niaid.nih.gov/transcriptome/T_rubida/S1/links/Triru/Triru-contig_148.txt","Triru-contig_148")</f>
        <v>Triru-contig_148</v>
      </c>
      <c r="B498">
        <v>2</v>
      </c>
      <c r="C498" t="str">
        <f>HYPERLINK("http://exon.niaid.nih.gov/transcriptome/T_rubida/S1/links/Triru/Triru-5-48-asb-148.txt","Contig-148")</f>
        <v>Contig-148</v>
      </c>
      <c r="D498" t="str">
        <f>HYPERLINK("http://exon.niaid.nih.gov/transcriptome/T_rubida/S1/links/Triru/Triru-5-48-148-CLU.txt","Contig148")</f>
        <v>Contig148</v>
      </c>
      <c r="E498" t="str">
        <f>HYPERLINK("http://exon.niaid.nih.gov/transcriptome/T_rubida/S1/links/Triru/Triru-5-48-148-qual.txt","79.4")</f>
        <v>79.4</v>
      </c>
      <c r="F498" t="s">
        <v>10</v>
      </c>
      <c r="G498">
        <v>70.099999999999994</v>
      </c>
      <c r="H498">
        <v>255</v>
      </c>
      <c r="I498" t="s">
        <v>160</v>
      </c>
      <c r="J498">
        <v>279</v>
      </c>
      <c r="K498">
        <v>274</v>
      </c>
      <c r="L498">
        <v>147</v>
      </c>
      <c r="M498" t="s">
        <v>5640</v>
      </c>
      <c r="N498" s="15">
        <v>2</v>
      </c>
      <c r="Q498" s="5" t="s">
        <v>4827</v>
      </c>
      <c r="R498" t="s">
        <v>4828</v>
      </c>
      <c r="V498" s="1" t="str">
        <f>HYPERLINK("http://exon.niaid.nih.gov/transcriptome/T_rubida/S1/links/NR/Triru-contig_148-NR.txt","AMP-dependent synthetase and ligase")</f>
        <v>AMP-dependent synthetase and ligase</v>
      </c>
      <c r="W498" t="str">
        <f>HYPERLINK("http://www.ncbi.nlm.nih.gov/sutils/blink.cgi?pid=90424693","11")</f>
        <v>11</v>
      </c>
      <c r="X498" t="str">
        <f>HYPERLINK("http://www.ncbi.nlm.nih.gov/protein/90424693","gi|90424693")</f>
        <v>gi|90424693</v>
      </c>
      <c r="Y498">
        <v>33.5</v>
      </c>
      <c r="Z498">
        <v>23</v>
      </c>
      <c r="AA498">
        <v>533</v>
      </c>
      <c r="AB498">
        <v>54</v>
      </c>
      <c r="AC498">
        <v>5</v>
      </c>
      <c r="AD498">
        <v>11</v>
      </c>
      <c r="AE498">
        <v>0</v>
      </c>
      <c r="AF498">
        <v>315</v>
      </c>
      <c r="AG498">
        <v>19</v>
      </c>
      <c r="AH498">
        <v>1</v>
      </c>
      <c r="AI498">
        <v>1</v>
      </c>
      <c r="AJ498" t="s">
        <v>11</v>
      </c>
      <c r="AL498" t="s">
        <v>1569</v>
      </c>
      <c r="AM498" t="s">
        <v>1570</v>
      </c>
      <c r="AN498" t="s">
        <v>1571</v>
      </c>
      <c r="AO498" s="1" t="str">
        <f>HYPERLINK("http://exon.niaid.nih.gov/transcriptome/T_rubida/S1/links/SWISSP/Triru-contig_148-SWISSP.txt","Alpha-mannosidase C")</f>
        <v>Alpha-mannosidase C</v>
      </c>
      <c r="AP498" t="str">
        <f>HYPERLINK("http://www.uniprot.org/uniprot/Q55ER0","24")</f>
        <v>24</v>
      </c>
      <c r="AQ498" t="s">
        <v>1572</v>
      </c>
      <c r="AR498">
        <v>27.7</v>
      </c>
      <c r="AS498">
        <v>52</v>
      </c>
      <c r="AT498">
        <v>35</v>
      </c>
      <c r="AU498">
        <v>5</v>
      </c>
      <c r="AV498">
        <v>34</v>
      </c>
      <c r="AW498">
        <v>5</v>
      </c>
      <c r="AX498">
        <v>375</v>
      </c>
      <c r="AY498">
        <v>50</v>
      </c>
      <c r="AZ498">
        <v>1</v>
      </c>
      <c r="BA498">
        <v>2</v>
      </c>
      <c r="BB498" t="s">
        <v>11</v>
      </c>
      <c r="BD498" t="s">
        <v>704</v>
      </c>
      <c r="BE498" t="s">
        <v>918</v>
      </c>
      <c r="BF498" t="s">
        <v>1573</v>
      </c>
      <c r="BG498" t="s">
        <v>1574</v>
      </c>
      <c r="BH498" s="1" t="s">
        <v>57</v>
      </c>
      <c r="BI498" t="s">
        <v>57</v>
      </c>
      <c r="BJ498" s="1" t="str">
        <f>HYPERLINK("http://exon.niaid.nih.gov/transcriptome/T_rubida/S1/links/CDD/Triru-contig_148-CDD.txt","YfhO")</f>
        <v>YfhO</v>
      </c>
      <c r="BK498" t="str">
        <f>HYPERLINK("http://www.ncbi.nlm.nih.gov/Structure/cdd/cddsrv.cgi?uid=pfam09586&amp;version=v4.0","0.43")</f>
        <v>0.43</v>
      </c>
      <c r="BL498" t="s">
        <v>1575</v>
      </c>
      <c r="BM498" s="1" t="str">
        <f>HYPERLINK("http://exon.niaid.nih.gov/transcriptome/T_rubida/S1/links/KOG/Triru-contig_148-KOG.txt","Uncharacterized conserved protein")</f>
        <v>Uncharacterized conserved protein</v>
      </c>
      <c r="BN498" t="str">
        <f>HYPERLINK("http://www.ncbi.nlm.nih.gov/COG/grace/shokog.cgi?KOG2922","0.14")</f>
        <v>0.14</v>
      </c>
      <c r="BO498" t="s">
        <v>737</v>
      </c>
      <c r="BP498" s="1" t="str">
        <f>HYPERLINK("http://exon.niaid.nih.gov/transcriptome/T_rubida/S1/links/PFAM/Triru-contig_148-PFAM.txt","YfhO")</f>
        <v>YfhO</v>
      </c>
      <c r="BQ498" t="str">
        <f>HYPERLINK("http://pfam.sanger.ac.uk/family?acc=PF09586","0.093")</f>
        <v>0.093</v>
      </c>
      <c r="BR498" s="1" t="str">
        <f>HYPERLINK("http://exon.niaid.nih.gov/transcriptome/T_rubida/S1/links/SMART/Triru-contig_148-SMART.txt","UBCc")</f>
        <v>UBCc</v>
      </c>
      <c r="BS498" t="str">
        <f>HYPERLINK("http://smart.embl-heidelberg.de/smart/do_annotation.pl?DOMAIN=UBCc&amp;BLAST=DUMMY","0.093")</f>
        <v>0.093</v>
      </c>
      <c r="BT498" s="1" t="str">
        <f>HYPERLINK("http://exon.niaid.nih.gov/transcriptome/T_rubida/S1/links/PRK/Triru-contig_148-PRK.txt","valyl-tRNA synthetase")</f>
        <v>valyl-tRNA synthetase</v>
      </c>
      <c r="BU498">
        <v>0.56000000000000005</v>
      </c>
      <c r="BV498" s="1" t="s">
        <v>57</v>
      </c>
      <c r="BW498" t="s">
        <v>57</v>
      </c>
      <c r="BX498" s="1" t="s">
        <v>57</v>
      </c>
      <c r="BY498" t="s">
        <v>57</v>
      </c>
    </row>
    <row r="499" spans="1:77">
      <c r="A499" t="str">
        <f>HYPERLINK("http://exon.niaid.nih.gov/transcriptome/T_rubida/S1/links/Triru/Triru-contig_604.txt","Triru-contig_604")</f>
        <v>Triru-contig_604</v>
      </c>
      <c r="B499">
        <v>1</v>
      </c>
      <c r="C499" t="str">
        <f>HYPERLINK("http://exon.niaid.nih.gov/transcriptome/T_rubida/S1/links/Triru/Triru-5-48-asb-604.txt","Contig-604")</f>
        <v>Contig-604</v>
      </c>
      <c r="D499" t="str">
        <f>HYPERLINK("http://exon.niaid.nih.gov/transcriptome/T_rubida/S1/links/Triru/Triru-5-48-604-CLU.txt","Contig604")</f>
        <v>Contig604</v>
      </c>
      <c r="E499" t="str">
        <f>HYPERLINK("http://exon.niaid.nih.gov/transcriptome/T_rubida/S1/links/Triru/Triru-5-48-604-qual.txt","55.3")</f>
        <v>55.3</v>
      </c>
      <c r="F499" t="s">
        <v>10</v>
      </c>
      <c r="G499">
        <v>71.099999999999994</v>
      </c>
      <c r="H499">
        <v>175</v>
      </c>
      <c r="I499" t="s">
        <v>616</v>
      </c>
      <c r="J499">
        <v>175</v>
      </c>
      <c r="K499">
        <v>194</v>
      </c>
      <c r="L499">
        <v>168</v>
      </c>
      <c r="M499" t="s">
        <v>5469</v>
      </c>
      <c r="N499" s="15">
        <v>1</v>
      </c>
      <c r="Q499" s="5" t="s">
        <v>4827</v>
      </c>
      <c r="R499" t="s">
        <v>4828</v>
      </c>
      <c r="V499" s="1" t="str">
        <f>HYPERLINK("http://exon.niaid.nih.gov/transcriptome/T_rubida/S1/links/NR/Triru-contig_604-NR.txt","hypothetical protein EAG_04754")</f>
        <v>hypothetical protein EAG_04754</v>
      </c>
      <c r="W499" t="str">
        <f>HYPERLINK("http://www.ncbi.nlm.nih.gov/sutils/blink.cgi?pid=307184321","12")</f>
        <v>12</v>
      </c>
      <c r="X499" t="str">
        <f>HYPERLINK("http://www.ncbi.nlm.nih.gov/protein/307184321","gi|307184321")</f>
        <v>gi|307184321</v>
      </c>
      <c r="Y499">
        <v>33.5</v>
      </c>
      <c r="Z499">
        <v>172</v>
      </c>
      <c r="AA499">
        <v>175</v>
      </c>
      <c r="AB499">
        <v>31</v>
      </c>
      <c r="AC499">
        <v>99</v>
      </c>
      <c r="AD499">
        <v>28</v>
      </c>
      <c r="AE499">
        <v>0</v>
      </c>
      <c r="AF499">
        <v>1</v>
      </c>
      <c r="AG499">
        <v>37</v>
      </c>
      <c r="AH499">
        <v>12</v>
      </c>
      <c r="AI499">
        <v>1</v>
      </c>
      <c r="AJ499" t="s">
        <v>11</v>
      </c>
      <c r="AL499" t="s">
        <v>1650</v>
      </c>
      <c r="AM499" t="s">
        <v>4518</v>
      </c>
      <c r="AN499" t="s">
        <v>4519</v>
      </c>
      <c r="AO499" s="1" t="str">
        <f>HYPERLINK("http://exon.niaid.nih.gov/transcriptome/T_rubida/S1/links/SWISSP/Triru-contig_604-SWISSP.txt","Putative mediator of RNA polymerase II transcription subunit 23")</f>
        <v>Putative mediator of RNA polymerase II transcription subunit 23</v>
      </c>
      <c r="AP499" t="str">
        <f>HYPERLINK("http://www.uniprot.org/uniprot/Q55BN0","14")</f>
        <v>14</v>
      </c>
      <c r="AQ499" t="s">
        <v>4520</v>
      </c>
      <c r="AR499">
        <v>28.5</v>
      </c>
      <c r="AS499">
        <v>31</v>
      </c>
      <c r="AT499">
        <v>42</v>
      </c>
      <c r="AU499">
        <v>2</v>
      </c>
      <c r="AV499">
        <v>19</v>
      </c>
      <c r="AW499">
        <v>0</v>
      </c>
      <c r="AX499">
        <v>482</v>
      </c>
      <c r="AY499">
        <v>60</v>
      </c>
      <c r="AZ499">
        <v>1</v>
      </c>
      <c r="BA499">
        <v>3</v>
      </c>
      <c r="BB499" t="s">
        <v>11</v>
      </c>
      <c r="BD499" t="s">
        <v>704</v>
      </c>
      <c r="BE499" t="s">
        <v>918</v>
      </c>
      <c r="BF499" t="s">
        <v>4521</v>
      </c>
      <c r="BG499" t="s">
        <v>4522</v>
      </c>
      <c r="BH499" s="1" t="s">
        <v>57</v>
      </c>
      <c r="BI499" t="s">
        <v>57</v>
      </c>
      <c r="BJ499" s="1" t="str">
        <f>HYPERLINK("http://exon.niaid.nih.gov/transcriptome/T_rubida/S1/links/CDD/Triru-contig_604-CDD.txt","VKc")</f>
        <v>VKc</v>
      </c>
      <c r="BK499" t="str">
        <f>HYPERLINK("http://www.ncbi.nlm.nih.gov/Structure/cdd/cddsrv.cgi?uid=smart00756&amp;version=v4.0","0.046")</f>
        <v>0.046</v>
      </c>
      <c r="BL499" t="s">
        <v>4523</v>
      </c>
      <c r="BM499" s="1" t="str">
        <f>HYPERLINK("http://exon.niaid.nih.gov/transcriptome/T_rubida/S1/links/KOG/Triru-contig_604-KOG.txt","Predicted transporter (major facilitator superfamily)")</f>
        <v>Predicted transporter (major facilitator superfamily)</v>
      </c>
      <c r="BN499" t="str">
        <f>HYPERLINK("http://www.ncbi.nlm.nih.gov/COG/grace/shokog.cgi?KOG0254","0.45")</f>
        <v>0.45</v>
      </c>
      <c r="BO499" t="s">
        <v>750</v>
      </c>
      <c r="BP499" s="1" t="str">
        <f>HYPERLINK("http://exon.niaid.nih.gov/transcriptome/T_rubida/S1/links/PFAM/Triru-contig_604-PFAM.txt","VKOR")</f>
        <v>VKOR</v>
      </c>
      <c r="BQ499" t="str">
        <f>HYPERLINK("http://pfam.sanger.ac.uk/family?acc=PF07884","0.014")</f>
        <v>0.014</v>
      </c>
      <c r="BR499" s="1" t="str">
        <f>HYPERLINK("http://exon.niaid.nih.gov/transcriptome/T_rubida/S1/links/SMART/Triru-contig_604-SMART.txt","VKc")</f>
        <v>VKc</v>
      </c>
      <c r="BS499" t="str">
        <f>HYPERLINK("http://smart.embl-heidelberg.de/smart/do_annotation.pl?DOMAIN=VKc&amp;BLAST=DUMMY","4E-004")</f>
        <v>4E-004</v>
      </c>
      <c r="BT499" s="1" t="str">
        <f>HYPERLINK("http://exon.niaid.nih.gov/transcriptome/T_rubida/S1/links/PRK/Triru-contig_604-PRK.txt","NADH dehydrogenase subunit 5")</f>
        <v>NADH dehydrogenase subunit 5</v>
      </c>
      <c r="BU499">
        <v>2.5999999999999999E-2</v>
      </c>
      <c r="BV499" s="1" t="s">
        <v>57</v>
      </c>
      <c r="BW499" t="s">
        <v>57</v>
      </c>
      <c r="BX499" s="1" t="s">
        <v>57</v>
      </c>
      <c r="BY499" t="s">
        <v>57</v>
      </c>
    </row>
    <row r="500" spans="1:77">
      <c r="A500" t="str">
        <f>HYPERLINK("http://exon.niaid.nih.gov/transcriptome/T_rubida/S1/links/Triru/Triru-contig_621.txt","Triru-contig_621")</f>
        <v>Triru-contig_621</v>
      </c>
      <c r="B500">
        <v>1</v>
      </c>
      <c r="C500" t="str">
        <f>HYPERLINK("http://exon.niaid.nih.gov/transcriptome/T_rubida/S1/links/Triru/Triru-5-48-asb-621.txt","Contig-621")</f>
        <v>Contig-621</v>
      </c>
      <c r="D500" t="str">
        <f>HYPERLINK("http://exon.niaid.nih.gov/transcriptome/T_rubida/S1/links/Triru/Triru-5-48-621-CLU.txt","Contig621")</f>
        <v>Contig621</v>
      </c>
      <c r="E500" t="str">
        <f>HYPERLINK("http://exon.niaid.nih.gov/transcriptome/T_rubida/S1/links/Triru/Triru-5-48-621-qual.txt","63.4")</f>
        <v>63.4</v>
      </c>
      <c r="F500" t="s">
        <v>10</v>
      </c>
      <c r="G500">
        <v>62</v>
      </c>
      <c r="H500">
        <v>239</v>
      </c>
      <c r="I500" t="s">
        <v>633</v>
      </c>
      <c r="J500">
        <v>239</v>
      </c>
      <c r="K500">
        <v>258</v>
      </c>
      <c r="L500">
        <v>150</v>
      </c>
      <c r="M500" t="s">
        <v>5503</v>
      </c>
      <c r="N500" s="15">
        <v>3</v>
      </c>
      <c r="Q500" s="5" t="s">
        <v>4827</v>
      </c>
      <c r="R500" t="s">
        <v>4828</v>
      </c>
      <c r="V500" s="1" t="str">
        <f>HYPERLINK("http://exon.niaid.nih.gov/transcriptome/T_rubida/S1/links/NR/Triru-contig_621-NR.txt","hypothetical protein DFA_06569")</f>
        <v>hypothetical protein DFA_06569</v>
      </c>
      <c r="W500" t="str">
        <f>HYPERLINK("http://www.ncbi.nlm.nih.gov/sutils/blink.cgi?pid=328876055","12")</f>
        <v>12</v>
      </c>
      <c r="X500" t="str">
        <f>HYPERLINK("http://www.ncbi.nlm.nih.gov/protein/328876055","gi|328876055")</f>
        <v>gi|328876055</v>
      </c>
      <c r="Y500">
        <v>33.5</v>
      </c>
      <c r="Z500">
        <v>61</v>
      </c>
      <c r="AA500">
        <v>3232</v>
      </c>
      <c r="AB500">
        <v>35</v>
      </c>
      <c r="AC500">
        <v>2</v>
      </c>
      <c r="AD500">
        <v>40</v>
      </c>
      <c r="AE500">
        <v>0</v>
      </c>
      <c r="AF500">
        <v>676</v>
      </c>
      <c r="AG500">
        <v>10</v>
      </c>
      <c r="AH500">
        <v>1</v>
      </c>
      <c r="AI500">
        <v>1</v>
      </c>
      <c r="AJ500" t="s">
        <v>11</v>
      </c>
      <c r="AK500">
        <v>4.9180000000000001</v>
      </c>
      <c r="AL500" t="s">
        <v>4624</v>
      </c>
      <c r="AM500" t="s">
        <v>4625</v>
      </c>
      <c r="AN500" t="s">
        <v>4626</v>
      </c>
      <c r="AO500" s="1" t="str">
        <f>HYPERLINK("http://exon.niaid.nih.gov/transcriptome/T_rubida/S1/links/SWISSP/Triru-contig_621-SWISSP.txt","Trigger factor")</f>
        <v>Trigger factor</v>
      </c>
      <c r="AP500" t="str">
        <f>HYPERLINK("http://www.uniprot.org/uniprot/Q7VIN8","23")</f>
        <v>23</v>
      </c>
      <c r="AQ500" t="s">
        <v>4627</v>
      </c>
      <c r="AR500">
        <v>27.7</v>
      </c>
      <c r="AS500">
        <v>46</v>
      </c>
      <c r="AT500">
        <v>27</v>
      </c>
      <c r="AU500">
        <v>11</v>
      </c>
      <c r="AV500">
        <v>34</v>
      </c>
      <c r="AW500">
        <v>0</v>
      </c>
      <c r="AX500">
        <v>364</v>
      </c>
      <c r="AY500">
        <v>15</v>
      </c>
      <c r="AZ500">
        <v>1</v>
      </c>
      <c r="BA500">
        <v>3</v>
      </c>
      <c r="BB500" t="s">
        <v>11</v>
      </c>
      <c r="BC500">
        <v>2.1739999999999999</v>
      </c>
      <c r="BD500" t="s">
        <v>704</v>
      </c>
      <c r="BE500" t="s">
        <v>4628</v>
      </c>
      <c r="BF500" t="s">
        <v>4629</v>
      </c>
      <c r="BG500" t="s">
        <v>4630</v>
      </c>
      <c r="BH500" s="1" t="s">
        <v>57</v>
      </c>
      <c r="BI500" t="s">
        <v>57</v>
      </c>
      <c r="BJ500" s="1" t="str">
        <f>HYPERLINK("http://exon.niaid.nih.gov/transcriptome/T_rubida/S1/links/CDD/Triru-contig_621-CDD.txt","PHA03007")</f>
        <v>PHA03007</v>
      </c>
      <c r="BK500" t="str">
        <f>HYPERLINK("http://www.ncbi.nlm.nih.gov/Structure/cdd/cddsrv.cgi?uid=PHA03007&amp;version=v4.0","0.71")</f>
        <v>0.71</v>
      </c>
      <c r="BL500" t="s">
        <v>4631</v>
      </c>
      <c r="BM500" s="1" t="str">
        <f>HYPERLINK("http://exon.niaid.nih.gov/transcriptome/T_rubida/S1/links/KOG/Triru-contig_621-KOG.txt","Mitochondrial Fe/S cluster exporter, ABC superfamily")</f>
        <v>Mitochondrial Fe/S cluster exporter, ABC superfamily</v>
      </c>
      <c r="BN500" t="str">
        <f>HYPERLINK("http://www.ncbi.nlm.nih.gov/COG/grace/shokog.cgi?KOG0057","0.31")</f>
        <v>0.31</v>
      </c>
      <c r="BO500" t="s">
        <v>1082</v>
      </c>
      <c r="BP500" s="1" t="str">
        <f>HYPERLINK("http://exon.niaid.nih.gov/transcriptome/T_rubida/S1/links/PFAM/Triru-contig_621-PFAM.txt","Peptidase_S29")</f>
        <v>Peptidase_S29</v>
      </c>
      <c r="BQ500" t="str">
        <f>HYPERLINK("http://pfam.sanger.ac.uk/family?acc=PF02907","0.29")</f>
        <v>0.29</v>
      </c>
      <c r="BR500" s="1" t="str">
        <f>HYPERLINK("http://exon.niaid.nih.gov/transcriptome/T_rubida/S1/links/SMART/Triru-contig_621-SMART.txt","BATS")</f>
        <v>BATS</v>
      </c>
      <c r="BS500" t="str">
        <f>HYPERLINK("http://smart.embl-heidelberg.de/smart/do_annotation.pl?DOMAIN=BATS&amp;BLAST=DUMMY","0.16")</f>
        <v>0.16</v>
      </c>
      <c r="BT500" s="1" t="str">
        <f>HYPERLINK("http://exon.niaid.nih.gov/transcriptome/T_rubida/S1/links/PRK/Triru-contig_621-PRK.txt","hypothetical protein")</f>
        <v>hypothetical protein</v>
      </c>
      <c r="BU500">
        <v>0.27</v>
      </c>
      <c r="BV500" s="1" t="s">
        <v>57</v>
      </c>
      <c r="BW500" t="s">
        <v>57</v>
      </c>
      <c r="BX500" s="1" t="s">
        <v>57</v>
      </c>
      <c r="BY500" t="s">
        <v>57</v>
      </c>
    </row>
    <row r="501" spans="1:77">
      <c r="A501" t="str">
        <f>HYPERLINK("http://exon.niaid.nih.gov/transcriptome/T_rubida/S1/links/Triru/Triru-contig_291.txt","Triru-contig_291")</f>
        <v>Triru-contig_291</v>
      </c>
      <c r="B501">
        <v>1</v>
      </c>
      <c r="C501" t="str">
        <f>HYPERLINK("http://exon.niaid.nih.gov/transcriptome/T_rubida/S1/links/Triru/Triru-5-48-asb-291.txt","Contig-291")</f>
        <v>Contig-291</v>
      </c>
      <c r="D501" t="str">
        <f>HYPERLINK("http://exon.niaid.nih.gov/transcriptome/T_rubida/S1/links/Triru/Triru-5-48-291-CLU.txt","Contig291")</f>
        <v>Contig291</v>
      </c>
      <c r="E501" t="str">
        <f>HYPERLINK("http://exon.niaid.nih.gov/transcriptome/T_rubida/S1/links/Triru/Triru-5-48-291-qual.txt","62.9")</f>
        <v>62.9</v>
      </c>
      <c r="F501" t="s">
        <v>10</v>
      </c>
      <c r="G501">
        <v>65.400000000000006</v>
      </c>
      <c r="H501">
        <v>273</v>
      </c>
      <c r="I501" t="s">
        <v>303</v>
      </c>
      <c r="J501">
        <v>273</v>
      </c>
      <c r="K501">
        <v>292</v>
      </c>
      <c r="L501">
        <v>207</v>
      </c>
      <c r="M501" t="s">
        <v>5507</v>
      </c>
      <c r="N501" s="15">
        <v>1</v>
      </c>
      <c r="O501" s="14" t="str">
        <f>HYPERLINK("http://exon.niaid.nih.gov/transcriptome/T_rubida/S1/links/Sigp/TRIRU-CONTIG_291-SigP.txt","BL")</f>
        <v>BL</v>
      </c>
      <c r="P501" t="s">
        <v>5057</v>
      </c>
      <c r="Q501" s="5" t="s">
        <v>4827</v>
      </c>
      <c r="R501" t="s">
        <v>4828</v>
      </c>
      <c r="V501" s="1" t="str">
        <f>HYPERLINK("http://exon.niaid.nih.gov/transcriptome/T_rubida/S1/links/NR/Triru-contig_291-NR.txt","GI20029")</f>
        <v>GI20029</v>
      </c>
      <c r="W501" t="str">
        <f>HYPERLINK("http://www.ncbi.nlm.nih.gov/sutils/blink.cgi?pid=195120213","12")</f>
        <v>12</v>
      </c>
      <c r="X501" t="str">
        <f>HYPERLINK("http://www.ncbi.nlm.nih.gov/protein/195120213","gi|195120213")</f>
        <v>gi|195120213</v>
      </c>
      <c r="Y501">
        <v>33.5</v>
      </c>
      <c r="Z501">
        <v>59</v>
      </c>
      <c r="AA501">
        <v>156</v>
      </c>
      <c r="AB501">
        <v>30</v>
      </c>
      <c r="AC501">
        <v>38</v>
      </c>
      <c r="AD501">
        <v>42</v>
      </c>
      <c r="AE501">
        <v>0</v>
      </c>
      <c r="AF501">
        <v>93</v>
      </c>
      <c r="AG501">
        <v>47</v>
      </c>
      <c r="AH501">
        <v>1</v>
      </c>
      <c r="AI501">
        <v>2</v>
      </c>
      <c r="AJ501" t="s">
        <v>11</v>
      </c>
      <c r="AK501">
        <v>5.085</v>
      </c>
      <c r="AL501" t="s">
        <v>2442</v>
      </c>
      <c r="AM501" t="s">
        <v>2443</v>
      </c>
      <c r="AN501" t="s">
        <v>2444</v>
      </c>
      <c r="AO501" s="1" t="str">
        <f>HYPERLINK("http://exon.niaid.nih.gov/transcriptome/T_rubida/S1/links/SWISSP/Triru-contig_291-SWISSP.txt","Flagellar protein fliZ")</f>
        <v>Flagellar protein fliZ</v>
      </c>
      <c r="AP501" t="str">
        <f>HYPERLINK("http://www.uniprot.org/uniprot/Q44904","6.3")</f>
        <v>6.3</v>
      </c>
      <c r="AQ501" t="s">
        <v>2445</v>
      </c>
      <c r="AR501">
        <v>29.6</v>
      </c>
      <c r="AS501">
        <v>48</v>
      </c>
      <c r="AT501">
        <v>28</v>
      </c>
      <c r="AU501">
        <v>24</v>
      </c>
      <c r="AV501">
        <v>35</v>
      </c>
      <c r="AW501">
        <v>0</v>
      </c>
      <c r="AX501">
        <v>49</v>
      </c>
      <c r="AY501">
        <v>49</v>
      </c>
      <c r="AZ501">
        <v>1</v>
      </c>
      <c r="BA501">
        <v>1</v>
      </c>
      <c r="BB501" t="s">
        <v>11</v>
      </c>
      <c r="BD501" t="s">
        <v>704</v>
      </c>
      <c r="BE501" t="s">
        <v>2446</v>
      </c>
      <c r="BF501" t="s">
        <v>2447</v>
      </c>
      <c r="BG501" t="s">
        <v>2448</v>
      </c>
      <c r="BH501" s="1" t="s">
        <v>57</v>
      </c>
      <c r="BI501" t="s">
        <v>57</v>
      </c>
      <c r="BJ501" s="1" t="str">
        <f>HYPERLINK("http://exon.niaid.nih.gov/transcriptome/T_rubida/S1/links/CDD/Triru-contig_291-CDD.txt","3a01204")</f>
        <v>3a01204</v>
      </c>
      <c r="BK501" t="str">
        <f>HYPERLINK("http://www.ncbi.nlm.nih.gov/Structure/cdd/cddsrv.cgi?uid=TIGR00955&amp;version=v4.0","0.51")</f>
        <v>0.51</v>
      </c>
      <c r="BL501" t="s">
        <v>2449</v>
      </c>
      <c r="BM501" s="1" t="str">
        <f>HYPERLINK("http://exon.niaid.nih.gov/transcriptome/T_rubida/S1/links/KOG/Triru-contig_291-KOG.txt","ATP-dependent RNA helicase")</f>
        <v>ATP-dependent RNA helicase</v>
      </c>
      <c r="BN501" t="str">
        <f>HYPERLINK("http://www.ncbi.nlm.nih.gov/COG/grace/shokog.cgi?KOG0345","1.4")</f>
        <v>1.4</v>
      </c>
      <c r="BO501" t="s">
        <v>1002</v>
      </c>
      <c r="BP501" s="1" t="str">
        <f>HYPERLINK("http://exon.niaid.nih.gov/transcriptome/T_rubida/S1/links/PFAM/Triru-contig_291-PFAM.txt","UAA")</f>
        <v>UAA</v>
      </c>
      <c r="BQ501" t="str">
        <f>HYPERLINK("http://pfam.sanger.ac.uk/family?acc=PF08449","0.37")</f>
        <v>0.37</v>
      </c>
      <c r="BR501" s="1" t="str">
        <f>HYPERLINK("http://exon.niaid.nih.gov/transcriptome/T_rubida/S1/links/SMART/Triru-contig_291-SMART.txt","RasGEF")</f>
        <v>RasGEF</v>
      </c>
      <c r="BS501" t="str">
        <f>HYPERLINK("http://smart.embl-heidelberg.de/smart/do_annotation.pl?DOMAIN=RasGEF&amp;BLAST=DUMMY","0.15")</f>
        <v>0.15</v>
      </c>
      <c r="BT501" s="1" t="str">
        <f>HYPERLINK("http://exon.niaid.nih.gov/transcriptome/T_rubida/S1/links/PRK/Triru-contig_291-PRK.txt","membrane protein insertase")</f>
        <v>membrane protein insertase</v>
      </c>
      <c r="BU501">
        <v>0.56000000000000005</v>
      </c>
      <c r="BV501" s="1" t="s">
        <v>57</v>
      </c>
      <c r="BW501" t="s">
        <v>57</v>
      </c>
      <c r="BX501" s="1" t="s">
        <v>57</v>
      </c>
      <c r="BY501" t="s">
        <v>57</v>
      </c>
    </row>
    <row r="502" spans="1:77">
      <c r="A502" t="str">
        <f>HYPERLINK("http://exon.niaid.nih.gov/transcriptome/T_rubida/S1/links/Triru/Triru-contig_551.txt","Triru-contig_551")</f>
        <v>Triru-contig_551</v>
      </c>
      <c r="B502">
        <v>1</v>
      </c>
      <c r="C502" t="str">
        <f>HYPERLINK("http://exon.niaid.nih.gov/transcriptome/T_rubida/S1/links/Triru/Triru-5-48-asb-551.txt","Contig-551")</f>
        <v>Contig-551</v>
      </c>
      <c r="D502" t="str">
        <f>HYPERLINK("http://exon.niaid.nih.gov/transcriptome/T_rubida/S1/links/Triru/Triru-5-48-551-CLU.txt","Contig551")</f>
        <v>Contig551</v>
      </c>
      <c r="E502" t="str">
        <f>HYPERLINK("http://exon.niaid.nih.gov/transcriptome/T_rubida/S1/links/Triru/Triru-5-48-551-qual.txt","47.5")</f>
        <v>47.5</v>
      </c>
      <c r="F502" t="s">
        <v>10</v>
      </c>
      <c r="G502">
        <v>69.400000000000006</v>
      </c>
      <c r="H502" t="s">
        <v>57</v>
      </c>
      <c r="I502" t="s">
        <v>563</v>
      </c>
      <c r="J502" t="s">
        <v>57</v>
      </c>
      <c r="K502">
        <v>268</v>
      </c>
      <c r="L502">
        <v>144</v>
      </c>
      <c r="M502" t="s">
        <v>5548</v>
      </c>
      <c r="N502" s="15">
        <v>1</v>
      </c>
      <c r="Q502" s="5" t="s">
        <v>4827</v>
      </c>
      <c r="R502" t="s">
        <v>4828</v>
      </c>
      <c r="V502" s="1" t="str">
        <f>HYPERLINK("http://exon.niaid.nih.gov/transcriptome/T_rubida/S1/links/NR/Triru-contig_551-NR.txt","RNA-directed DNA polymerase")</f>
        <v>RNA-directed DNA polymerase</v>
      </c>
      <c r="W502" t="str">
        <f>HYPERLINK("http://www.ncbi.nlm.nih.gov/sutils/blink.cgi?pid=85712389","12")</f>
        <v>12</v>
      </c>
      <c r="X502" t="str">
        <f>HYPERLINK("http://www.ncbi.nlm.nih.gov/protein/85712389","gi|85712389")</f>
        <v>gi|85712389</v>
      </c>
      <c r="Y502">
        <v>33.5</v>
      </c>
      <c r="Z502">
        <v>35</v>
      </c>
      <c r="AA502">
        <v>381</v>
      </c>
      <c r="AB502">
        <v>43</v>
      </c>
      <c r="AC502">
        <v>9</v>
      </c>
      <c r="AD502">
        <v>21</v>
      </c>
      <c r="AE502">
        <v>0</v>
      </c>
      <c r="AF502">
        <v>289</v>
      </c>
      <c r="AG502">
        <v>145</v>
      </c>
      <c r="AH502">
        <v>1</v>
      </c>
      <c r="AI502">
        <v>1</v>
      </c>
      <c r="AJ502" t="s">
        <v>11</v>
      </c>
      <c r="AL502" t="s">
        <v>4196</v>
      </c>
      <c r="AM502" t="s">
        <v>4197</v>
      </c>
      <c r="AN502" t="s">
        <v>4198</v>
      </c>
      <c r="AO502" s="1" t="str">
        <f>HYPERLINK("http://exon.niaid.nih.gov/transcriptome/T_rubida/S1/links/SWISSP/Triru-contig_551-SWISSP.txt","Bifunctional DNA-directed RNA polymerase subunit beta-beta'")</f>
        <v>Bifunctional DNA-directed RNA polymerase subunit beta-beta'</v>
      </c>
      <c r="AP502" t="str">
        <f>HYPERLINK("http://www.uniprot.org/uniprot/O25806","24")</f>
        <v>24</v>
      </c>
      <c r="AQ502" t="s">
        <v>4199</v>
      </c>
      <c r="AR502">
        <v>27.7</v>
      </c>
      <c r="AS502">
        <v>46</v>
      </c>
      <c r="AT502">
        <v>29</v>
      </c>
      <c r="AU502">
        <v>2</v>
      </c>
      <c r="AV502">
        <v>33</v>
      </c>
      <c r="AW502">
        <v>2</v>
      </c>
      <c r="AX502">
        <v>2158</v>
      </c>
      <c r="AY502">
        <v>1</v>
      </c>
      <c r="AZ502">
        <v>1</v>
      </c>
      <c r="BA502">
        <v>1</v>
      </c>
      <c r="BB502" t="s">
        <v>11</v>
      </c>
      <c r="BC502">
        <v>4.3479999999999999</v>
      </c>
      <c r="BD502" t="s">
        <v>704</v>
      </c>
      <c r="BE502" t="s">
        <v>3482</v>
      </c>
      <c r="BF502" t="s">
        <v>4200</v>
      </c>
      <c r="BG502" t="s">
        <v>4201</v>
      </c>
      <c r="BH502" s="1" t="s">
        <v>57</v>
      </c>
      <c r="BI502" t="s">
        <v>57</v>
      </c>
      <c r="BJ502" s="1" t="str">
        <f>HYPERLINK("http://exon.niaid.nih.gov/transcriptome/T_rubida/S1/links/CDD/Triru-contig_551-CDD.txt","ND5")</f>
        <v>ND5</v>
      </c>
      <c r="BK502" t="str">
        <f>HYPERLINK("http://www.ncbi.nlm.nih.gov/Structure/cdd/cddsrv.cgi?uid=MTH00095&amp;version=v4.0","0.21")</f>
        <v>0.21</v>
      </c>
      <c r="BL502" t="s">
        <v>4202</v>
      </c>
      <c r="BM502" s="1" t="str">
        <f>HYPERLINK("http://exon.niaid.nih.gov/transcriptome/T_rubida/S1/links/KOG/Triru-contig_551-KOG.txt","Glucose-6-phosphate/phosphate and phosphoenolpyruvate/phosphate antiporter")</f>
        <v>Glucose-6-phosphate/phosphate and phosphoenolpyruvate/phosphate antiporter</v>
      </c>
      <c r="BN502" t="str">
        <f>HYPERLINK("http://www.ncbi.nlm.nih.gov/COG/grace/shokog.cgi?KOG1441","0.58")</f>
        <v>0.58</v>
      </c>
      <c r="BO502" t="s">
        <v>4203</v>
      </c>
      <c r="BP502" s="1" t="str">
        <f>HYPERLINK("http://exon.niaid.nih.gov/transcriptome/T_rubida/S1/links/PFAM/Triru-contig_551-PFAM.txt","Herpes_glycop")</f>
        <v>Herpes_glycop</v>
      </c>
      <c r="BQ502" t="str">
        <f>HYPERLINK("http://pfam.sanger.ac.uk/family?acc=PF01528","0.28")</f>
        <v>0.28</v>
      </c>
      <c r="BR502" s="1" t="str">
        <f>HYPERLINK("http://exon.niaid.nih.gov/transcriptome/T_rubida/S1/links/SMART/Triru-contig_551-SMART.txt","WNT1")</f>
        <v>WNT1</v>
      </c>
      <c r="BS502" t="str">
        <f>HYPERLINK("http://smart.embl-heidelberg.de/smart/do_annotation.pl?DOMAIN=WNT1&amp;BLAST=DUMMY","0.14")</f>
        <v>0.14</v>
      </c>
      <c r="BT502" s="1" t="str">
        <f>HYPERLINK("http://exon.niaid.nih.gov/transcriptome/T_rubida/S1/links/PRK/Triru-contig_551-PRK.txt","NADH dehydrogenase subunit 5")</f>
        <v>NADH dehydrogenase subunit 5</v>
      </c>
      <c r="BU502">
        <v>7.3999999999999996E-2</v>
      </c>
      <c r="BV502" s="1" t="s">
        <v>57</v>
      </c>
      <c r="BW502" t="s">
        <v>57</v>
      </c>
      <c r="BX502" s="1" t="s">
        <v>57</v>
      </c>
      <c r="BY502" t="s">
        <v>57</v>
      </c>
    </row>
    <row r="503" spans="1:77">
      <c r="A503" t="str">
        <f>HYPERLINK("http://exon.niaid.nih.gov/transcriptome/T_rubida/S1/links/Triru/Triru-contig_600.txt","Triru-contig_600")</f>
        <v>Triru-contig_600</v>
      </c>
      <c r="B503">
        <v>1</v>
      </c>
      <c r="C503" t="str">
        <f>HYPERLINK("http://exon.niaid.nih.gov/transcriptome/T_rubida/S1/links/Triru/Triru-5-48-asb-600.txt","Contig-600")</f>
        <v>Contig-600</v>
      </c>
      <c r="D503" t="str">
        <f>HYPERLINK("http://exon.niaid.nih.gov/transcriptome/T_rubida/S1/links/Triru/Triru-5-48-600-CLU.txt","Contig600")</f>
        <v>Contig600</v>
      </c>
      <c r="E503" t="str">
        <f>HYPERLINK("http://exon.niaid.nih.gov/transcriptome/T_rubida/S1/links/Triru/Triru-5-48-600-qual.txt","38.4")</f>
        <v>38.4</v>
      </c>
      <c r="F503">
        <v>0.6</v>
      </c>
      <c r="G503">
        <v>74.2</v>
      </c>
      <c r="H503">
        <v>307</v>
      </c>
      <c r="I503" t="s">
        <v>612</v>
      </c>
      <c r="J503">
        <v>307</v>
      </c>
      <c r="K503">
        <v>326</v>
      </c>
      <c r="L503">
        <v>165</v>
      </c>
      <c r="M503" t="s">
        <v>5553</v>
      </c>
      <c r="N503" s="15">
        <v>1</v>
      </c>
      <c r="Q503" s="5" t="s">
        <v>4827</v>
      </c>
      <c r="R503" t="s">
        <v>4828</v>
      </c>
      <c r="V503" s="1" t="str">
        <f>HYPERLINK("http://exon.niaid.nih.gov/transcriptome/T_rubida/S1/links/NR/Triru-contig_600-NR.txt","hypothetical protein HMPREF5505_0252")</f>
        <v>hypothetical protein HMPREF5505_0252</v>
      </c>
      <c r="W503" t="str">
        <f>HYPERLINK("http://www.ncbi.nlm.nih.gov/sutils/blink.cgi?pid=325686037","12")</f>
        <v>12</v>
      </c>
      <c r="X503" t="str">
        <f>HYPERLINK("http://www.ncbi.nlm.nih.gov/protein/325686037","gi|325686037")</f>
        <v>gi|325686037</v>
      </c>
      <c r="Y503">
        <v>33.5</v>
      </c>
      <c r="Z503">
        <v>46</v>
      </c>
      <c r="AA503">
        <v>90</v>
      </c>
      <c r="AB503">
        <v>38</v>
      </c>
      <c r="AC503">
        <v>52</v>
      </c>
      <c r="AD503">
        <v>29</v>
      </c>
      <c r="AE503">
        <v>0</v>
      </c>
      <c r="AF503">
        <v>40</v>
      </c>
      <c r="AG503">
        <v>20</v>
      </c>
      <c r="AH503">
        <v>1</v>
      </c>
      <c r="AI503">
        <v>2</v>
      </c>
      <c r="AJ503" t="s">
        <v>11</v>
      </c>
      <c r="AL503" t="s">
        <v>4492</v>
      </c>
      <c r="AM503" t="s">
        <v>4493</v>
      </c>
      <c r="AN503" t="s">
        <v>4494</v>
      </c>
      <c r="AO503" s="1" t="str">
        <f>HYPERLINK("http://exon.niaid.nih.gov/transcriptome/T_rubida/S1/links/SWISSP/Triru-contig_600-SWISSP.txt","30S ribosomal protein S6")</f>
        <v>30S ribosomal protein S6</v>
      </c>
      <c r="AP503" t="str">
        <f>HYPERLINK("http://www.uniprot.org/uniprot/Q2W5G8","11")</f>
        <v>11</v>
      </c>
      <c r="AQ503" t="s">
        <v>4495</v>
      </c>
      <c r="AR503">
        <v>28.9</v>
      </c>
      <c r="AS503">
        <v>31</v>
      </c>
      <c r="AT503">
        <v>34</v>
      </c>
      <c r="AU503">
        <v>22</v>
      </c>
      <c r="AV503">
        <v>21</v>
      </c>
      <c r="AW503">
        <v>0</v>
      </c>
      <c r="AX503">
        <v>35</v>
      </c>
      <c r="AY503">
        <v>32</v>
      </c>
      <c r="AZ503">
        <v>1</v>
      </c>
      <c r="BA503">
        <v>2</v>
      </c>
      <c r="BB503" t="s">
        <v>11</v>
      </c>
      <c r="BD503" t="s">
        <v>704</v>
      </c>
      <c r="BE503" t="s">
        <v>4496</v>
      </c>
      <c r="BF503" t="s">
        <v>4497</v>
      </c>
      <c r="BG503" t="s">
        <v>4498</v>
      </c>
      <c r="BH503" s="1" t="s">
        <v>57</v>
      </c>
      <c r="BI503" t="s">
        <v>57</v>
      </c>
      <c r="BJ503" s="1" t="str">
        <f>HYPERLINK("http://exon.niaid.nih.gov/transcriptome/T_rubida/S1/links/CDD/Triru-contig_600-CDD.txt","RE_CfrBI")</f>
        <v>RE_CfrBI</v>
      </c>
      <c r="BK503" t="str">
        <f>HYPERLINK("http://www.ncbi.nlm.nih.gov/Structure/cdd/cddsrv.cgi?uid=pfam09516&amp;version=v4.0","0.33")</f>
        <v>0.33</v>
      </c>
      <c r="BL503" t="s">
        <v>4499</v>
      </c>
      <c r="BM503" s="1" t="str">
        <f>HYPERLINK("http://exon.niaid.nih.gov/transcriptome/T_rubida/S1/links/KOG/Triru-contig_600-KOG.txt","Spindle pole body protein - Sad1p")</f>
        <v>Spindle pole body protein - Sad1p</v>
      </c>
      <c r="BN503" t="str">
        <f>HYPERLINK("http://www.ncbi.nlm.nih.gov/COG/grace/shokog.cgi?KOG2026","1.5")</f>
        <v>1.5</v>
      </c>
      <c r="BO503" t="s">
        <v>867</v>
      </c>
      <c r="BP503" s="1" t="str">
        <f>HYPERLINK("http://exon.niaid.nih.gov/transcriptome/T_rubida/S1/links/PFAM/Triru-contig_600-PFAM.txt","RE_CfrBI")</f>
        <v>RE_CfrBI</v>
      </c>
      <c r="BQ503" t="str">
        <f>HYPERLINK("http://pfam.sanger.ac.uk/family?acc=PF09516","0.070")</f>
        <v>0.070</v>
      </c>
      <c r="BR503" s="1" t="str">
        <f>HYPERLINK("http://exon.niaid.nih.gov/transcriptome/T_rubida/S1/links/SMART/Triru-contig_600-SMART.txt","RHO")</f>
        <v>RHO</v>
      </c>
      <c r="BS503" t="str">
        <f>HYPERLINK("http://smart.embl-heidelberg.de/smart/do_annotation.pl?DOMAIN=RHO&amp;BLAST=DUMMY","0.16")</f>
        <v>0.16</v>
      </c>
      <c r="BT503" s="1" t="str">
        <f>HYPERLINK("http://exon.niaid.nih.gov/transcriptome/T_rubida/S1/links/PRK/Triru-contig_600-PRK.txt","NADH dehydrogenase subunit 2")</f>
        <v>NADH dehydrogenase subunit 2</v>
      </c>
      <c r="BU503">
        <v>0.31</v>
      </c>
      <c r="BV503" s="1" t="s">
        <v>57</v>
      </c>
      <c r="BW503" t="s">
        <v>57</v>
      </c>
      <c r="BX503" s="1" t="s">
        <v>57</v>
      </c>
      <c r="BY503" t="s">
        <v>57</v>
      </c>
    </row>
    <row r="504" spans="1:77">
      <c r="A504" t="str">
        <f>HYPERLINK("http://exon.niaid.nih.gov/transcriptome/T_rubida/S1/links/Triru/Triru-contig_203.txt","Triru-contig_203")</f>
        <v>Triru-contig_203</v>
      </c>
      <c r="B504">
        <v>1</v>
      </c>
      <c r="C504" t="str">
        <f>HYPERLINK("http://exon.niaid.nih.gov/transcriptome/T_rubida/S1/links/Triru/Triru-5-48-asb-203.txt","Contig-203")</f>
        <v>Contig-203</v>
      </c>
      <c r="D504" t="str">
        <f>HYPERLINK("http://exon.niaid.nih.gov/transcriptome/T_rubida/S1/links/Triru/Triru-5-48-203-CLU.txt","Contig203")</f>
        <v>Contig203</v>
      </c>
      <c r="E504" t="str">
        <f>HYPERLINK("http://exon.niaid.nih.gov/transcriptome/T_rubida/S1/links/Triru/Triru-5-48-203-qual.txt","57.2")</f>
        <v>57.2</v>
      </c>
      <c r="F504" t="s">
        <v>10</v>
      </c>
      <c r="G504">
        <v>78.3</v>
      </c>
      <c r="H504">
        <v>170</v>
      </c>
      <c r="I504" t="s">
        <v>215</v>
      </c>
      <c r="J504">
        <v>170</v>
      </c>
      <c r="K504">
        <v>189</v>
      </c>
      <c r="L504">
        <v>69</v>
      </c>
      <c r="M504" t="s">
        <v>5555</v>
      </c>
      <c r="N504" s="15">
        <v>3</v>
      </c>
      <c r="Q504" s="5" t="s">
        <v>4827</v>
      </c>
      <c r="R504" t="s">
        <v>4828</v>
      </c>
      <c r="V504" s="1" t="str">
        <f>HYPERLINK("http://exon.niaid.nih.gov/transcriptome/T_rubida/S1/links/NR/Triru-contig_203-NR.txt","hypothetical protein Lebu_0393")</f>
        <v>hypothetical protein Lebu_0393</v>
      </c>
      <c r="W504" t="str">
        <f>HYPERLINK("http://www.ncbi.nlm.nih.gov/sutils/blink.cgi?pid=257125186","12")</f>
        <v>12</v>
      </c>
      <c r="X504" t="str">
        <f>HYPERLINK("http://www.ncbi.nlm.nih.gov/protein/257125186","gi|257125186")</f>
        <v>gi|257125186</v>
      </c>
      <c r="Y504">
        <v>33.5</v>
      </c>
      <c r="Z504">
        <v>31</v>
      </c>
      <c r="AA504">
        <v>54</v>
      </c>
      <c r="AB504">
        <v>43</v>
      </c>
      <c r="AC504">
        <v>59</v>
      </c>
      <c r="AD504">
        <v>18</v>
      </c>
      <c r="AE504">
        <v>0</v>
      </c>
      <c r="AF504">
        <v>22</v>
      </c>
      <c r="AG504">
        <v>6</v>
      </c>
      <c r="AH504">
        <v>1</v>
      </c>
      <c r="AI504">
        <v>3</v>
      </c>
      <c r="AJ504" t="s">
        <v>11</v>
      </c>
      <c r="AK504">
        <v>3.226</v>
      </c>
      <c r="AL504" t="s">
        <v>1881</v>
      </c>
      <c r="AM504" t="s">
        <v>1882</v>
      </c>
      <c r="AN504" t="s">
        <v>1883</v>
      </c>
      <c r="AO504" s="1" t="str">
        <f>HYPERLINK("http://exon.niaid.nih.gov/transcriptome/T_rubida/S1/links/SWISSP/Triru-contig_203-SWISSP.txt","Olfactory receptor 12D2")</f>
        <v>Olfactory receptor 12D2</v>
      </c>
      <c r="AP504" t="str">
        <f>HYPERLINK("http://www.uniprot.org/uniprot/P58182","70")</f>
        <v>70</v>
      </c>
      <c r="AQ504" t="s">
        <v>1884</v>
      </c>
      <c r="AR504">
        <v>26.2</v>
      </c>
      <c r="AS504">
        <v>41</v>
      </c>
      <c r="AT504">
        <v>38</v>
      </c>
      <c r="AU504">
        <v>14</v>
      </c>
      <c r="AV504">
        <v>26</v>
      </c>
      <c r="AW504">
        <v>2</v>
      </c>
      <c r="AX504">
        <v>218</v>
      </c>
      <c r="AY504">
        <v>18</v>
      </c>
      <c r="AZ504">
        <v>1</v>
      </c>
      <c r="BA504">
        <v>3</v>
      </c>
      <c r="BB504" t="s">
        <v>11</v>
      </c>
      <c r="BC504">
        <v>2.4390000000000001</v>
      </c>
      <c r="BD504" t="s">
        <v>704</v>
      </c>
      <c r="BE504" t="s">
        <v>1233</v>
      </c>
      <c r="BF504" t="s">
        <v>1885</v>
      </c>
      <c r="BG504" t="s">
        <v>1886</v>
      </c>
      <c r="BH504" s="1" t="s">
        <v>57</v>
      </c>
      <c r="BI504" t="s">
        <v>57</v>
      </c>
      <c r="BJ504" s="1" t="str">
        <f>HYPERLINK("http://exon.niaid.nih.gov/transcriptome/T_rubida/S1/links/CDD/Triru-contig_203-CDD.txt","ND5")</f>
        <v>ND5</v>
      </c>
      <c r="BK504" t="str">
        <f>HYPERLINK("http://www.ncbi.nlm.nih.gov/Structure/cdd/cddsrv.cgi?uid=MTH00095&amp;version=v4.0","0.40")</f>
        <v>0.40</v>
      </c>
      <c r="BL504" t="s">
        <v>1887</v>
      </c>
      <c r="BM504" s="1" t="str">
        <f>HYPERLINK("http://exon.niaid.nih.gov/transcriptome/T_rubida/S1/links/KOG/Triru-contig_203-KOG.txt","DEAD box RNA helicase")</f>
        <v>DEAD box RNA helicase</v>
      </c>
      <c r="BN504" t="str">
        <f>HYPERLINK("http://www.ncbi.nlm.nih.gov/COG/grace/shokog.cgi?KOG3768","0.75")</f>
        <v>0.75</v>
      </c>
      <c r="BO504" t="s">
        <v>750</v>
      </c>
      <c r="BP504" s="1" t="str">
        <f>HYPERLINK("http://exon.niaid.nih.gov/transcriptome/T_rubida/S1/links/PFAM/Triru-contig_203-PFAM.txt","A-2_8-polyST")</f>
        <v>A-2_8-polyST</v>
      </c>
      <c r="BQ504" t="str">
        <f>HYPERLINK("http://pfam.sanger.ac.uk/family?acc=PF07388","0.14")</f>
        <v>0.14</v>
      </c>
      <c r="BR504" s="1" t="str">
        <f>HYPERLINK("http://exon.niaid.nih.gov/transcriptome/T_rubida/S1/links/SMART/Triru-contig_203-SMART.txt","MIF4G")</f>
        <v>MIF4G</v>
      </c>
      <c r="BS504" t="str">
        <f>HYPERLINK("http://smart.embl-heidelberg.de/smart/do_annotation.pl?DOMAIN=MIF4G&amp;BLAST=DUMMY","0.79")</f>
        <v>0.79</v>
      </c>
      <c r="BT504" s="1" t="str">
        <f>HYPERLINK("http://exon.niaid.nih.gov/transcriptome/T_rubida/S1/links/PRK/Triru-contig_203-PRK.txt","NADH dehydrogenase subunit 5")</f>
        <v>NADH dehydrogenase subunit 5</v>
      </c>
      <c r="BU504">
        <v>0.15</v>
      </c>
      <c r="BV504" s="1" t="s">
        <v>57</v>
      </c>
      <c r="BW504" t="s">
        <v>57</v>
      </c>
      <c r="BX504" s="1" t="s">
        <v>57</v>
      </c>
      <c r="BY504" t="s">
        <v>57</v>
      </c>
    </row>
    <row r="505" spans="1:77">
      <c r="A505" t="str">
        <f>HYPERLINK("http://exon.niaid.nih.gov/transcriptome/T_rubida/S1/links/Triru/Triru-contig_431.txt","Triru-contig_431")</f>
        <v>Triru-contig_431</v>
      </c>
      <c r="B505">
        <v>1</v>
      </c>
      <c r="C505" t="str">
        <f>HYPERLINK("http://exon.niaid.nih.gov/transcriptome/T_rubida/S1/links/Triru/Triru-5-48-asb-431.txt","Contig-431")</f>
        <v>Contig-431</v>
      </c>
      <c r="D505" t="str">
        <f>HYPERLINK("http://exon.niaid.nih.gov/transcriptome/T_rubida/S1/links/Triru/Triru-5-48-431-CLU.txt","Contig431")</f>
        <v>Contig431</v>
      </c>
      <c r="E505" t="str">
        <f>HYPERLINK("http://exon.niaid.nih.gov/transcriptome/T_rubida/S1/links/Triru/Triru-5-48-431-qual.txt","26.6")</f>
        <v>26.6</v>
      </c>
      <c r="F505">
        <v>0.1</v>
      </c>
      <c r="G505">
        <v>64.900000000000006</v>
      </c>
      <c r="H505">
        <v>1032</v>
      </c>
      <c r="I505" t="s">
        <v>443</v>
      </c>
      <c r="J505">
        <v>1032</v>
      </c>
      <c r="K505">
        <v>1051</v>
      </c>
      <c r="L505">
        <v>279</v>
      </c>
      <c r="M505" t="s">
        <v>5575</v>
      </c>
      <c r="N505" s="15">
        <v>2</v>
      </c>
      <c r="O505" s="14" t="str">
        <f>HYPERLINK("http://exon.niaid.nih.gov/transcriptome/T_rubida/S1/links/Sigp/TRIRU-CONTIG_431-SigP.txt","Cyt")</f>
        <v>Cyt</v>
      </c>
      <c r="Q505" s="5" t="s">
        <v>4827</v>
      </c>
      <c r="R505" t="s">
        <v>4828</v>
      </c>
      <c r="V505" s="1" t="str">
        <f>HYPERLINK("http://exon.niaid.nih.gov/transcriptome/T_rubida/S1/links/NR/Triru-contig_431-NR.txt","predicted protein")</f>
        <v>predicted protein</v>
      </c>
      <c r="W505" t="str">
        <f>HYPERLINK("http://www.ncbi.nlm.nih.gov/sutils/blink.cgi?pid=291001159","12")</f>
        <v>12</v>
      </c>
      <c r="X505" t="str">
        <f>HYPERLINK("http://www.ncbi.nlm.nih.gov/protein/291001159","gi|291001159")</f>
        <v>gi|291001159</v>
      </c>
      <c r="Y505">
        <v>35.799999999999997</v>
      </c>
      <c r="Z505">
        <v>56</v>
      </c>
      <c r="AA505">
        <v>1197</v>
      </c>
      <c r="AB505">
        <v>31</v>
      </c>
      <c r="AC505">
        <v>5</v>
      </c>
      <c r="AD505">
        <v>43</v>
      </c>
      <c r="AE505">
        <v>4</v>
      </c>
      <c r="AF505">
        <v>769</v>
      </c>
      <c r="AG505">
        <v>399</v>
      </c>
      <c r="AH505">
        <v>1</v>
      </c>
      <c r="AI505">
        <v>3</v>
      </c>
      <c r="AJ505" t="s">
        <v>11</v>
      </c>
      <c r="AK505">
        <v>3.5710000000000002</v>
      </c>
      <c r="AL505" t="s">
        <v>1696</v>
      </c>
      <c r="AM505" t="s">
        <v>3400</v>
      </c>
      <c r="AN505" t="s">
        <v>3401</v>
      </c>
      <c r="AO505" s="1" t="str">
        <f>HYPERLINK("http://exon.niaid.nih.gov/transcriptome/T_rubida/S1/links/SWISSP/Triru-contig_431-SWISSP.txt","Thiamine biosynthesis lipoprotein ApbE")</f>
        <v>Thiamine biosynthesis lipoprotein ApbE</v>
      </c>
      <c r="AP505" t="str">
        <f>HYPERLINK("http://www.uniprot.org/uniprot/Q9PKW2","2.7")</f>
        <v>2.7</v>
      </c>
      <c r="AQ505" t="s">
        <v>3402</v>
      </c>
      <c r="AR505">
        <v>33.5</v>
      </c>
      <c r="AS505">
        <v>48</v>
      </c>
      <c r="AT505">
        <v>36</v>
      </c>
      <c r="AU505">
        <v>16</v>
      </c>
      <c r="AV505">
        <v>37</v>
      </c>
      <c r="AW505">
        <v>0</v>
      </c>
      <c r="AX505">
        <v>50</v>
      </c>
      <c r="AY505">
        <v>706</v>
      </c>
      <c r="AZ505">
        <v>1</v>
      </c>
      <c r="BA505">
        <v>1</v>
      </c>
      <c r="BB505" t="s">
        <v>11</v>
      </c>
      <c r="BD505" t="s">
        <v>704</v>
      </c>
      <c r="BE505" t="s">
        <v>3403</v>
      </c>
      <c r="BF505" t="s">
        <v>3404</v>
      </c>
      <c r="BG505" t="s">
        <v>3405</v>
      </c>
      <c r="BH505" s="1" t="s">
        <v>57</v>
      </c>
      <c r="BI505" t="s">
        <v>57</v>
      </c>
      <c r="BJ505" s="1" t="str">
        <f>HYPERLINK("http://exon.niaid.nih.gov/transcriptome/T_rubida/S1/links/CDD/Triru-contig_431-CDD.txt","ND5")</f>
        <v>ND5</v>
      </c>
      <c r="BK505" t="str">
        <f>HYPERLINK("http://www.ncbi.nlm.nih.gov/Structure/cdd/cddsrv.cgi?uid=MTH00063&amp;version=v4.0","0.30")</f>
        <v>0.30</v>
      </c>
      <c r="BL505" t="s">
        <v>3406</v>
      </c>
      <c r="BM505" s="1" t="str">
        <f>HYPERLINK("http://exon.niaid.nih.gov/transcriptome/T_rubida/S1/links/KOG/Triru-contig_431-KOG.txt","Predicted phosphate acyltransferase, contains PlsC domain")</f>
        <v>Predicted phosphate acyltransferase, contains PlsC domain</v>
      </c>
      <c r="BN505" t="str">
        <f>HYPERLINK("http://www.ncbi.nlm.nih.gov/COG/grace/shokog.cgi?KOG2898","0.47")</f>
        <v>0.47</v>
      </c>
      <c r="BO505" t="s">
        <v>709</v>
      </c>
      <c r="BP505" s="1" t="str">
        <f>HYPERLINK("http://exon.niaid.nih.gov/transcriptome/T_rubida/S1/links/PFAM/Triru-contig_431-PFAM.txt","PAE")</f>
        <v>PAE</v>
      </c>
      <c r="BQ505" t="str">
        <f>HYPERLINK("http://pfam.sanger.ac.uk/family?acc=PF03283","0.11")</f>
        <v>0.11</v>
      </c>
      <c r="BR505" s="1" t="str">
        <f>HYPERLINK("http://exon.niaid.nih.gov/transcriptome/T_rubida/S1/links/SMART/Triru-contig_431-SMART.txt","PreSET")</f>
        <v>PreSET</v>
      </c>
      <c r="BS505" t="str">
        <f>HYPERLINK("http://smart.embl-heidelberg.de/smart/do_annotation.pl?DOMAIN=PreSET&amp;BLAST=DUMMY","0.007")</f>
        <v>0.007</v>
      </c>
      <c r="BT505" s="1" t="str">
        <f>HYPERLINK("http://exon.niaid.nih.gov/transcriptome/T_rubida/S1/links/PRK/Triru-contig_431-PRK.txt","NADH dehydrogenase subunit 5")</f>
        <v>NADH dehydrogenase subunit 5</v>
      </c>
      <c r="BU505">
        <v>0.13</v>
      </c>
      <c r="BV505" s="1" t="s">
        <v>57</v>
      </c>
      <c r="BW505" t="s">
        <v>57</v>
      </c>
      <c r="BX505" s="1" t="s">
        <v>57</v>
      </c>
      <c r="BY505" t="s">
        <v>57</v>
      </c>
    </row>
    <row r="506" spans="1:77">
      <c r="A506" t="str">
        <f>HYPERLINK("http://exon.niaid.nih.gov/transcriptome/T_rubida/S1/links/Triru/Triru-contig_402.txt","Triru-contig_402")</f>
        <v>Triru-contig_402</v>
      </c>
      <c r="B506">
        <v>1</v>
      </c>
      <c r="C506" t="str">
        <f>HYPERLINK("http://exon.niaid.nih.gov/transcriptome/T_rubida/S1/links/Triru/Triru-5-48-asb-402.txt","Contig-402")</f>
        <v>Contig-402</v>
      </c>
      <c r="D506" t="str">
        <f>HYPERLINK("http://exon.niaid.nih.gov/transcriptome/T_rubida/S1/links/Triru/Triru-5-48-402-CLU.txt","Contig402")</f>
        <v>Contig402</v>
      </c>
      <c r="E506" t="str">
        <f>HYPERLINK("http://exon.niaid.nih.gov/transcriptome/T_rubida/S1/links/Triru/Triru-5-48-402-qual.txt","41.5")</f>
        <v>41.5</v>
      </c>
      <c r="F506" t="s">
        <v>10</v>
      </c>
      <c r="G506">
        <v>64.099999999999994</v>
      </c>
      <c r="H506">
        <v>494</v>
      </c>
      <c r="I506" t="s">
        <v>414</v>
      </c>
      <c r="J506">
        <v>494</v>
      </c>
      <c r="K506">
        <v>513</v>
      </c>
      <c r="L506">
        <v>195</v>
      </c>
      <c r="M506" t="s">
        <v>5645</v>
      </c>
      <c r="N506" s="15">
        <v>2</v>
      </c>
      <c r="Q506" s="5" t="s">
        <v>4827</v>
      </c>
      <c r="R506" t="s">
        <v>4828</v>
      </c>
      <c r="V506" s="1" t="str">
        <f>HYPERLINK("http://exon.niaid.nih.gov/transcriptome/T_rubida/S1/links/NR/Triru-contig_402-NR.txt","COX1/OXI3 intron 3 protein")</f>
        <v>COX1/OXI3 intron 3 protein</v>
      </c>
      <c r="W506" t="str">
        <f>HYPERLINK("http://www.ncbi.nlm.nih.gov/sutils/blink.cgi?pid=1334436","12")</f>
        <v>12</v>
      </c>
      <c r="X506" t="str">
        <f>HYPERLINK("http://www.ncbi.nlm.nih.gov/protein/1334436","gi|1334436")</f>
        <v>gi|1334436</v>
      </c>
      <c r="Y506">
        <v>33.5</v>
      </c>
      <c r="Z506">
        <v>154</v>
      </c>
      <c r="AA506">
        <v>334</v>
      </c>
      <c r="AB506">
        <v>23</v>
      </c>
      <c r="AC506">
        <v>46</v>
      </c>
      <c r="AD506">
        <v>118</v>
      </c>
      <c r="AE506">
        <v>32</v>
      </c>
      <c r="AF506">
        <v>177</v>
      </c>
      <c r="AG506">
        <v>120</v>
      </c>
      <c r="AH506">
        <v>1</v>
      </c>
      <c r="AI506">
        <v>3</v>
      </c>
      <c r="AJ506" t="s">
        <v>11</v>
      </c>
      <c r="AK506">
        <v>1.948</v>
      </c>
      <c r="AL506" t="s">
        <v>3205</v>
      </c>
      <c r="AM506" t="s">
        <v>3206</v>
      </c>
      <c r="AN506" t="s">
        <v>3207</v>
      </c>
      <c r="AO506" s="1" t="str">
        <f>HYPERLINK("http://exon.niaid.nih.gov/transcriptome/T_rubida/S1/links/SWISSP/Triru-contig_402-SWISSP.txt","Genome polyprotein")</f>
        <v>Genome polyprotein</v>
      </c>
      <c r="AP506" t="str">
        <f>HYPERLINK("http://www.uniprot.org/uniprot/P03303","8.1")</f>
        <v>8.1</v>
      </c>
      <c r="AQ506" t="s">
        <v>3208</v>
      </c>
      <c r="AR506">
        <v>30</v>
      </c>
      <c r="AS506">
        <v>52</v>
      </c>
      <c r="AT506">
        <v>33</v>
      </c>
      <c r="AU506">
        <v>2</v>
      </c>
      <c r="AV506">
        <v>35</v>
      </c>
      <c r="AW506">
        <v>1</v>
      </c>
      <c r="AX506">
        <v>378</v>
      </c>
      <c r="AY506">
        <v>108</v>
      </c>
      <c r="AZ506">
        <v>1</v>
      </c>
      <c r="BA506">
        <v>3</v>
      </c>
      <c r="BB506" t="s">
        <v>11</v>
      </c>
      <c r="BC506">
        <v>1.923</v>
      </c>
      <c r="BD506" t="s">
        <v>704</v>
      </c>
      <c r="BE506" t="s">
        <v>3209</v>
      </c>
      <c r="BF506" t="s">
        <v>3210</v>
      </c>
      <c r="BG506" t="s">
        <v>3211</v>
      </c>
      <c r="BH506" s="1" t="s">
        <v>57</v>
      </c>
      <c r="BI506" t="s">
        <v>57</v>
      </c>
      <c r="BJ506" s="1" t="str">
        <f>HYPERLINK("http://exon.niaid.nih.gov/transcriptome/T_rubida/S1/links/CDD/Triru-contig_402-CDD.txt","PRK07165")</f>
        <v>PRK07165</v>
      </c>
      <c r="BK506" t="str">
        <f>HYPERLINK("http://www.ncbi.nlm.nih.gov/Structure/cdd/cddsrv.cgi?uid=PRK07165&amp;version=v4.0","0.89")</f>
        <v>0.89</v>
      </c>
      <c r="BL506" t="s">
        <v>3212</v>
      </c>
      <c r="BM506" s="1" t="str">
        <f>HYPERLINK("http://exon.niaid.nih.gov/transcriptome/T_rubida/S1/links/KOG/Triru-contig_402-KOG.txt","Uncharacterized conserved protein")</f>
        <v>Uncharacterized conserved protein</v>
      </c>
      <c r="BN506" t="str">
        <f>HYPERLINK("http://www.ncbi.nlm.nih.gov/COG/grace/shokog.cgi?KOG3012","0.91")</f>
        <v>0.91</v>
      </c>
      <c r="BO506" t="s">
        <v>737</v>
      </c>
      <c r="BP506" s="1" t="str">
        <f>HYPERLINK("http://exon.niaid.nih.gov/transcriptome/T_rubida/S1/links/PFAM/Triru-contig_402-PFAM.txt","Peptidase_M15_2")</f>
        <v>Peptidase_M15_2</v>
      </c>
      <c r="BQ506" t="str">
        <f>HYPERLINK("http://pfam.sanger.ac.uk/family?acc=PF05951","0.74")</f>
        <v>0.74</v>
      </c>
      <c r="BR506" s="1" t="str">
        <f>HYPERLINK("http://exon.niaid.nih.gov/transcriptome/T_rubida/S1/links/SMART/Triru-contig_402-SMART.txt","RAS")</f>
        <v>RAS</v>
      </c>
      <c r="BS506" t="str">
        <f>HYPERLINK("http://smart.embl-heidelberg.de/smart/do_annotation.pl?DOMAIN=RAS&amp;BLAST=DUMMY","0.28")</f>
        <v>0.28</v>
      </c>
      <c r="BT506" s="1" t="str">
        <f>HYPERLINK("http://exon.niaid.nih.gov/transcriptome/T_rubida/S1/links/PRK/Triru-contig_402-PRK.txt","F0F1 ATP synthase subunit alpha")</f>
        <v>F0F1 ATP synthase subunit alpha</v>
      </c>
      <c r="BU506">
        <v>0.4</v>
      </c>
      <c r="BV506" s="1" t="s">
        <v>57</v>
      </c>
      <c r="BW506" t="s">
        <v>57</v>
      </c>
      <c r="BX506" s="1" t="s">
        <v>57</v>
      </c>
      <c r="BY506" t="s">
        <v>57</v>
      </c>
    </row>
    <row r="507" spans="1:77">
      <c r="A507" t="str">
        <f>HYPERLINK("http://exon.niaid.nih.gov/transcriptome/T_rubida/S1/links/Triru/Triru-contig_595.txt","Triru-contig_595")</f>
        <v>Triru-contig_595</v>
      </c>
      <c r="B507">
        <v>1</v>
      </c>
      <c r="C507" t="str">
        <f>HYPERLINK("http://exon.niaid.nih.gov/transcriptome/T_rubida/S1/links/Triru/Triru-5-48-asb-595.txt","Contig-595")</f>
        <v>Contig-595</v>
      </c>
      <c r="D507" t="str">
        <f>HYPERLINK("http://exon.niaid.nih.gov/transcriptome/T_rubida/S1/links/Triru/Triru-5-48-595-CLU.txt","Contig595")</f>
        <v>Contig595</v>
      </c>
      <c r="E507" t="str">
        <f>HYPERLINK("http://exon.niaid.nih.gov/transcriptome/T_rubida/S1/links/Triru/Triru-5-48-595-qual.txt","60.6")</f>
        <v>60.6</v>
      </c>
      <c r="F507" t="s">
        <v>10</v>
      </c>
      <c r="G507">
        <v>66.400000000000006</v>
      </c>
      <c r="H507">
        <v>299</v>
      </c>
      <c r="I507" t="s">
        <v>607</v>
      </c>
      <c r="J507">
        <v>299</v>
      </c>
      <c r="K507">
        <v>318</v>
      </c>
      <c r="L507">
        <v>144</v>
      </c>
      <c r="M507" t="s">
        <v>5652</v>
      </c>
      <c r="N507" s="15">
        <v>3</v>
      </c>
      <c r="Q507" s="5" t="s">
        <v>4827</v>
      </c>
      <c r="R507" t="s">
        <v>4828</v>
      </c>
      <c r="V507" s="1" t="str">
        <f>HYPERLINK("http://exon.niaid.nih.gov/transcriptome/T_rubida/S1/links/NR/Triru-contig_595-NR.txt","pol protein")</f>
        <v>pol protein</v>
      </c>
      <c r="W507" t="str">
        <f>HYPERLINK("http://www.ncbi.nlm.nih.gov/sutils/blink.cgi?pid=288549221","12")</f>
        <v>12</v>
      </c>
      <c r="X507" t="str">
        <f>HYPERLINK("http://www.ncbi.nlm.nih.gov/protein/288549221","gi|288549221")</f>
        <v>gi|288549221</v>
      </c>
      <c r="Y507">
        <v>33.5</v>
      </c>
      <c r="Z507">
        <v>42</v>
      </c>
      <c r="AA507">
        <v>870</v>
      </c>
      <c r="AB507">
        <v>39</v>
      </c>
      <c r="AC507">
        <v>5</v>
      </c>
      <c r="AD507">
        <v>26</v>
      </c>
      <c r="AE507">
        <v>0</v>
      </c>
      <c r="AF507">
        <v>300</v>
      </c>
      <c r="AG507">
        <v>116</v>
      </c>
      <c r="AH507">
        <v>1</v>
      </c>
      <c r="AI507">
        <v>2</v>
      </c>
      <c r="AJ507" t="s">
        <v>11</v>
      </c>
      <c r="AK507">
        <v>2.3809999999999998</v>
      </c>
      <c r="AL507" t="s">
        <v>4464</v>
      </c>
      <c r="AM507" t="s">
        <v>4465</v>
      </c>
      <c r="AN507" t="s">
        <v>4466</v>
      </c>
      <c r="AO507" s="1" t="str">
        <f>HYPERLINK("http://exon.niaid.nih.gov/transcriptome/T_rubida/S1/links/SWISSP/Triru-contig_595-SWISSP.txt","Uncharacterized ABC transporter permease MG064")</f>
        <v>Uncharacterized ABC transporter permease MG064</v>
      </c>
      <c r="AP507" t="str">
        <f>HYPERLINK("http://www.uniprot.org/uniprot/P47310","2.7")</f>
        <v>2.7</v>
      </c>
      <c r="AQ507" t="s">
        <v>4467</v>
      </c>
      <c r="AR507">
        <v>30.8</v>
      </c>
      <c r="AS507">
        <v>43</v>
      </c>
      <c r="AT507">
        <v>29</v>
      </c>
      <c r="AU507">
        <v>3</v>
      </c>
      <c r="AV507">
        <v>31</v>
      </c>
      <c r="AW507">
        <v>0</v>
      </c>
      <c r="AX507">
        <v>1097</v>
      </c>
      <c r="AY507">
        <v>6</v>
      </c>
      <c r="AZ507">
        <v>1</v>
      </c>
      <c r="BA507">
        <v>3</v>
      </c>
      <c r="BB507" t="s">
        <v>11</v>
      </c>
      <c r="BD507" t="s">
        <v>704</v>
      </c>
      <c r="BE507" t="s">
        <v>2195</v>
      </c>
      <c r="BF507" t="s">
        <v>4468</v>
      </c>
      <c r="BG507" t="s">
        <v>4469</v>
      </c>
      <c r="BH507" s="1" t="s">
        <v>57</v>
      </c>
      <c r="BI507" t="s">
        <v>57</v>
      </c>
      <c r="BJ507" s="1" t="str">
        <f>HYPERLINK("http://exon.niaid.nih.gov/transcriptome/T_rubida/S1/links/CDD/Triru-contig_595-CDD.txt","DUF3689")</f>
        <v>DUF3689</v>
      </c>
      <c r="BK507" t="str">
        <f>HYPERLINK("http://www.ncbi.nlm.nih.gov/Structure/cdd/cddsrv.cgi?uid=pfam12463&amp;version=v4.0","2.5")</f>
        <v>2.5</v>
      </c>
      <c r="BL507" t="s">
        <v>4470</v>
      </c>
      <c r="BM507" s="1" t="str">
        <f>HYPERLINK("http://exon.niaid.nih.gov/transcriptome/T_rubida/S1/links/KOG/Triru-contig_595-KOG.txt","Uncharacterized conserved protein")</f>
        <v>Uncharacterized conserved protein</v>
      </c>
      <c r="BN507" t="str">
        <f>HYPERLINK("http://www.ncbi.nlm.nih.gov/COG/grace/shokog.cgi?KOG3136","0.68")</f>
        <v>0.68</v>
      </c>
      <c r="BO507" t="s">
        <v>737</v>
      </c>
      <c r="BP507" s="1" t="str">
        <f>HYPERLINK("http://exon.niaid.nih.gov/transcriptome/T_rubida/S1/links/PFAM/Triru-contig_595-PFAM.txt","YfhO")</f>
        <v>YfhO</v>
      </c>
      <c r="BQ507" t="str">
        <f>HYPERLINK("http://pfam.sanger.ac.uk/family?acc=PF09586","0.23")</f>
        <v>0.23</v>
      </c>
      <c r="BR507" s="1" t="str">
        <f>HYPERLINK("http://exon.niaid.nih.gov/transcriptome/T_rubida/S1/links/SMART/Triru-contig_595-SMART.txt","TAFH")</f>
        <v>TAFH</v>
      </c>
      <c r="BS507" t="str">
        <f>HYPERLINK("http://smart.embl-heidelberg.de/smart/do_annotation.pl?DOMAIN=TAFH&amp;BLAST=DUMMY","0.088")</f>
        <v>0.088</v>
      </c>
      <c r="BT507" s="1" t="str">
        <f>HYPERLINK("http://exon.niaid.nih.gov/transcriptome/T_rubida/S1/links/PRK/Triru-contig_595-PRK.txt","primosome assembly protein PriA")</f>
        <v>primosome assembly protein PriA</v>
      </c>
      <c r="BU507">
        <v>1</v>
      </c>
      <c r="BV507" s="1" t="s">
        <v>57</v>
      </c>
      <c r="BW507" t="s">
        <v>57</v>
      </c>
      <c r="BX507" s="1" t="s">
        <v>57</v>
      </c>
      <c r="BY507" t="s">
        <v>57</v>
      </c>
    </row>
    <row r="508" spans="1:77">
      <c r="A508" t="str">
        <f>HYPERLINK("http://exon.niaid.nih.gov/transcriptome/T_rubida/S1/links/Triru/Triru-contig_597.txt","Triru-contig_597")</f>
        <v>Triru-contig_597</v>
      </c>
      <c r="B508">
        <v>1</v>
      </c>
      <c r="C508" t="str">
        <f>HYPERLINK("http://exon.niaid.nih.gov/transcriptome/T_rubida/S1/links/Triru/Triru-5-48-asb-597.txt","Contig-597")</f>
        <v>Contig-597</v>
      </c>
      <c r="D508" t="str">
        <f>HYPERLINK("http://exon.niaid.nih.gov/transcriptome/T_rubida/S1/links/Triru/Triru-5-48-597-CLU.txt","Contig597")</f>
        <v>Contig597</v>
      </c>
      <c r="E508" t="str">
        <f>HYPERLINK("http://exon.niaid.nih.gov/transcriptome/T_rubida/S1/links/Triru/Triru-5-48-597-qual.txt","43.")</f>
        <v>43.</v>
      </c>
      <c r="F508" t="s">
        <v>10</v>
      </c>
      <c r="G508">
        <v>70.599999999999994</v>
      </c>
      <c r="H508">
        <v>498</v>
      </c>
      <c r="I508" t="s">
        <v>609</v>
      </c>
      <c r="J508">
        <v>498</v>
      </c>
      <c r="K508">
        <v>517</v>
      </c>
      <c r="L508">
        <v>162</v>
      </c>
      <c r="M508" t="s">
        <v>5658</v>
      </c>
      <c r="N508" s="15">
        <v>3</v>
      </c>
      <c r="Q508" s="5" t="s">
        <v>4827</v>
      </c>
      <c r="R508" t="s">
        <v>4828</v>
      </c>
      <c r="V508" s="1" t="str">
        <f>HYPERLINK("http://exon.niaid.nih.gov/transcriptome/T_rubida/S1/links/NR/Triru-contig_597-NR.txt","hypothetical protein Saci_0201")</f>
        <v>hypothetical protein Saci_0201</v>
      </c>
      <c r="W508" t="str">
        <f>HYPERLINK("http://www.ncbi.nlm.nih.gov/sutils/blink.cgi?pid=70606043","12")</f>
        <v>12</v>
      </c>
      <c r="X508" t="str">
        <f>HYPERLINK("http://www.ncbi.nlm.nih.gov/protein/70606043","gi|70606043")</f>
        <v>gi|70606043</v>
      </c>
      <c r="Y508">
        <v>33.5</v>
      </c>
      <c r="Z508">
        <v>47</v>
      </c>
      <c r="AA508">
        <v>342</v>
      </c>
      <c r="AB508">
        <v>35</v>
      </c>
      <c r="AC508">
        <v>14</v>
      </c>
      <c r="AD508">
        <v>31</v>
      </c>
      <c r="AE508">
        <v>0</v>
      </c>
      <c r="AF508">
        <v>226</v>
      </c>
      <c r="AG508">
        <v>288</v>
      </c>
      <c r="AH508">
        <v>1</v>
      </c>
      <c r="AI508">
        <v>3</v>
      </c>
      <c r="AJ508" t="s">
        <v>11</v>
      </c>
      <c r="AL508" t="s">
        <v>4477</v>
      </c>
      <c r="AM508" t="s">
        <v>4478</v>
      </c>
      <c r="AN508" t="s">
        <v>4479</v>
      </c>
      <c r="AO508" s="1" t="str">
        <f>HYPERLINK("http://exon.niaid.nih.gov/transcriptome/T_rubida/S1/links/SWISSP/Triru-contig_597-SWISSP.txt","Mgp-operon protein 1")</f>
        <v>Mgp-operon protein 1</v>
      </c>
      <c r="AP508" t="str">
        <f>HYPERLINK("http://www.uniprot.org/uniprot/P22746","14")</f>
        <v>14</v>
      </c>
      <c r="AQ508" t="s">
        <v>4480</v>
      </c>
      <c r="AR508">
        <v>29.3</v>
      </c>
      <c r="AS508">
        <v>48</v>
      </c>
      <c r="AT508">
        <v>28</v>
      </c>
      <c r="AU508">
        <v>15</v>
      </c>
      <c r="AV508">
        <v>35</v>
      </c>
      <c r="AW508">
        <v>0</v>
      </c>
      <c r="AX508">
        <v>197</v>
      </c>
      <c r="AY508">
        <v>332</v>
      </c>
      <c r="AZ508">
        <v>1</v>
      </c>
      <c r="BA508">
        <v>2</v>
      </c>
      <c r="BB508" t="s">
        <v>11</v>
      </c>
      <c r="BC508">
        <v>2.0830000000000002</v>
      </c>
      <c r="BD508" t="s">
        <v>704</v>
      </c>
      <c r="BE508" t="s">
        <v>2195</v>
      </c>
      <c r="BF508" t="s">
        <v>4481</v>
      </c>
      <c r="BG508" t="s">
        <v>4482</v>
      </c>
      <c r="BH508" s="1" t="s">
        <v>57</v>
      </c>
      <c r="BI508" t="s">
        <v>57</v>
      </c>
      <c r="BJ508" s="1" t="str">
        <f>HYPERLINK("http://exon.niaid.nih.gov/transcriptome/T_rubida/S1/links/CDD/Triru-contig_597-CDD.txt","7TM_GPCR_Srsx")</f>
        <v>7TM_GPCR_Srsx</v>
      </c>
      <c r="BK508" t="str">
        <f>HYPERLINK("http://www.ncbi.nlm.nih.gov/Structure/cdd/cddsrv.cgi?uid=pfam10320&amp;version=v4.0","0.031")</f>
        <v>0.031</v>
      </c>
      <c r="BL508" t="s">
        <v>4483</v>
      </c>
      <c r="BM508" s="1" t="str">
        <f>HYPERLINK("http://exon.niaid.nih.gov/transcriptome/T_rubida/S1/links/KOG/Triru-contig_597-KOG.txt","DEAD box-containing helicase-like transcription factor/DNA repair protein")</f>
        <v>DEAD box-containing helicase-like transcription factor/DNA repair protein</v>
      </c>
      <c r="BN508" t="str">
        <f>HYPERLINK("http://www.ncbi.nlm.nih.gov/COG/grace/shokog.cgi?KOG0298","0.19")</f>
        <v>0.19</v>
      </c>
      <c r="BO508" t="s">
        <v>785</v>
      </c>
      <c r="BP508" s="1" t="str">
        <f>HYPERLINK("http://exon.niaid.nih.gov/transcriptome/T_rubida/S1/links/PFAM/Triru-contig_597-PFAM.txt","7TM_GPCR_Srsx")</f>
        <v>7TM_GPCR_Srsx</v>
      </c>
      <c r="BQ508" t="str">
        <f>HYPERLINK("http://pfam.sanger.ac.uk/family?acc=PF10320","0.007")</f>
        <v>0.007</v>
      </c>
      <c r="BR508" s="1" t="str">
        <f>HYPERLINK("http://exon.niaid.nih.gov/transcriptome/T_rubida/S1/links/SMART/Triru-contig_597-SMART.txt","MIF4G")</f>
        <v>MIF4G</v>
      </c>
      <c r="BS508" t="str">
        <f>HYPERLINK("http://smart.embl-heidelberg.de/smart/do_annotation.pl?DOMAIN=MIF4G&amp;BLAST=DUMMY","0.11")</f>
        <v>0.11</v>
      </c>
      <c r="BT508" s="1" t="str">
        <f>HYPERLINK("http://exon.niaid.nih.gov/transcriptome/T_rubida/S1/links/PRK/Triru-contig_597-PRK.txt","NADH dehydrogenase subunit 4")</f>
        <v>NADH dehydrogenase subunit 4</v>
      </c>
      <c r="BU508">
        <v>0.23</v>
      </c>
      <c r="BV508" s="1" t="s">
        <v>57</v>
      </c>
      <c r="BW508" t="s">
        <v>57</v>
      </c>
      <c r="BX508" s="1" t="s">
        <v>57</v>
      </c>
      <c r="BY508" t="s">
        <v>57</v>
      </c>
    </row>
    <row r="509" spans="1:77">
      <c r="A509" t="str">
        <f>HYPERLINK("http://exon.niaid.nih.gov/transcriptome/T_rubida/S1/links/Triru/Triru-contig_173.txt","Triru-contig_173")</f>
        <v>Triru-contig_173</v>
      </c>
      <c r="B509">
        <v>1</v>
      </c>
      <c r="C509" t="str">
        <f>HYPERLINK("http://exon.niaid.nih.gov/transcriptome/T_rubida/S1/links/Triru/Triru-5-48-asb-173.txt","Contig-173")</f>
        <v>Contig-173</v>
      </c>
      <c r="D509" t="str">
        <f>HYPERLINK("http://exon.niaid.nih.gov/transcriptome/T_rubida/S1/links/Triru/Triru-5-48-173-CLU.txt","Contig173")</f>
        <v>Contig173</v>
      </c>
      <c r="E509" t="str">
        <f>HYPERLINK("http://exon.niaid.nih.gov/transcriptome/T_rubida/S1/links/Triru/Triru-5-48-173-qual.txt","58.")</f>
        <v>58.</v>
      </c>
      <c r="F509" t="s">
        <v>10</v>
      </c>
      <c r="G509">
        <v>73.5</v>
      </c>
      <c r="H509">
        <v>279</v>
      </c>
      <c r="I509" t="s">
        <v>185</v>
      </c>
      <c r="J509">
        <v>279</v>
      </c>
      <c r="K509">
        <v>298</v>
      </c>
      <c r="L509">
        <v>117</v>
      </c>
      <c r="M509" t="s">
        <v>5668</v>
      </c>
      <c r="N509" s="15">
        <v>2</v>
      </c>
      <c r="Q509" s="5" t="s">
        <v>4827</v>
      </c>
      <c r="R509" t="s">
        <v>4828</v>
      </c>
      <c r="V509" s="1" t="str">
        <f>HYPERLINK("http://exon.niaid.nih.gov/transcriptome/T_rubida/S1/links/NR/Triru-contig_173-NR.txt","NADH dehydrogenase subunit 4")</f>
        <v>NADH dehydrogenase subunit 4</v>
      </c>
      <c r="W509" t="str">
        <f>HYPERLINK("http://www.ncbi.nlm.nih.gov/sutils/blink.cgi?pid=13621154","12")</f>
        <v>12</v>
      </c>
      <c r="X509" t="str">
        <f>HYPERLINK("http://www.ncbi.nlm.nih.gov/protein/13621154","gi|13621154")</f>
        <v>gi|13621154</v>
      </c>
      <c r="Y509">
        <v>33.5</v>
      </c>
      <c r="Z509">
        <v>80</v>
      </c>
      <c r="AA509">
        <v>452</v>
      </c>
      <c r="AB509">
        <v>28</v>
      </c>
      <c r="AC509">
        <v>18</v>
      </c>
      <c r="AD509">
        <v>58</v>
      </c>
      <c r="AE509">
        <v>11</v>
      </c>
      <c r="AF509">
        <v>37</v>
      </c>
      <c r="AG509">
        <v>38</v>
      </c>
      <c r="AH509">
        <v>1</v>
      </c>
      <c r="AI509">
        <v>2</v>
      </c>
      <c r="AJ509" t="s">
        <v>11</v>
      </c>
      <c r="AK509">
        <v>3.75</v>
      </c>
      <c r="AL509" t="s">
        <v>1723</v>
      </c>
      <c r="AM509" t="s">
        <v>1724</v>
      </c>
      <c r="AN509" t="s">
        <v>1725</v>
      </c>
      <c r="AO509" s="1" t="str">
        <f>HYPERLINK("http://exon.niaid.nih.gov/transcriptome/T_rubida/S1/links/SWISSP/Triru-contig_173-SWISSP.txt","UDP-glucuronosyltransferase 2B23")</f>
        <v>UDP-glucuronosyltransferase 2B23</v>
      </c>
      <c r="AP509" t="str">
        <f>HYPERLINK("http://www.uniprot.org/uniprot/Q9TSL6","18")</f>
        <v>18</v>
      </c>
      <c r="AQ509" t="s">
        <v>1726</v>
      </c>
      <c r="AR509">
        <v>28.1</v>
      </c>
      <c r="AS509">
        <v>25</v>
      </c>
      <c r="AT509">
        <v>38</v>
      </c>
      <c r="AU509">
        <v>5</v>
      </c>
      <c r="AV509">
        <v>16</v>
      </c>
      <c r="AW509">
        <v>0</v>
      </c>
      <c r="AX509">
        <v>213</v>
      </c>
      <c r="AY509">
        <v>176</v>
      </c>
      <c r="AZ509">
        <v>1</v>
      </c>
      <c r="BA509">
        <v>2</v>
      </c>
      <c r="BB509" t="s">
        <v>11</v>
      </c>
      <c r="BC509">
        <v>4</v>
      </c>
      <c r="BD509" t="s">
        <v>704</v>
      </c>
      <c r="BE509" t="s">
        <v>1148</v>
      </c>
      <c r="BF509" t="s">
        <v>1727</v>
      </c>
      <c r="BG509" t="s">
        <v>1728</v>
      </c>
      <c r="BH509" s="1" t="s">
        <v>57</v>
      </c>
      <c r="BI509" t="s">
        <v>57</v>
      </c>
      <c r="BJ509" s="1" t="str">
        <f>HYPERLINK("http://exon.niaid.nih.gov/transcriptome/T_rubida/S1/links/CDD/Triru-contig_173-CDD.txt","ND6")</f>
        <v>ND6</v>
      </c>
      <c r="BK509" t="str">
        <f>HYPERLINK("http://www.ncbi.nlm.nih.gov/Structure/cdd/cddsrv.cgi?uid=MTH00064&amp;version=v4.0","0.032")</f>
        <v>0.032</v>
      </c>
      <c r="BL509" t="s">
        <v>1729</v>
      </c>
      <c r="BM509" s="1" t="str">
        <f>HYPERLINK("http://exon.niaid.nih.gov/transcriptome/T_rubida/S1/links/KOG/Triru-contig_173-KOG.txt","Predicted G-protein coupled receptor")</f>
        <v>Predicted G-protein coupled receptor</v>
      </c>
      <c r="BN509" t="str">
        <f>HYPERLINK("http://www.ncbi.nlm.nih.gov/COG/grace/shokog.cgi?KOG2417","0.29")</f>
        <v>0.29</v>
      </c>
      <c r="BO509" t="s">
        <v>728</v>
      </c>
      <c r="BP509" s="1" t="str">
        <f>HYPERLINK("http://exon.niaid.nih.gov/transcriptome/T_rubida/S1/links/PFAM/Triru-contig_173-PFAM.txt","Phlebovirus_G1")</f>
        <v>Phlebovirus_G1</v>
      </c>
      <c r="BQ509" t="str">
        <f>HYPERLINK("http://pfam.sanger.ac.uk/family?acc=PF07243","0.019")</f>
        <v>0.019</v>
      </c>
      <c r="BR509" s="1" t="str">
        <f>HYPERLINK("http://exon.niaid.nih.gov/transcriptome/T_rubida/S1/links/SMART/Triru-contig_173-SMART.txt","AgrB")</f>
        <v>AgrB</v>
      </c>
      <c r="BS509" t="str">
        <f>HYPERLINK("http://smart.embl-heidelberg.de/smart/do_annotation.pl?DOMAIN=AgrB&amp;BLAST=DUMMY","0.042")</f>
        <v>0.042</v>
      </c>
      <c r="BT509" s="1" t="str">
        <f>HYPERLINK("http://exon.niaid.nih.gov/transcriptome/T_rubida/S1/links/PRK/Triru-contig_173-PRK.txt","NADH dehydrogenase subunit 6")</f>
        <v>NADH dehydrogenase subunit 6</v>
      </c>
      <c r="BU509">
        <v>1.2E-2</v>
      </c>
      <c r="BV509" s="1" t="s">
        <v>57</v>
      </c>
      <c r="BW509" t="s">
        <v>57</v>
      </c>
      <c r="BX509" s="1" t="s">
        <v>57</v>
      </c>
      <c r="BY509" t="s">
        <v>57</v>
      </c>
    </row>
    <row r="510" spans="1:77">
      <c r="A510" t="str">
        <f>HYPERLINK("http://exon.niaid.nih.gov/transcriptome/T_rubida/S1/links/Triru/Triru-contig_298.txt","Triru-contig_298")</f>
        <v>Triru-contig_298</v>
      </c>
      <c r="B510">
        <v>1</v>
      </c>
      <c r="C510" t="str">
        <f>HYPERLINK("http://exon.niaid.nih.gov/transcriptome/T_rubida/S1/links/Triru/Triru-5-48-asb-298.txt","Contig-298")</f>
        <v>Contig-298</v>
      </c>
      <c r="D510" t="str">
        <f>HYPERLINK("http://exon.niaid.nih.gov/transcriptome/T_rubida/S1/links/Triru/Triru-5-48-298-CLU.txt","Contig298")</f>
        <v>Contig298</v>
      </c>
      <c r="E510" t="str">
        <f>HYPERLINK("http://exon.niaid.nih.gov/transcriptome/T_rubida/S1/links/Triru/Triru-5-48-298-qual.txt","46.4")</f>
        <v>46.4</v>
      </c>
      <c r="F510" t="s">
        <v>10</v>
      </c>
      <c r="G510">
        <v>72.400000000000006</v>
      </c>
      <c r="H510">
        <v>336</v>
      </c>
      <c r="I510" t="s">
        <v>310</v>
      </c>
      <c r="J510">
        <v>336</v>
      </c>
      <c r="K510">
        <v>355</v>
      </c>
      <c r="L510">
        <v>162</v>
      </c>
      <c r="M510" t="s">
        <v>5686</v>
      </c>
      <c r="N510" s="15">
        <v>2</v>
      </c>
      <c r="Q510" s="5" t="s">
        <v>4827</v>
      </c>
      <c r="R510" t="s">
        <v>4828</v>
      </c>
      <c r="V510" s="1" t="str">
        <f>HYPERLINK("http://exon.niaid.nih.gov/transcriptome/T_rubida/S1/links/NR/Triru-contig_298-NR.txt","zinc metallo protein")</f>
        <v>zinc metallo protein</v>
      </c>
      <c r="W510" t="str">
        <f>HYPERLINK("http://www.ncbi.nlm.nih.gov/sutils/blink.cgi?pid=339252484","12")</f>
        <v>12</v>
      </c>
      <c r="X510" t="str">
        <f>HYPERLINK("http://www.ncbi.nlm.nih.gov/protein/339252484","gi|339252484")</f>
        <v>gi|339252484</v>
      </c>
      <c r="Y510">
        <v>33.5</v>
      </c>
      <c r="Z510">
        <v>53</v>
      </c>
      <c r="AA510">
        <v>286</v>
      </c>
      <c r="AB510">
        <v>32</v>
      </c>
      <c r="AC510">
        <v>19</v>
      </c>
      <c r="AD510">
        <v>43</v>
      </c>
      <c r="AE510">
        <v>0</v>
      </c>
      <c r="AF510">
        <v>207</v>
      </c>
      <c r="AG510">
        <v>128</v>
      </c>
      <c r="AH510">
        <v>1</v>
      </c>
      <c r="AI510">
        <v>2</v>
      </c>
      <c r="AJ510" t="s">
        <v>11</v>
      </c>
      <c r="AK510">
        <v>1.887</v>
      </c>
      <c r="AL510" t="s">
        <v>2492</v>
      </c>
      <c r="AM510" t="s">
        <v>2493</v>
      </c>
      <c r="AN510" t="s">
        <v>2494</v>
      </c>
      <c r="AO510" s="1" t="str">
        <f>HYPERLINK("http://exon.niaid.nih.gov/transcriptome/T_rubida/S1/links/SWISSP/Triru-contig_298-SWISSP.txt","RNA-directed RNA polymerase L")</f>
        <v>RNA-directed RNA polymerase L</v>
      </c>
      <c r="AP510" t="str">
        <f>HYPERLINK("http://www.uniprot.org/uniprot/P20470","14")</f>
        <v>14</v>
      </c>
      <c r="AQ510" t="s">
        <v>2495</v>
      </c>
      <c r="AR510">
        <v>28.5</v>
      </c>
      <c r="AS510">
        <v>24</v>
      </c>
      <c r="AT510">
        <v>44</v>
      </c>
      <c r="AU510">
        <v>1</v>
      </c>
      <c r="AV510">
        <v>14</v>
      </c>
      <c r="AW510">
        <v>0</v>
      </c>
      <c r="AX510">
        <v>2027</v>
      </c>
      <c r="AY510">
        <v>146</v>
      </c>
      <c r="AZ510">
        <v>1</v>
      </c>
      <c r="BA510">
        <v>2</v>
      </c>
      <c r="BB510" t="s">
        <v>11</v>
      </c>
      <c r="BD510" t="s">
        <v>704</v>
      </c>
      <c r="BE510" t="s">
        <v>2496</v>
      </c>
      <c r="BF510" t="s">
        <v>2497</v>
      </c>
      <c r="BG510" t="s">
        <v>2498</v>
      </c>
      <c r="BH510" s="1" t="s">
        <v>57</v>
      </c>
      <c r="BI510" t="s">
        <v>57</v>
      </c>
      <c r="BJ510" s="1" t="str">
        <f>HYPERLINK("http://exon.niaid.nih.gov/transcriptome/T_rubida/S1/links/CDD/Triru-contig_298-CDD.txt","lanti_perm_MutE")</f>
        <v>lanti_perm_MutE</v>
      </c>
      <c r="BK510" t="str">
        <f>HYPERLINK("http://www.ncbi.nlm.nih.gov/Structure/cdd/cddsrv.cgi?uid=TIGR03732&amp;version=v4.0","0.14")</f>
        <v>0.14</v>
      </c>
      <c r="BL510" t="s">
        <v>2499</v>
      </c>
      <c r="BM510" s="1" t="str">
        <f>HYPERLINK("http://exon.niaid.nih.gov/transcriptome/T_rubida/S1/links/KOG/Triru-contig_298-KOG.txt","Voltage-gated Ca2+ channels, alpha1 subunits")</f>
        <v>Voltage-gated Ca2+ channels, alpha1 subunits</v>
      </c>
      <c r="BN510" t="str">
        <f>HYPERLINK("http://www.ncbi.nlm.nih.gov/COG/grace/shokog.cgi?KOG2301","0.56")</f>
        <v>0.56</v>
      </c>
      <c r="BO510" t="s">
        <v>720</v>
      </c>
      <c r="BP510" s="1" t="str">
        <f>HYPERLINK("http://exon.niaid.nih.gov/transcriptome/T_rubida/S1/links/PFAM/Triru-contig_298-PFAM.txt","Herpes_LAMP2")</f>
        <v>Herpes_LAMP2</v>
      </c>
      <c r="BQ510" t="str">
        <f>HYPERLINK("http://pfam.sanger.ac.uk/family?acc=PF06126","0.070")</f>
        <v>0.070</v>
      </c>
      <c r="BR510" s="1" t="str">
        <f>HYPERLINK("http://exon.niaid.nih.gov/transcriptome/T_rubida/S1/links/SMART/Triru-contig_298-SMART.txt","PSN")</f>
        <v>PSN</v>
      </c>
      <c r="BS510" t="str">
        <f>HYPERLINK("http://smart.embl-heidelberg.de/smart/do_annotation.pl?DOMAIN=PSN&amp;BLAST=DUMMY","0.008")</f>
        <v>0.008</v>
      </c>
      <c r="BT510" s="1" t="str">
        <f>HYPERLINK("http://exon.niaid.nih.gov/transcriptome/T_rubida/S1/links/PRK/Triru-contig_298-PRK.txt","putative sialic acid transporter")</f>
        <v>putative sialic acid transporter</v>
      </c>
      <c r="BU510">
        <v>0.1</v>
      </c>
      <c r="BV510" s="1" t="s">
        <v>57</v>
      </c>
      <c r="BW510" t="s">
        <v>57</v>
      </c>
      <c r="BX510" s="1" t="s">
        <v>57</v>
      </c>
      <c r="BY510" t="s">
        <v>57</v>
      </c>
    </row>
    <row r="511" spans="1:77">
      <c r="A511" t="str">
        <f>HYPERLINK("http://exon.niaid.nih.gov/transcriptome/T_rubida/S1/links/Triru/Triru-contig_387.txt","Triru-contig_387")</f>
        <v>Triru-contig_387</v>
      </c>
      <c r="B511">
        <v>1</v>
      </c>
      <c r="C511" t="str">
        <f>HYPERLINK("http://exon.niaid.nih.gov/transcriptome/T_rubida/S1/links/Triru/Triru-5-48-asb-387.txt","Contig-387")</f>
        <v>Contig-387</v>
      </c>
      <c r="D511" t="str">
        <f>HYPERLINK("http://exon.niaid.nih.gov/transcriptome/T_rubida/S1/links/Triru/Triru-5-48-387-CLU.txt","Contig387")</f>
        <v>Contig387</v>
      </c>
      <c r="E511" t="str">
        <f>HYPERLINK("http://exon.niaid.nih.gov/transcriptome/T_rubida/S1/links/Triru/Triru-5-48-387-qual.txt","63.4")</f>
        <v>63.4</v>
      </c>
      <c r="F511" t="s">
        <v>10</v>
      </c>
      <c r="G511">
        <v>66.7</v>
      </c>
      <c r="H511">
        <v>510</v>
      </c>
      <c r="I511" t="s">
        <v>399</v>
      </c>
      <c r="J511">
        <v>510</v>
      </c>
      <c r="K511">
        <v>529</v>
      </c>
      <c r="L511">
        <v>183</v>
      </c>
      <c r="M511" t="s">
        <v>5499</v>
      </c>
      <c r="N511" s="15">
        <v>3</v>
      </c>
      <c r="Q511" s="5" t="s">
        <v>4827</v>
      </c>
      <c r="R511" t="s">
        <v>4828</v>
      </c>
      <c r="V511" s="1" t="str">
        <f>HYPERLINK("http://exon.niaid.nih.gov/transcriptome/T_rubida/S1/links/NR/Triru-contig_387-NR.txt","hypothetical protein DEFDS_0381")</f>
        <v>hypothetical protein DEFDS_0381</v>
      </c>
      <c r="W511" t="str">
        <f>HYPERLINK("http://www.ncbi.nlm.nih.gov/sutils/blink.cgi?pid=291278796","13")</f>
        <v>13</v>
      </c>
      <c r="X511" t="str">
        <f>HYPERLINK("http://www.ncbi.nlm.nih.gov/protein/291278796","gi|291278796")</f>
        <v>gi|291278796</v>
      </c>
      <c r="Y511">
        <v>33.5</v>
      </c>
      <c r="Z511">
        <v>46</v>
      </c>
      <c r="AA511">
        <v>411</v>
      </c>
      <c r="AB511">
        <v>39</v>
      </c>
      <c r="AC511">
        <v>11</v>
      </c>
      <c r="AD511">
        <v>29</v>
      </c>
      <c r="AE511">
        <v>0</v>
      </c>
      <c r="AF511">
        <v>153</v>
      </c>
      <c r="AG511">
        <v>120</v>
      </c>
      <c r="AH511">
        <v>1</v>
      </c>
      <c r="AI511">
        <v>3</v>
      </c>
      <c r="AJ511" t="s">
        <v>11</v>
      </c>
      <c r="AK511">
        <v>2.1739999999999999</v>
      </c>
      <c r="AL511" t="s">
        <v>3099</v>
      </c>
      <c r="AM511" t="s">
        <v>3100</v>
      </c>
      <c r="AN511" t="s">
        <v>3101</v>
      </c>
      <c r="AO511" s="1" t="str">
        <f>HYPERLINK("http://exon.niaid.nih.gov/transcriptome/T_rubida/S1/links/SWISSP/Triru-contig_387-SWISSP.txt","Pyruvate-flavodoxin oxidoreductase")</f>
        <v>Pyruvate-flavodoxin oxidoreductase</v>
      </c>
      <c r="AP511" t="str">
        <f>HYPERLINK("http://www.uniprot.org/uniprot/P19543","5.1")</f>
        <v>5.1</v>
      </c>
      <c r="AQ511" t="s">
        <v>3102</v>
      </c>
      <c r="AR511">
        <v>30.8</v>
      </c>
      <c r="AS511">
        <v>22</v>
      </c>
      <c r="AT511">
        <v>47</v>
      </c>
      <c r="AU511">
        <v>2</v>
      </c>
      <c r="AV511">
        <v>12</v>
      </c>
      <c r="AW511">
        <v>0</v>
      </c>
      <c r="AX511">
        <v>302</v>
      </c>
      <c r="AY511">
        <v>224</v>
      </c>
      <c r="AZ511">
        <v>1</v>
      </c>
      <c r="BA511">
        <v>2</v>
      </c>
      <c r="BB511" t="s">
        <v>11</v>
      </c>
      <c r="BD511" t="s">
        <v>704</v>
      </c>
      <c r="BE511" t="s">
        <v>3103</v>
      </c>
      <c r="BF511" t="s">
        <v>3104</v>
      </c>
      <c r="BG511" t="s">
        <v>3105</v>
      </c>
      <c r="BH511" s="1" t="s">
        <v>57</v>
      </c>
      <c r="BI511" t="s">
        <v>57</v>
      </c>
      <c r="BJ511" s="1" t="str">
        <f>HYPERLINK("http://exon.niaid.nih.gov/transcriptome/T_rubida/S1/links/CDD/Triru-contig_387-CDD.txt","Nckap1")</f>
        <v>Nckap1</v>
      </c>
      <c r="BK511" t="str">
        <f>HYPERLINK("http://www.ncbi.nlm.nih.gov/Structure/cdd/cddsrv.cgi?uid=pfam09735&amp;version=v4.0","0.97")</f>
        <v>0.97</v>
      </c>
      <c r="BL511" t="s">
        <v>3106</v>
      </c>
      <c r="BM511" s="1" t="str">
        <f>HYPERLINK("http://exon.niaid.nih.gov/transcriptome/T_rubida/S1/links/KOG/Triru-contig_387-KOG.txt","Para-aminobenzoate (PABA) synthase ABZ1")</f>
        <v>Para-aminobenzoate (PABA) synthase ABZ1</v>
      </c>
      <c r="BN511" t="str">
        <f>HYPERLINK("http://www.ncbi.nlm.nih.gov/COG/grace/shokog.cgi?KOG1224","0.21")</f>
        <v>0.21</v>
      </c>
      <c r="BO511" t="s">
        <v>1185</v>
      </c>
      <c r="BP511" s="1" t="str">
        <f>HYPERLINK("http://exon.niaid.nih.gov/transcriptome/T_rubida/S1/links/PFAM/Triru-contig_387-PFAM.txt","Nckap1")</f>
        <v>Nckap1</v>
      </c>
      <c r="BQ511" t="str">
        <f>HYPERLINK("http://pfam.sanger.ac.uk/family?acc=PF09735","0.20")</f>
        <v>0.20</v>
      </c>
      <c r="BR511" s="1" t="str">
        <f>HYPERLINK("http://exon.niaid.nih.gov/transcriptome/T_rubida/S1/links/SMART/Triru-contig_387-SMART.txt","VPS9")</f>
        <v>VPS9</v>
      </c>
      <c r="BS511" t="str">
        <f>HYPERLINK("http://smart.embl-heidelberg.de/smart/do_annotation.pl?DOMAIN=VPS9&amp;BLAST=DUMMY","0.11")</f>
        <v>0.11</v>
      </c>
      <c r="BT511" s="1" t="str">
        <f>HYPERLINK("http://exon.niaid.nih.gov/transcriptome/T_rubida/S1/links/PRK/Triru-contig_387-PRK.txt","regulatory protein UhpC")</f>
        <v>regulatory protein UhpC</v>
      </c>
      <c r="BU511">
        <v>0.72</v>
      </c>
      <c r="BV511" s="1" t="s">
        <v>57</v>
      </c>
      <c r="BW511" t="s">
        <v>57</v>
      </c>
      <c r="BX511" s="1" t="s">
        <v>57</v>
      </c>
      <c r="BY511" t="s">
        <v>57</v>
      </c>
    </row>
    <row r="512" spans="1:77">
      <c r="A512" t="str">
        <f>HYPERLINK("http://exon.niaid.nih.gov/transcriptome/T_rubida/S1/links/Triru/Triru-contig_258.txt","Triru-contig_258")</f>
        <v>Triru-contig_258</v>
      </c>
      <c r="B512">
        <v>1</v>
      </c>
      <c r="C512" t="str">
        <f>HYPERLINK("http://exon.niaid.nih.gov/transcriptome/T_rubida/S1/links/Triru/Triru-5-48-asb-258.txt","Contig-258")</f>
        <v>Contig-258</v>
      </c>
      <c r="D512" t="str">
        <f>HYPERLINK("http://exon.niaid.nih.gov/transcriptome/T_rubida/S1/links/Triru/Triru-5-48-258-CLU.txt","Contig258")</f>
        <v>Contig258</v>
      </c>
      <c r="E512" t="str">
        <f>HYPERLINK("http://exon.niaid.nih.gov/transcriptome/T_rubida/S1/links/Triru/Triru-5-48-258-qual.txt","61.2")</f>
        <v>61.2</v>
      </c>
      <c r="F512" t="s">
        <v>10</v>
      </c>
      <c r="G512">
        <v>77</v>
      </c>
      <c r="H512">
        <v>506</v>
      </c>
      <c r="I512" t="s">
        <v>270</v>
      </c>
      <c r="J512">
        <v>506</v>
      </c>
      <c r="K512">
        <v>525</v>
      </c>
      <c r="L512">
        <v>102</v>
      </c>
      <c r="M512" t="s">
        <v>5613</v>
      </c>
      <c r="N512" s="15">
        <v>2</v>
      </c>
      <c r="Q512" s="5" t="s">
        <v>4827</v>
      </c>
      <c r="R512" t="s">
        <v>4828</v>
      </c>
      <c r="V512" s="1" t="str">
        <f>HYPERLINK("http://exon.niaid.nih.gov/transcriptome/T_rubida/S1/links/NR/Triru-contig_258-NR.txt","hypothetical protein")</f>
        <v>hypothetical protein</v>
      </c>
      <c r="W512" t="str">
        <f>HYPERLINK("http://www.ncbi.nlm.nih.gov/sutils/blink.cgi?pid=68071649","13")</f>
        <v>13</v>
      </c>
      <c r="X512" t="str">
        <f>HYPERLINK("http://www.ncbi.nlm.nih.gov/protein/68071649","gi|68071649")</f>
        <v>gi|68071649</v>
      </c>
      <c r="Y512">
        <v>33.5</v>
      </c>
      <c r="Z512">
        <v>52</v>
      </c>
      <c r="AA512">
        <v>666</v>
      </c>
      <c r="AB512">
        <v>43</v>
      </c>
      <c r="AC512">
        <v>8</v>
      </c>
      <c r="AD512">
        <v>30</v>
      </c>
      <c r="AE512">
        <v>3</v>
      </c>
      <c r="AF512">
        <v>210</v>
      </c>
      <c r="AG512">
        <v>95</v>
      </c>
      <c r="AH512">
        <v>1</v>
      </c>
      <c r="AI512">
        <v>2</v>
      </c>
      <c r="AJ512" t="s">
        <v>11</v>
      </c>
      <c r="AK512">
        <v>1.923</v>
      </c>
      <c r="AL512" t="s">
        <v>2213</v>
      </c>
      <c r="AM512" t="s">
        <v>2214</v>
      </c>
      <c r="AN512" t="s">
        <v>2215</v>
      </c>
      <c r="AO512" s="1" t="str">
        <f>HYPERLINK("http://exon.niaid.nih.gov/transcriptome/T_rubida/S1/links/SWISSP/Triru-contig_258-SWISSP.txt","UPF0313 protein CLD_0573")</f>
        <v>UPF0313 protein CLD_0573</v>
      </c>
      <c r="AP512" t="str">
        <f>HYPERLINK("http://www.uniprot.org/uniprot/B1ID91","2.3")</f>
        <v>2.3</v>
      </c>
      <c r="AQ512" t="s">
        <v>2216</v>
      </c>
      <c r="AR512">
        <v>32</v>
      </c>
      <c r="AS512">
        <v>44</v>
      </c>
      <c r="AT512">
        <v>35</v>
      </c>
      <c r="AU512">
        <v>7</v>
      </c>
      <c r="AV512">
        <v>29</v>
      </c>
      <c r="AW512">
        <v>1</v>
      </c>
      <c r="AX512">
        <v>386</v>
      </c>
      <c r="AY512">
        <v>308</v>
      </c>
      <c r="AZ512">
        <v>1</v>
      </c>
      <c r="BA512">
        <v>2</v>
      </c>
      <c r="BB512" t="s">
        <v>11</v>
      </c>
      <c r="BC512">
        <v>2.2730000000000001</v>
      </c>
      <c r="BD512" t="s">
        <v>704</v>
      </c>
      <c r="BE512" t="s">
        <v>2217</v>
      </c>
      <c r="BF512" t="s">
        <v>2218</v>
      </c>
      <c r="BG512" t="s">
        <v>2219</v>
      </c>
      <c r="BH512" s="1" t="s">
        <v>57</v>
      </c>
      <c r="BI512" t="s">
        <v>57</v>
      </c>
      <c r="BJ512" s="1" t="str">
        <f>HYPERLINK("http://exon.niaid.nih.gov/transcriptome/T_rubida/S1/links/CDD/Triru-contig_258-CDD.txt","PRK00955")</f>
        <v>PRK00955</v>
      </c>
      <c r="BK512" t="str">
        <f>HYPERLINK("http://www.ncbi.nlm.nih.gov/Structure/cdd/cddsrv.cgi?uid=PRK00955&amp;version=v4.0","0.15")</f>
        <v>0.15</v>
      </c>
      <c r="BL512" t="s">
        <v>2220</v>
      </c>
      <c r="BM512" s="1" t="str">
        <f>HYPERLINK("http://exon.niaid.nih.gov/transcriptome/T_rubida/S1/links/KOG/Triru-contig_258-KOG.txt","Multitransmembrane protein")</f>
        <v>Multitransmembrane protein</v>
      </c>
      <c r="BN512" t="str">
        <f>HYPERLINK("http://www.ncbi.nlm.nih.gov/COG/grace/shokog.cgi?KOG1623","3.1")</f>
        <v>3.1</v>
      </c>
      <c r="BO512" t="s">
        <v>750</v>
      </c>
      <c r="BP512" s="1" t="str">
        <f>HYPERLINK("http://exon.niaid.nih.gov/transcriptome/T_rubida/S1/links/PFAM/Triru-contig_258-PFAM.txt","Lipoxygenase")</f>
        <v>Lipoxygenase</v>
      </c>
      <c r="BQ512" t="str">
        <f>HYPERLINK("http://pfam.sanger.ac.uk/family?acc=PF00305","0.050")</f>
        <v>0.050</v>
      </c>
      <c r="BR512" s="1" t="str">
        <f>HYPERLINK("http://exon.niaid.nih.gov/transcriptome/T_rubida/S1/links/SMART/Triru-contig_258-SMART.txt","PSN")</f>
        <v>PSN</v>
      </c>
      <c r="BS512" t="str">
        <f>HYPERLINK("http://smart.embl-heidelberg.de/smart/do_annotation.pl?DOMAIN=PSN&amp;BLAST=DUMMY","0.017")</f>
        <v>0.017</v>
      </c>
      <c r="BT512" s="1" t="str">
        <f>HYPERLINK("http://exon.niaid.nih.gov/transcriptome/T_rubida/S1/links/PRK/Triru-contig_258-PRK.txt","hypothetical protein")</f>
        <v>hypothetical protein</v>
      </c>
      <c r="BU512">
        <v>6.8000000000000005E-2</v>
      </c>
      <c r="BV512" s="1" t="s">
        <v>57</v>
      </c>
      <c r="BW512" t="s">
        <v>57</v>
      </c>
      <c r="BX512" s="1" t="s">
        <v>57</v>
      </c>
      <c r="BY512" t="s">
        <v>57</v>
      </c>
    </row>
    <row r="513" spans="1:77">
      <c r="A513" t="str">
        <f>HYPERLINK("http://exon.niaid.nih.gov/transcriptome/T_rubida/S1/links/Triru/Triru-contig_456.txt","Triru-contig_456")</f>
        <v>Triru-contig_456</v>
      </c>
      <c r="B513">
        <v>1</v>
      </c>
      <c r="C513" t="str">
        <f>HYPERLINK("http://exon.niaid.nih.gov/transcriptome/T_rubida/S1/links/Triru/Triru-5-48-asb-456.txt","Contig-456")</f>
        <v>Contig-456</v>
      </c>
      <c r="D513" t="str">
        <f>HYPERLINK("http://exon.niaid.nih.gov/transcriptome/T_rubida/S1/links/Triru/Triru-5-48-456-CLU.txt","Contig456")</f>
        <v>Contig456</v>
      </c>
      <c r="E513" t="str">
        <f>HYPERLINK("http://exon.niaid.nih.gov/transcriptome/T_rubida/S1/links/Triru/Triru-5-48-456-qual.txt","60.8")</f>
        <v>60.8</v>
      </c>
      <c r="F513" t="s">
        <v>10</v>
      </c>
      <c r="G513">
        <v>78.5</v>
      </c>
      <c r="H513">
        <v>511</v>
      </c>
      <c r="I513" t="s">
        <v>468</v>
      </c>
      <c r="J513">
        <v>511</v>
      </c>
      <c r="K513">
        <v>530</v>
      </c>
      <c r="L513">
        <v>135</v>
      </c>
      <c r="M513" t="s">
        <v>5634</v>
      </c>
      <c r="N513" s="15">
        <v>3</v>
      </c>
      <c r="Q513" s="5" t="s">
        <v>4827</v>
      </c>
      <c r="R513" t="s">
        <v>4828</v>
      </c>
      <c r="V513" s="1" t="str">
        <f>HYPERLINK("http://exon.niaid.nih.gov/transcriptome/T_rubida/S1/links/NR/Triru-contig_456-NR.txt","hypothetical protein PPL_02782")</f>
        <v>hypothetical protein PPL_02782</v>
      </c>
      <c r="W513" t="str">
        <f>HYPERLINK("http://www.ncbi.nlm.nih.gov/sutils/blink.cgi?pid=281209547","13")</f>
        <v>13</v>
      </c>
      <c r="X513" t="str">
        <f>HYPERLINK("http://www.ncbi.nlm.nih.gov/protein/281209547","gi|281209547")</f>
        <v>gi|281209547</v>
      </c>
      <c r="Y513">
        <v>33.5</v>
      </c>
      <c r="Z513">
        <v>74</v>
      </c>
      <c r="AA513">
        <v>1340</v>
      </c>
      <c r="AB513">
        <v>29</v>
      </c>
      <c r="AC513">
        <v>6</v>
      </c>
      <c r="AD513">
        <v>53</v>
      </c>
      <c r="AE513">
        <v>0</v>
      </c>
      <c r="AF513">
        <v>895</v>
      </c>
      <c r="AG513">
        <v>51</v>
      </c>
      <c r="AH513">
        <v>1</v>
      </c>
      <c r="AI513">
        <v>3</v>
      </c>
      <c r="AJ513" t="s">
        <v>11</v>
      </c>
      <c r="AK513">
        <v>2.7029999999999998</v>
      </c>
      <c r="AL513" t="s">
        <v>914</v>
      </c>
      <c r="AM513" t="s">
        <v>3571</v>
      </c>
      <c r="AN513" t="s">
        <v>3572</v>
      </c>
      <c r="AO513" s="1" t="str">
        <f>HYPERLINK("http://exon.niaid.nih.gov/transcriptome/T_rubida/S1/links/SWISSP/Triru-contig_456-SWISSP.txt","4-coumarate--CoA ligase 2")</f>
        <v>4-coumarate--CoA ligase 2</v>
      </c>
      <c r="AP513" t="str">
        <f>HYPERLINK("http://www.uniprot.org/uniprot/Q9S725","6.7")</f>
        <v>6.7</v>
      </c>
      <c r="AQ513" t="s">
        <v>3573</v>
      </c>
      <c r="AR513">
        <v>30.4</v>
      </c>
      <c r="AS513">
        <v>51</v>
      </c>
      <c r="AT513">
        <v>24</v>
      </c>
      <c r="AU513">
        <v>9</v>
      </c>
      <c r="AV513">
        <v>41</v>
      </c>
      <c r="AW513">
        <v>0</v>
      </c>
      <c r="AX513">
        <v>231</v>
      </c>
      <c r="AY513">
        <v>39</v>
      </c>
      <c r="AZ513">
        <v>1</v>
      </c>
      <c r="BA513">
        <v>3</v>
      </c>
      <c r="BB513" t="s">
        <v>11</v>
      </c>
      <c r="BC513">
        <v>1.9610000000000001</v>
      </c>
      <c r="BD513" t="s">
        <v>704</v>
      </c>
      <c r="BE513" t="s">
        <v>906</v>
      </c>
      <c r="BF513" t="s">
        <v>3574</v>
      </c>
      <c r="BG513" t="s">
        <v>3575</v>
      </c>
      <c r="BH513" s="1" t="s">
        <v>57</v>
      </c>
      <c r="BI513" t="s">
        <v>57</v>
      </c>
      <c r="BJ513" s="1" t="str">
        <f>HYPERLINK("http://exon.niaid.nih.gov/transcriptome/T_rubida/S1/links/CDD/Triru-contig_456-CDD.txt","7TM_GPCR_Srz")</f>
        <v>7TM_GPCR_Srz</v>
      </c>
      <c r="BK513" t="str">
        <f>HYPERLINK("http://www.ncbi.nlm.nih.gov/Structure/cdd/cddsrv.cgi?uid=pfam10325&amp;version=v4.0","0.019")</f>
        <v>0.019</v>
      </c>
      <c r="BL513" t="s">
        <v>3576</v>
      </c>
      <c r="BM513" s="1" t="str">
        <f>HYPERLINK("http://exon.niaid.nih.gov/transcriptome/T_rubida/S1/links/KOG/Triru-contig_456-KOG.txt","Predicted acyltransferase")</f>
        <v>Predicted acyltransferase</v>
      </c>
      <c r="BN513" t="str">
        <f>HYPERLINK("http://www.ncbi.nlm.nih.gov/COG/grace/shokog.cgi?KOG3700","2.2")</f>
        <v>2.2</v>
      </c>
      <c r="BO513" t="s">
        <v>750</v>
      </c>
      <c r="BP513" s="1" t="str">
        <f>HYPERLINK("http://exon.niaid.nih.gov/transcriptome/T_rubida/S1/links/PFAM/Triru-contig_456-PFAM.txt","7TM_GPCR_Srz")</f>
        <v>7TM_GPCR_Srz</v>
      </c>
      <c r="BQ513" t="str">
        <f>HYPERLINK("http://pfam.sanger.ac.uk/family?acc=PF10325","0.004")</f>
        <v>0.004</v>
      </c>
      <c r="BR513" s="1" t="str">
        <f>HYPERLINK("http://exon.niaid.nih.gov/transcriptome/T_rubida/S1/links/SMART/Triru-contig_456-SMART.txt","AgrB")</f>
        <v>AgrB</v>
      </c>
      <c r="BS513" t="str">
        <f>HYPERLINK("http://smart.embl-heidelberg.de/smart/do_annotation.pl?DOMAIN=AgrB&amp;BLAST=DUMMY","0.005")</f>
        <v>0.005</v>
      </c>
      <c r="BT513" s="1" t="str">
        <f>HYPERLINK("http://exon.niaid.nih.gov/transcriptome/T_rubida/S1/links/PRK/Triru-contig_456-PRK.txt","NADH dehydrogenase subunit 4")</f>
        <v>NADH dehydrogenase subunit 4</v>
      </c>
      <c r="BU513">
        <v>8.4000000000000005E-2</v>
      </c>
      <c r="BV513" s="1" t="s">
        <v>57</v>
      </c>
      <c r="BW513" t="s">
        <v>57</v>
      </c>
      <c r="BX513" s="1" t="s">
        <v>57</v>
      </c>
      <c r="BY513" t="s">
        <v>57</v>
      </c>
    </row>
    <row r="514" spans="1:77">
      <c r="A514" t="str">
        <f>HYPERLINK("http://exon.niaid.nih.gov/transcriptome/T_rubida/S1/links/Triru/Triru-contig_381.txt","Triru-contig_381")</f>
        <v>Triru-contig_381</v>
      </c>
      <c r="B514">
        <v>1</v>
      </c>
      <c r="C514" t="str">
        <f>HYPERLINK("http://exon.niaid.nih.gov/transcriptome/T_rubida/S1/links/Triru/Triru-5-48-asb-381.txt","Contig-381")</f>
        <v>Contig-381</v>
      </c>
      <c r="D514" t="str">
        <f>HYPERLINK("http://exon.niaid.nih.gov/transcriptome/T_rubida/S1/links/Triru/Triru-5-48-381-CLU.txt","Contig381")</f>
        <v>Contig381</v>
      </c>
      <c r="E514" t="str">
        <f>HYPERLINK("http://exon.niaid.nih.gov/transcriptome/T_rubida/S1/links/Triru/Triru-5-48-381-qual.txt","61.6")</f>
        <v>61.6</v>
      </c>
      <c r="F514" t="s">
        <v>10</v>
      </c>
      <c r="G514">
        <v>67</v>
      </c>
      <c r="H514">
        <v>563</v>
      </c>
      <c r="I514" t="s">
        <v>393</v>
      </c>
      <c r="J514">
        <v>563</v>
      </c>
      <c r="K514">
        <v>582</v>
      </c>
      <c r="L514">
        <v>147</v>
      </c>
      <c r="M514" t="s">
        <v>5512</v>
      </c>
      <c r="N514" s="15">
        <v>3</v>
      </c>
      <c r="O514" s="14" t="str">
        <f>HYPERLINK("http://exon.niaid.nih.gov/transcriptome/T_rubida/S1/links/Sigp/TRIRU-CONTIG_381-SigP.txt","Cyt")</f>
        <v>Cyt</v>
      </c>
      <c r="Q514" s="5" t="s">
        <v>4827</v>
      </c>
      <c r="R514" t="s">
        <v>4828</v>
      </c>
      <c r="V514" s="1" t="str">
        <f>HYPERLINK("http://exon.niaid.nih.gov/transcriptome/T_rubida/S1/links/NR/Triru-contig_381-NR.txt","TonB-dependent receptor plug")</f>
        <v>TonB-dependent receptor plug</v>
      </c>
      <c r="W514" t="str">
        <f>HYPERLINK("http://www.ncbi.nlm.nih.gov/sutils/blink.cgi?pid=255036950","14")</f>
        <v>14</v>
      </c>
      <c r="X514" t="str">
        <f>HYPERLINK("http://www.ncbi.nlm.nih.gov/protein/255036950","gi|255036950")</f>
        <v>gi|255036950</v>
      </c>
      <c r="Y514">
        <v>33.9</v>
      </c>
      <c r="Z514">
        <v>31</v>
      </c>
      <c r="AA514">
        <v>766</v>
      </c>
      <c r="AB514">
        <v>43</v>
      </c>
      <c r="AC514">
        <v>4</v>
      </c>
      <c r="AD514">
        <v>18</v>
      </c>
      <c r="AE514">
        <v>0</v>
      </c>
      <c r="AF514">
        <v>275</v>
      </c>
      <c r="AG514">
        <v>7</v>
      </c>
      <c r="AH514">
        <v>1</v>
      </c>
      <c r="AI514">
        <v>1</v>
      </c>
      <c r="AJ514" t="s">
        <v>11</v>
      </c>
      <c r="AK514">
        <v>3.226</v>
      </c>
      <c r="AL514" t="s">
        <v>2953</v>
      </c>
      <c r="AM514" t="s">
        <v>3058</v>
      </c>
      <c r="AN514" t="s">
        <v>3059</v>
      </c>
      <c r="AO514" s="1" t="str">
        <f>HYPERLINK("http://exon.niaid.nih.gov/transcriptome/T_rubida/S1/links/SWISSP/Triru-contig_381-SWISSP.txt","Probable DNA polymerase")</f>
        <v>Probable DNA polymerase</v>
      </c>
      <c r="AP514" t="str">
        <f>HYPERLINK("http://www.uniprot.org/uniprot/P33537","24")</f>
        <v>24</v>
      </c>
      <c r="AQ514" t="s">
        <v>3060</v>
      </c>
      <c r="AR514">
        <v>28.9</v>
      </c>
      <c r="AS514">
        <v>21</v>
      </c>
      <c r="AT514">
        <v>63</v>
      </c>
      <c r="AU514">
        <v>2</v>
      </c>
      <c r="AV514">
        <v>8</v>
      </c>
      <c r="AW514">
        <v>0</v>
      </c>
      <c r="AX514">
        <v>16</v>
      </c>
      <c r="AY514">
        <v>457</v>
      </c>
      <c r="AZ514">
        <v>1</v>
      </c>
      <c r="BA514">
        <v>1</v>
      </c>
      <c r="BB514" t="s">
        <v>11</v>
      </c>
      <c r="BD514" t="s">
        <v>704</v>
      </c>
      <c r="BE514" t="s">
        <v>3061</v>
      </c>
      <c r="BF514" t="s">
        <v>3062</v>
      </c>
      <c r="BG514" t="s">
        <v>3063</v>
      </c>
      <c r="BH514" s="1" t="s">
        <v>57</v>
      </c>
      <c r="BI514" t="s">
        <v>57</v>
      </c>
      <c r="BJ514" s="1" t="str">
        <f>HYPERLINK("http://exon.niaid.nih.gov/transcriptome/T_rubida/S1/links/CDD/Triru-contig_381-CDD.txt","ND2")</f>
        <v>ND2</v>
      </c>
      <c r="BK514" t="str">
        <f>HYPERLINK("http://www.ncbi.nlm.nih.gov/Structure/cdd/cddsrv.cgi?uid=MTH00091&amp;version=v4.0","0.33")</f>
        <v>0.33</v>
      </c>
      <c r="BL514" t="s">
        <v>3064</v>
      </c>
      <c r="BM514" s="1" t="str">
        <f>HYPERLINK("http://exon.niaid.nih.gov/transcriptome/T_rubida/S1/links/KOG/Triru-contig_381-KOG.txt","Oligosaccharyltransferase, STT3 subunit")</f>
        <v>Oligosaccharyltransferase, STT3 subunit</v>
      </c>
      <c r="BN514" t="str">
        <f>HYPERLINK("http://www.ncbi.nlm.nih.gov/COG/grace/shokog.cgi?KOG2292","0.36")</f>
        <v>0.36</v>
      </c>
      <c r="BO514" t="s">
        <v>954</v>
      </c>
      <c r="BP514" s="1" t="str">
        <f>HYPERLINK("http://exon.niaid.nih.gov/transcriptome/T_rubida/S1/links/PFAM/Triru-contig_381-PFAM.txt","7TM_GPCR_Srz")</f>
        <v>7TM_GPCR_Srz</v>
      </c>
      <c r="BQ514" t="str">
        <f>HYPERLINK("http://pfam.sanger.ac.uk/family?acc=PF10325","0.22")</f>
        <v>0.22</v>
      </c>
      <c r="BR514" s="1" t="str">
        <f>HYPERLINK("http://exon.niaid.nih.gov/transcriptome/T_rubida/S1/links/SMART/Triru-contig_381-SMART.txt","Ku78")</f>
        <v>Ku78</v>
      </c>
      <c r="BS514" t="str">
        <f>HYPERLINK("http://smart.embl-heidelberg.de/smart/do_annotation.pl?DOMAIN=Ku78&amp;BLAST=DUMMY","0.62")</f>
        <v>0.62</v>
      </c>
      <c r="BT514" s="1" t="str">
        <f>HYPERLINK("http://exon.niaid.nih.gov/transcriptome/T_rubida/S1/links/PRK/Triru-contig_381-PRK.txt","NADH dehydrogenase subunit 2")</f>
        <v>NADH dehydrogenase subunit 2</v>
      </c>
      <c r="BU514">
        <v>0.14000000000000001</v>
      </c>
      <c r="BV514" s="1" t="s">
        <v>57</v>
      </c>
      <c r="BW514" t="s">
        <v>57</v>
      </c>
      <c r="BX514" s="1" t="s">
        <v>57</v>
      </c>
      <c r="BY514" t="s">
        <v>57</v>
      </c>
    </row>
    <row r="515" spans="1:77">
      <c r="A515" t="str">
        <f>HYPERLINK("http://exon.niaid.nih.gov/transcriptome/T_rubida/S1/links/Triru/Triru-contig_483.txt","Triru-contig_483")</f>
        <v>Triru-contig_483</v>
      </c>
      <c r="B515">
        <v>1</v>
      </c>
      <c r="C515" t="str">
        <f>HYPERLINK("http://exon.niaid.nih.gov/transcriptome/T_rubida/S1/links/Triru/Triru-5-48-asb-483.txt","Contig-483")</f>
        <v>Contig-483</v>
      </c>
      <c r="D515" t="str">
        <f>HYPERLINK("http://exon.niaid.nih.gov/transcriptome/T_rubida/S1/links/Triru/Triru-5-48-483-CLU.txt","Contig483")</f>
        <v>Contig483</v>
      </c>
      <c r="E515" t="str">
        <f>HYPERLINK("http://exon.niaid.nih.gov/transcriptome/T_rubida/S1/links/Triru/Triru-5-48-483-qual.txt","55.")</f>
        <v>55.</v>
      </c>
      <c r="F515" t="s">
        <v>10</v>
      </c>
      <c r="G515">
        <v>69.099999999999994</v>
      </c>
      <c r="H515">
        <v>331</v>
      </c>
      <c r="I515" t="s">
        <v>495</v>
      </c>
      <c r="J515">
        <v>331</v>
      </c>
      <c r="K515">
        <v>350</v>
      </c>
      <c r="L515">
        <v>147</v>
      </c>
      <c r="M515" t="s">
        <v>5424</v>
      </c>
      <c r="N515" s="15">
        <v>2</v>
      </c>
      <c r="Q515" s="5" t="s">
        <v>4827</v>
      </c>
      <c r="R515" t="s">
        <v>4828</v>
      </c>
      <c r="V515" s="1" t="str">
        <f>HYPERLINK("http://exon.niaid.nih.gov/transcriptome/T_rubida/S1/links/NR/Triru-contig_483-NR.txt","Afadin")</f>
        <v>Afadin</v>
      </c>
      <c r="W515" t="str">
        <f>HYPERLINK("http://www.ncbi.nlm.nih.gov/sutils/blink.cgi?pid=332025107","15")</f>
        <v>15</v>
      </c>
      <c r="X515" t="str">
        <f>HYPERLINK("http://www.ncbi.nlm.nih.gov/protein/332025107","gi|332025107")</f>
        <v>gi|332025107</v>
      </c>
      <c r="Y515">
        <v>33.1</v>
      </c>
      <c r="Z515">
        <v>56</v>
      </c>
      <c r="AA515">
        <v>2438</v>
      </c>
      <c r="AB515">
        <v>28</v>
      </c>
      <c r="AC515">
        <v>2</v>
      </c>
      <c r="AD515">
        <v>41</v>
      </c>
      <c r="AE515">
        <v>0</v>
      </c>
      <c r="AF515">
        <v>1248</v>
      </c>
      <c r="AG515">
        <v>98</v>
      </c>
      <c r="AH515">
        <v>1</v>
      </c>
      <c r="AI515">
        <v>2</v>
      </c>
      <c r="AJ515" t="s">
        <v>11</v>
      </c>
      <c r="AK515">
        <v>1.786</v>
      </c>
      <c r="AL515" t="s">
        <v>2597</v>
      </c>
      <c r="AM515" t="s">
        <v>3748</v>
      </c>
      <c r="AN515" t="s">
        <v>3749</v>
      </c>
      <c r="AO515" s="1" t="str">
        <f>HYPERLINK("http://exon.niaid.nih.gov/transcriptome/T_rubida/S1/links/SWISSP/Triru-contig_483-SWISSP.txt","Probable polyketide synthase 26")</f>
        <v>Probable polyketide synthase 26</v>
      </c>
      <c r="AP515" t="str">
        <f>HYPERLINK("http://www.uniprot.org/uniprot/Q54IX3","6.1")</f>
        <v>6.1</v>
      </c>
      <c r="AQ515" t="s">
        <v>3750</v>
      </c>
      <c r="AR515">
        <v>29.6</v>
      </c>
      <c r="AS515">
        <v>31</v>
      </c>
      <c r="AT515">
        <v>34</v>
      </c>
      <c r="AU515">
        <v>1</v>
      </c>
      <c r="AV515">
        <v>21</v>
      </c>
      <c r="AW515">
        <v>0</v>
      </c>
      <c r="AX515">
        <v>833</v>
      </c>
      <c r="AY515">
        <v>137</v>
      </c>
      <c r="AZ515">
        <v>1</v>
      </c>
      <c r="BA515">
        <v>2</v>
      </c>
      <c r="BB515" t="s">
        <v>11</v>
      </c>
      <c r="BC515">
        <v>3.226</v>
      </c>
      <c r="BD515" t="s">
        <v>704</v>
      </c>
      <c r="BE515" t="s">
        <v>918</v>
      </c>
      <c r="BF515" t="s">
        <v>3751</v>
      </c>
      <c r="BG515" t="s">
        <v>3752</v>
      </c>
      <c r="BH515" s="1" t="s">
        <v>57</v>
      </c>
      <c r="BI515" t="s">
        <v>57</v>
      </c>
      <c r="BJ515" s="1" t="str">
        <f>HYPERLINK("http://exon.niaid.nih.gov/transcriptome/T_rubida/S1/links/CDD/Triru-contig_483-CDD.txt","Peptidase_U4")</f>
        <v>Peptidase_U4</v>
      </c>
      <c r="BK515" t="str">
        <f>HYPERLINK("http://www.ncbi.nlm.nih.gov/Structure/cdd/cddsrv.cgi?uid=pfam03419&amp;version=v4.0","0.033")</f>
        <v>0.033</v>
      </c>
      <c r="BL515" t="s">
        <v>3753</v>
      </c>
      <c r="BM515" s="1" t="str">
        <f>HYPERLINK("http://exon.niaid.nih.gov/transcriptome/T_rubida/S1/links/KOG/Triru-contig_483-KOG.txt","Sodium-neurotransmitter symporter")</f>
        <v>Sodium-neurotransmitter symporter</v>
      </c>
      <c r="BN515" t="str">
        <f>HYPERLINK("http://www.ncbi.nlm.nih.gov/COG/grace/shokog.cgi?KOG3659","0.055")</f>
        <v>0.055</v>
      </c>
      <c r="BO515" t="s">
        <v>728</v>
      </c>
      <c r="BP515" s="1" t="str">
        <f>HYPERLINK("http://exon.niaid.nih.gov/transcriptome/T_rubida/S1/links/PFAM/Triru-contig_483-PFAM.txt","Peptidase_U4")</f>
        <v>Peptidase_U4</v>
      </c>
      <c r="BQ515" t="str">
        <f>HYPERLINK("http://pfam.sanger.ac.uk/family?acc=PF03419","0.007")</f>
        <v>0.007</v>
      </c>
      <c r="BR515" s="1" t="str">
        <f>HYPERLINK("http://exon.niaid.nih.gov/transcriptome/T_rubida/S1/links/SMART/Triru-contig_483-SMART.txt","IlGF")</f>
        <v>IlGF</v>
      </c>
      <c r="BS515" t="str">
        <f>HYPERLINK("http://smart.embl-heidelberg.de/smart/do_annotation.pl?DOMAIN=IlGF&amp;BLAST=DUMMY","0.31")</f>
        <v>0.31</v>
      </c>
      <c r="BT515" s="1" t="str">
        <f>HYPERLINK("http://exon.niaid.nih.gov/transcriptome/T_rubida/S1/links/PRK/Triru-contig_483-PRK.txt","cytochrome c oxidase subunit III")</f>
        <v>cytochrome c oxidase subunit III</v>
      </c>
      <c r="BU515">
        <v>6.8000000000000005E-2</v>
      </c>
      <c r="BV515" s="1" t="s">
        <v>57</v>
      </c>
      <c r="BW515" t="s">
        <v>57</v>
      </c>
      <c r="BX515" s="1" t="s">
        <v>57</v>
      </c>
      <c r="BY515" t="s">
        <v>57</v>
      </c>
    </row>
    <row r="516" spans="1:77">
      <c r="A516" t="str">
        <f>HYPERLINK("http://exon.niaid.nih.gov/transcriptome/T_rubida/S1/links/Triru/Triru-contig_386.txt","Triru-contig_386")</f>
        <v>Triru-contig_386</v>
      </c>
      <c r="B516">
        <v>1</v>
      </c>
      <c r="C516" t="str">
        <f>HYPERLINK("http://exon.niaid.nih.gov/transcriptome/T_rubida/S1/links/Triru/Triru-5-48-asb-386.txt","Contig-386")</f>
        <v>Contig-386</v>
      </c>
      <c r="D516" t="str">
        <f>HYPERLINK("http://exon.niaid.nih.gov/transcriptome/T_rubida/S1/links/Triru/Triru-5-48-386-CLU.txt","Contig386")</f>
        <v>Contig386</v>
      </c>
      <c r="E516" t="str">
        <f>HYPERLINK("http://exon.niaid.nih.gov/transcriptome/T_rubida/S1/links/Triru/Triru-5-48-386-qual.txt","36.9")</f>
        <v>36.9</v>
      </c>
      <c r="F516" t="s">
        <v>10</v>
      </c>
      <c r="G516">
        <v>62.8</v>
      </c>
      <c r="H516">
        <v>306</v>
      </c>
      <c r="I516" t="s">
        <v>398</v>
      </c>
      <c r="J516">
        <v>306</v>
      </c>
      <c r="K516">
        <v>325</v>
      </c>
      <c r="L516">
        <v>123</v>
      </c>
      <c r="M516" t="s">
        <v>5428</v>
      </c>
      <c r="N516" s="15">
        <v>2</v>
      </c>
      <c r="Q516" s="5" t="s">
        <v>4827</v>
      </c>
      <c r="R516" t="s">
        <v>4828</v>
      </c>
      <c r="V516" s="1" t="str">
        <f>HYPERLINK("http://exon.niaid.nih.gov/transcriptome/T_rubida/S1/links/NR/Triru-contig_386-NR.txt","KAP family P-loop domain-containing protein")</f>
        <v>KAP family P-loop domain-containing protein</v>
      </c>
      <c r="W516" t="str">
        <f>HYPERLINK("http://www.ncbi.nlm.nih.gov/sutils/blink.cgi?pid=330829573","15")</f>
        <v>15</v>
      </c>
      <c r="X516" t="str">
        <f>HYPERLINK("http://www.ncbi.nlm.nih.gov/protein/330829573","gi|330829573")</f>
        <v>gi|330829573</v>
      </c>
      <c r="Y516">
        <v>33.1</v>
      </c>
      <c r="Z516">
        <v>42</v>
      </c>
      <c r="AA516">
        <v>495</v>
      </c>
      <c r="AB516">
        <v>44</v>
      </c>
      <c r="AC516">
        <v>9</v>
      </c>
      <c r="AD516">
        <v>24</v>
      </c>
      <c r="AE516">
        <v>0</v>
      </c>
      <c r="AF516">
        <v>315</v>
      </c>
      <c r="AG516">
        <v>78</v>
      </c>
      <c r="AH516">
        <v>1</v>
      </c>
      <c r="AI516">
        <v>3</v>
      </c>
      <c r="AJ516" t="s">
        <v>11</v>
      </c>
      <c r="AK516">
        <v>2.3809999999999998</v>
      </c>
      <c r="AL516" t="s">
        <v>3092</v>
      </c>
      <c r="AM516" t="s">
        <v>3093</v>
      </c>
      <c r="AN516" t="s">
        <v>3094</v>
      </c>
      <c r="AO516" s="1" t="str">
        <f>HYPERLINK("http://exon.niaid.nih.gov/transcriptome/T_rubida/S1/links/SWISSP/Triru-contig_386-SWISSP.txt","Uncharacterized protein 084R")</f>
        <v>Uncharacterized protein 084R</v>
      </c>
      <c r="AP516" t="str">
        <f>HYPERLINK("http://www.uniprot.org/uniprot/Q6GZP1","1.6")</f>
        <v>1.6</v>
      </c>
      <c r="AQ516" t="s">
        <v>3095</v>
      </c>
      <c r="AR516">
        <v>31.6</v>
      </c>
      <c r="AS516">
        <v>41</v>
      </c>
      <c r="AT516">
        <v>28</v>
      </c>
      <c r="AU516">
        <v>17</v>
      </c>
      <c r="AV516">
        <v>30</v>
      </c>
      <c r="AW516">
        <v>0</v>
      </c>
      <c r="AX516">
        <v>33</v>
      </c>
      <c r="AY516">
        <v>16</v>
      </c>
      <c r="AZ516">
        <v>1</v>
      </c>
      <c r="BA516">
        <v>1</v>
      </c>
      <c r="BB516" t="s">
        <v>11</v>
      </c>
      <c r="BC516">
        <v>2.4390000000000001</v>
      </c>
      <c r="BD516" t="s">
        <v>704</v>
      </c>
      <c r="BE516" t="s">
        <v>2969</v>
      </c>
      <c r="BF516" t="s">
        <v>3096</v>
      </c>
      <c r="BG516" t="s">
        <v>3097</v>
      </c>
      <c r="BH516" s="1" t="s">
        <v>57</v>
      </c>
      <c r="BI516" t="s">
        <v>57</v>
      </c>
      <c r="BJ516" s="1" t="str">
        <f>HYPERLINK("http://exon.niaid.nih.gov/transcriptome/T_rubida/S1/links/CDD/Triru-contig_386-CDD.txt","Spore_III_AB")</f>
        <v>Spore_III_AB</v>
      </c>
      <c r="BK516" t="str">
        <f>HYPERLINK("http://www.ncbi.nlm.nih.gov/Structure/cdd/cddsrv.cgi?uid=pfam09548&amp;version=v4.0","0.30")</f>
        <v>0.30</v>
      </c>
      <c r="BL516" t="s">
        <v>3098</v>
      </c>
      <c r="BM516" s="1" t="str">
        <f>HYPERLINK("http://exon.niaid.nih.gov/transcriptome/T_rubida/S1/links/KOG/Triru-contig_386-KOG.txt","TPR repeat-containing protein")</f>
        <v>TPR repeat-containing protein</v>
      </c>
      <c r="BN516" t="str">
        <f>HYPERLINK("http://www.ncbi.nlm.nih.gov/COG/grace/shokog.cgi?KOG4234","0.54")</f>
        <v>0.54</v>
      </c>
      <c r="BO516" t="s">
        <v>750</v>
      </c>
      <c r="BP516" s="1" t="str">
        <f>HYPERLINK("http://exon.niaid.nih.gov/transcriptome/T_rubida/S1/links/PFAM/Triru-contig_386-PFAM.txt","Spore_III_AB")</f>
        <v>Spore_III_AB</v>
      </c>
      <c r="BQ516" t="str">
        <f>HYPERLINK("http://pfam.sanger.ac.uk/family?acc=PF09548","0.064")</f>
        <v>0.064</v>
      </c>
      <c r="BR516" s="1" t="str">
        <f>HYPERLINK("http://exon.niaid.nih.gov/transcriptome/T_rubida/S1/links/SMART/Triru-contig_386-SMART.txt","CASc")</f>
        <v>CASc</v>
      </c>
      <c r="BS516" t="str">
        <f>HYPERLINK("http://smart.embl-heidelberg.de/smart/do_annotation.pl?DOMAIN=CASc&amp;BLAST=DUMMY","0.30")</f>
        <v>0.30</v>
      </c>
      <c r="BT516" s="1" t="str">
        <f>HYPERLINK("http://exon.niaid.nih.gov/transcriptome/T_rubida/S1/links/PRK/Triru-contig_386-PRK.txt","fumarate/nitrate reduction transcriptional regulator")</f>
        <v>fumarate/nitrate reduction transcriptional regulator</v>
      </c>
      <c r="BU516">
        <v>0.39</v>
      </c>
      <c r="BV516" s="1" t="s">
        <v>57</v>
      </c>
      <c r="BW516" t="s">
        <v>57</v>
      </c>
      <c r="BX516" s="1" t="s">
        <v>57</v>
      </c>
      <c r="BY516" t="s">
        <v>57</v>
      </c>
    </row>
    <row r="517" spans="1:77">
      <c r="A517" t="str">
        <f>HYPERLINK("http://exon.niaid.nih.gov/transcriptome/T_rubida/S1/links/Triru/Triru-contig_443.txt","Triru-contig_443")</f>
        <v>Triru-contig_443</v>
      </c>
      <c r="B517">
        <v>1</v>
      </c>
      <c r="C517" t="str">
        <f>HYPERLINK("http://exon.niaid.nih.gov/transcriptome/T_rubida/S1/links/Triru/Triru-5-48-asb-443.txt","Contig-443")</f>
        <v>Contig-443</v>
      </c>
      <c r="D517" t="str">
        <f>HYPERLINK("http://exon.niaid.nih.gov/transcriptome/T_rubida/S1/links/Triru/Triru-5-48-443-CLU.txt","Contig443")</f>
        <v>Contig443</v>
      </c>
      <c r="E517" t="str">
        <f>HYPERLINK("http://exon.niaid.nih.gov/transcriptome/T_rubida/S1/links/Triru/Triru-5-48-443-qual.txt","62.5")</f>
        <v>62.5</v>
      </c>
      <c r="F517" t="s">
        <v>10</v>
      </c>
      <c r="G517">
        <v>70</v>
      </c>
      <c r="H517">
        <v>374</v>
      </c>
      <c r="I517" t="s">
        <v>455</v>
      </c>
      <c r="J517">
        <v>374</v>
      </c>
      <c r="K517">
        <v>393</v>
      </c>
      <c r="L517">
        <v>132</v>
      </c>
      <c r="M517" t="s">
        <v>5446</v>
      </c>
      <c r="N517" s="15">
        <v>2</v>
      </c>
      <c r="Q517" s="5" t="s">
        <v>4827</v>
      </c>
      <c r="R517" t="s">
        <v>4828</v>
      </c>
      <c r="V517" s="1" t="str">
        <f>HYPERLINK("http://exon.niaid.nih.gov/transcriptome/T_rubida/S1/links/NR/Triru-contig_443-NR.txt","hypothetical protein HMPREF9445_02412")</f>
        <v>hypothetical protein HMPREF9445_02412</v>
      </c>
      <c r="W517" t="str">
        <f>HYPERLINK("http://www.ncbi.nlm.nih.gov/sutils/blink.cgi?pid=329956969","15")</f>
        <v>15</v>
      </c>
      <c r="X517" t="str">
        <f>HYPERLINK("http://www.ncbi.nlm.nih.gov/protein/329956969","gi|329956969")</f>
        <v>gi|329956969</v>
      </c>
      <c r="Y517">
        <v>33.1</v>
      </c>
      <c r="Z517">
        <v>43</v>
      </c>
      <c r="AA517">
        <v>391</v>
      </c>
      <c r="AB517">
        <v>36</v>
      </c>
      <c r="AC517">
        <v>11</v>
      </c>
      <c r="AD517">
        <v>36</v>
      </c>
      <c r="AE517">
        <v>0</v>
      </c>
      <c r="AF517">
        <v>113</v>
      </c>
      <c r="AG517">
        <v>163</v>
      </c>
      <c r="AH517">
        <v>1</v>
      </c>
      <c r="AI517">
        <v>1</v>
      </c>
      <c r="AJ517" t="s">
        <v>11</v>
      </c>
      <c r="AK517">
        <v>6.9770000000000003</v>
      </c>
      <c r="AL517" t="s">
        <v>3478</v>
      </c>
      <c r="AM517" t="s">
        <v>3479</v>
      </c>
      <c r="AN517" t="s">
        <v>3480</v>
      </c>
      <c r="AO517" s="1" t="str">
        <f>HYPERLINK("http://exon.niaid.nih.gov/transcriptome/T_rubida/S1/links/SWISSP/Triru-contig_443-SWISSP.txt","Lipid-A-disaccharide synthase")</f>
        <v>Lipid-A-disaccharide synthase</v>
      </c>
      <c r="AP517" t="str">
        <f>HYPERLINK("http://www.uniprot.org/uniprot/O25537","6.2")</f>
        <v>6.2</v>
      </c>
      <c r="AQ517" t="s">
        <v>3481</v>
      </c>
      <c r="AR517">
        <v>29.6</v>
      </c>
      <c r="AS517">
        <v>28</v>
      </c>
      <c r="AT517">
        <v>44</v>
      </c>
      <c r="AU517">
        <v>8</v>
      </c>
      <c r="AV517">
        <v>16</v>
      </c>
      <c r="AW517">
        <v>0</v>
      </c>
      <c r="AX517">
        <v>20</v>
      </c>
      <c r="AY517">
        <v>241</v>
      </c>
      <c r="AZ517">
        <v>1</v>
      </c>
      <c r="BA517">
        <v>1</v>
      </c>
      <c r="BB517" t="s">
        <v>11</v>
      </c>
      <c r="BC517">
        <v>3.5710000000000002</v>
      </c>
      <c r="BD517" t="s">
        <v>704</v>
      </c>
      <c r="BE517" t="s">
        <v>3482</v>
      </c>
      <c r="BF517" t="s">
        <v>3483</v>
      </c>
      <c r="BG517" t="s">
        <v>3484</v>
      </c>
      <c r="BH517" s="1" t="s">
        <v>57</v>
      </c>
      <c r="BI517" t="s">
        <v>57</v>
      </c>
      <c r="BJ517" s="1" t="str">
        <f>HYPERLINK("http://exon.niaid.nih.gov/transcriptome/T_rubida/S1/links/CDD/Triru-contig_443-CDD.txt","intg_mem_TP0381")</f>
        <v>intg_mem_TP0381</v>
      </c>
      <c r="BK517" t="str">
        <f>HYPERLINK("http://www.ncbi.nlm.nih.gov/Structure/cdd/cddsrv.cgi?uid=TIGR02206&amp;version=v4.0","0.005")</f>
        <v>0.005</v>
      </c>
      <c r="BL517" t="s">
        <v>3485</v>
      </c>
      <c r="BM517" s="1" t="str">
        <f>HYPERLINK("http://exon.niaid.nih.gov/transcriptome/T_rubida/S1/links/KOG/Triru-contig_443-KOG.txt","Predicted membrane protein")</f>
        <v>Predicted membrane protein</v>
      </c>
      <c r="BN517" t="str">
        <f>HYPERLINK("http://www.ncbi.nlm.nih.gov/COG/grace/shokog.cgi?KOG3978","0.23")</f>
        <v>0.23</v>
      </c>
      <c r="BO517" t="s">
        <v>737</v>
      </c>
      <c r="BP517" s="1" t="str">
        <f>HYPERLINK("http://exon.niaid.nih.gov/transcriptome/T_rubida/S1/links/PFAM/Triru-contig_443-PFAM.txt","DUF3810")</f>
        <v>DUF3810</v>
      </c>
      <c r="BQ517" t="str">
        <f>HYPERLINK("http://pfam.sanger.ac.uk/family?acc=PF12725","0.13")</f>
        <v>0.13</v>
      </c>
      <c r="BR517" s="1" t="str">
        <f>HYPERLINK("http://exon.niaid.nih.gov/transcriptome/T_rubida/S1/links/SMART/Triru-contig_443-SMART.txt","SNc")</f>
        <v>SNc</v>
      </c>
      <c r="BS517" t="str">
        <f>HYPERLINK("http://smart.embl-heidelberg.de/smart/do_annotation.pl?DOMAIN=SNc&amp;BLAST=DUMMY","0.13")</f>
        <v>0.13</v>
      </c>
      <c r="BT517" s="1" t="str">
        <f>HYPERLINK("http://exon.niaid.nih.gov/transcriptome/T_rubida/S1/links/PRK/Triru-contig_443-PRK.txt","vancomycin high temperature exclusion protein")</f>
        <v>vancomycin high temperature exclusion protein</v>
      </c>
      <c r="BU517">
        <v>9.4E-2</v>
      </c>
      <c r="BV517" s="1" t="s">
        <v>57</v>
      </c>
      <c r="BW517" t="s">
        <v>57</v>
      </c>
      <c r="BX517" s="1" t="s">
        <v>57</v>
      </c>
      <c r="BY517" t="s">
        <v>57</v>
      </c>
    </row>
    <row r="518" spans="1:77">
      <c r="A518" t="str">
        <f>HYPERLINK("http://exon.niaid.nih.gov/transcriptome/T_rubida/S1/links/Triru/Triru-contig_454.txt","Triru-contig_454")</f>
        <v>Triru-contig_454</v>
      </c>
      <c r="B518">
        <v>1</v>
      </c>
      <c r="C518" t="str">
        <f>HYPERLINK("http://exon.niaid.nih.gov/transcriptome/T_rubida/S1/links/Triru/Triru-5-48-asb-454.txt","Contig-454")</f>
        <v>Contig-454</v>
      </c>
      <c r="D518" t="str">
        <f>HYPERLINK("http://exon.niaid.nih.gov/transcriptome/T_rubida/S1/links/Triru/Triru-5-48-454-CLU.txt","Contig454")</f>
        <v>Contig454</v>
      </c>
      <c r="E518" t="str">
        <f>HYPERLINK("http://exon.niaid.nih.gov/transcriptome/T_rubida/S1/links/Triru/Triru-5-48-454-qual.txt","52.7")</f>
        <v>52.7</v>
      </c>
      <c r="F518" t="s">
        <v>10</v>
      </c>
      <c r="G518">
        <v>69.2</v>
      </c>
      <c r="H518">
        <v>448</v>
      </c>
      <c r="I518" t="s">
        <v>466</v>
      </c>
      <c r="J518">
        <v>448</v>
      </c>
      <c r="K518">
        <v>467</v>
      </c>
      <c r="L518">
        <v>135</v>
      </c>
      <c r="M518" t="s">
        <v>5470</v>
      </c>
      <c r="N518" s="15">
        <v>1</v>
      </c>
      <c r="Q518" s="5" t="s">
        <v>4827</v>
      </c>
      <c r="R518" t="s">
        <v>4828</v>
      </c>
      <c r="V518" s="1" t="str">
        <f>HYPERLINK("http://exon.niaid.nih.gov/transcriptome/T_rubida/S1/links/NR/Triru-contig_454-NR.txt","potential zinc-iron permease")</f>
        <v>potential zinc-iron permease</v>
      </c>
      <c r="W518" t="str">
        <f>HYPERLINK("http://www.ncbi.nlm.nih.gov/sutils/blink.cgi?pid=68466765","15")</f>
        <v>15</v>
      </c>
      <c r="X518" t="str">
        <f>HYPERLINK("http://www.ncbi.nlm.nih.gov/protein/68466765","gi|68466765")</f>
        <v>gi|68466765</v>
      </c>
      <c r="Y518">
        <v>33.1</v>
      </c>
      <c r="Z518">
        <v>45</v>
      </c>
      <c r="AA518">
        <v>591</v>
      </c>
      <c r="AB518">
        <v>36</v>
      </c>
      <c r="AC518">
        <v>8</v>
      </c>
      <c r="AD518">
        <v>29</v>
      </c>
      <c r="AE518">
        <v>0</v>
      </c>
      <c r="AF518">
        <v>357</v>
      </c>
      <c r="AG518">
        <v>300</v>
      </c>
      <c r="AH518">
        <v>1</v>
      </c>
      <c r="AI518">
        <v>3</v>
      </c>
      <c r="AJ518" t="s">
        <v>11</v>
      </c>
      <c r="AK518">
        <v>2.222</v>
      </c>
      <c r="AL518" t="s">
        <v>1514</v>
      </c>
      <c r="AM518" t="s">
        <v>3556</v>
      </c>
      <c r="AN518" t="s">
        <v>3557</v>
      </c>
      <c r="AO518" s="1" t="str">
        <f>HYPERLINK("http://exon.niaid.nih.gov/transcriptome/T_rubida/S1/links/SWISSP/Triru-contig_454-SWISSP.txt","30S ribosomal protein S12")</f>
        <v>30S ribosomal protein S12</v>
      </c>
      <c r="AP518" t="str">
        <f>HYPERLINK("http://www.uniprot.org/uniprot/B1YGU5","8.4")</f>
        <v>8.4</v>
      </c>
      <c r="AQ518" t="s">
        <v>3558</v>
      </c>
      <c r="AR518">
        <v>29.6</v>
      </c>
      <c r="AS518">
        <v>64</v>
      </c>
      <c r="AT518">
        <v>26</v>
      </c>
      <c r="AU518">
        <v>46</v>
      </c>
      <c r="AV518">
        <v>49</v>
      </c>
      <c r="AW518">
        <v>0</v>
      </c>
      <c r="AX518">
        <v>15</v>
      </c>
      <c r="AY518">
        <v>128</v>
      </c>
      <c r="AZ518">
        <v>1</v>
      </c>
      <c r="BA518">
        <v>2</v>
      </c>
      <c r="BB518" t="s">
        <v>11</v>
      </c>
      <c r="BC518">
        <v>4.6879999999999997</v>
      </c>
      <c r="BD518" t="s">
        <v>704</v>
      </c>
      <c r="BE518" t="s">
        <v>3559</v>
      </c>
      <c r="BF518" t="s">
        <v>3560</v>
      </c>
      <c r="BG518" t="s">
        <v>3561</v>
      </c>
      <c r="BH518" s="1" t="s">
        <v>57</v>
      </c>
      <c r="BI518" t="s">
        <v>57</v>
      </c>
      <c r="BJ518" s="1" t="str">
        <f>HYPERLINK("http://exon.niaid.nih.gov/transcriptome/T_rubida/S1/links/CDD/Triru-contig_454-CDD.txt","ND5")</f>
        <v>ND5</v>
      </c>
      <c r="BK518" t="str">
        <f>HYPERLINK("http://www.ncbi.nlm.nih.gov/Structure/cdd/cddsrv.cgi?uid=MTH00095&amp;version=v4.0","6E-004")</f>
        <v>6E-004</v>
      </c>
      <c r="BL518" t="s">
        <v>3562</v>
      </c>
      <c r="BM518" s="1" t="str">
        <f>HYPERLINK("http://exon.niaid.nih.gov/transcriptome/T_rubida/S1/links/KOG/Triru-contig_454-KOG.txt","Uncharacterized conserved protein")</f>
        <v>Uncharacterized conserved protein</v>
      </c>
      <c r="BN518" t="str">
        <f>HYPERLINK("http://www.ncbi.nlm.nih.gov/COG/grace/shokog.cgi?KOG4255","0.20")</f>
        <v>0.20</v>
      </c>
      <c r="BO518" t="s">
        <v>737</v>
      </c>
      <c r="BP518" s="1" t="str">
        <f>HYPERLINK("http://exon.niaid.nih.gov/transcriptome/T_rubida/S1/links/PFAM/Triru-contig_454-PFAM.txt","7TM_GPCR_Sri")</f>
        <v>7TM_GPCR_Sri</v>
      </c>
      <c r="BQ518" t="str">
        <f>HYPERLINK("http://pfam.sanger.ac.uk/family?acc=PF10327","0.12")</f>
        <v>0.12</v>
      </c>
      <c r="BR518" s="1" t="str">
        <f>HYPERLINK("http://exon.niaid.nih.gov/transcriptome/T_rubida/S1/links/SMART/Triru-contig_454-SMART.txt","SHR3_chaperone")</f>
        <v>SHR3_chaperone</v>
      </c>
      <c r="BS518" t="str">
        <f>HYPERLINK("http://smart.embl-heidelberg.de/smart/do_annotation.pl?DOMAIN=SHR3_chaperone&amp;BLAST=DUMMY","0.012")</f>
        <v>0.012</v>
      </c>
      <c r="BT518" s="1" t="str">
        <f>HYPERLINK("http://exon.niaid.nih.gov/transcriptome/T_rubida/S1/links/PRK/Triru-contig_454-PRK.txt","NADH dehydrogenase subunit 5")</f>
        <v>NADH dehydrogenase subunit 5</v>
      </c>
      <c r="BU518" s="2">
        <v>2.9999999999999997E-4</v>
      </c>
      <c r="BV518" s="1" t="s">
        <v>57</v>
      </c>
      <c r="BW518" t="s">
        <v>57</v>
      </c>
      <c r="BX518" s="1" t="s">
        <v>57</v>
      </c>
      <c r="BY518" t="s">
        <v>57</v>
      </c>
    </row>
    <row r="519" spans="1:77">
      <c r="A519" t="str">
        <f>HYPERLINK("http://exon.niaid.nih.gov/transcriptome/T_rubida/S1/links/Triru/Triru-contig_399.txt","Triru-contig_399")</f>
        <v>Triru-contig_399</v>
      </c>
      <c r="B519">
        <v>1</v>
      </c>
      <c r="C519" t="str">
        <f>HYPERLINK("http://exon.niaid.nih.gov/transcriptome/T_rubida/S1/links/Triru/Triru-5-48-asb-399.txt","Contig-399")</f>
        <v>Contig-399</v>
      </c>
      <c r="D519" t="str">
        <f>HYPERLINK("http://exon.niaid.nih.gov/transcriptome/T_rubida/S1/links/Triru/Triru-5-48-399-CLU.txt","Contig399")</f>
        <v>Contig399</v>
      </c>
      <c r="E519" t="str">
        <f>HYPERLINK("http://exon.niaid.nih.gov/transcriptome/T_rubida/S1/links/Triru/Triru-5-48-399-qual.txt","60.8")</f>
        <v>60.8</v>
      </c>
      <c r="F519" t="s">
        <v>10</v>
      </c>
      <c r="G519">
        <v>68.3</v>
      </c>
      <c r="H519">
        <v>161</v>
      </c>
      <c r="I519" t="s">
        <v>411</v>
      </c>
      <c r="J519">
        <v>161</v>
      </c>
      <c r="K519">
        <v>180</v>
      </c>
      <c r="L519">
        <v>129</v>
      </c>
      <c r="M519" t="s">
        <v>5487</v>
      </c>
      <c r="N519" s="15">
        <v>3</v>
      </c>
      <c r="Q519" s="5" t="s">
        <v>4827</v>
      </c>
      <c r="R519" t="s">
        <v>4828</v>
      </c>
      <c r="V519" s="1" t="str">
        <f>HYPERLINK("http://exon.niaid.nih.gov/transcriptome/T_rubida/S1/links/NR/Triru-contig_399-NR.txt","carbon starvation regulatory protein")</f>
        <v>carbon starvation regulatory protein</v>
      </c>
      <c r="W519" t="str">
        <f>HYPERLINK("http://www.ncbi.nlm.nih.gov/sutils/blink.cgi?pid=296118962","15")</f>
        <v>15</v>
      </c>
      <c r="X519" t="str">
        <f>HYPERLINK("http://www.ncbi.nlm.nih.gov/protein/296118962","gi|296118962")</f>
        <v>gi|296118962</v>
      </c>
      <c r="Y519">
        <v>33.1</v>
      </c>
      <c r="Z519">
        <v>25</v>
      </c>
      <c r="AA519">
        <v>571</v>
      </c>
      <c r="AB519">
        <v>51</v>
      </c>
      <c r="AC519">
        <v>5</v>
      </c>
      <c r="AD519">
        <v>13</v>
      </c>
      <c r="AE519">
        <v>0</v>
      </c>
      <c r="AF519">
        <v>223</v>
      </c>
      <c r="AG519">
        <v>51</v>
      </c>
      <c r="AH519">
        <v>1</v>
      </c>
      <c r="AI519">
        <v>3</v>
      </c>
      <c r="AJ519" t="s">
        <v>11</v>
      </c>
      <c r="AL519" t="s">
        <v>3185</v>
      </c>
      <c r="AM519" t="s">
        <v>3186</v>
      </c>
      <c r="AN519" t="s">
        <v>3187</v>
      </c>
      <c r="AO519" s="1" t="str">
        <f>HYPERLINK("http://exon.niaid.nih.gov/transcriptome/T_rubida/S1/links/SWISSP/Triru-contig_399-SWISSP.txt","Carbon starvation protein A homolog")</f>
        <v>Carbon starvation protein A homolog</v>
      </c>
      <c r="AP519" t="str">
        <f>HYPERLINK("http://www.uniprot.org/uniprot/O67304","1.6")</f>
        <v>1.6</v>
      </c>
      <c r="AQ519" t="s">
        <v>3188</v>
      </c>
      <c r="AR519">
        <v>31.6</v>
      </c>
      <c r="AS519">
        <v>25</v>
      </c>
      <c r="AT519">
        <v>51</v>
      </c>
      <c r="AU519">
        <v>5</v>
      </c>
      <c r="AV519">
        <v>13</v>
      </c>
      <c r="AW519">
        <v>0</v>
      </c>
      <c r="AX519">
        <v>225</v>
      </c>
      <c r="AY519">
        <v>51</v>
      </c>
      <c r="AZ519">
        <v>1</v>
      </c>
      <c r="BA519">
        <v>3</v>
      </c>
      <c r="BB519" t="s">
        <v>11</v>
      </c>
      <c r="BD519" t="s">
        <v>704</v>
      </c>
      <c r="BE519" t="s">
        <v>3189</v>
      </c>
      <c r="BF519" t="s">
        <v>3190</v>
      </c>
      <c r="BG519" t="s">
        <v>3191</v>
      </c>
      <c r="BH519" s="1" t="s">
        <v>57</v>
      </c>
      <c r="BI519" t="s">
        <v>57</v>
      </c>
      <c r="BJ519" s="1" t="str">
        <f>HYPERLINK("http://exon.niaid.nih.gov/transcriptome/T_rubida/S1/links/CDD/Triru-contig_399-CDD.txt","ICE2")</f>
        <v>ICE2</v>
      </c>
      <c r="BK519" t="str">
        <f>HYPERLINK("http://www.ncbi.nlm.nih.gov/Structure/cdd/cddsrv.cgi?uid=pfam08426&amp;version=v4.0","0.49")</f>
        <v>0.49</v>
      </c>
      <c r="BL519" t="s">
        <v>3192</v>
      </c>
      <c r="BM519" s="1" t="str">
        <f>HYPERLINK("http://exon.niaid.nih.gov/transcriptome/T_rubida/S1/links/KOG/Triru-contig_399-KOG.txt","Bestrophin (Best vitelliform macular dystrophy-associated protein)")</f>
        <v>Bestrophin (Best vitelliform macular dystrophy-associated protein)</v>
      </c>
      <c r="BN519" t="str">
        <f>HYPERLINK("http://www.ncbi.nlm.nih.gov/COG/grace/shokog.cgi?KOG3547","0.58")</f>
        <v>0.58</v>
      </c>
      <c r="BO519" t="s">
        <v>750</v>
      </c>
      <c r="BP519" s="1" t="str">
        <f>HYPERLINK("http://exon.niaid.nih.gov/transcriptome/T_rubida/S1/links/PFAM/Triru-contig_399-PFAM.txt","ICE2")</f>
        <v>ICE2</v>
      </c>
      <c r="BQ519" t="str">
        <f>HYPERLINK("http://pfam.sanger.ac.uk/family?acc=PF08426","0.11")</f>
        <v>0.11</v>
      </c>
      <c r="BR519" s="1" t="str">
        <f>HYPERLINK("http://exon.niaid.nih.gov/transcriptome/T_rubida/S1/links/SMART/Triru-contig_399-SMART.txt","SEL1")</f>
        <v>SEL1</v>
      </c>
      <c r="BS519" t="str">
        <f>HYPERLINK("http://smart.embl-heidelberg.de/smart/do_annotation.pl?DOMAIN=SEL1&amp;BLAST=DUMMY","0.15")</f>
        <v>0.15</v>
      </c>
      <c r="BT519" s="1" t="str">
        <f>HYPERLINK("http://exon.niaid.nih.gov/transcriptome/T_rubida/S1/links/PRK/Triru-contig_399-PRK.txt","NADH dehydrogenase subunit 1")</f>
        <v>NADH dehydrogenase subunit 1</v>
      </c>
      <c r="BU519">
        <v>0.59</v>
      </c>
      <c r="BV519" s="1" t="s">
        <v>57</v>
      </c>
      <c r="BW519" t="s">
        <v>57</v>
      </c>
      <c r="BX519" s="1" t="s">
        <v>57</v>
      </c>
      <c r="BY519" t="s">
        <v>57</v>
      </c>
    </row>
    <row r="520" spans="1:77">
      <c r="A520" t="str">
        <f>HYPERLINK("http://exon.niaid.nih.gov/transcriptome/T_rubida/S1/links/Triru/Triru-contig_200.txt","Triru-contig_200")</f>
        <v>Triru-contig_200</v>
      </c>
      <c r="B520">
        <v>1</v>
      </c>
      <c r="C520" t="str">
        <f>HYPERLINK("http://exon.niaid.nih.gov/transcriptome/T_rubida/S1/links/Triru/Triru-5-48-asb-200.txt","Contig-200")</f>
        <v>Contig-200</v>
      </c>
      <c r="D520" t="str">
        <f>HYPERLINK("http://exon.niaid.nih.gov/transcriptome/T_rubida/S1/links/Triru/Triru-5-48-200-CLU.txt","Contig200")</f>
        <v>Contig200</v>
      </c>
      <c r="E520" t="str">
        <f>HYPERLINK("http://exon.niaid.nih.gov/transcriptome/T_rubida/S1/links/Triru/Triru-5-48-200-qual.txt","58.8")</f>
        <v>58.8</v>
      </c>
      <c r="F520" t="s">
        <v>10</v>
      </c>
      <c r="G520">
        <v>77.5</v>
      </c>
      <c r="H520">
        <v>257</v>
      </c>
      <c r="I520" t="s">
        <v>212</v>
      </c>
      <c r="J520">
        <v>257</v>
      </c>
      <c r="K520">
        <v>276</v>
      </c>
      <c r="L520">
        <v>186</v>
      </c>
      <c r="M520" t="s">
        <v>5498</v>
      </c>
      <c r="N520" s="15">
        <v>3</v>
      </c>
      <c r="Q520" s="5" t="s">
        <v>4827</v>
      </c>
      <c r="R520" t="s">
        <v>4828</v>
      </c>
      <c r="V520" s="1" t="str">
        <f>HYPERLINK("http://exon.niaid.nih.gov/transcriptome/T_rubida/S1/links/NR/Triru-contig_200-NR.txt","hypothetical protein DAPPUDRAFT_307386")</f>
        <v>hypothetical protein DAPPUDRAFT_307386</v>
      </c>
      <c r="W520" t="str">
        <f>HYPERLINK("http://www.ncbi.nlm.nih.gov/sutils/blink.cgi?pid=321463220","15")</f>
        <v>15</v>
      </c>
      <c r="X520" t="str">
        <f>HYPERLINK("http://www.ncbi.nlm.nih.gov/protein/321463220","gi|321463220")</f>
        <v>gi|321463220</v>
      </c>
      <c r="Y520">
        <v>33.1</v>
      </c>
      <c r="Z520">
        <v>61</v>
      </c>
      <c r="AA520">
        <v>354</v>
      </c>
      <c r="AB520">
        <v>27</v>
      </c>
      <c r="AC520">
        <v>18</v>
      </c>
      <c r="AD520">
        <v>45</v>
      </c>
      <c r="AE520">
        <v>12</v>
      </c>
      <c r="AF520">
        <v>271</v>
      </c>
      <c r="AG520">
        <v>15</v>
      </c>
      <c r="AH520">
        <v>1</v>
      </c>
      <c r="AI520">
        <v>3</v>
      </c>
      <c r="AJ520" t="s">
        <v>11</v>
      </c>
      <c r="AK520">
        <v>3.2789999999999999</v>
      </c>
      <c r="AL520" t="s">
        <v>1866</v>
      </c>
      <c r="AM520" t="s">
        <v>1867</v>
      </c>
      <c r="AN520" t="s">
        <v>1868</v>
      </c>
      <c r="AO520" s="1" t="str">
        <f>HYPERLINK("http://exon.niaid.nih.gov/transcriptome/T_rubida/S1/links/SWISSP/Triru-contig_200-SWISSP.txt","Exodeoxyribonuclease V gamma chain")</f>
        <v>Exodeoxyribonuclease V gamma chain</v>
      </c>
      <c r="AP520" t="str">
        <f>HYPERLINK("http://www.uniprot.org/uniprot/Q89AB4","3.6")</f>
        <v>3.6</v>
      </c>
      <c r="AQ520" t="s">
        <v>1869</v>
      </c>
      <c r="AR520">
        <v>30.4</v>
      </c>
      <c r="AS520">
        <v>62</v>
      </c>
      <c r="AT520">
        <v>30</v>
      </c>
      <c r="AU520">
        <v>6</v>
      </c>
      <c r="AV520">
        <v>44</v>
      </c>
      <c r="AW520">
        <v>11</v>
      </c>
      <c r="AX520">
        <v>703</v>
      </c>
      <c r="AY520">
        <v>20</v>
      </c>
      <c r="AZ520">
        <v>1</v>
      </c>
      <c r="BA520">
        <v>2</v>
      </c>
      <c r="BB520" t="s">
        <v>11</v>
      </c>
      <c r="BC520">
        <v>3.226</v>
      </c>
      <c r="BD520" t="s">
        <v>704</v>
      </c>
      <c r="BE520" t="s">
        <v>1741</v>
      </c>
      <c r="BF520" t="s">
        <v>1870</v>
      </c>
      <c r="BG520" t="s">
        <v>1871</v>
      </c>
      <c r="BH520" s="1" t="s">
        <v>57</v>
      </c>
      <c r="BI520" t="s">
        <v>57</v>
      </c>
      <c r="BJ520" s="1" t="str">
        <f>HYPERLINK("http://exon.niaid.nih.gov/transcriptome/T_rubida/S1/links/CDD/Triru-contig_200-CDD.txt","ND2")</f>
        <v>ND2</v>
      </c>
      <c r="BK520" t="str">
        <f>HYPERLINK("http://www.ncbi.nlm.nih.gov/Structure/cdd/cddsrv.cgi?uid=MTH00160&amp;version=v4.0","0.33")</f>
        <v>0.33</v>
      </c>
      <c r="BL520" t="s">
        <v>1872</v>
      </c>
      <c r="BM520" s="1" t="str">
        <f>HYPERLINK("http://exon.niaid.nih.gov/transcriptome/T_rubida/S1/links/KOG/Triru-contig_200-KOG.txt","Ca2+-modulated nonselective cation channel polycystin")</f>
        <v>Ca2+-modulated nonselective cation channel polycystin</v>
      </c>
      <c r="BN520" t="str">
        <f>HYPERLINK("http://www.ncbi.nlm.nih.gov/COG/grace/shokog.cgi?KOG3599","0.007")</f>
        <v>0.007</v>
      </c>
      <c r="BO520" t="s">
        <v>720</v>
      </c>
      <c r="BP520" s="1" t="str">
        <f>HYPERLINK("http://exon.niaid.nih.gov/transcriptome/T_rubida/S1/links/PFAM/Triru-contig_200-PFAM.txt","EBP")</f>
        <v>EBP</v>
      </c>
      <c r="BQ520" t="str">
        <f>HYPERLINK("http://pfam.sanger.ac.uk/family?acc=PF05241","0.081")</f>
        <v>0.081</v>
      </c>
      <c r="BR520" s="1" t="str">
        <f>HYPERLINK("http://exon.niaid.nih.gov/transcriptome/T_rubida/S1/links/SMART/Triru-contig_200-SMART.txt","AgrB")</f>
        <v>AgrB</v>
      </c>
      <c r="BS520" t="str">
        <f>HYPERLINK("http://smart.embl-heidelberg.de/smart/do_annotation.pl?DOMAIN=AgrB&amp;BLAST=DUMMY","0.051")</f>
        <v>0.051</v>
      </c>
      <c r="BT520" s="1" t="str">
        <f>HYPERLINK("http://exon.niaid.nih.gov/transcriptome/T_rubida/S1/links/PRK/Triru-contig_200-PRK.txt","NADH dehydrogenase subunit 2")</f>
        <v>NADH dehydrogenase subunit 2</v>
      </c>
      <c r="BU520">
        <v>0.12</v>
      </c>
      <c r="BV520" s="1" t="s">
        <v>57</v>
      </c>
      <c r="BW520" t="s">
        <v>57</v>
      </c>
      <c r="BX520" s="1" t="s">
        <v>57</v>
      </c>
      <c r="BY520" t="s">
        <v>57</v>
      </c>
    </row>
    <row r="521" spans="1:77">
      <c r="A521" t="str">
        <f>HYPERLINK("http://exon.niaid.nih.gov/transcriptome/T_rubida/S1/links/Triru/Triru-contig_580.txt","Triru-contig_580")</f>
        <v>Triru-contig_580</v>
      </c>
      <c r="B521">
        <v>1</v>
      </c>
      <c r="C521" t="str">
        <f>HYPERLINK("http://exon.niaid.nih.gov/transcriptome/T_rubida/S1/links/Triru/Triru-5-48-asb-580.txt","Contig-580")</f>
        <v>Contig-580</v>
      </c>
      <c r="D521" t="str">
        <f>HYPERLINK("http://exon.niaid.nih.gov/transcriptome/T_rubida/S1/links/Triru/Triru-5-48-580-CLU.txt","Contig580")</f>
        <v>Contig580</v>
      </c>
      <c r="E521" t="str">
        <f>HYPERLINK("http://exon.niaid.nih.gov/transcriptome/T_rubida/S1/links/Triru/Triru-5-48-580-qual.txt","57.7")</f>
        <v>57.7</v>
      </c>
      <c r="F521" t="s">
        <v>10</v>
      </c>
      <c r="G521">
        <v>51.1</v>
      </c>
      <c r="H521">
        <v>204</v>
      </c>
      <c r="I521" t="s">
        <v>592</v>
      </c>
      <c r="J521">
        <v>204</v>
      </c>
      <c r="K521">
        <v>223</v>
      </c>
      <c r="L521">
        <v>96</v>
      </c>
      <c r="M521" t="s">
        <v>5522</v>
      </c>
      <c r="N521" s="15">
        <v>3</v>
      </c>
      <c r="Q521" s="5" t="s">
        <v>4827</v>
      </c>
      <c r="R521" t="s">
        <v>4828</v>
      </c>
      <c r="V521" s="1" t="str">
        <f>HYPERLINK("http://exon.niaid.nih.gov/transcriptome/T_rubida/S1/links/NR/Triru-contig_580-NR.txt","hypothetical protein FAEPRAM212_01502")</f>
        <v>hypothetical protein FAEPRAM212_01502</v>
      </c>
      <c r="W521" t="str">
        <f>HYPERLINK("http://www.ncbi.nlm.nih.gov/sutils/blink.cgi?pid=160944001","15")</f>
        <v>15</v>
      </c>
      <c r="X521" t="str">
        <f>HYPERLINK("http://www.ncbi.nlm.nih.gov/protein/160944001","gi|160944001")</f>
        <v>gi|160944001</v>
      </c>
      <c r="Y521">
        <v>33.1</v>
      </c>
      <c r="Z521">
        <v>44</v>
      </c>
      <c r="AA521">
        <v>330</v>
      </c>
      <c r="AB521">
        <v>42</v>
      </c>
      <c r="AC521">
        <v>14</v>
      </c>
      <c r="AD521">
        <v>26</v>
      </c>
      <c r="AE521">
        <v>0</v>
      </c>
      <c r="AF521">
        <v>227</v>
      </c>
      <c r="AG521">
        <v>45</v>
      </c>
      <c r="AH521">
        <v>1</v>
      </c>
      <c r="AI521">
        <v>3</v>
      </c>
      <c r="AJ521" t="s">
        <v>11</v>
      </c>
      <c r="AK521">
        <v>2.2730000000000001</v>
      </c>
      <c r="AL521" t="s">
        <v>4388</v>
      </c>
      <c r="AM521" t="s">
        <v>4389</v>
      </c>
      <c r="AN521" t="s">
        <v>4390</v>
      </c>
      <c r="AO521" s="1" t="str">
        <f>HYPERLINK("http://exon.niaid.nih.gov/transcriptome/T_rubida/S1/links/SWISSP/Triru-contig_580-SWISSP.txt","Histidyl-tRNA synthetase")</f>
        <v>Histidyl-tRNA synthetase</v>
      </c>
      <c r="AP521" t="str">
        <f>HYPERLINK("http://www.uniprot.org/uniprot/B3R1K1","14")</f>
        <v>14</v>
      </c>
      <c r="AQ521" t="s">
        <v>4391</v>
      </c>
      <c r="AR521">
        <v>28.5</v>
      </c>
      <c r="AS521">
        <v>18</v>
      </c>
      <c r="AT521">
        <v>60</v>
      </c>
      <c r="AU521">
        <v>4</v>
      </c>
      <c r="AV521">
        <v>8</v>
      </c>
      <c r="AW521">
        <v>0</v>
      </c>
      <c r="AX521">
        <v>120</v>
      </c>
      <c r="AY521">
        <v>145</v>
      </c>
      <c r="AZ521">
        <v>1</v>
      </c>
      <c r="BA521">
        <v>1</v>
      </c>
      <c r="BB521" t="s">
        <v>11</v>
      </c>
      <c r="BC521">
        <v>5.556</v>
      </c>
      <c r="BD521" t="s">
        <v>704</v>
      </c>
      <c r="BE521" t="s">
        <v>4392</v>
      </c>
      <c r="BF521" t="s">
        <v>4393</v>
      </c>
      <c r="BG521" t="s">
        <v>4394</v>
      </c>
      <c r="BH521" s="1" t="s">
        <v>57</v>
      </c>
      <c r="BI521" t="s">
        <v>57</v>
      </c>
      <c r="BJ521" s="1" t="str">
        <f>HYPERLINK("http://exon.niaid.nih.gov/transcriptome/T_rubida/S1/links/CDD/Triru-contig_580-CDD.txt","NUC194")</f>
        <v>NUC194</v>
      </c>
      <c r="BK521" t="str">
        <f>HYPERLINK("http://www.ncbi.nlm.nih.gov/Structure/cdd/cddsrv.cgi?uid=pfam08163&amp;version=v4.0","0.63")</f>
        <v>0.63</v>
      </c>
      <c r="BL521" t="s">
        <v>4395</v>
      </c>
      <c r="BM521" s="1" t="str">
        <f>HYPERLINK("http://exon.niaid.nih.gov/transcriptome/T_rubida/S1/links/KOG/Triru-contig_580-KOG.txt","Nuclear protein ES2")</f>
        <v>Nuclear protein ES2</v>
      </c>
      <c r="BN521" t="str">
        <f>HYPERLINK("http://www.ncbi.nlm.nih.gov/COG/grace/shokog.cgi?KOG2627","1.7")</f>
        <v>1.7</v>
      </c>
      <c r="BO521" t="s">
        <v>750</v>
      </c>
      <c r="BP521" s="1" t="str">
        <f>HYPERLINK("http://exon.niaid.nih.gov/transcriptome/T_rubida/S1/links/PFAM/Triru-contig_580-PFAM.txt","NUC194")</f>
        <v>NUC194</v>
      </c>
      <c r="BQ521" t="str">
        <f>HYPERLINK("http://pfam.sanger.ac.uk/family?acc=PF08163","0.13")</f>
        <v>0.13</v>
      </c>
      <c r="BR521" s="1" t="str">
        <f>HYPERLINK("http://exon.niaid.nih.gov/transcriptome/T_rubida/S1/links/SMART/Triru-contig_580-SMART.txt","Alpha_L_fucos")</f>
        <v>Alpha_L_fucos</v>
      </c>
      <c r="BS521" t="str">
        <f>HYPERLINK("http://smart.embl-heidelberg.de/smart/do_annotation.pl?DOMAIN=Alpha_L_fucos&amp;BLAST=DUMMY","0.26")</f>
        <v>0.26</v>
      </c>
      <c r="BT521" s="1" t="str">
        <f>HYPERLINK("http://exon.niaid.nih.gov/transcriptome/T_rubida/S1/links/PRK/Triru-contig_580-PRK.txt","cation/H(+) antiporter 15")</f>
        <v>cation/H(+) antiporter 15</v>
      </c>
      <c r="BU521">
        <v>0.55000000000000004</v>
      </c>
      <c r="BV521" s="1" t="s">
        <v>57</v>
      </c>
      <c r="BW521" t="s">
        <v>57</v>
      </c>
      <c r="BX521" s="1" t="s">
        <v>57</v>
      </c>
      <c r="BY521" t="s">
        <v>57</v>
      </c>
    </row>
    <row r="522" spans="1:77">
      <c r="A522" t="str">
        <f>HYPERLINK("http://exon.niaid.nih.gov/transcriptome/T_rubida/S1/links/Triru/Triru-contig_599.txt","Triru-contig_599")</f>
        <v>Triru-contig_599</v>
      </c>
      <c r="B522">
        <v>1</v>
      </c>
      <c r="C522" t="str">
        <f>HYPERLINK("http://exon.niaid.nih.gov/transcriptome/T_rubida/S1/links/Triru/Triru-5-48-asb-599.txt","Contig-599")</f>
        <v>Contig-599</v>
      </c>
      <c r="D522" t="str">
        <f>HYPERLINK("http://exon.niaid.nih.gov/transcriptome/T_rubida/S1/links/Triru/Triru-5-48-599-CLU.txt","Contig599")</f>
        <v>Contig599</v>
      </c>
      <c r="E522" t="str">
        <f>HYPERLINK("http://exon.niaid.nih.gov/transcriptome/T_rubida/S1/links/Triru/Triru-5-48-599-qual.txt","52.8")</f>
        <v>52.8</v>
      </c>
      <c r="F522" t="s">
        <v>10</v>
      </c>
      <c r="G522">
        <v>68</v>
      </c>
      <c r="H522">
        <v>228</v>
      </c>
      <c r="I522" t="s">
        <v>611</v>
      </c>
      <c r="J522">
        <v>228</v>
      </c>
      <c r="K522">
        <v>247</v>
      </c>
      <c r="L522">
        <v>153</v>
      </c>
      <c r="M522" t="s">
        <v>5524</v>
      </c>
      <c r="N522" s="15">
        <v>2</v>
      </c>
      <c r="Q522" s="5" t="s">
        <v>4827</v>
      </c>
      <c r="R522" t="s">
        <v>4828</v>
      </c>
      <c r="V522" s="1" t="str">
        <f>HYPERLINK("http://exon.niaid.nih.gov/transcriptome/T_rubida/S1/links/NR/Triru-contig_599-NR.txt","Hypothetical protein GL50581_1301")</f>
        <v>Hypothetical protein GL50581_1301</v>
      </c>
      <c r="W522" t="str">
        <f>HYPERLINK("http://www.ncbi.nlm.nih.gov/sutils/blink.cgi?pid=253745637","15")</f>
        <v>15</v>
      </c>
      <c r="X522" t="str">
        <f>HYPERLINK("http://www.ncbi.nlm.nih.gov/protein/253745637","gi|253745637")</f>
        <v>gi|253745637</v>
      </c>
      <c r="Y522">
        <v>33.1</v>
      </c>
      <c r="Z522">
        <v>39</v>
      </c>
      <c r="AA522">
        <v>2405</v>
      </c>
      <c r="AB522">
        <v>37</v>
      </c>
      <c r="AC522">
        <v>2</v>
      </c>
      <c r="AD522">
        <v>25</v>
      </c>
      <c r="AE522">
        <v>0</v>
      </c>
      <c r="AF522">
        <v>1218</v>
      </c>
      <c r="AG522">
        <v>74</v>
      </c>
      <c r="AH522">
        <v>1</v>
      </c>
      <c r="AI522">
        <v>2</v>
      </c>
      <c r="AJ522" t="s">
        <v>11</v>
      </c>
      <c r="AL522" t="s">
        <v>4485</v>
      </c>
      <c r="AM522" t="s">
        <v>4486</v>
      </c>
      <c r="AN522" t="s">
        <v>4487</v>
      </c>
      <c r="AO522" s="1" t="str">
        <f>HYPERLINK("http://exon.niaid.nih.gov/transcriptome/T_rubida/S1/links/SWISSP/Triru-contig_599-SWISSP.txt","Prothrombin")</f>
        <v>Prothrombin</v>
      </c>
      <c r="AP522" t="str">
        <f>HYPERLINK("http://www.uniprot.org/uniprot/P18292","18")</f>
        <v>18</v>
      </c>
      <c r="AQ522" t="s">
        <v>4488</v>
      </c>
      <c r="AR522">
        <v>28.1</v>
      </c>
      <c r="AS522">
        <v>23</v>
      </c>
      <c r="AT522">
        <v>41</v>
      </c>
      <c r="AU522">
        <v>4</v>
      </c>
      <c r="AV522">
        <v>14</v>
      </c>
      <c r="AW522">
        <v>0</v>
      </c>
      <c r="AX522">
        <v>117</v>
      </c>
      <c r="AY522">
        <v>18</v>
      </c>
      <c r="AZ522">
        <v>1</v>
      </c>
      <c r="BA522">
        <v>3</v>
      </c>
      <c r="BB522" t="s">
        <v>11</v>
      </c>
      <c r="BD522" t="s">
        <v>704</v>
      </c>
      <c r="BE522" t="s">
        <v>1164</v>
      </c>
      <c r="BF522" t="s">
        <v>4489</v>
      </c>
      <c r="BG522" t="s">
        <v>4490</v>
      </c>
      <c r="BH522" s="1" t="s">
        <v>57</v>
      </c>
      <c r="BI522" t="s">
        <v>57</v>
      </c>
      <c r="BJ522" s="1" t="str">
        <f>HYPERLINK("http://exon.niaid.nih.gov/transcriptome/T_rubida/S1/links/CDD/Triru-contig_599-CDD.txt","PSN")</f>
        <v>PSN</v>
      </c>
      <c r="BK522" t="str">
        <f>HYPERLINK("http://www.ncbi.nlm.nih.gov/Structure/cdd/cddsrv.cgi?uid=smart00730&amp;version=v4.0","0.11")</f>
        <v>0.11</v>
      </c>
      <c r="BL522" t="s">
        <v>4491</v>
      </c>
      <c r="BM522" s="1" t="str">
        <f>HYPERLINK("http://exon.niaid.nih.gov/transcriptome/T_rubida/S1/links/KOG/Triru-contig_599-KOG.txt","Clathrin assembly protein AP180 and related proteins, contain ENTH domain")</f>
        <v>Clathrin assembly protein AP180 and related proteins, contain ENTH domain</v>
      </c>
      <c r="BN522" t="str">
        <f>HYPERLINK("http://www.ncbi.nlm.nih.gov/COG/grace/shokog.cgi?KOG0251","1.8")</f>
        <v>1.8</v>
      </c>
      <c r="BO522" t="s">
        <v>2180</v>
      </c>
      <c r="BP522" s="1" t="str">
        <f>HYPERLINK("http://exon.niaid.nih.gov/transcriptome/T_rubida/S1/links/PFAM/Triru-contig_599-PFAM.txt","DUF3278")</f>
        <v>DUF3278</v>
      </c>
      <c r="BQ522" t="str">
        <f>HYPERLINK("http://pfam.sanger.ac.uk/family?acc=PF11683","0.10")</f>
        <v>0.10</v>
      </c>
      <c r="BR522" s="1" t="str">
        <f>HYPERLINK("http://exon.niaid.nih.gov/transcriptome/T_rubida/S1/links/SMART/Triru-contig_599-SMART.txt","PSN")</f>
        <v>PSN</v>
      </c>
      <c r="BS522" t="str">
        <f>HYPERLINK("http://smart.embl-heidelberg.de/smart/do_annotation.pl?DOMAIN=PSN&amp;BLAST=DUMMY","0.001")</f>
        <v>0.001</v>
      </c>
      <c r="BT522" s="1" t="str">
        <f>HYPERLINK("http://exon.niaid.nih.gov/transcriptome/T_rubida/S1/links/PRK/Triru-contig_599-PRK.txt","cellulose synthase catalytic subunit")</f>
        <v>cellulose synthase catalytic subunit</v>
      </c>
      <c r="BU522">
        <v>0.7</v>
      </c>
      <c r="BV522" s="1" t="s">
        <v>57</v>
      </c>
      <c r="BW522" t="s">
        <v>57</v>
      </c>
      <c r="BX522" s="1" t="s">
        <v>57</v>
      </c>
      <c r="BY522" t="s">
        <v>57</v>
      </c>
    </row>
    <row r="523" spans="1:77">
      <c r="A523" t="str">
        <f>HYPERLINK("http://exon.niaid.nih.gov/transcriptome/T_rubida/S1/links/Triru/Triru-contig_466.txt","Triru-contig_466")</f>
        <v>Triru-contig_466</v>
      </c>
      <c r="B523">
        <v>1</v>
      </c>
      <c r="C523" t="str">
        <f>HYPERLINK("http://exon.niaid.nih.gov/transcriptome/T_rubida/S1/links/Triru/Triru-5-48-asb-466.txt","Contig-466")</f>
        <v>Contig-466</v>
      </c>
      <c r="D523" t="str">
        <f>HYPERLINK("http://exon.niaid.nih.gov/transcriptome/T_rubida/S1/links/Triru/Triru-5-48-466-CLU.txt","Contig466")</f>
        <v>Contig466</v>
      </c>
      <c r="E523" t="str">
        <f>HYPERLINK("http://exon.niaid.nih.gov/transcriptome/T_rubida/S1/links/Triru/Triru-5-48-466-qual.txt","64.8")</f>
        <v>64.8</v>
      </c>
      <c r="F523" t="s">
        <v>10</v>
      </c>
      <c r="G523">
        <v>68</v>
      </c>
      <c r="H523">
        <v>472</v>
      </c>
      <c r="I523" t="s">
        <v>478</v>
      </c>
      <c r="J523">
        <v>472</v>
      </c>
      <c r="K523">
        <v>491</v>
      </c>
      <c r="L523">
        <v>105</v>
      </c>
      <c r="M523" t="s">
        <v>5550</v>
      </c>
      <c r="N523" s="15">
        <v>2</v>
      </c>
      <c r="Q523" s="5" t="s">
        <v>4827</v>
      </c>
      <c r="R523" t="s">
        <v>4828</v>
      </c>
      <c r="V523" s="1" t="str">
        <f>HYPERLINK("http://exon.niaid.nih.gov/transcriptome/T_rubida/S1/links/NR/Triru-contig_466-NR.txt","hypothetical protein Krodi_1389")</f>
        <v>hypothetical protein Krodi_1389</v>
      </c>
      <c r="W523" t="str">
        <f>HYPERLINK("http://www.ncbi.nlm.nih.gov/sutils/blink.cgi?pid=332292031","15")</f>
        <v>15</v>
      </c>
      <c r="X523" t="str">
        <f>HYPERLINK("http://www.ncbi.nlm.nih.gov/protein/332292031","gi|332292031")</f>
        <v>gi|332292031</v>
      </c>
      <c r="Y523">
        <v>33.1</v>
      </c>
      <c r="Z523">
        <v>52</v>
      </c>
      <c r="AA523">
        <v>320</v>
      </c>
      <c r="AB523">
        <v>35</v>
      </c>
      <c r="AC523">
        <v>17</v>
      </c>
      <c r="AD523">
        <v>40</v>
      </c>
      <c r="AE523">
        <v>0</v>
      </c>
      <c r="AF523">
        <v>57</v>
      </c>
      <c r="AG523">
        <v>210</v>
      </c>
      <c r="AH523">
        <v>1</v>
      </c>
      <c r="AI523">
        <v>3</v>
      </c>
      <c r="AJ523" t="s">
        <v>11</v>
      </c>
      <c r="AK523">
        <v>5.7690000000000001</v>
      </c>
      <c r="AL523" t="s">
        <v>3629</v>
      </c>
      <c r="AM523" t="s">
        <v>3630</v>
      </c>
      <c r="AN523" t="s">
        <v>3631</v>
      </c>
      <c r="AO523" s="1" t="str">
        <f>HYPERLINK("http://exon.niaid.nih.gov/transcriptome/T_rubida/S1/links/SWISSP/Triru-contig_466-SWISSP.txt","NADPH oxidase 5")</f>
        <v>NADPH oxidase 5</v>
      </c>
      <c r="AP523" t="str">
        <f>HYPERLINK("http://www.uniprot.org/uniprot/Q96PH1","2.5")</f>
        <v>2.5</v>
      </c>
      <c r="AQ523" t="s">
        <v>3632</v>
      </c>
      <c r="AR523">
        <v>31.6</v>
      </c>
      <c r="AS523">
        <v>31</v>
      </c>
      <c r="AT523">
        <v>40</v>
      </c>
      <c r="AU523">
        <v>4</v>
      </c>
      <c r="AV523">
        <v>19</v>
      </c>
      <c r="AW523">
        <v>0</v>
      </c>
      <c r="AX523">
        <v>224</v>
      </c>
      <c r="AY523">
        <v>168</v>
      </c>
      <c r="AZ523">
        <v>1</v>
      </c>
      <c r="BA523">
        <v>3</v>
      </c>
      <c r="BB523" t="s">
        <v>11</v>
      </c>
      <c r="BD523" t="s">
        <v>704</v>
      </c>
      <c r="BE523" t="s">
        <v>1233</v>
      </c>
      <c r="BF523" t="s">
        <v>3633</v>
      </c>
      <c r="BG523" t="s">
        <v>3634</v>
      </c>
      <c r="BH523" s="1" t="s">
        <v>57</v>
      </c>
      <c r="BI523" t="s">
        <v>57</v>
      </c>
      <c r="BJ523" s="1" t="str">
        <f>HYPERLINK("http://exon.niaid.nih.gov/transcriptome/T_rubida/S1/links/CDD/Triru-contig_466-CDD.txt","DUF70")</f>
        <v>DUF70</v>
      </c>
      <c r="BK523" t="str">
        <f>HYPERLINK("http://www.ncbi.nlm.nih.gov/Structure/cdd/cddsrv.cgi?uid=pfam01901&amp;version=v4.0","0.79")</f>
        <v>0.79</v>
      </c>
      <c r="BL523" t="s">
        <v>3635</v>
      </c>
      <c r="BM523" s="1" t="str">
        <f>HYPERLINK("http://exon.niaid.nih.gov/transcriptome/T_rubida/S1/links/KOG/Triru-contig_466-KOG.txt","Galactokinase")</f>
        <v>Galactokinase</v>
      </c>
      <c r="BN523" t="str">
        <f>HYPERLINK("http://www.ncbi.nlm.nih.gov/COG/grace/shokog.cgi?KOG0631","2.3")</f>
        <v>2.3</v>
      </c>
      <c r="BO523" t="s">
        <v>946</v>
      </c>
      <c r="BP523" s="1" t="str">
        <f>HYPERLINK("http://exon.niaid.nih.gov/transcriptome/T_rubida/S1/links/PFAM/Triru-contig_466-PFAM.txt","DUF70")</f>
        <v>DUF70</v>
      </c>
      <c r="BQ523" t="str">
        <f>HYPERLINK("http://pfam.sanger.ac.uk/family?acc=PF01901","0.17")</f>
        <v>0.17</v>
      </c>
      <c r="BR523" s="1" t="str">
        <f>HYPERLINK("http://exon.niaid.nih.gov/transcriptome/T_rubida/S1/links/SMART/Triru-contig_466-SMART.txt","SO")</f>
        <v>SO</v>
      </c>
      <c r="BS523" t="str">
        <f>HYPERLINK("http://smart.embl-heidelberg.de/smart/do_annotation.pl?DOMAIN=SO&amp;BLAST=DUMMY","0.11")</f>
        <v>0.11</v>
      </c>
      <c r="BT523" s="1" t="str">
        <f>HYPERLINK("http://exon.niaid.nih.gov/transcriptome/T_rubida/S1/links/PRK/Triru-contig_466-PRK.txt","3-hydroxyisobutyryl-CoA hydrolase-like protein.")</f>
        <v>3-hydroxyisobutyryl-CoA hydrolase-like protein.</v>
      </c>
      <c r="BU523">
        <v>1.4</v>
      </c>
      <c r="BV523" s="1" t="s">
        <v>57</v>
      </c>
      <c r="BW523" t="s">
        <v>57</v>
      </c>
      <c r="BX523" s="1" t="s">
        <v>57</v>
      </c>
      <c r="BY523" t="s">
        <v>57</v>
      </c>
    </row>
    <row r="524" spans="1:77">
      <c r="A524" t="str">
        <f>HYPERLINK("http://exon.niaid.nih.gov/transcriptome/T_rubida/S1/links/Triru/Triru-contig_514.txt","Triru-contig_514")</f>
        <v>Triru-contig_514</v>
      </c>
      <c r="B524">
        <v>1</v>
      </c>
      <c r="C524" t="str">
        <f>HYPERLINK("http://exon.niaid.nih.gov/transcriptome/T_rubida/S1/links/Triru/Triru-5-48-asb-514.txt","Contig-514")</f>
        <v>Contig-514</v>
      </c>
      <c r="D524" t="str">
        <f>HYPERLINK("http://exon.niaid.nih.gov/transcriptome/T_rubida/S1/links/Triru/Triru-5-48-514-CLU.txt","Contig514")</f>
        <v>Contig514</v>
      </c>
      <c r="E524" t="str">
        <f>HYPERLINK("http://exon.niaid.nih.gov/transcriptome/T_rubida/S1/links/Triru/Triru-5-48-514-qual.txt","64.9")</f>
        <v>64.9</v>
      </c>
      <c r="F524" t="s">
        <v>10</v>
      </c>
      <c r="G524">
        <v>71.599999999999994</v>
      </c>
      <c r="H524">
        <v>488</v>
      </c>
      <c r="I524" t="s">
        <v>526</v>
      </c>
      <c r="J524">
        <v>488</v>
      </c>
      <c r="K524">
        <v>507</v>
      </c>
      <c r="L524">
        <v>162</v>
      </c>
      <c r="M524" t="s">
        <v>5564</v>
      </c>
      <c r="N524" s="15">
        <v>1</v>
      </c>
      <c r="Q524" s="5" t="s">
        <v>4827</v>
      </c>
      <c r="R524" t="s">
        <v>4828</v>
      </c>
      <c r="V524" s="1" t="str">
        <f>HYPERLINK("http://exon.niaid.nih.gov/transcriptome/T_rubida/S1/links/NR/Triru-contig_514-NR.txt","hypothetical protein MtrDRAFT_AC157777g24v2")</f>
        <v>hypothetical protein MtrDRAFT_AC157777g24v2</v>
      </c>
      <c r="W524" t="str">
        <f>HYPERLINK("http://www.ncbi.nlm.nih.gov/sutils/blink.cgi?pid=87241545","15")</f>
        <v>15</v>
      </c>
      <c r="X524" t="str">
        <f>HYPERLINK("http://www.ncbi.nlm.nih.gov/protein/87241545","gi|87241545")</f>
        <v>gi|87241545</v>
      </c>
      <c r="Y524">
        <v>33.1</v>
      </c>
      <c r="Z524">
        <v>38</v>
      </c>
      <c r="AA524">
        <v>52</v>
      </c>
      <c r="AB524">
        <v>35</v>
      </c>
      <c r="AC524">
        <v>75</v>
      </c>
      <c r="AD524">
        <v>25</v>
      </c>
      <c r="AE524">
        <v>0</v>
      </c>
      <c r="AF524">
        <v>6</v>
      </c>
      <c r="AG524">
        <v>217</v>
      </c>
      <c r="AH524">
        <v>1</v>
      </c>
      <c r="AI524">
        <v>1</v>
      </c>
      <c r="AJ524" t="s">
        <v>11</v>
      </c>
      <c r="AL524" t="s">
        <v>3958</v>
      </c>
      <c r="AM524" t="s">
        <v>3959</v>
      </c>
      <c r="AN524" t="s">
        <v>3960</v>
      </c>
      <c r="AO524" s="1" t="str">
        <f>HYPERLINK("http://exon.niaid.nih.gov/transcriptome/T_rubida/S1/links/SWISSP/Triru-contig_514-SWISSP.txt","NAD(P)H-quinone oxidoreductase subunit 1, chloroplastic")</f>
        <v>NAD(P)H-quinone oxidoreductase subunit 1, chloroplastic</v>
      </c>
      <c r="AP524" t="str">
        <f>HYPERLINK("http://www.uniprot.org/uniprot/Q8WHX4","7.9")</f>
        <v>7.9</v>
      </c>
      <c r="AQ524" t="s">
        <v>3961</v>
      </c>
      <c r="AR524">
        <v>30</v>
      </c>
      <c r="AS524">
        <v>79</v>
      </c>
      <c r="AT524">
        <v>26</v>
      </c>
      <c r="AU524">
        <v>22</v>
      </c>
      <c r="AV524">
        <v>59</v>
      </c>
      <c r="AW524">
        <v>3</v>
      </c>
      <c r="AX524">
        <v>246</v>
      </c>
      <c r="AY524">
        <v>88</v>
      </c>
      <c r="AZ524">
        <v>1</v>
      </c>
      <c r="BA524">
        <v>1</v>
      </c>
      <c r="BB524" t="s">
        <v>11</v>
      </c>
      <c r="BC524">
        <v>2.532</v>
      </c>
      <c r="BD524" t="s">
        <v>704</v>
      </c>
      <c r="BE524" t="s">
        <v>3962</v>
      </c>
      <c r="BF524" t="s">
        <v>3963</v>
      </c>
      <c r="BG524" t="s">
        <v>3964</v>
      </c>
      <c r="BH524" s="1" t="s">
        <v>57</v>
      </c>
      <c r="BI524" t="s">
        <v>57</v>
      </c>
      <c r="BJ524" s="1" t="str">
        <f>HYPERLINK("http://exon.niaid.nih.gov/transcriptome/T_rubida/S1/links/CDD/Triru-contig_514-CDD.txt","GT1_amsD_like")</f>
        <v>GT1_amsD_like</v>
      </c>
      <c r="BK524" t="str">
        <f>HYPERLINK("http://www.ncbi.nlm.nih.gov/Structure/cdd/cddsrv.cgi?uid=cd03820&amp;version=v4.0","0.52")</f>
        <v>0.52</v>
      </c>
      <c r="BL524" t="s">
        <v>3965</v>
      </c>
      <c r="BM524" s="1" t="str">
        <f>HYPERLINK("http://exon.niaid.nih.gov/transcriptome/T_rubida/S1/links/KOG/Triru-contig_514-KOG.txt","Acetylcholine receptor")</f>
        <v>Acetylcholine receptor</v>
      </c>
      <c r="BN524" t="str">
        <f>HYPERLINK("http://www.ncbi.nlm.nih.gov/COG/grace/shokog.cgi?KOG3645","2.0")</f>
        <v>2.0</v>
      </c>
      <c r="BO524" t="s">
        <v>728</v>
      </c>
      <c r="BP524" s="1" t="str">
        <f>HYPERLINK("http://exon.niaid.nih.gov/transcriptome/T_rubida/S1/links/PFAM/Triru-contig_514-PFAM.txt","BCCT")</f>
        <v>BCCT</v>
      </c>
      <c r="BQ524" t="str">
        <f>HYPERLINK("http://pfam.sanger.ac.uk/family?acc=PF02028","0.47")</f>
        <v>0.47</v>
      </c>
      <c r="BR524" s="1" t="str">
        <f>HYPERLINK("http://exon.niaid.nih.gov/transcriptome/T_rubida/S1/links/SMART/Triru-contig_514-SMART.txt","DALR_1")</f>
        <v>DALR_1</v>
      </c>
      <c r="BS524" t="str">
        <f>HYPERLINK("http://smart.embl-heidelberg.de/smart/do_annotation.pl?DOMAIN=DALR_1&amp;BLAST=DUMMY","0.14")</f>
        <v>0.14</v>
      </c>
      <c r="BT524" s="1" t="str">
        <f>HYPERLINK("http://exon.niaid.nih.gov/transcriptome/T_rubida/S1/links/PRK/Triru-contig_514-PRK.txt","putative bifunctional UDP-N-acetylmuramoyl-tripeptide:D-alanyl-D-alanine ligase/alanine racemase")</f>
        <v>putative bifunctional UDP-N-acetylmuramoyl-tripeptide:D-alanyl-D-alanine ligase/alanine racemase</v>
      </c>
      <c r="BU524">
        <v>0.52</v>
      </c>
      <c r="BV524" s="1" t="s">
        <v>57</v>
      </c>
      <c r="BW524" t="s">
        <v>57</v>
      </c>
      <c r="BX524" s="1" t="s">
        <v>57</v>
      </c>
      <c r="BY524" t="s">
        <v>57</v>
      </c>
    </row>
    <row r="525" spans="1:77">
      <c r="A525" t="str">
        <f>HYPERLINK("http://exon.niaid.nih.gov/transcriptome/T_rubida/S1/links/Triru/Triru-contig_150.txt","Triru-contig_150")</f>
        <v>Triru-contig_150</v>
      </c>
      <c r="B525">
        <v>2</v>
      </c>
      <c r="C525" t="str">
        <f>HYPERLINK("http://exon.niaid.nih.gov/transcriptome/T_rubida/S1/links/Triru/Triru-5-48-asb-150.txt","Contig-150")</f>
        <v>Contig-150</v>
      </c>
      <c r="D525" t="str">
        <f>HYPERLINK("http://exon.niaid.nih.gov/transcriptome/T_rubida/S1/links/Triru/Triru-5-48-150-CLU.txt","Contig150")</f>
        <v>Contig150</v>
      </c>
      <c r="E525" t="str">
        <f>HYPERLINK("http://exon.niaid.nih.gov/transcriptome/T_rubida/S1/links/Triru/Triru-5-48-150-qual.txt","38.5")</f>
        <v>38.5</v>
      </c>
      <c r="F525" t="s">
        <v>10</v>
      </c>
      <c r="G525">
        <v>80.8</v>
      </c>
      <c r="H525">
        <v>174</v>
      </c>
      <c r="I525" t="s">
        <v>162</v>
      </c>
      <c r="J525">
        <v>218</v>
      </c>
      <c r="K525">
        <v>193</v>
      </c>
      <c r="L525">
        <v>81</v>
      </c>
      <c r="M525" t="s">
        <v>5617</v>
      </c>
      <c r="N525" s="15">
        <v>1</v>
      </c>
      <c r="Q525" s="5" t="s">
        <v>4827</v>
      </c>
      <c r="R525" t="s">
        <v>4828</v>
      </c>
      <c r="V525" s="1" t="str">
        <f>HYPERLINK("http://exon.niaid.nih.gov/transcriptome/T_rubida/S1/links/NR/Triru-contig_150-NR.txt","DNA-directed RNA polymerase subunit beta''; AltName: Full=PEP; AltName:")</f>
        <v>DNA-directed RNA polymerase subunit beta''; AltName: Full=PEP; AltName:</v>
      </c>
      <c r="W525" t="str">
        <f>HYPERLINK("http://www.ncbi.nlm.nih.gov/sutils/blink.cgi?pid=74967164","15")</f>
        <v>15</v>
      </c>
      <c r="X525" t="str">
        <f>HYPERLINK("http://www.ncbi.nlm.nih.gov/protein/74967164","gi|74967164")</f>
        <v>gi|74967164</v>
      </c>
      <c r="Y525">
        <v>33.1</v>
      </c>
      <c r="Z525">
        <v>36</v>
      </c>
      <c r="AA525">
        <v>960</v>
      </c>
      <c r="AB525">
        <v>45</v>
      </c>
      <c r="AC525">
        <v>4</v>
      </c>
      <c r="AD525">
        <v>20</v>
      </c>
      <c r="AE525">
        <v>0</v>
      </c>
      <c r="AF525">
        <v>547</v>
      </c>
      <c r="AG525">
        <v>26</v>
      </c>
      <c r="AH525">
        <v>1</v>
      </c>
      <c r="AI525">
        <v>2</v>
      </c>
      <c r="AJ525" t="s">
        <v>11</v>
      </c>
      <c r="AK525">
        <v>5.556</v>
      </c>
      <c r="AL525" t="s">
        <v>1577</v>
      </c>
      <c r="AM525" t="s">
        <v>1578</v>
      </c>
      <c r="AN525" t="s">
        <v>1579</v>
      </c>
      <c r="AO525" s="1" t="str">
        <f>HYPERLINK("http://exon.niaid.nih.gov/transcriptome/T_rubida/S1/links/SWISSP/Triru-contig_150-SWISSP.txt","DNA-directed RNA polymerase subunit beta''")</f>
        <v>DNA-directed RNA polymerase subunit beta''</v>
      </c>
      <c r="AP525" t="str">
        <f>HYPERLINK("http://www.uniprot.org/uniprot/Q25802","0.57")</f>
        <v>0.57</v>
      </c>
      <c r="AQ525" t="s">
        <v>1580</v>
      </c>
      <c r="AR525">
        <v>33.1</v>
      </c>
      <c r="AS525">
        <v>36</v>
      </c>
      <c r="AT525">
        <v>45</v>
      </c>
      <c r="AU525">
        <v>4</v>
      </c>
      <c r="AV525">
        <v>20</v>
      </c>
      <c r="AW525">
        <v>0</v>
      </c>
      <c r="AX525">
        <v>547</v>
      </c>
      <c r="AY525">
        <v>26</v>
      </c>
      <c r="AZ525">
        <v>1</v>
      </c>
      <c r="BA525">
        <v>2</v>
      </c>
      <c r="BB525" t="s">
        <v>11</v>
      </c>
      <c r="BC525">
        <v>5.556</v>
      </c>
      <c r="BD525" t="s">
        <v>704</v>
      </c>
      <c r="BE525" t="s">
        <v>1577</v>
      </c>
      <c r="BF525" t="s">
        <v>1581</v>
      </c>
      <c r="BG525" t="s">
        <v>1582</v>
      </c>
      <c r="BH525" s="1" t="s">
        <v>57</v>
      </c>
      <c r="BI525" t="s">
        <v>57</v>
      </c>
      <c r="BJ525" s="1" t="str">
        <f>HYPERLINK("http://exon.niaid.nih.gov/transcriptome/T_rubida/S1/links/CDD/Triru-contig_150-CDD.txt","ND5")</f>
        <v>ND5</v>
      </c>
      <c r="BK525" t="str">
        <f>HYPERLINK("http://www.ncbi.nlm.nih.gov/Structure/cdd/cddsrv.cgi?uid=MTH00095&amp;version=v4.0","1.2")</f>
        <v>1.2</v>
      </c>
      <c r="BL525" t="s">
        <v>1583</v>
      </c>
      <c r="BM525" s="1" t="str">
        <f>HYPERLINK("http://exon.niaid.nih.gov/transcriptome/T_rubida/S1/links/KOG/Triru-contig_150-KOG.txt","Uncharacterized conserved protein")</f>
        <v>Uncharacterized conserved protein</v>
      </c>
      <c r="BN525" t="str">
        <f>HYPERLINK("http://www.ncbi.nlm.nih.gov/COG/grace/shokog.cgi?KOG1134","0.27")</f>
        <v>0.27</v>
      </c>
      <c r="BO525" t="s">
        <v>750</v>
      </c>
      <c r="BP525" s="1" t="str">
        <f>HYPERLINK("http://exon.niaid.nih.gov/transcriptome/T_rubida/S1/links/PFAM/Triru-contig_150-PFAM.txt","M11L")</f>
        <v>M11L</v>
      </c>
      <c r="BQ525" t="str">
        <f>HYPERLINK("http://pfam.sanger.ac.uk/family?acc=PF11099","0.46")</f>
        <v>0.46</v>
      </c>
      <c r="BR525" s="1" t="str">
        <f>HYPERLINK("http://exon.niaid.nih.gov/transcriptome/T_rubida/S1/links/SMART/Triru-contig_150-SMART.txt","Transket_pyr")</f>
        <v>Transket_pyr</v>
      </c>
      <c r="BS525" t="str">
        <f>HYPERLINK("http://smart.embl-heidelberg.de/smart/do_annotation.pl?DOMAIN=Transket_pyr&amp;BLAST=DUMMY","0.21")</f>
        <v>0.21</v>
      </c>
      <c r="BT525" s="1" t="str">
        <f>HYPERLINK("http://exon.niaid.nih.gov/transcriptome/T_rubida/S1/links/PRK/Triru-contig_150-PRK.txt","NADH dehydrogenase subunit 5")</f>
        <v>NADH dehydrogenase subunit 5</v>
      </c>
      <c r="BU525">
        <v>0.42</v>
      </c>
      <c r="BV525" s="1" t="s">
        <v>57</v>
      </c>
      <c r="BW525" t="s">
        <v>57</v>
      </c>
      <c r="BX525" s="1" t="s">
        <v>57</v>
      </c>
      <c r="BY525" t="s">
        <v>57</v>
      </c>
    </row>
    <row r="526" spans="1:77">
      <c r="A526" t="str">
        <f>HYPERLINK("http://exon.niaid.nih.gov/transcriptome/T_rubida/S1/links/Triru/Triru-contig_510.txt","Triru-contig_510")</f>
        <v>Triru-contig_510</v>
      </c>
      <c r="B526">
        <v>1</v>
      </c>
      <c r="C526" t="str">
        <f>HYPERLINK("http://exon.niaid.nih.gov/transcriptome/T_rubida/S1/links/Triru/Triru-5-48-asb-510.txt","Contig-510")</f>
        <v>Contig-510</v>
      </c>
      <c r="D526" t="str">
        <f>HYPERLINK("http://exon.niaid.nih.gov/transcriptome/T_rubida/S1/links/Triru/Triru-5-48-510-CLU.txt","Contig510")</f>
        <v>Contig510</v>
      </c>
      <c r="E526" t="str">
        <f>HYPERLINK("http://exon.niaid.nih.gov/transcriptome/T_rubida/S1/links/Triru/Triru-5-48-510-qual.txt","55.")</f>
        <v>55.</v>
      </c>
      <c r="F526" t="s">
        <v>10</v>
      </c>
      <c r="G526">
        <v>61.7</v>
      </c>
      <c r="H526">
        <v>216</v>
      </c>
      <c r="I526" t="s">
        <v>522</v>
      </c>
      <c r="J526">
        <v>216</v>
      </c>
      <c r="K526">
        <v>235</v>
      </c>
      <c r="L526">
        <v>165</v>
      </c>
      <c r="M526" t="s">
        <v>5638</v>
      </c>
      <c r="N526" s="15">
        <v>3</v>
      </c>
      <c r="Q526" s="5" t="s">
        <v>4827</v>
      </c>
      <c r="R526" t="s">
        <v>4828</v>
      </c>
      <c r="V526" s="1" t="str">
        <f>HYPERLINK("http://exon.niaid.nih.gov/transcriptome/T_rubida/S1/links/NR/Triru-contig_510-NR.txt","beta-1,4-endoglucanase-1 precursor")</f>
        <v>beta-1,4-endoglucanase-1 precursor</v>
      </c>
      <c r="W526" t="str">
        <f>HYPERLINK("http://www.ncbi.nlm.nih.gov/sutils/blink.cgi?pid=170791254","15")</f>
        <v>15</v>
      </c>
      <c r="X526" t="str">
        <f>HYPERLINK("http://www.ncbi.nlm.nih.gov/protein/170791254","gi|170791254")</f>
        <v>gi|170791254</v>
      </c>
      <c r="Y526">
        <v>33.1</v>
      </c>
      <c r="Z526">
        <v>45</v>
      </c>
      <c r="AA526">
        <v>467</v>
      </c>
      <c r="AB526">
        <v>34</v>
      </c>
      <c r="AC526">
        <v>10</v>
      </c>
      <c r="AD526">
        <v>31</v>
      </c>
      <c r="AE526">
        <v>0</v>
      </c>
      <c r="AF526">
        <v>189</v>
      </c>
      <c r="AG526">
        <v>27</v>
      </c>
      <c r="AH526">
        <v>1</v>
      </c>
      <c r="AI526">
        <v>3</v>
      </c>
      <c r="AJ526" t="s">
        <v>11</v>
      </c>
      <c r="AL526" t="s">
        <v>3930</v>
      </c>
      <c r="AM526" t="s">
        <v>3931</v>
      </c>
      <c r="AN526" t="s">
        <v>3932</v>
      </c>
      <c r="AO526" s="1" t="str">
        <f>HYPERLINK("http://exon.niaid.nih.gov/transcriptome/T_rubida/S1/links/SWISSP/Triru-contig_510-SWISSP.txt","Protein BptA")</f>
        <v>Protein BptA</v>
      </c>
      <c r="AP526" t="str">
        <f>HYPERLINK("http://www.uniprot.org/uniprot/Q56NH2","18")</f>
        <v>18</v>
      </c>
      <c r="AQ526" t="s">
        <v>3933</v>
      </c>
      <c r="AR526">
        <v>28.1</v>
      </c>
      <c r="AS526">
        <v>33</v>
      </c>
      <c r="AT526">
        <v>32</v>
      </c>
      <c r="AU526">
        <v>17</v>
      </c>
      <c r="AV526">
        <v>23</v>
      </c>
      <c r="AW526">
        <v>0</v>
      </c>
      <c r="AX526">
        <v>21</v>
      </c>
      <c r="AY526">
        <v>39</v>
      </c>
      <c r="AZ526">
        <v>1</v>
      </c>
      <c r="BA526">
        <v>3</v>
      </c>
      <c r="BB526" t="s">
        <v>11</v>
      </c>
      <c r="BD526" t="s">
        <v>704</v>
      </c>
      <c r="BE526" t="s">
        <v>3934</v>
      </c>
      <c r="BF526" t="s">
        <v>3935</v>
      </c>
      <c r="BG526" t="s">
        <v>3936</v>
      </c>
      <c r="BH526" s="1" t="s">
        <v>57</v>
      </c>
      <c r="BI526" t="s">
        <v>57</v>
      </c>
      <c r="BJ526" s="1" t="str">
        <f>HYPERLINK("http://exon.niaid.nih.gov/transcriptome/T_rubida/S1/links/CDD/Triru-contig_510-CDD.txt","BRCA2")</f>
        <v>BRCA2</v>
      </c>
      <c r="BK526" t="str">
        <f>HYPERLINK("http://www.ncbi.nlm.nih.gov/Structure/cdd/cddsrv.cgi?uid=pfam00634&amp;version=v4.0","0.84")</f>
        <v>0.84</v>
      </c>
      <c r="BL526" t="s">
        <v>3937</v>
      </c>
      <c r="BM526" s="1" t="str">
        <f>HYPERLINK("http://exon.niaid.nih.gov/transcriptome/T_rubida/S1/links/KOG/Triru-contig_510-KOG.txt","Predicted membrane protein")</f>
        <v>Predicted membrane protein</v>
      </c>
      <c r="BN526" t="str">
        <f>HYPERLINK("http://www.ncbi.nlm.nih.gov/COG/grace/shokog.cgi?KOG2705","0.16")</f>
        <v>0.16</v>
      </c>
      <c r="BO526" t="s">
        <v>737</v>
      </c>
      <c r="BP526" s="1" t="str">
        <f>HYPERLINK("http://exon.niaid.nih.gov/transcriptome/T_rubida/S1/links/PFAM/Triru-contig_510-PFAM.txt","BRCA2")</f>
        <v>BRCA2</v>
      </c>
      <c r="BQ526" t="str">
        <f>HYPERLINK("http://pfam.sanger.ac.uk/family?acc=PF00634","0.17")</f>
        <v>0.17</v>
      </c>
      <c r="BR526" s="1" t="str">
        <f>HYPERLINK("http://exon.niaid.nih.gov/transcriptome/T_rubida/S1/links/SMART/Triru-contig_510-SMART.txt","SWIB")</f>
        <v>SWIB</v>
      </c>
      <c r="BS526" t="str">
        <f>HYPERLINK("http://smart.embl-heidelberg.de/smart/do_annotation.pl?DOMAIN=SWIB&amp;BLAST=DUMMY","0.27")</f>
        <v>0.27</v>
      </c>
      <c r="BT526" s="1" t="str">
        <f>HYPERLINK("http://exon.niaid.nih.gov/transcriptome/T_rubida/S1/links/PRK/Triru-contig_510-PRK.txt","L-ribulose-5-phosphate 4-epimerase")</f>
        <v>L-ribulose-5-phosphate 4-epimerase</v>
      </c>
      <c r="BU526">
        <v>2.4</v>
      </c>
      <c r="BV526" s="1" t="s">
        <v>57</v>
      </c>
      <c r="BW526" t="s">
        <v>57</v>
      </c>
      <c r="BX526" s="1" t="s">
        <v>57</v>
      </c>
      <c r="BY526" t="s">
        <v>57</v>
      </c>
    </row>
    <row r="527" spans="1:77">
      <c r="A527" t="str">
        <f>HYPERLINK("http://exon.niaid.nih.gov/transcriptome/T_rubida/S1/links/Triru/Triru-contig_236.txt","Triru-contig_236")</f>
        <v>Triru-contig_236</v>
      </c>
      <c r="B527">
        <v>1</v>
      </c>
      <c r="C527" t="str">
        <f>HYPERLINK("http://exon.niaid.nih.gov/transcriptome/T_rubida/S1/links/Triru/Triru-5-48-asb-236.txt","Contig-236")</f>
        <v>Contig-236</v>
      </c>
      <c r="D527" t="str">
        <f>HYPERLINK("http://exon.niaid.nih.gov/transcriptome/T_rubida/S1/links/Triru/Triru-5-48-236-CLU.txt","Contig236")</f>
        <v>Contig236</v>
      </c>
      <c r="E527" t="str">
        <f>HYPERLINK("http://exon.niaid.nih.gov/transcriptome/T_rubida/S1/links/Triru/Triru-5-48-236-qual.txt","62.6")</f>
        <v>62.6</v>
      </c>
      <c r="F527" t="s">
        <v>10</v>
      </c>
      <c r="G527">
        <v>72.3</v>
      </c>
      <c r="H527">
        <v>480</v>
      </c>
      <c r="I527" t="s">
        <v>248</v>
      </c>
      <c r="J527">
        <v>480</v>
      </c>
      <c r="K527">
        <v>499</v>
      </c>
      <c r="L527">
        <v>138</v>
      </c>
      <c r="M527" t="s">
        <v>5646</v>
      </c>
      <c r="N527" s="15">
        <v>3</v>
      </c>
      <c r="Q527" s="5" t="s">
        <v>4827</v>
      </c>
      <c r="R527" t="s">
        <v>4828</v>
      </c>
      <c r="V527" s="1" t="str">
        <f>HYPERLINK("http://exon.niaid.nih.gov/transcriptome/T_rubida/S1/links/NR/Triru-contig_236-NR.txt","Nnf2p")</f>
        <v>Nnf2p</v>
      </c>
      <c r="W527" t="str">
        <f>HYPERLINK("http://www.ncbi.nlm.nih.gov/sutils/blink.cgi?pid=323348607","15")</f>
        <v>15</v>
      </c>
      <c r="X527" t="str">
        <f>HYPERLINK("http://www.ncbi.nlm.nih.gov/protein/323348607","gi|323348607")</f>
        <v>gi|323348607</v>
      </c>
      <c r="Y527">
        <v>33.1</v>
      </c>
      <c r="Z527">
        <v>35</v>
      </c>
      <c r="AA527">
        <v>691</v>
      </c>
      <c r="AB527">
        <v>48</v>
      </c>
      <c r="AC527">
        <v>5</v>
      </c>
      <c r="AD527">
        <v>23</v>
      </c>
      <c r="AE527">
        <v>0</v>
      </c>
      <c r="AF527">
        <v>199</v>
      </c>
      <c r="AG527">
        <v>101</v>
      </c>
      <c r="AH527">
        <v>1</v>
      </c>
      <c r="AI527">
        <v>2</v>
      </c>
      <c r="AJ527" t="s">
        <v>11</v>
      </c>
      <c r="AK527">
        <v>2.8570000000000002</v>
      </c>
      <c r="AL527" t="s">
        <v>2095</v>
      </c>
      <c r="AM527" t="s">
        <v>2096</v>
      </c>
      <c r="AN527" t="s">
        <v>2097</v>
      </c>
      <c r="AO527" s="1" t="str">
        <f>HYPERLINK("http://exon.niaid.nih.gov/transcriptome/T_rubida/S1/links/SWISSP/Triru-contig_236-SWISSP.txt","Protein NNF2")</f>
        <v>Protein NNF2</v>
      </c>
      <c r="AP527" t="str">
        <f>HYPERLINK("http://www.uniprot.org/uniprot/P53253","0.89")</f>
        <v>0.89</v>
      </c>
      <c r="AQ527" t="s">
        <v>2098</v>
      </c>
      <c r="AR527">
        <v>33.1</v>
      </c>
      <c r="AS527">
        <v>35</v>
      </c>
      <c r="AT527">
        <v>48</v>
      </c>
      <c r="AU527">
        <v>4</v>
      </c>
      <c r="AV527">
        <v>23</v>
      </c>
      <c r="AW527">
        <v>0</v>
      </c>
      <c r="AX527">
        <v>444</v>
      </c>
      <c r="AY527">
        <v>101</v>
      </c>
      <c r="AZ527">
        <v>1</v>
      </c>
      <c r="BA527">
        <v>2</v>
      </c>
      <c r="BB527" t="s">
        <v>11</v>
      </c>
      <c r="BC527">
        <v>2.8570000000000002</v>
      </c>
      <c r="BD527" t="s">
        <v>704</v>
      </c>
      <c r="BE527" t="s">
        <v>1487</v>
      </c>
      <c r="BF527" t="s">
        <v>2099</v>
      </c>
      <c r="BG527" t="s">
        <v>2100</v>
      </c>
      <c r="BH527" s="1" t="s">
        <v>57</v>
      </c>
      <c r="BI527" t="s">
        <v>57</v>
      </c>
      <c r="BJ527" s="1" t="str">
        <f>HYPERLINK("http://exon.niaid.nih.gov/transcriptome/T_rubida/S1/links/CDD/Triru-contig_236-CDD.txt","ND5")</f>
        <v>ND5</v>
      </c>
      <c r="BK527" t="str">
        <f>HYPERLINK("http://www.ncbi.nlm.nih.gov/Structure/cdd/cddsrv.cgi?uid=MTH00095&amp;version=v4.0","0.063")</f>
        <v>0.063</v>
      </c>
      <c r="BL527" t="s">
        <v>2101</v>
      </c>
      <c r="BM527" s="1" t="str">
        <f>HYPERLINK("http://exon.niaid.nih.gov/transcriptome/T_rubida/S1/links/KOG/Triru-contig_236-KOG.txt","Ca2+-modulated nonselective cation channel polycystin")</f>
        <v>Ca2+-modulated nonselective cation channel polycystin</v>
      </c>
      <c r="BN527" t="str">
        <f>HYPERLINK("http://www.ncbi.nlm.nih.gov/COG/grace/shokog.cgi?KOG3599","0.16")</f>
        <v>0.16</v>
      </c>
      <c r="BO527" t="s">
        <v>720</v>
      </c>
      <c r="BP527" s="1" t="str">
        <f>HYPERLINK("http://exon.niaid.nih.gov/transcriptome/T_rubida/S1/links/PFAM/Triru-contig_236-PFAM.txt","GpcrRhopsn4")</f>
        <v>GpcrRhopsn4</v>
      </c>
      <c r="BQ527" t="str">
        <f>HYPERLINK("http://pfam.sanger.ac.uk/family?acc=PF10192","0.11")</f>
        <v>0.11</v>
      </c>
      <c r="BR527" s="1" t="str">
        <f>HYPERLINK("http://exon.niaid.nih.gov/transcriptome/T_rubida/S1/links/SMART/Triru-contig_236-SMART.txt","LYZ2")</f>
        <v>LYZ2</v>
      </c>
      <c r="BS527" t="str">
        <f>HYPERLINK("http://smart.embl-heidelberg.de/smart/do_annotation.pl?DOMAIN=LYZ2&amp;BLAST=DUMMY","0.11")</f>
        <v>0.11</v>
      </c>
      <c r="BT527" s="1" t="str">
        <f>HYPERLINK("http://exon.niaid.nih.gov/transcriptome/T_rubida/S1/links/PRK/Triru-contig_236-PRK.txt","NADH dehydrogenase subunit 5")</f>
        <v>NADH dehydrogenase subunit 5</v>
      </c>
      <c r="BU527">
        <v>2.8000000000000001E-2</v>
      </c>
      <c r="BV527" s="1" t="s">
        <v>57</v>
      </c>
      <c r="BW527" t="s">
        <v>57</v>
      </c>
      <c r="BX527" s="1" t="s">
        <v>57</v>
      </c>
      <c r="BY527" t="s">
        <v>57</v>
      </c>
    </row>
    <row r="528" spans="1:77">
      <c r="A528" t="str">
        <f>HYPERLINK("http://exon.niaid.nih.gov/transcriptome/T_rubida/S1/links/Triru/Triru-contig_610.txt","Triru-contig_610")</f>
        <v>Triru-contig_610</v>
      </c>
      <c r="B528">
        <v>1</v>
      </c>
      <c r="C528" t="str">
        <f>HYPERLINK("http://exon.niaid.nih.gov/transcriptome/T_rubida/S1/links/Triru/Triru-5-48-asb-610.txt","Contig-610")</f>
        <v>Contig-610</v>
      </c>
      <c r="D528" t="str">
        <f>HYPERLINK("http://exon.niaid.nih.gov/transcriptome/T_rubida/S1/links/Triru/Triru-5-48-610-CLU.txt","Contig610")</f>
        <v>Contig610</v>
      </c>
      <c r="E528" t="str">
        <f>HYPERLINK("http://exon.niaid.nih.gov/transcriptome/T_rubida/S1/links/Triru/Triru-5-48-610-qual.txt","61.3")</f>
        <v>61.3</v>
      </c>
      <c r="F528" t="s">
        <v>10</v>
      </c>
      <c r="G528">
        <v>72.7</v>
      </c>
      <c r="H528">
        <v>230</v>
      </c>
      <c r="I528" t="s">
        <v>622</v>
      </c>
      <c r="J528">
        <v>230</v>
      </c>
      <c r="K528">
        <v>249</v>
      </c>
      <c r="L528">
        <v>117</v>
      </c>
      <c r="M528" t="s">
        <v>5698</v>
      </c>
      <c r="N528" s="15">
        <v>2</v>
      </c>
      <c r="Q528" s="5" t="s">
        <v>4827</v>
      </c>
      <c r="R528" t="s">
        <v>4828</v>
      </c>
      <c r="V528" s="1" t="str">
        <f>HYPERLINK("http://exon.niaid.nih.gov/transcriptome/T_rubida/S1/links/NR/Triru-contig_610-NR.txt","GGDEF family protein")</f>
        <v>GGDEF family protein</v>
      </c>
      <c r="W528" t="str">
        <f>HYPERLINK("http://www.ncbi.nlm.nih.gov/sutils/blink.cgi?pid=315181990","15")</f>
        <v>15</v>
      </c>
      <c r="X528" t="str">
        <f>HYPERLINK("http://www.ncbi.nlm.nih.gov/protein/315181990","gi|315181990")</f>
        <v>gi|315181990</v>
      </c>
      <c r="Y528">
        <v>33.1</v>
      </c>
      <c r="Z528">
        <v>40</v>
      </c>
      <c r="AA528">
        <v>369</v>
      </c>
      <c r="AB528">
        <v>31</v>
      </c>
      <c r="AC528">
        <v>11</v>
      </c>
      <c r="AD528">
        <v>28</v>
      </c>
      <c r="AE528">
        <v>0</v>
      </c>
      <c r="AF528">
        <v>35</v>
      </c>
      <c r="AG528">
        <v>95</v>
      </c>
      <c r="AH528">
        <v>1</v>
      </c>
      <c r="AI528">
        <v>2</v>
      </c>
      <c r="AJ528" t="s">
        <v>11</v>
      </c>
      <c r="AK528">
        <v>2.5</v>
      </c>
      <c r="AL528" t="s">
        <v>4558</v>
      </c>
      <c r="AM528" t="s">
        <v>4559</v>
      </c>
      <c r="AN528" t="s">
        <v>4560</v>
      </c>
      <c r="AO528" s="1" t="str">
        <f>HYPERLINK("http://exon.niaid.nih.gov/transcriptome/T_rubida/S1/links/SWISSP/Triru-contig_610-SWISSP.txt","Putative uncharacterized protein YKL030W")</f>
        <v>Putative uncharacterized protein YKL030W</v>
      </c>
      <c r="AP528" t="str">
        <f>HYPERLINK("http://www.uniprot.org/uniprot/P36099","31")</f>
        <v>31</v>
      </c>
      <c r="AQ528" t="s">
        <v>3458</v>
      </c>
      <c r="AR528">
        <v>27.3</v>
      </c>
      <c r="AS528">
        <v>33</v>
      </c>
      <c r="AT528">
        <v>39</v>
      </c>
      <c r="AU528">
        <v>17</v>
      </c>
      <c r="AV528">
        <v>23</v>
      </c>
      <c r="AW528">
        <v>5</v>
      </c>
      <c r="AX528">
        <v>28</v>
      </c>
      <c r="AY528">
        <v>101</v>
      </c>
      <c r="AZ528">
        <v>1</v>
      </c>
      <c r="BA528">
        <v>2</v>
      </c>
      <c r="BB528" t="s">
        <v>11</v>
      </c>
      <c r="BD528" t="s">
        <v>704</v>
      </c>
      <c r="BE528" t="s">
        <v>1487</v>
      </c>
      <c r="BF528" t="s">
        <v>4561</v>
      </c>
      <c r="BG528" t="s">
        <v>4562</v>
      </c>
      <c r="BH528" s="1" t="s">
        <v>57</v>
      </c>
      <c r="BI528" t="s">
        <v>57</v>
      </c>
      <c r="BJ528" s="1" t="str">
        <f>HYPERLINK("http://exon.niaid.nih.gov/transcriptome/T_rubida/S1/links/CDD/Triru-contig_610-CDD.txt","rpoC1")</f>
        <v>rpoC1</v>
      </c>
      <c r="BK528" t="str">
        <f>HYPERLINK("http://www.ncbi.nlm.nih.gov/Structure/cdd/cddsrv.cgi?uid=CHL00018&amp;version=v4.0","0.13")</f>
        <v>0.13</v>
      </c>
      <c r="BL528" t="s">
        <v>4563</v>
      </c>
      <c r="BM528" s="1" t="str">
        <f>HYPERLINK("http://exon.niaid.nih.gov/transcriptome/T_rubida/S1/links/KOG/Triru-contig_610-KOG.txt","K+-channel ERG and related proteins, contain PAS/PAC sensor domain")</f>
        <v>K+-channel ERG and related proteins, contain PAS/PAC sensor domain</v>
      </c>
      <c r="BN528" t="str">
        <f>HYPERLINK("http://www.ncbi.nlm.nih.gov/COG/grace/shokog.cgi?KOG0498","1.0")</f>
        <v>1.0</v>
      </c>
      <c r="BO528" t="s">
        <v>720</v>
      </c>
      <c r="BP528" s="1" t="str">
        <f>HYPERLINK("http://exon.niaid.nih.gov/transcriptome/T_rubida/S1/links/PFAM/Triru-contig_610-PFAM.txt","7TM_GPCR_Srz")</f>
        <v>7TM_GPCR_Srz</v>
      </c>
      <c r="BQ528" t="str">
        <f>HYPERLINK("http://pfam.sanger.ac.uk/family?acc=PF10325","0.041")</f>
        <v>0.041</v>
      </c>
      <c r="BR528" s="1" t="str">
        <f>HYPERLINK("http://exon.niaid.nih.gov/transcriptome/T_rubida/S1/links/SMART/Triru-contig_610-SMART.txt","AgrB")</f>
        <v>AgrB</v>
      </c>
      <c r="BS528" t="str">
        <f>HYPERLINK("http://smart.embl-heidelberg.de/smart/do_annotation.pl?DOMAIN=AgrB&amp;BLAST=DUMMY","0.079")</f>
        <v>0.079</v>
      </c>
      <c r="BT528" s="1" t="str">
        <f>HYPERLINK("http://exon.niaid.nih.gov/transcriptome/T_rubida/S1/links/PRK/Triru-contig_610-PRK.txt","RNA polymerase beta' subunit.")</f>
        <v>RNA polymerase beta' subunit.</v>
      </c>
      <c r="BU528">
        <v>4.7E-2</v>
      </c>
      <c r="BV528" s="1" t="s">
        <v>57</v>
      </c>
      <c r="BW528" t="s">
        <v>57</v>
      </c>
      <c r="BX528" s="1" t="s">
        <v>57</v>
      </c>
      <c r="BY528" t="s">
        <v>57</v>
      </c>
    </row>
    <row r="529" spans="1:77">
      <c r="A529" t="str">
        <f>HYPERLINK("http://exon.niaid.nih.gov/transcriptome/T_rubida/S1/links/Triru/Triru-contig_606.txt","Triru-contig_606")</f>
        <v>Triru-contig_606</v>
      </c>
      <c r="B529">
        <v>1</v>
      </c>
      <c r="C529" t="str">
        <f>HYPERLINK("http://exon.niaid.nih.gov/transcriptome/T_rubida/S1/links/Triru/Triru-5-48-asb-606.txt","Contig-606")</f>
        <v>Contig-606</v>
      </c>
      <c r="D529" t="str">
        <f>HYPERLINK("http://exon.niaid.nih.gov/transcriptome/T_rubida/S1/links/Triru/Triru-5-48-606-CLU.txt","Contig606")</f>
        <v>Contig606</v>
      </c>
      <c r="E529" t="str">
        <f>HYPERLINK("http://exon.niaid.nih.gov/transcriptome/T_rubida/S1/links/Triru/Triru-5-48-606-qual.txt","58.5")</f>
        <v>58.5</v>
      </c>
      <c r="F529" t="s">
        <v>10</v>
      </c>
      <c r="G529">
        <v>55.6</v>
      </c>
      <c r="H529">
        <v>294</v>
      </c>
      <c r="I529" t="s">
        <v>618</v>
      </c>
      <c r="J529">
        <v>294</v>
      </c>
      <c r="K529">
        <v>313</v>
      </c>
      <c r="L529">
        <v>195</v>
      </c>
      <c r="M529" t="s">
        <v>5701</v>
      </c>
      <c r="N529" s="15">
        <v>1</v>
      </c>
      <c r="Q529" s="5" t="s">
        <v>4827</v>
      </c>
      <c r="R529" t="s">
        <v>4828</v>
      </c>
      <c r="V529" s="1" t="str">
        <f>HYPERLINK("http://exon.niaid.nih.gov/transcriptome/T_rubida/S1/links/NR/Triru-contig_606-NR.txt","unnamed protein product")</f>
        <v>unnamed protein product</v>
      </c>
      <c r="W529" t="str">
        <f>HYPERLINK("http://www.ncbi.nlm.nih.gov/sutils/blink.cgi?pid=297735990","15")</f>
        <v>15</v>
      </c>
      <c r="X529" t="str">
        <f>HYPERLINK("http://www.ncbi.nlm.nih.gov/protein/297735990","gi|297735990")</f>
        <v>gi|297735990</v>
      </c>
      <c r="Y529">
        <v>33.1</v>
      </c>
      <c r="Z529">
        <v>43</v>
      </c>
      <c r="AA529">
        <v>1288</v>
      </c>
      <c r="AB529">
        <v>31</v>
      </c>
      <c r="AC529">
        <v>3</v>
      </c>
      <c r="AD529">
        <v>30</v>
      </c>
      <c r="AE529">
        <v>0</v>
      </c>
      <c r="AF529">
        <v>352</v>
      </c>
      <c r="AG529">
        <v>91</v>
      </c>
      <c r="AH529">
        <v>1</v>
      </c>
      <c r="AI529">
        <v>1</v>
      </c>
      <c r="AJ529" t="s">
        <v>11</v>
      </c>
      <c r="AK529">
        <v>2.3260000000000001</v>
      </c>
      <c r="AL529" t="s">
        <v>3107</v>
      </c>
      <c r="AM529" t="s">
        <v>4532</v>
      </c>
      <c r="AN529" t="s">
        <v>4533</v>
      </c>
      <c r="AO529" s="1" t="str">
        <f>HYPERLINK("http://exon.niaid.nih.gov/transcriptome/T_rubida/S1/links/SWISSP/Triru-contig_606-SWISSP.txt","Acyl-CoA synthetase family member 4")</f>
        <v>Acyl-CoA synthetase family member 4</v>
      </c>
      <c r="AP529" t="str">
        <f>HYPERLINK("http://www.uniprot.org/uniprot/Q80WC9","2.1")</f>
        <v>2.1</v>
      </c>
      <c r="AQ529" t="s">
        <v>4534</v>
      </c>
      <c r="AR529">
        <v>31.2</v>
      </c>
      <c r="AS529">
        <v>45</v>
      </c>
      <c r="AT529">
        <v>39</v>
      </c>
      <c r="AU529">
        <v>4</v>
      </c>
      <c r="AV529">
        <v>28</v>
      </c>
      <c r="AW529">
        <v>2</v>
      </c>
      <c r="AX529">
        <v>891</v>
      </c>
      <c r="AY529">
        <v>78</v>
      </c>
      <c r="AZ529">
        <v>1</v>
      </c>
      <c r="BA529">
        <v>3</v>
      </c>
      <c r="BB529" t="s">
        <v>11</v>
      </c>
      <c r="BC529">
        <v>2.222</v>
      </c>
      <c r="BD529" t="s">
        <v>704</v>
      </c>
      <c r="BE529" t="s">
        <v>807</v>
      </c>
      <c r="BF529" t="s">
        <v>4535</v>
      </c>
      <c r="BG529" t="s">
        <v>4536</v>
      </c>
      <c r="BH529" s="1" t="s">
        <v>57</v>
      </c>
      <c r="BI529" t="s">
        <v>57</v>
      </c>
      <c r="BJ529" s="1" t="str">
        <f>HYPERLINK("http://exon.niaid.nih.gov/transcriptome/T_rubida/S1/links/CDD/Triru-contig_606-CDD.txt","Bac_export_1")</f>
        <v>Bac_export_1</v>
      </c>
      <c r="BK529" t="str">
        <f>HYPERLINK("http://www.ncbi.nlm.nih.gov/Structure/cdd/cddsrv.cgi?uid=pfam01311&amp;version=v4.0","0.15")</f>
        <v>0.15</v>
      </c>
      <c r="BL529" t="s">
        <v>4537</v>
      </c>
      <c r="BM529" s="1" t="str">
        <f>HYPERLINK("http://exon.niaid.nih.gov/transcriptome/T_rubida/S1/links/KOG/Triru-contig_606-KOG.txt","Glycosylphosphatidylinositol anchor synthesis protein")</f>
        <v>Glycosylphosphatidylinositol anchor synthesis protein</v>
      </c>
      <c r="BN529" t="str">
        <f>HYPERLINK("http://www.ncbi.nlm.nih.gov/COG/grace/shokog.cgi?KOG2124","0.57")</f>
        <v>0.57</v>
      </c>
      <c r="BO529" t="s">
        <v>728</v>
      </c>
      <c r="BP529" s="1" t="str">
        <f>HYPERLINK("http://exon.niaid.nih.gov/transcriptome/T_rubida/S1/links/PFAM/Triru-contig_606-PFAM.txt","Bac_export_1")</f>
        <v>Bac_export_1</v>
      </c>
      <c r="BQ529" t="str">
        <f>HYPERLINK("http://pfam.sanger.ac.uk/family?acc=PF01311","0.033")</f>
        <v>0.033</v>
      </c>
      <c r="BR529" s="1" t="str">
        <f>HYPERLINK("http://exon.niaid.nih.gov/transcriptome/T_rubida/S1/links/SMART/Triru-contig_606-SMART.txt","LITAF")</f>
        <v>LITAF</v>
      </c>
      <c r="BS529" t="str">
        <f>HYPERLINK("http://smart.embl-heidelberg.de/smart/do_annotation.pl?DOMAIN=LITAF&amp;BLAST=DUMMY","0.032")</f>
        <v>0.032</v>
      </c>
      <c r="BT529" s="1" t="str">
        <f>HYPERLINK("http://exon.niaid.nih.gov/transcriptome/T_rubida/S1/links/PRK/Triru-contig_606-PRK.txt","flagellar biosynthesis protein FliR")</f>
        <v>flagellar biosynthesis protein FliR</v>
      </c>
      <c r="BU529">
        <v>0.41</v>
      </c>
      <c r="BV529" s="1" t="s">
        <v>57</v>
      </c>
      <c r="BW529" t="s">
        <v>57</v>
      </c>
      <c r="BX529" s="1" t="s">
        <v>57</v>
      </c>
      <c r="BY529" t="s">
        <v>57</v>
      </c>
    </row>
    <row r="530" spans="1:77">
      <c r="A530" t="str">
        <f>HYPERLINK("http://exon.niaid.nih.gov/transcriptome/T_rubida/S1/links/Triru/Triru-contig_486.txt","Triru-contig_486")</f>
        <v>Triru-contig_486</v>
      </c>
      <c r="B530">
        <v>1</v>
      </c>
      <c r="C530" t="str">
        <f>HYPERLINK("http://exon.niaid.nih.gov/transcriptome/T_rubida/S1/links/Triru/Triru-5-48-asb-486.txt","Contig-486")</f>
        <v>Contig-486</v>
      </c>
      <c r="D530" t="str">
        <f>HYPERLINK("http://exon.niaid.nih.gov/transcriptome/T_rubida/S1/links/Triru/Triru-5-48-486-CLU.txt","Contig486")</f>
        <v>Contig486</v>
      </c>
      <c r="E530" t="str">
        <f>HYPERLINK("http://exon.niaid.nih.gov/transcriptome/T_rubida/S1/links/Triru/Triru-5-48-486-qual.txt","64.1")</f>
        <v>64.1</v>
      </c>
      <c r="F530" t="s">
        <v>10</v>
      </c>
      <c r="G530">
        <v>56.6</v>
      </c>
      <c r="H530">
        <v>380</v>
      </c>
      <c r="I530" t="s">
        <v>498</v>
      </c>
      <c r="J530">
        <v>380</v>
      </c>
      <c r="K530">
        <v>399</v>
      </c>
      <c r="L530">
        <v>258</v>
      </c>
      <c r="M530" t="s">
        <v>5707</v>
      </c>
      <c r="N530" s="15">
        <v>3</v>
      </c>
      <c r="Q530" s="5" t="s">
        <v>4827</v>
      </c>
      <c r="R530" t="s">
        <v>4828</v>
      </c>
      <c r="V530" s="1" t="str">
        <f>HYPERLINK("http://exon.niaid.nih.gov/transcriptome/T_rubida/S1/links/NR/Triru-contig_486-NR.txt","hypothetical protein LOC100275225")</f>
        <v>hypothetical protein LOC100275225</v>
      </c>
      <c r="W530" t="str">
        <f>HYPERLINK("http://www.ncbi.nlm.nih.gov/sutils/blink.cgi?pid=226498730","15")</f>
        <v>15</v>
      </c>
      <c r="X530" t="str">
        <f>HYPERLINK("http://www.ncbi.nlm.nih.gov/protein/226498730","gi|226498730")</f>
        <v>gi|226498730</v>
      </c>
      <c r="Y530">
        <v>33.1</v>
      </c>
      <c r="Z530">
        <v>55</v>
      </c>
      <c r="AA530">
        <v>447</v>
      </c>
      <c r="AB530">
        <v>35</v>
      </c>
      <c r="AC530">
        <v>13</v>
      </c>
      <c r="AD530">
        <v>36</v>
      </c>
      <c r="AE530">
        <v>3</v>
      </c>
      <c r="AF530">
        <v>52</v>
      </c>
      <c r="AG530">
        <v>159</v>
      </c>
      <c r="AH530">
        <v>1</v>
      </c>
      <c r="AI530">
        <v>3</v>
      </c>
      <c r="AJ530" t="s">
        <v>11</v>
      </c>
      <c r="AL530" t="s">
        <v>3769</v>
      </c>
      <c r="AM530" t="s">
        <v>3770</v>
      </c>
      <c r="AN530" t="s">
        <v>3771</v>
      </c>
      <c r="AO530" s="1" t="str">
        <f>HYPERLINK("http://exon.niaid.nih.gov/transcriptome/T_rubida/S1/links/SWISSP/Triru-contig_486-SWISSP.txt","Glutamyl-tRNA(Gln) amidotransferase subunit E")</f>
        <v>Glutamyl-tRNA(Gln) amidotransferase subunit E</v>
      </c>
      <c r="AP530" t="str">
        <f>HYPERLINK("http://www.uniprot.org/uniprot/O59133","2.1")</f>
        <v>2.1</v>
      </c>
      <c r="AQ530" t="s">
        <v>3772</v>
      </c>
      <c r="AR530">
        <v>31.2</v>
      </c>
      <c r="AS530">
        <v>63</v>
      </c>
      <c r="AT530">
        <v>29</v>
      </c>
      <c r="AU530">
        <v>10</v>
      </c>
      <c r="AV530">
        <v>45</v>
      </c>
      <c r="AW530">
        <v>5</v>
      </c>
      <c r="AX530">
        <v>460</v>
      </c>
      <c r="AY530">
        <v>189</v>
      </c>
      <c r="AZ530">
        <v>1</v>
      </c>
      <c r="BA530">
        <v>3</v>
      </c>
      <c r="BB530" t="s">
        <v>11</v>
      </c>
      <c r="BD530" t="s">
        <v>704</v>
      </c>
      <c r="BE530" t="s">
        <v>3773</v>
      </c>
      <c r="BF530" t="s">
        <v>3774</v>
      </c>
      <c r="BG530" t="s">
        <v>3775</v>
      </c>
      <c r="BH530" s="1" t="s">
        <v>57</v>
      </c>
      <c r="BI530" t="s">
        <v>57</v>
      </c>
      <c r="BJ530" s="1" t="str">
        <f>HYPERLINK("http://exon.niaid.nih.gov/transcriptome/T_rubida/S1/links/CDD/Triru-contig_486-CDD.txt","COG3380")</f>
        <v>COG3380</v>
      </c>
      <c r="BK530" t="str">
        <f>HYPERLINK("http://www.ncbi.nlm.nih.gov/Structure/cdd/cddsrv.cgi?uid=COG3380&amp;version=v4.0","0.33")</f>
        <v>0.33</v>
      </c>
      <c r="BL530" t="s">
        <v>3776</v>
      </c>
      <c r="BM530" s="1" t="str">
        <f>HYPERLINK("http://exon.niaid.nih.gov/transcriptome/T_rubida/S1/links/KOG/Triru-contig_486-KOG.txt","Histones H3 and H4")</f>
        <v>Histones H3 and H4</v>
      </c>
      <c r="BN530" t="str">
        <f>HYPERLINK("http://www.ncbi.nlm.nih.gov/COG/grace/shokog.cgi?KOG1745","0.022")</f>
        <v>0.022</v>
      </c>
      <c r="BO530" t="s">
        <v>1238</v>
      </c>
      <c r="BP530" s="1" t="str">
        <f>HYPERLINK("http://exon.niaid.nih.gov/transcriptome/T_rubida/S1/links/PFAM/Triru-contig_486-PFAM.txt","WND")</f>
        <v>WND</v>
      </c>
      <c r="BQ530" t="str">
        <f>HYPERLINK("http://pfam.sanger.ac.uk/family?acc=PF07861","0.39")</f>
        <v>0.39</v>
      </c>
      <c r="BR530" s="1" t="str">
        <f>HYPERLINK("http://exon.niaid.nih.gov/transcriptome/T_rubida/S1/links/SMART/Triru-contig_486-SMART.txt","DNaseIc")</f>
        <v>DNaseIc</v>
      </c>
      <c r="BS530" t="str">
        <f>HYPERLINK("http://smart.embl-heidelberg.de/smart/do_annotation.pl?DOMAIN=DNaseIc&amp;BLAST=DUMMY","0.77")</f>
        <v>0.77</v>
      </c>
      <c r="BT530" s="1" t="str">
        <f>HYPERLINK("http://exon.niaid.nih.gov/transcriptome/T_rubida/S1/links/PRK/Triru-contig_486-PRK.txt","Holliday junction DNA helicase RuvB")</f>
        <v>Holliday junction DNA helicase RuvB</v>
      </c>
      <c r="BU530">
        <v>1</v>
      </c>
      <c r="BV530" s="1" t="s">
        <v>57</v>
      </c>
      <c r="BW530" t="s">
        <v>57</v>
      </c>
      <c r="BX530" s="1" t="s">
        <v>57</v>
      </c>
      <c r="BY530" t="s">
        <v>57</v>
      </c>
    </row>
    <row r="531" spans="1:77">
      <c r="A531" t="str">
        <f>HYPERLINK("http://exon.niaid.nih.gov/transcriptome/T_rubida/S1/links/Triru/Triru-contig_336.txt","Triru-contig_336")</f>
        <v>Triru-contig_336</v>
      </c>
      <c r="B531">
        <v>1</v>
      </c>
      <c r="C531" t="str">
        <f>HYPERLINK("http://exon.niaid.nih.gov/transcriptome/T_rubida/S1/links/Triru/Triru-5-48-asb-336.txt","Contig-336")</f>
        <v>Contig-336</v>
      </c>
      <c r="D531" t="str">
        <f>HYPERLINK("http://exon.niaid.nih.gov/transcriptome/T_rubida/S1/links/Triru/Triru-5-48-336-CLU.txt","Contig336")</f>
        <v>Contig336</v>
      </c>
      <c r="E531" t="str">
        <f>HYPERLINK("http://exon.niaid.nih.gov/transcriptome/T_rubida/S1/links/Triru/Triru-5-48-336-qual.txt","47.1")</f>
        <v>47.1</v>
      </c>
      <c r="F531" t="s">
        <v>10</v>
      </c>
      <c r="G531">
        <v>70.099999999999994</v>
      </c>
      <c r="H531">
        <v>769</v>
      </c>
      <c r="I531" t="s">
        <v>348</v>
      </c>
      <c r="J531">
        <v>769</v>
      </c>
      <c r="K531">
        <v>788</v>
      </c>
      <c r="L531">
        <v>285</v>
      </c>
      <c r="M531" t="s">
        <v>5477</v>
      </c>
      <c r="N531" s="15">
        <v>2</v>
      </c>
      <c r="O531" s="14" t="str">
        <f>HYPERLINK("http://exon.niaid.nih.gov/transcriptome/T_rubida/S1/links/Sigp/TRIRU-CONTIG_336-SigP.txt","BL")</f>
        <v>BL</v>
      </c>
      <c r="P531" t="s">
        <v>5058</v>
      </c>
      <c r="Q531" s="5" t="s">
        <v>4827</v>
      </c>
      <c r="R531" t="s">
        <v>4828</v>
      </c>
      <c r="V531" s="1" t="str">
        <f>HYPERLINK("http://exon.niaid.nih.gov/transcriptome/T_rubida/S1/links/NR/Triru-contig_336-NR.txt","hypothetical protein CJA_0235")</f>
        <v>hypothetical protein CJA_0235</v>
      </c>
      <c r="W531" t="str">
        <f>HYPERLINK("http://www.ncbi.nlm.nih.gov/sutils/blink.cgi?pid=192359032","16")</f>
        <v>16</v>
      </c>
      <c r="X531" t="str">
        <f>HYPERLINK("http://www.ncbi.nlm.nih.gov/protein/192359032","gi|192359032")</f>
        <v>gi|192359032</v>
      </c>
      <c r="Y531">
        <v>34.700000000000003</v>
      </c>
      <c r="Z531">
        <v>29</v>
      </c>
      <c r="AA531">
        <v>239</v>
      </c>
      <c r="AB531">
        <v>43</v>
      </c>
      <c r="AC531">
        <v>13</v>
      </c>
      <c r="AD531">
        <v>17</v>
      </c>
      <c r="AE531">
        <v>0</v>
      </c>
      <c r="AF531">
        <v>59</v>
      </c>
      <c r="AG531">
        <v>549</v>
      </c>
      <c r="AH531">
        <v>1</v>
      </c>
      <c r="AI531">
        <v>3</v>
      </c>
      <c r="AJ531" t="s">
        <v>11</v>
      </c>
      <c r="AL531" t="s">
        <v>2754</v>
      </c>
      <c r="AM531" t="s">
        <v>2755</v>
      </c>
      <c r="AN531" t="s">
        <v>2756</v>
      </c>
      <c r="AO531" s="1" t="str">
        <f>HYPERLINK("http://exon.niaid.nih.gov/transcriptome/T_rubida/S1/links/SWISSP/Triru-contig_336-SWISSP.txt","Small heat shock protein hspA")</f>
        <v>Small heat shock protein hspA</v>
      </c>
      <c r="AP531" t="str">
        <f>HYPERLINK("http://www.uniprot.org/uniprot/P70917","19")</f>
        <v>19</v>
      </c>
      <c r="AQ531" t="s">
        <v>2757</v>
      </c>
      <c r="AR531">
        <v>30</v>
      </c>
      <c r="AS531">
        <v>38</v>
      </c>
      <c r="AT531">
        <v>41</v>
      </c>
      <c r="AU531">
        <v>26</v>
      </c>
      <c r="AV531">
        <v>23</v>
      </c>
      <c r="AW531">
        <v>3</v>
      </c>
      <c r="AX531">
        <v>59</v>
      </c>
      <c r="AY531">
        <v>563</v>
      </c>
      <c r="AZ531">
        <v>1</v>
      </c>
      <c r="BA531">
        <v>2</v>
      </c>
      <c r="BB531" t="s">
        <v>11</v>
      </c>
      <c r="BD531" t="s">
        <v>704</v>
      </c>
      <c r="BE531" t="s">
        <v>2758</v>
      </c>
      <c r="BF531" t="s">
        <v>2759</v>
      </c>
      <c r="BG531" t="s">
        <v>2760</v>
      </c>
      <c r="BH531" s="1" t="s">
        <v>57</v>
      </c>
      <c r="BI531" t="s">
        <v>57</v>
      </c>
      <c r="BJ531" s="1" t="str">
        <f>HYPERLINK("http://exon.niaid.nih.gov/transcriptome/T_rubida/S1/links/CDD/Triru-contig_336-CDD.txt","Cornichon")</f>
        <v>Cornichon</v>
      </c>
      <c r="BK531" t="str">
        <f>HYPERLINK("http://www.ncbi.nlm.nih.gov/Structure/cdd/cddsrv.cgi?uid=pfam03311&amp;version=v4.0","0.006")</f>
        <v>0.006</v>
      </c>
      <c r="BL531" t="s">
        <v>2761</v>
      </c>
      <c r="BM531" s="1" t="str">
        <f>HYPERLINK("http://exon.niaid.nih.gov/transcriptome/T_rubida/S1/links/KOG/Triru-contig_336-KOG.txt","ER vesicle integral membrane protein involved in establishing cell polarity, signaling and protein degradation")</f>
        <v>ER vesicle integral membrane protein involved in establishing cell polarity, signaling and protein degradation</v>
      </c>
      <c r="BN531" t="str">
        <f>HYPERLINK("http://www.ncbi.nlm.nih.gov/COG/grace/shokog.cgi?KOG2729","0.019")</f>
        <v>0.019</v>
      </c>
      <c r="BO531" t="s">
        <v>2762</v>
      </c>
      <c r="BP531" s="1" t="str">
        <f>HYPERLINK("http://exon.niaid.nih.gov/transcriptome/T_rubida/S1/links/PFAM/Triru-contig_336-PFAM.txt","Cornichon")</f>
        <v>Cornichon</v>
      </c>
      <c r="BQ531" t="str">
        <f>HYPERLINK("http://pfam.sanger.ac.uk/family?acc=PF03311","0.001")</f>
        <v>0.001</v>
      </c>
      <c r="BR531" s="1" t="str">
        <f>HYPERLINK("http://exon.niaid.nih.gov/transcriptome/T_rubida/S1/links/SMART/Triru-contig_336-SMART.txt","H15")</f>
        <v>H15</v>
      </c>
      <c r="BS531" t="str">
        <f>HYPERLINK("http://smart.embl-heidelberg.de/smart/do_annotation.pl?DOMAIN=H15&amp;BLAST=DUMMY","0.028")</f>
        <v>0.028</v>
      </c>
      <c r="BT531" s="1" t="str">
        <f>HYPERLINK("http://exon.niaid.nih.gov/transcriptome/T_rubida/S1/links/PRK/Triru-contig_336-PRK.txt","NADH dehydrogenase subunit 2")</f>
        <v>NADH dehydrogenase subunit 2</v>
      </c>
      <c r="BU531">
        <v>0.22</v>
      </c>
      <c r="BV531" s="1" t="s">
        <v>57</v>
      </c>
      <c r="BW531" t="s">
        <v>57</v>
      </c>
      <c r="BX531" s="1" t="s">
        <v>57</v>
      </c>
      <c r="BY531" t="s">
        <v>57</v>
      </c>
    </row>
    <row r="532" spans="1:77">
      <c r="A532" t="str">
        <f>HYPERLINK("http://exon.niaid.nih.gov/transcriptome/T_rubida/S1/links/Triru/Triru-contig_357.txt","Triru-contig_357")</f>
        <v>Triru-contig_357</v>
      </c>
      <c r="B532">
        <v>1</v>
      </c>
      <c r="C532" t="str">
        <f>HYPERLINK("http://exon.niaid.nih.gov/transcriptome/T_rubida/S1/links/Triru/Triru-5-48-asb-357.txt","Contig-357")</f>
        <v>Contig-357</v>
      </c>
      <c r="D532" t="str">
        <f>HYPERLINK("http://exon.niaid.nih.gov/transcriptome/T_rubida/S1/links/Triru/Triru-5-48-357-CLU.txt","Contig357")</f>
        <v>Contig357</v>
      </c>
      <c r="E532" t="str">
        <f>HYPERLINK("http://exon.niaid.nih.gov/transcriptome/T_rubida/S1/links/Triru/Triru-5-48-357-qual.txt","57.6")</f>
        <v>57.6</v>
      </c>
      <c r="F532" t="s">
        <v>10</v>
      </c>
      <c r="G532">
        <v>62.1</v>
      </c>
      <c r="H532">
        <v>765</v>
      </c>
      <c r="I532" t="s">
        <v>369</v>
      </c>
      <c r="J532">
        <v>765</v>
      </c>
      <c r="K532">
        <v>784</v>
      </c>
      <c r="L532">
        <v>216</v>
      </c>
      <c r="M532" t="s">
        <v>5531</v>
      </c>
      <c r="N532" s="15">
        <v>3</v>
      </c>
      <c r="O532" s="14" t="str">
        <f>HYPERLINK("http://exon.niaid.nih.gov/transcriptome/T_rubida/S1/links/Sigp/TRIRU-CONTIG_357-SigP.txt","Cyt")</f>
        <v>Cyt</v>
      </c>
      <c r="Q532" s="5" t="s">
        <v>4827</v>
      </c>
      <c r="R532" t="s">
        <v>4828</v>
      </c>
      <c r="V532" s="1" t="str">
        <f>HYPERLINK("http://exon.niaid.nih.gov/transcriptome/T_rubida/S1/links/NR/Triru-contig_357-NR.txt","Nuclear pore complex protein Nup160-like protein")</f>
        <v>Nuclear pore complex protein Nup160-like protein</v>
      </c>
      <c r="W532" t="str">
        <f>HYPERLINK("http://www.ncbi.nlm.nih.gov/sutils/blink.cgi?pid=307212944","16")</f>
        <v>16</v>
      </c>
      <c r="X532" t="str">
        <f>HYPERLINK("http://www.ncbi.nlm.nih.gov/protein/307212944","gi|307212944")</f>
        <v>gi|307212944</v>
      </c>
      <c r="Y532">
        <v>34.700000000000003</v>
      </c>
      <c r="Z532">
        <v>42</v>
      </c>
      <c r="AA532">
        <v>1409</v>
      </c>
      <c r="AB532">
        <v>32</v>
      </c>
      <c r="AC532">
        <v>3</v>
      </c>
      <c r="AD532">
        <v>29</v>
      </c>
      <c r="AE532">
        <v>0</v>
      </c>
      <c r="AF532">
        <v>943</v>
      </c>
      <c r="AG532">
        <v>488</v>
      </c>
      <c r="AH532">
        <v>1</v>
      </c>
      <c r="AI532">
        <v>2</v>
      </c>
      <c r="AJ532" t="s">
        <v>11</v>
      </c>
      <c r="AL532" t="s">
        <v>1475</v>
      </c>
      <c r="AM532" t="s">
        <v>2893</v>
      </c>
      <c r="AN532" t="s">
        <v>2894</v>
      </c>
      <c r="AO532" s="1" t="str">
        <f>HYPERLINK("http://exon.niaid.nih.gov/transcriptome/T_rubida/S1/links/SWISSP/Triru-contig_357-SWISSP.txt","Alginate biosynthesis protein AlgX")</f>
        <v>Alginate biosynthesis protein AlgX</v>
      </c>
      <c r="AP532" t="str">
        <f>HYPERLINK("http://www.uniprot.org/uniprot/P59788","2.2")</f>
        <v>2.2</v>
      </c>
      <c r="AQ532" t="s">
        <v>2895</v>
      </c>
      <c r="AR532">
        <v>33.1</v>
      </c>
      <c r="AS532">
        <v>47</v>
      </c>
      <c r="AT532">
        <v>40</v>
      </c>
      <c r="AU532">
        <v>10</v>
      </c>
      <c r="AV532">
        <v>29</v>
      </c>
      <c r="AW532">
        <v>2</v>
      </c>
      <c r="AX532">
        <v>17</v>
      </c>
      <c r="AY532">
        <v>500</v>
      </c>
      <c r="AZ532">
        <v>1</v>
      </c>
      <c r="BA532">
        <v>2</v>
      </c>
      <c r="BB532" t="s">
        <v>11</v>
      </c>
      <c r="BD532" t="s">
        <v>704</v>
      </c>
      <c r="BE532" t="s">
        <v>2896</v>
      </c>
      <c r="BF532" t="s">
        <v>2897</v>
      </c>
      <c r="BG532" t="s">
        <v>2898</v>
      </c>
      <c r="BH532" s="1" t="s">
        <v>57</v>
      </c>
      <c r="BI532" t="s">
        <v>57</v>
      </c>
      <c r="BJ532" s="1" t="str">
        <f>HYPERLINK("http://exon.niaid.nih.gov/transcriptome/T_rubida/S1/links/CDD/Triru-contig_357-CDD.txt","RPEL")</f>
        <v>RPEL</v>
      </c>
      <c r="BK532" t="str">
        <f>HYPERLINK("http://www.ncbi.nlm.nih.gov/Structure/cdd/cddsrv.cgi?uid=pfam02755&amp;version=v4.0","5E-005")</f>
        <v>5E-005</v>
      </c>
      <c r="BL532" t="s">
        <v>2899</v>
      </c>
      <c r="BM532" s="1" t="str">
        <f>HYPERLINK("http://exon.niaid.nih.gov/transcriptome/T_rubida/S1/links/KOG/Triru-contig_357-KOG.txt","RPEL repeat-containing protein")</f>
        <v>RPEL repeat-containing protein</v>
      </c>
      <c r="BN532" t="str">
        <f>HYPERLINK("http://www.ncbi.nlm.nih.gov/COG/grace/shokog.cgi?KOG4339","0.003")</f>
        <v>0.003</v>
      </c>
      <c r="BO532" t="s">
        <v>750</v>
      </c>
      <c r="BP532" s="1" t="str">
        <f>HYPERLINK("http://exon.niaid.nih.gov/transcriptome/T_rubida/S1/links/PFAM/Triru-contig_357-PFAM.txt","RPEL")</f>
        <v>RPEL</v>
      </c>
      <c r="BQ532" t="str">
        <f>HYPERLINK("http://pfam.sanger.ac.uk/family?acc=PF02755","1E-005")</f>
        <v>1E-005</v>
      </c>
      <c r="BR532" s="1" t="str">
        <f>HYPERLINK("http://exon.niaid.nih.gov/transcriptome/T_rubida/S1/links/SMART/Triru-contig_357-SMART.txt","RPEL")</f>
        <v>RPEL</v>
      </c>
      <c r="BS532" t="str">
        <f>HYPERLINK("http://smart.embl-heidelberg.de/smart/do_annotation.pl?DOMAIN=RPEL&amp;BLAST=DUMMY","0.002")</f>
        <v>0.002</v>
      </c>
      <c r="BT532" s="1" t="str">
        <f>HYPERLINK("http://exon.niaid.nih.gov/transcriptome/T_rubida/S1/links/PRK/Triru-contig_357-PRK.txt","ribulose-bisphosphate carboxylase small chain.")</f>
        <v>ribulose-bisphosphate carboxylase small chain.</v>
      </c>
      <c r="BU532">
        <v>0.47</v>
      </c>
      <c r="BV532" s="1" t="s">
        <v>57</v>
      </c>
      <c r="BW532" t="s">
        <v>57</v>
      </c>
      <c r="BX532" s="1" t="s">
        <v>57</v>
      </c>
      <c r="BY532" t="s">
        <v>57</v>
      </c>
    </row>
    <row r="533" spans="1:77">
      <c r="A533" t="str">
        <f>HYPERLINK("http://exon.niaid.nih.gov/transcriptome/T_rubida/S1/links/Triru/Triru-contig_408.txt","Triru-contig_408")</f>
        <v>Triru-contig_408</v>
      </c>
      <c r="B533">
        <v>1</v>
      </c>
      <c r="C533" t="str">
        <f>HYPERLINK("http://exon.niaid.nih.gov/transcriptome/T_rubida/S1/links/Triru/Triru-5-48-asb-408.txt","Contig-408")</f>
        <v>Contig-408</v>
      </c>
      <c r="D533" t="str">
        <f>HYPERLINK("http://exon.niaid.nih.gov/transcriptome/T_rubida/S1/links/Triru/Triru-5-48-408-CLU.txt","Contig408")</f>
        <v>Contig408</v>
      </c>
      <c r="E533" t="str">
        <f>HYPERLINK("http://exon.niaid.nih.gov/transcriptome/T_rubida/S1/links/Triru/Triru-5-48-408-qual.txt","23.")</f>
        <v>23.</v>
      </c>
      <c r="F533" t="s">
        <v>10</v>
      </c>
      <c r="G533">
        <v>73</v>
      </c>
      <c r="H533">
        <v>697</v>
      </c>
      <c r="I533" t="s">
        <v>420</v>
      </c>
      <c r="J533">
        <v>697</v>
      </c>
      <c r="K533">
        <v>716</v>
      </c>
      <c r="L533">
        <v>132</v>
      </c>
      <c r="M533" t="s">
        <v>5615</v>
      </c>
      <c r="N533" s="15">
        <v>3</v>
      </c>
      <c r="Q533" s="5" t="s">
        <v>4827</v>
      </c>
      <c r="R533" t="s">
        <v>4828</v>
      </c>
      <c r="V533" s="1" t="str">
        <f>HYPERLINK("http://exon.niaid.nih.gov/transcriptome/T_rubida/S1/links/NR/Triru-contig_408-NR.txt","hypothetical protein")</f>
        <v>hypothetical protein</v>
      </c>
      <c r="W533" t="str">
        <f>HYPERLINK("http://www.ncbi.nlm.nih.gov/sutils/blink.cgi?pid=70931439","17")</f>
        <v>17</v>
      </c>
      <c r="X533" t="str">
        <f>HYPERLINK("http://www.ncbi.nlm.nih.gov/protein/70931439","gi|70931439")</f>
        <v>gi|70931439</v>
      </c>
      <c r="Y533">
        <v>34.299999999999997</v>
      </c>
      <c r="Z533">
        <v>79</v>
      </c>
      <c r="AA533">
        <v>256</v>
      </c>
      <c r="AB533">
        <v>28</v>
      </c>
      <c r="AC533">
        <v>31</v>
      </c>
      <c r="AD533">
        <v>64</v>
      </c>
      <c r="AE533">
        <v>2</v>
      </c>
      <c r="AF533">
        <v>91</v>
      </c>
      <c r="AG533">
        <v>20</v>
      </c>
      <c r="AH533">
        <v>1</v>
      </c>
      <c r="AI533">
        <v>2</v>
      </c>
      <c r="AJ533" t="s">
        <v>11</v>
      </c>
      <c r="AK533">
        <v>6.3289999999999997</v>
      </c>
      <c r="AL533" t="s">
        <v>3249</v>
      </c>
      <c r="AM533" t="s">
        <v>3250</v>
      </c>
      <c r="AN533" t="s">
        <v>2876</v>
      </c>
      <c r="AO533" s="1" t="str">
        <f>HYPERLINK("http://exon.niaid.nih.gov/transcriptome/T_rubida/S1/links/SWISSP/Triru-contig_408-SWISSP.txt","Hemerythrin")</f>
        <v>Hemerythrin</v>
      </c>
      <c r="AP533" t="str">
        <f>HYPERLINK("http://www.uniprot.org/uniprot/P80255","16")</f>
        <v>16</v>
      </c>
      <c r="AQ533" t="s">
        <v>3251</v>
      </c>
      <c r="AR533">
        <v>30</v>
      </c>
      <c r="AS533">
        <v>35</v>
      </c>
      <c r="AT533">
        <v>31</v>
      </c>
      <c r="AU533">
        <v>30</v>
      </c>
      <c r="AV533">
        <v>26</v>
      </c>
      <c r="AW533">
        <v>0</v>
      </c>
      <c r="AX533">
        <v>21</v>
      </c>
      <c r="AY533">
        <v>399</v>
      </c>
      <c r="AZ533">
        <v>1</v>
      </c>
      <c r="BA533">
        <v>3</v>
      </c>
      <c r="BB533" t="s">
        <v>11</v>
      </c>
      <c r="BC533">
        <v>2.8570000000000002</v>
      </c>
      <c r="BD533" t="s">
        <v>704</v>
      </c>
      <c r="BE533" t="s">
        <v>3252</v>
      </c>
      <c r="BF533" t="s">
        <v>3253</v>
      </c>
      <c r="BG533" t="s">
        <v>3254</v>
      </c>
      <c r="BH533" s="1" t="s">
        <v>57</v>
      </c>
      <c r="BI533" t="s">
        <v>57</v>
      </c>
      <c r="BJ533" s="1" t="str">
        <f>HYPERLINK("http://exon.niaid.nih.gov/transcriptome/T_rubida/S1/links/CDD/Triru-contig_408-CDD.txt","Neur_chan_LBD")</f>
        <v>Neur_chan_LBD</v>
      </c>
      <c r="BK533" t="str">
        <f>HYPERLINK("http://www.ncbi.nlm.nih.gov/Structure/cdd/cddsrv.cgi?uid=pfam02931&amp;version=v4.0","2.2")</f>
        <v>2.2</v>
      </c>
      <c r="BL533" t="s">
        <v>3255</v>
      </c>
      <c r="BM533" s="1" t="str">
        <f>HYPERLINK("http://exon.niaid.nih.gov/transcriptome/T_rubida/S1/links/KOG/Triru-contig_408-KOG.txt","Anaphase-promoting complex (APC), subunit 1 (meiotic check point regulator/Tsg24)")</f>
        <v>Anaphase-promoting complex (APC), subunit 1 (meiotic check point regulator/Tsg24)</v>
      </c>
      <c r="BN533" t="str">
        <f>HYPERLINK("http://www.ncbi.nlm.nih.gov/COG/grace/shokog.cgi?KOG1858","0.017")</f>
        <v>0.017</v>
      </c>
      <c r="BO533" t="s">
        <v>1554</v>
      </c>
      <c r="BP533" s="1" t="str">
        <f>HYPERLINK("http://exon.niaid.nih.gov/transcriptome/T_rubida/S1/links/PFAM/Triru-contig_408-PFAM.txt","Neur_chan_LBD")</f>
        <v>Neur_chan_LBD</v>
      </c>
      <c r="BQ533" t="str">
        <f>HYPERLINK("http://pfam.sanger.ac.uk/family?acc=PF02931","0.42")</f>
        <v>0.42</v>
      </c>
      <c r="BR533" s="1" t="str">
        <f>HYPERLINK("http://exon.niaid.nih.gov/transcriptome/T_rubida/S1/links/SMART/Triru-contig_408-SMART.txt","STI")</f>
        <v>STI</v>
      </c>
      <c r="BS533" t="str">
        <f>HYPERLINK("http://smart.embl-heidelberg.de/smart/do_annotation.pl?DOMAIN=STI&amp;BLAST=DUMMY","0.19")</f>
        <v>0.19</v>
      </c>
      <c r="BT533" s="1" t="str">
        <f>HYPERLINK("http://exon.niaid.nih.gov/transcriptome/T_rubida/S1/links/PRK/Triru-contig_408-PRK.txt","PTS system beta-glucoside-specific transporter subunits IIABC")</f>
        <v>PTS system beta-glucoside-specific transporter subunits IIABC</v>
      </c>
      <c r="BU533">
        <v>2.4</v>
      </c>
      <c r="BV533" s="1" t="s">
        <v>57</v>
      </c>
      <c r="BW533" t="s">
        <v>57</v>
      </c>
      <c r="BX533" s="1" t="s">
        <v>57</v>
      </c>
      <c r="BY533" t="s">
        <v>57</v>
      </c>
    </row>
    <row r="534" spans="1:77">
      <c r="A534" t="str">
        <f>HYPERLINK("http://exon.niaid.nih.gov/transcriptome/T_rubida/S1/links/Triru/Triru-contig_268.txt","Triru-contig_268")</f>
        <v>Triru-contig_268</v>
      </c>
      <c r="B534">
        <v>1</v>
      </c>
      <c r="C534" t="str">
        <f>HYPERLINK("http://exon.niaid.nih.gov/transcriptome/T_rubida/S1/links/Triru/Triru-5-48-asb-268.txt","Contig-268")</f>
        <v>Contig-268</v>
      </c>
      <c r="D534" t="str">
        <f>HYPERLINK("http://exon.niaid.nih.gov/transcriptome/T_rubida/S1/links/Triru/Triru-5-48-268-CLU.txt","Contig268")</f>
        <v>Contig268</v>
      </c>
      <c r="E534" t="str">
        <f>HYPERLINK("http://exon.niaid.nih.gov/transcriptome/T_rubida/S1/links/Triru/Triru-5-48-268-qual.txt","57.6")</f>
        <v>57.6</v>
      </c>
      <c r="F534" t="s">
        <v>10</v>
      </c>
      <c r="G534">
        <v>80.099999999999994</v>
      </c>
      <c r="H534">
        <v>464</v>
      </c>
      <c r="I534" t="s">
        <v>280</v>
      </c>
      <c r="J534">
        <v>464</v>
      </c>
      <c r="K534">
        <v>483</v>
      </c>
      <c r="L534">
        <v>120</v>
      </c>
      <c r="M534" t="s">
        <v>5544</v>
      </c>
      <c r="N534" s="15">
        <v>2</v>
      </c>
      <c r="Q534" s="5" t="s">
        <v>4827</v>
      </c>
      <c r="R534" t="s">
        <v>4828</v>
      </c>
      <c r="V534" s="1" t="str">
        <f>HYPERLINK("http://exon.niaid.nih.gov/transcriptome/T_rubida/S1/links/NR/Triru-contig_268-NR.txt","hypothetical protein IMG5_156780")</f>
        <v>hypothetical protein IMG5_156780</v>
      </c>
      <c r="W534" t="str">
        <f>HYPERLINK("http://www.ncbi.nlm.nih.gov/sutils/blink.cgi?pid=340502723","19")</f>
        <v>19</v>
      </c>
      <c r="X534" t="str">
        <f>HYPERLINK("http://www.ncbi.nlm.nih.gov/protein/340502723","gi|340502723")</f>
        <v>gi|340502723</v>
      </c>
      <c r="Y534">
        <v>32.700000000000003</v>
      </c>
      <c r="Z534">
        <v>59</v>
      </c>
      <c r="AA534">
        <v>315</v>
      </c>
      <c r="AB534">
        <v>33</v>
      </c>
      <c r="AC534">
        <v>19</v>
      </c>
      <c r="AD534">
        <v>42</v>
      </c>
      <c r="AE534">
        <v>2</v>
      </c>
      <c r="AF534">
        <v>3</v>
      </c>
      <c r="AG534">
        <v>35</v>
      </c>
      <c r="AH534">
        <v>1</v>
      </c>
      <c r="AI534">
        <v>2</v>
      </c>
      <c r="AJ534" t="s">
        <v>11</v>
      </c>
      <c r="AK534">
        <v>6.78</v>
      </c>
      <c r="AL534" t="s">
        <v>1593</v>
      </c>
      <c r="AM534" t="s">
        <v>2280</v>
      </c>
      <c r="AN534" t="s">
        <v>2281</v>
      </c>
      <c r="AO534" s="1" t="str">
        <f>HYPERLINK("http://exon.niaid.nih.gov/transcriptome/T_rubida/S1/links/SWISSP/Triru-contig_268-SWISSP.txt","Ribosomal protein VAR1, mitochondrial")</f>
        <v>Ribosomal protein VAR1, mitochondrial</v>
      </c>
      <c r="AP534" t="str">
        <f>HYPERLINK("http://www.uniprot.org/uniprot/P02381","1.4")</f>
        <v>1.4</v>
      </c>
      <c r="AQ534" t="s">
        <v>2282</v>
      </c>
      <c r="AR534">
        <v>32.299999999999997</v>
      </c>
      <c r="AS534">
        <v>117</v>
      </c>
      <c r="AT534">
        <v>23</v>
      </c>
      <c r="AU534">
        <v>30</v>
      </c>
      <c r="AV534">
        <v>78</v>
      </c>
      <c r="AW534">
        <v>13</v>
      </c>
      <c r="AX534">
        <v>181</v>
      </c>
      <c r="AY534">
        <v>160</v>
      </c>
      <c r="AZ534">
        <v>2</v>
      </c>
      <c r="BA534">
        <v>1</v>
      </c>
      <c r="BB534" t="s">
        <v>11</v>
      </c>
      <c r="BC534">
        <v>5.9829999999999997</v>
      </c>
      <c r="BD534" t="s">
        <v>704</v>
      </c>
      <c r="BE534" t="s">
        <v>1487</v>
      </c>
      <c r="BF534" t="s">
        <v>2283</v>
      </c>
      <c r="BG534" t="s">
        <v>2284</v>
      </c>
      <c r="BH534" s="1" t="s">
        <v>57</v>
      </c>
      <c r="BI534" t="s">
        <v>57</v>
      </c>
      <c r="BJ534" s="1" t="str">
        <f>HYPERLINK("http://exon.niaid.nih.gov/transcriptome/T_rubida/S1/links/CDD/Triru-contig_268-CDD.txt","ND5")</f>
        <v>ND5</v>
      </c>
      <c r="BK534" t="str">
        <f>HYPERLINK("http://www.ncbi.nlm.nih.gov/Structure/cdd/cddsrv.cgi?uid=MTH00165&amp;version=v4.0","4E-004")</f>
        <v>4E-004</v>
      </c>
      <c r="BL534" t="s">
        <v>2285</v>
      </c>
      <c r="BM534" s="1" t="str">
        <f>HYPERLINK("http://exon.niaid.nih.gov/transcriptome/T_rubida/S1/links/KOG/Triru-contig_268-KOG.txt","Uncharacterized membrane protein")</f>
        <v>Uncharacterized membrane protein</v>
      </c>
      <c r="BN534" t="str">
        <f>HYPERLINK("http://www.ncbi.nlm.nih.gov/COG/grace/shokog.cgi?KOG0411","0.16")</f>
        <v>0.16</v>
      </c>
      <c r="BO534" t="s">
        <v>737</v>
      </c>
      <c r="BP534" s="1" t="str">
        <f>HYPERLINK("http://exon.niaid.nih.gov/transcriptome/T_rubida/S1/links/PFAM/Triru-contig_268-PFAM.txt","7tm_7")</f>
        <v>7tm_7</v>
      </c>
      <c r="BQ534" t="str">
        <f>HYPERLINK("http://pfam.sanger.ac.uk/family?acc=PF08395","0.006")</f>
        <v>0.006</v>
      </c>
      <c r="BR534" s="1" t="str">
        <f>HYPERLINK("http://exon.niaid.nih.gov/transcriptome/T_rubida/S1/links/SMART/Triru-contig_268-SMART.txt","TLC")</f>
        <v>TLC</v>
      </c>
      <c r="BS534" t="str">
        <f>HYPERLINK("http://smart.embl-heidelberg.de/smart/do_annotation.pl?DOMAIN=TLC&amp;BLAST=DUMMY","0.050")</f>
        <v>0.050</v>
      </c>
      <c r="BT534" s="1" t="str">
        <f>HYPERLINK("http://exon.niaid.nih.gov/transcriptome/T_rubida/S1/links/PRK/Triru-contig_268-PRK.txt","NADH dehydrogenase subunit 5")</f>
        <v>NADH dehydrogenase subunit 5</v>
      </c>
      <c r="BU534" s="2">
        <v>2.0000000000000001E-4</v>
      </c>
      <c r="BV534" s="1" t="s">
        <v>57</v>
      </c>
      <c r="BW534" t="s">
        <v>57</v>
      </c>
      <c r="BX534" s="1" t="s">
        <v>57</v>
      </c>
      <c r="BY534" t="s">
        <v>57</v>
      </c>
    </row>
    <row r="535" spans="1:77">
      <c r="A535" t="str">
        <f>HYPERLINK("http://exon.niaid.nih.gov/transcriptome/T_rubida/S1/links/Triru/Triru-contig_593.txt","Triru-contig_593")</f>
        <v>Triru-contig_593</v>
      </c>
      <c r="B535">
        <v>1</v>
      </c>
      <c r="C535" t="str">
        <f>HYPERLINK("http://exon.niaid.nih.gov/transcriptome/T_rubida/S1/links/Triru/Triru-5-48-asb-593.txt","Contig-593")</f>
        <v>Contig-593</v>
      </c>
      <c r="D535" t="str">
        <f>HYPERLINK("http://exon.niaid.nih.gov/transcriptome/T_rubida/S1/links/Triru/Triru-5-48-593-CLU.txt","Contig593")</f>
        <v>Contig593</v>
      </c>
      <c r="E535" t="str">
        <f>HYPERLINK("http://exon.niaid.nih.gov/transcriptome/T_rubida/S1/links/Triru/Triru-5-48-593-qual.txt","57.1")</f>
        <v>57.1</v>
      </c>
      <c r="F535" t="s">
        <v>10</v>
      </c>
      <c r="G535">
        <v>76.2</v>
      </c>
      <c r="H535">
        <v>262</v>
      </c>
      <c r="I535" t="s">
        <v>605</v>
      </c>
      <c r="J535">
        <v>262</v>
      </c>
      <c r="K535">
        <v>281</v>
      </c>
      <c r="L535">
        <v>108</v>
      </c>
      <c r="M535" t="s">
        <v>5590</v>
      </c>
      <c r="N535" s="15">
        <v>1</v>
      </c>
      <c r="Q535" s="5" t="s">
        <v>4827</v>
      </c>
      <c r="R535" t="s">
        <v>4828</v>
      </c>
      <c r="V535" s="1" t="str">
        <f>HYPERLINK("http://exon.niaid.nih.gov/transcriptome/T_rubida/S1/links/NR/Triru-contig_593-NR.txt","ATPase subunit 8")</f>
        <v>ATPase subunit 8</v>
      </c>
      <c r="W535" t="str">
        <f>HYPERLINK("http://www.ncbi.nlm.nih.gov/sutils/blink.cgi?pid=74272089","19")</f>
        <v>19</v>
      </c>
      <c r="X535" t="str">
        <f>HYPERLINK("http://www.ncbi.nlm.nih.gov/protein/74272089","gi|74272089")</f>
        <v>gi|74272089</v>
      </c>
      <c r="Y535">
        <v>32.700000000000003</v>
      </c>
      <c r="Z535">
        <v>45</v>
      </c>
      <c r="AA535">
        <v>55</v>
      </c>
      <c r="AB535">
        <v>36</v>
      </c>
      <c r="AC535">
        <v>84</v>
      </c>
      <c r="AD535">
        <v>29</v>
      </c>
      <c r="AE535">
        <v>0</v>
      </c>
      <c r="AF535">
        <v>9</v>
      </c>
      <c r="AG535">
        <v>70</v>
      </c>
      <c r="AH535">
        <v>1</v>
      </c>
      <c r="AI535">
        <v>1</v>
      </c>
      <c r="AJ535" t="s">
        <v>11</v>
      </c>
      <c r="AK535">
        <v>4.444</v>
      </c>
      <c r="AL535" t="s">
        <v>4452</v>
      </c>
      <c r="AM535" t="s">
        <v>4453</v>
      </c>
      <c r="AN535" t="s">
        <v>4454</v>
      </c>
      <c r="AO535" s="1" t="str">
        <f>HYPERLINK("http://exon.niaid.nih.gov/transcriptome/T_rubida/S1/links/SWISSP/Triru-contig_593-SWISSP.txt","Cardiolipin synthase 1")</f>
        <v>Cardiolipin synthase 1</v>
      </c>
      <c r="AP535" t="str">
        <f>HYPERLINK("http://www.uniprot.org/uniprot/Q5HGA3","23")</f>
        <v>23</v>
      </c>
      <c r="AQ535" t="s">
        <v>4455</v>
      </c>
      <c r="AR535">
        <v>27.7</v>
      </c>
      <c r="AS535">
        <v>54</v>
      </c>
      <c r="AT535">
        <v>28</v>
      </c>
      <c r="AU535">
        <v>11</v>
      </c>
      <c r="AV535">
        <v>47</v>
      </c>
      <c r="AW535">
        <v>0</v>
      </c>
      <c r="AX535">
        <v>4</v>
      </c>
      <c r="AY535">
        <v>43</v>
      </c>
      <c r="AZ535">
        <v>1</v>
      </c>
      <c r="BA535">
        <v>1</v>
      </c>
      <c r="BB535" t="s">
        <v>11</v>
      </c>
      <c r="BC535">
        <v>5.556</v>
      </c>
      <c r="BD535" t="s">
        <v>704</v>
      </c>
      <c r="BE535" t="s">
        <v>4456</v>
      </c>
      <c r="BF535" t="s">
        <v>4457</v>
      </c>
      <c r="BG535" t="s">
        <v>4458</v>
      </c>
      <c r="BH535" s="1" t="s">
        <v>57</v>
      </c>
      <c r="BI535" t="s">
        <v>57</v>
      </c>
      <c r="BJ535" s="1" t="str">
        <f>HYPERLINK("http://exon.niaid.nih.gov/transcriptome/T_rubida/S1/links/CDD/Triru-contig_593-CDD.txt","NAS")</f>
        <v>NAS</v>
      </c>
      <c r="BK535" t="str">
        <f>HYPERLINK("http://www.ncbi.nlm.nih.gov/Structure/cdd/cddsrv.cgi?uid=pfam03059&amp;version=v4.0","0.12")</f>
        <v>0.12</v>
      </c>
      <c r="BL535" t="s">
        <v>4459</v>
      </c>
      <c r="BM535" s="1" t="str">
        <f>HYPERLINK("http://exon.niaid.nih.gov/transcriptome/T_rubida/S1/links/KOG/Triru-contig_593-KOG.txt","Glycogen phosphorylase")</f>
        <v>Glycogen phosphorylase</v>
      </c>
      <c r="BN535" t="str">
        <f>HYPERLINK("http://www.ncbi.nlm.nih.gov/COG/grace/shokog.cgi?KOG2099","0.88")</f>
        <v>0.88</v>
      </c>
      <c r="BO535" t="s">
        <v>946</v>
      </c>
      <c r="BP535" s="1" t="str">
        <f>HYPERLINK("http://exon.niaid.nih.gov/transcriptome/T_rubida/S1/links/PFAM/Triru-contig_593-PFAM.txt","NAS")</f>
        <v>NAS</v>
      </c>
      <c r="BQ535" t="str">
        <f>HYPERLINK("http://pfam.sanger.ac.uk/family?acc=PF03059","0.024")</f>
        <v>0.024</v>
      </c>
      <c r="BR535" s="1" t="str">
        <f>HYPERLINK("http://exon.niaid.nih.gov/transcriptome/T_rubida/S1/links/SMART/Triru-contig_593-SMART.txt","PP2Ac")</f>
        <v>PP2Ac</v>
      </c>
      <c r="BS535" t="str">
        <f>HYPERLINK("http://smart.embl-heidelberg.de/smart/do_annotation.pl?DOMAIN=PP2Ac&amp;BLAST=DUMMY","0.24")</f>
        <v>0.24</v>
      </c>
      <c r="BT535" s="1" t="str">
        <f>HYPERLINK("http://exon.niaid.nih.gov/transcriptome/T_rubida/S1/links/PRK/Triru-contig_593-PRK.txt","NADH dehydrogenase subunit 5")</f>
        <v>NADH dehydrogenase subunit 5</v>
      </c>
      <c r="BU535">
        <v>0.27</v>
      </c>
      <c r="BV535" s="1" t="s">
        <v>57</v>
      </c>
      <c r="BW535" t="s">
        <v>57</v>
      </c>
      <c r="BX535" s="1" t="s">
        <v>57</v>
      </c>
      <c r="BY535" t="s">
        <v>57</v>
      </c>
    </row>
    <row r="536" spans="1:77">
      <c r="A536" t="str">
        <f>HYPERLINK("http://exon.niaid.nih.gov/transcriptome/T_rubida/S1/links/Triru/Triru-contig_605.txt","Triru-contig_605")</f>
        <v>Triru-contig_605</v>
      </c>
      <c r="B536">
        <v>1</v>
      </c>
      <c r="C536" t="str">
        <f>HYPERLINK("http://exon.niaid.nih.gov/transcriptome/T_rubida/S1/links/Triru/Triru-5-48-asb-605.txt","Contig-605")</f>
        <v>Contig-605</v>
      </c>
      <c r="D536" t="str">
        <f>HYPERLINK("http://exon.niaid.nih.gov/transcriptome/T_rubida/S1/links/Triru/Triru-5-48-605-CLU.txt","Contig605")</f>
        <v>Contig605</v>
      </c>
      <c r="E536" t="str">
        <f>HYPERLINK("http://exon.niaid.nih.gov/transcriptome/T_rubida/S1/links/Triru/Triru-5-48-605-qual.txt","51.8")</f>
        <v>51.8</v>
      </c>
      <c r="F536" t="s">
        <v>10</v>
      </c>
      <c r="G536">
        <v>78.7</v>
      </c>
      <c r="H536">
        <v>169</v>
      </c>
      <c r="I536" t="s">
        <v>617</v>
      </c>
      <c r="J536">
        <v>169</v>
      </c>
      <c r="K536">
        <v>188</v>
      </c>
      <c r="L536">
        <v>108</v>
      </c>
      <c r="M536" t="s">
        <v>5481</v>
      </c>
      <c r="N536" s="15">
        <v>3</v>
      </c>
      <c r="Q536" s="5" t="s">
        <v>4827</v>
      </c>
      <c r="R536" t="s">
        <v>4828</v>
      </c>
      <c r="V536" s="1" t="str">
        <f>HYPERLINK("http://exon.niaid.nih.gov/transcriptome/T_rubida/S1/links/NR/Triru-contig_605-NR.txt","predicted protein")</f>
        <v>predicted protein</v>
      </c>
      <c r="W536" t="str">
        <f>HYPERLINK("http://www.ncbi.nlm.nih.gov/sutils/blink.cgi?pid=260948596","20")</f>
        <v>20</v>
      </c>
      <c r="X536" t="str">
        <f>HYPERLINK("http://www.ncbi.nlm.nih.gov/protein/260948596","gi|260948596")</f>
        <v>gi|260948596</v>
      </c>
      <c r="Y536">
        <v>32.700000000000003</v>
      </c>
      <c r="Z536">
        <v>38</v>
      </c>
      <c r="AA536">
        <v>218</v>
      </c>
      <c r="AB536">
        <v>33</v>
      </c>
      <c r="AC536">
        <v>18</v>
      </c>
      <c r="AD536">
        <v>26</v>
      </c>
      <c r="AE536">
        <v>1</v>
      </c>
      <c r="AF536">
        <v>104</v>
      </c>
      <c r="AG536">
        <v>26</v>
      </c>
      <c r="AH536">
        <v>1</v>
      </c>
      <c r="AI536">
        <v>2</v>
      </c>
      <c r="AJ536" t="s">
        <v>11</v>
      </c>
      <c r="AK536">
        <v>2.6320000000000001</v>
      </c>
      <c r="AL536" t="s">
        <v>4524</v>
      </c>
      <c r="AM536" t="s">
        <v>4525</v>
      </c>
      <c r="AN536" t="s">
        <v>4526</v>
      </c>
      <c r="AO536" s="1" t="str">
        <f>HYPERLINK("http://exon.niaid.nih.gov/transcriptome/T_rubida/S1/links/SWISSP/Triru-contig_605-SWISSP.txt","E3 ubiquitin-protein ligase LAP")</f>
        <v>E3 ubiquitin-protein ligase LAP</v>
      </c>
      <c r="AP536" t="str">
        <f>HYPERLINK("http://www.uniprot.org/uniprot/Q9DHV7","14")</f>
        <v>14</v>
      </c>
      <c r="AQ536" t="s">
        <v>4527</v>
      </c>
      <c r="AR536">
        <v>28.5</v>
      </c>
      <c r="AS536">
        <v>44</v>
      </c>
      <c r="AT536">
        <v>35</v>
      </c>
      <c r="AU536">
        <v>29</v>
      </c>
      <c r="AV536">
        <v>29</v>
      </c>
      <c r="AW536">
        <v>0</v>
      </c>
      <c r="AX536">
        <v>80</v>
      </c>
      <c r="AY536">
        <v>35</v>
      </c>
      <c r="AZ536">
        <v>1</v>
      </c>
      <c r="BA536">
        <v>2</v>
      </c>
      <c r="BB536" t="s">
        <v>11</v>
      </c>
      <c r="BC536">
        <v>4.5449999999999999</v>
      </c>
      <c r="BD536" t="s">
        <v>704</v>
      </c>
      <c r="BE536" t="s">
        <v>4528</v>
      </c>
      <c r="BF536" t="s">
        <v>4529</v>
      </c>
      <c r="BG536" t="s">
        <v>4530</v>
      </c>
      <c r="BH536" s="1" t="s">
        <v>57</v>
      </c>
      <c r="BI536" t="s">
        <v>57</v>
      </c>
      <c r="BJ536" s="1" t="str">
        <f>HYPERLINK("http://exon.niaid.nih.gov/transcriptome/T_rubida/S1/links/CDD/Triru-contig_605-CDD.txt","7TM_GPCR_Srbc")</f>
        <v>7TM_GPCR_Srbc</v>
      </c>
      <c r="BK536" t="str">
        <f>HYPERLINK("http://www.ncbi.nlm.nih.gov/Structure/cdd/cddsrv.cgi?uid=pfam10316&amp;version=v4.0","0.045")</f>
        <v>0.045</v>
      </c>
      <c r="BL536" t="s">
        <v>4531</v>
      </c>
      <c r="BM536" s="1" t="str">
        <f>HYPERLINK("http://exon.niaid.nih.gov/transcriptome/T_rubida/S1/links/KOG/Triru-contig_605-KOG.txt","Predicted histone methyl transferase")</f>
        <v>Predicted histone methyl transferase</v>
      </c>
      <c r="BN536" t="str">
        <f>HYPERLINK("http://www.ncbi.nlm.nih.gov/COG/grace/shokog.cgi?KOG1141","1.1")</f>
        <v>1.1</v>
      </c>
      <c r="BO536" t="s">
        <v>1238</v>
      </c>
      <c r="BP536" s="1" t="str">
        <f>HYPERLINK("http://exon.niaid.nih.gov/transcriptome/T_rubida/S1/links/PFAM/Triru-contig_605-PFAM.txt","7TM_GPCR_Srbc")</f>
        <v>7TM_GPCR_Srbc</v>
      </c>
      <c r="BQ536" t="str">
        <f>HYPERLINK("http://pfam.sanger.ac.uk/family?acc=PF10316","0.009")</f>
        <v>0.009</v>
      </c>
      <c r="BR536" s="1" t="str">
        <f>HYPERLINK("http://exon.niaid.nih.gov/transcriptome/T_rubida/S1/links/SMART/Triru-contig_605-SMART.txt","AgrB")</f>
        <v>AgrB</v>
      </c>
      <c r="BS536" t="str">
        <f>HYPERLINK("http://smart.embl-heidelberg.de/smart/do_annotation.pl?DOMAIN=AgrB&amp;BLAST=DUMMY","0.26")</f>
        <v>0.26</v>
      </c>
      <c r="BT536" s="1" t="str">
        <f>HYPERLINK("http://exon.niaid.nih.gov/transcriptome/T_rubida/S1/links/PRK/Triru-contig_605-PRK.txt","hypothetical protein")</f>
        <v>hypothetical protein</v>
      </c>
      <c r="BU536">
        <v>0.26</v>
      </c>
      <c r="BV536" s="1" t="s">
        <v>57</v>
      </c>
      <c r="BW536" t="s">
        <v>57</v>
      </c>
      <c r="BX536" s="1" t="s">
        <v>57</v>
      </c>
      <c r="BY536" t="s">
        <v>57</v>
      </c>
    </row>
    <row r="537" spans="1:77">
      <c r="A537" t="str">
        <f>HYPERLINK("http://exon.niaid.nih.gov/transcriptome/T_rubida/S1/links/Triru/Triru-contig_256.txt","Triru-contig_256")</f>
        <v>Triru-contig_256</v>
      </c>
      <c r="B537">
        <v>1</v>
      </c>
      <c r="C537" t="str">
        <f>HYPERLINK("http://exon.niaid.nih.gov/transcriptome/T_rubida/S1/links/Triru/Triru-5-48-asb-256.txt","Contig-256")</f>
        <v>Contig-256</v>
      </c>
      <c r="D537" t="str">
        <f>HYPERLINK("http://exon.niaid.nih.gov/transcriptome/T_rubida/S1/links/Triru/Triru-5-48-256-CLU.txt","Contig256")</f>
        <v>Contig256</v>
      </c>
      <c r="E537" t="str">
        <f>HYPERLINK("http://exon.niaid.nih.gov/transcriptome/T_rubida/S1/links/Triru/Triru-5-48-256-qual.txt","60.5")</f>
        <v>60.5</v>
      </c>
      <c r="F537" t="s">
        <v>10</v>
      </c>
      <c r="G537">
        <v>71.400000000000006</v>
      </c>
      <c r="H537">
        <v>191</v>
      </c>
      <c r="I537" t="s">
        <v>268</v>
      </c>
      <c r="J537">
        <v>191</v>
      </c>
      <c r="K537">
        <v>210</v>
      </c>
      <c r="L537">
        <v>135</v>
      </c>
      <c r="M537" t="s">
        <v>5506</v>
      </c>
      <c r="N537" s="15">
        <v>1</v>
      </c>
      <c r="Q537" s="5" t="s">
        <v>4827</v>
      </c>
      <c r="R537" t="s">
        <v>4828</v>
      </c>
      <c r="V537" s="1" t="str">
        <f>HYPERLINK("http://exon.niaid.nih.gov/transcriptome/T_rubida/S1/links/NR/Triru-contig_256-NR.txt","TD01073p")</f>
        <v>TD01073p</v>
      </c>
      <c r="W537" t="str">
        <f>HYPERLINK("http://www.ncbi.nlm.nih.gov/sutils/blink.cgi?pid=325505061","20")</f>
        <v>20</v>
      </c>
      <c r="X537" t="str">
        <f>HYPERLINK("http://www.ncbi.nlm.nih.gov/protein/325505061","gi|325505061")</f>
        <v>gi|325505061</v>
      </c>
      <c r="Y537">
        <v>32.700000000000003</v>
      </c>
      <c r="Z537">
        <v>18</v>
      </c>
      <c r="AA537">
        <v>89</v>
      </c>
      <c r="AB537">
        <v>73</v>
      </c>
      <c r="AC537">
        <v>21</v>
      </c>
      <c r="AD537">
        <v>5</v>
      </c>
      <c r="AE537">
        <v>0</v>
      </c>
      <c r="AF537">
        <v>71</v>
      </c>
      <c r="AG537">
        <v>18</v>
      </c>
      <c r="AH537">
        <v>1</v>
      </c>
      <c r="AI537">
        <v>3</v>
      </c>
      <c r="AJ537" t="s">
        <v>11</v>
      </c>
      <c r="AL537" t="s">
        <v>1125</v>
      </c>
      <c r="AM537" t="s">
        <v>2200</v>
      </c>
      <c r="AN537" t="s">
        <v>2201</v>
      </c>
      <c r="AO537" s="1" t="str">
        <f>HYPERLINK("http://exon.niaid.nih.gov/transcriptome/T_rubida/S1/links/SWISSP/Triru-contig_256-SWISSP.txt","39S ribosomal protein L34, mitochondrial")</f>
        <v>39S ribosomal protein L34, mitochondrial</v>
      </c>
      <c r="AP537" t="str">
        <f>HYPERLINK("http://www.uniprot.org/uniprot/Q0E959","0.73")</f>
        <v>0.73</v>
      </c>
      <c r="AQ537" t="s">
        <v>2202</v>
      </c>
      <c r="AR537">
        <v>32.700000000000003</v>
      </c>
      <c r="AS537">
        <v>18</v>
      </c>
      <c r="AT537">
        <v>73</v>
      </c>
      <c r="AU537">
        <v>23</v>
      </c>
      <c r="AV537">
        <v>5</v>
      </c>
      <c r="AW537">
        <v>0</v>
      </c>
      <c r="AX537">
        <v>63</v>
      </c>
      <c r="AY537">
        <v>18</v>
      </c>
      <c r="AZ537">
        <v>1</v>
      </c>
      <c r="BA537">
        <v>3</v>
      </c>
      <c r="BB537" t="s">
        <v>11</v>
      </c>
      <c r="BD537" t="s">
        <v>704</v>
      </c>
      <c r="BE537" t="s">
        <v>1125</v>
      </c>
      <c r="BF537" t="s">
        <v>2203</v>
      </c>
      <c r="BG537" t="s">
        <v>2204</v>
      </c>
      <c r="BH537" s="1" t="s">
        <v>57</v>
      </c>
      <c r="BI537" t="s">
        <v>57</v>
      </c>
      <c r="BJ537" s="1" t="str">
        <f>HYPERLINK("http://exon.niaid.nih.gov/transcriptome/T_rubida/S1/links/CDD/Triru-contig_256-CDD.txt","Ribosomal_L34")</f>
        <v>Ribosomal_L34</v>
      </c>
      <c r="BK537" t="str">
        <f>HYPERLINK("http://www.ncbi.nlm.nih.gov/Structure/cdd/cddsrv.cgi?uid=pfam00468&amp;version=v4.0","0.75")</f>
        <v>0.75</v>
      </c>
      <c r="BL537" t="s">
        <v>2205</v>
      </c>
      <c r="BM537" s="1" t="str">
        <f>HYPERLINK("http://exon.niaid.nih.gov/transcriptome/T_rubida/S1/links/KOG/Triru-contig_256-KOG.txt","Mitochondrial ribosomal protein L34")</f>
        <v>Mitochondrial ribosomal protein L34</v>
      </c>
      <c r="BN537" t="str">
        <f>HYPERLINK("http://www.ncbi.nlm.nih.gov/COG/grace/shokog.cgi?KOG4612","4.2")</f>
        <v>4.2</v>
      </c>
      <c r="BO537" t="s">
        <v>1185</v>
      </c>
      <c r="BP537" s="1" t="str">
        <f>HYPERLINK("http://exon.niaid.nih.gov/transcriptome/T_rubida/S1/links/PFAM/Triru-contig_256-PFAM.txt","Ribosomal_L34")</f>
        <v>Ribosomal_L34</v>
      </c>
      <c r="BQ537" t="str">
        <f>HYPERLINK("http://pfam.sanger.ac.uk/family?acc=PF00468","0.17")</f>
        <v>0.17</v>
      </c>
      <c r="BR537" s="1" t="str">
        <f>HYPERLINK("http://exon.niaid.nih.gov/transcriptome/T_rubida/S1/links/SMART/Triru-contig_256-SMART.txt","SprT")</f>
        <v>SprT</v>
      </c>
      <c r="BS537" t="str">
        <f>HYPERLINK("http://smart.embl-heidelberg.de/smart/do_annotation.pl?DOMAIN=SprT&amp;BLAST=DUMMY","0.15")</f>
        <v>0.15</v>
      </c>
      <c r="BT537" s="1" t="str">
        <f>HYPERLINK("http://exon.niaid.nih.gov/transcriptome/T_rubida/S1/links/PRK/Triru-contig_256-PRK.txt","cytochrome b")</f>
        <v>cytochrome b</v>
      </c>
      <c r="BU537">
        <v>2.1</v>
      </c>
      <c r="BV537" s="1" t="s">
        <v>57</v>
      </c>
      <c r="BW537" t="s">
        <v>57</v>
      </c>
      <c r="BX537" s="1" t="s">
        <v>57</v>
      </c>
      <c r="BY537" t="s">
        <v>57</v>
      </c>
    </row>
    <row r="538" spans="1:77">
      <c r="A538" t="str">
        <f>HYPERLINK("http://exon.niaid.nih.gov/transcriptome/T_rubida/S1/links/Triru/Triru-contig_304.txt","Triru-contig_304")</f>
        <v>Triru-contig_304</v>
      </c>
      <c r="B538">
        <v>1</v>
      </c>
      <c r="C538" t="str">
        <f>HYPERLINK("http://exon.niaid.nih.gov/transcriptome/T_rubida/S1/links/Triru/Triru-5-48-asb-304.txt","Contig-304")</f>
        <v>Contig-304</v>
      </c>
      <c r="D538" t="str">
        <f>HYPERLINK("http://exon.niaid.nih.gov/transcriptome/T_rubida/S1/links/Triru/Triru-5-48-304-CLU.txt","Contig304")</f>
        <v>Contig304</v>
      </c>
      <c r="E538" t="str">
        <f>HYPERLINK("http://exon.niaid.nih.gov/transcriptome/T_rubida/S1/links/Triru/Triru-5-48-304-qual.txt","26.")</f>
        <v>26.</v>
      </c>
      <c r="F538" t="s">
        <v>10</v>
      </c>
      <c r="G538">
        <v>74.599999999999994</v>
      </c>
      <c r="H538">
        <v>272</v>
      </c>
      <c r="I538" t="s">
        <v>316</v>
      </c>
      <c r="J538">
        <v>272</v>
      </c>
      <c r="K538">
        <v>291</v>
      </c>
      <c r="L538">
        <v>132</v>
      </c>
      <c r="M538" t="s">
        <v>5537</v>
      </c>
      <c r="N538" s="15">
        <v>3</v>
      </c>
      <c r="Q538" s="5" t="s">
        <v>4827</v>
      </c>
      <c r="R538" t="s">
        <v>4828</v>
      </c>
      <c r="V538" s="1" t="str">
        <f>HYPERLINK("http://exon.niaid.nih.gov/transcriptome/T_rubida/S1/links/NR/Triru-contig_304-NR.txt","unnamed protein product")</f>
        <v>unnamed protein product</v>
      </c>
      <c r="W538" t="str">
        <f>HYPERLINK("http://www.ncbi.nlm.nih.gov/sutils/blink.cgi?pid=34528144","20")</f>
        <v>20</v>
      </c>
      <c r="X538" t="str">
        <f>HYPERLINK("http://www.ncbi.nlm.nih.gov/protein/34528144","gi|34528144")</f>
        <v>gi|34528144</v>
      </c>
      <c r="Y538">
        <v>32.700000000000003</v>
      </c>
      <c r="Z538">
        <v>28</v>
      </c>
      <c r="AA538">
        <v>163</v>
      </c>
      <c r="AB538">
        <v>47</v>
      </c>
      <c r="AC538">
        <v>18</v>
      </c>
      <c r="AD538">
        <v>18</v>
      </c>
      <c r="AE538">
        <v>0</v>
      </c>
      <c r="AF538">
        <v>80</v>
      </c>
      <c r="AG538">
        <v>6</v>
      </c>
      <c r="AH538">
        <v>1</v>
      </c>
      <c r="AI538">
        <v>3</v>
      </c>
      <c r="AJ538" t="s">
        <v>11</v>
      </c>
      <c r="AK538">
        <v>3.5710000000000002</v>
      </c>
      <c r="AL538" t="s">
        <v>1233</v>
      </c>
      <c r="AM538" t="s">
        <v>2536</v>
      </c>
      <c r="AN538" t="s">
        <v>2537</v>
      </c>
      <c r="AO538" s="1" t="str">
        <f>HYPERLINK("http://exon.niaid.nih.gov/transcriptome/T_rubida/S1/links/SWISSP/Triru-contig_304-SWISSP.txt","Putative uncharacterized protein YGR069W")</f>
        <v>Putative uncharacterized protein YGR069W</v>
      </c>
      <c r="AP538" t="str">
        <f>HYPERLINK("http://www.uniprot.org/uniprot/P53245","18")</f>
        <v>18</v>
      </c>
      <c r="AQ538" t="s">
        <v>2538</v>
      </c>
      <c r="AR538">
        <v>28.1</v>
      </c>
      <c r="AS538">
        <v>13</v>
      </c>
      <c r="AT538">
        <v>71</v>
      </c>
      <c r="AU538">
        <v>13</v>
      </c>
      <c r="AV538">
        <v>4</v>
      </c>
      <c r="AW538">
        <v>0</v>
      </c>
      <c r="AX538">
        <v>36</v>
      </c>
      <c r="AY538">
        <v>15</v>
      </c>
      <c r="AZ538">
        <v>1</v>
      </c>
      <c r="BA538">
        <v>3</v>
      </c>
      <c r="BB538" t="s">
        <v>11</v>
      </c>
      <c r="BD538" t="s">
        <v>704</v>
      </c>
      <c r="BE538" t="s">
        <v>1487</v>
      </c>
      <c r="BF538" t="s">
        <v>2539</v>
      </c>
      <c r="BG538" t="s">
        <v>2540</v>
      </c>
      <c r="BH538" s="1" t="s">
        <v>57</v>
      </c>
      <c r="BI538" t="s">
        <v>57</v>
      </c>
      <c r="BJ538" s="1" t="str">
        <f>HYPERLINK("http://exon.niaid.nih.gov/transcriptome/T_rubida/S1/links/CDD/Triru-contig_304-CDD.txt","ND5")</f>
        <v>ND5</v>
      </c>
      <c r="BK538" t="str">
        <f>HYPERLINK("http://www.ncbi.nlm.nih.gov/Structure/cdd/cddsrv.cgi?uid=MTH00095&amp;version=v4.0","0.027")</f>
        <v>0.027</v>
      </c>
      <c r="BL538" t="s">
        <v>2541</v>
      </c>
      <c r="BM538" s="1" t="str">
        <f>HYPERLINK("http://exon.niaid.nih.gov/transcriptome/T_rubida/S1/links/KOG/Triru-contig_304-KOG.txt","Cytochrome P450 CYP2 subfamily")</f>
        <v>Cytochrome P450 CYP2 subfamily</v>
      </c>
      <c r="BN538" t="str">
        <f>HYPERLINK("http://www.ncbi.nlm.nih.gov/COG/grace/shokog.cgi?KOG0156","0.17")</f>
        <v>0.17</v>
      </c>
      <c r="BO538" t="s">
        <v>1130</v>
      </c>
      <c r="BP538" s="1" t="str">
        <f>HYPERLINK("http://exon.niaid.nih.gov/transcriptome/T_rubida/S1/links/PFAM/Triru-contig_304-PFAM.txt","Spore_permease")</f>
        <v>Spore_permease</v>
      </c>
      <c r="BQ538" t="str">
        <f>HYPERLINK("http://pfam.sanger.ac.uk/family?acc=PF03845","0.016")</f>
        <v>0.016</v>
      </c>
      <c r="BR538" s="1" t="str">
        <f>HYPERLINK("http://exon.niaid.nih.gov/transcriptome/T_rubida/S1/links/SMART/Triru-contig_304-SMART.txt","VPS10")</f>
        <v>VPS10</v>
      </c>
      <c r="BS538" t="str">
        <f>HYPERLINK("http://smart.embl-heidelberg.de/smart/do_annotation.pl?DOMAIN=VPS10&amp;BLAST=DUMMY","0.30")</f>
        <v>0.30</v>
      </c>
      <c r="BT538" s="1" t="str">
        <f>HYPERLINK("http://exon.niaid.nih.gov/transcriptome/T_rubida/S1/links/PRK/Triru-contig_304-PRK.txt","NADH dehydrogenase subunit 5")</f>
        <v>NADH dehydrogenase subunit 5</v>
      </c>
      <c r="BU538">
        <v>0.01</v>
      </c>
      <c r="BV538" s="1" t="s">
        <v>57</v>
      </c>
      <c r="BW538" t="s">
        <v>57</v>
      </c>
      <c r="BX538" s="1" t="s">
        <v>57</v>
      </c>
      <c r="BY538" t="s">
        <v>57</v>
      </c>
    </row>
    <row r="539" spans="1:77">
      <c r="A539" t="str">
        <f>HYPERLINK("http://exon.niaid.nih.gov/transcriptome/T_rubida/S1/links/Triru/Triru-contig_555.txt","Triru-contig_555")</f>
        <v>Triru-contig_555</v>
      </c>
      <c r="B539">
        <v>1</v>
      </c>
      <c r="C539" t="str">
        <f>HYPERLINK("http://exon.niaid.nih.gov/transcriptome/T_rubida/S1/links/Triru/Triru-5-48-asb-555.txt","Contig-555")</f>
        <v>Contig-555</v>
      </c>
      <c r="D539" t="str">
        <f>HYPERLINK("http://exon.niaid.nih.gov/transcriptome/T_rubida/S1/links/Triru/Triru-5-48-555-CLU.txt","Contig555")</f>
        <v>Contig555</v>
      </c>
      <c r="E539" t="str">
        <f>HYPERLINK("http://exon.niaid.nih.gov/transcriptome/T_rubida/S1/links/Triru/Triru-5-48-555-qual.txt","62.5")</f>
        <v>62.5</v>
      </c>
      <c r="F539" t="s">
        <v>10</v>
      </c>
      <c r="G539">
        <v>65</v>
      </c>
      <c r="H539">
        <v>404</v>
      </c>
      <c r="I539" t="s">
        <v>567</v>
      </c>
      <c r="J539">
        <v>404</v>
      </c>
      <c r="K539">
        <v>423</v>
      </c>
      <c r="L539">
        <v>180</v>
      </c>
      <c r="M539" t="s">
        <v>5554</v>
      </c>
      <c r="N539" s="15">
        <v>1</v>
      </c>
      <c r="Q539" s="5" t="s">
        <v>4827</v>
      </c>
      <c r="R539" t="s">
        <v>4828</v>
      </c>
      <c r="V539" s="1" t="str">
        <f>HYPERLINK("http://exon.niaid.nih.gov/transcriptome/T_rubida/S1/links/NR/Triru-contig_555-NR.txt","hypothetical protein")</f>
        <v>hypothetical protein</v>
      </c>
      <c r="W539" t="str">
        <f>HYPERLINK("http://www.ncbi.nlm.nih.gov/sutils/blink.cgi?pid=312213882","20")</f>
        <v>20</v>
      </c>
      <c r="X539" t="str">
        <f>HYPERLINK("http://www.ncbi.nlm.nih.gov/protein/312213882","gi|312213882")</f>
        <v>gi|312213882</v>
      </c>
      <c r="Y539">
        <v>32.700000000000003</v>
      </c>
      <c r="Z539">
        <v>44</v>
      </c>
      <c r="AA539">
        <v>755</v>
      </c>
      <c r="AB539">
        <v>28</v>
      </c>
      <c r="AC539">
        <v>6</v>
      </c>
      <c r="AD539">
        <v>32</v>
      </c>
      <c r="AE539">
        <v>0</v>
      </c>
      <c r="AF539">
        <v>125</v>
      </c>
      <c r="AG539">
        <v>223</v>
      </c>
      <c r="AH539">
        <v>1</v>
      </c>
      <c r="AI539">
        <v>1</v>
      </c>
      <c r="AJ539" t="s">
        <v>11</v>
      </c>
      <c r="AL539" t="s">
        <v>4225</v>
      </c>
      <c r="AM539" t="s">
        <v>4226</v>
      </c>
      <c r="AN539" t="s">
        <v>4227</v>
      </c>
      <c r="AO539" s="1" t="str">
        <f>HYPERLINK("http://exon.niaid.nih.gov/transcriptome/T_rubida/S1/links/SWISSP/Triru-contig_555-SWISSP.txt","Lipoteichoic acid synthase-like yvgJ")</f>
        <v>Lipoteichoic acid synthase-like yvgJ</v>
      </c>
      <c r="AP539" t="str">
        <f>HYPERLINK("http://www.uniprot.org/uniprot/O32206","10")</f>
        <v>10</v>
      </c>
      <c r="AQ539" t="s">
        <v>4228</v>
      </c>
      <c r="AR539">
        <v>28.9</v>
      </c>
      <c r="AS539">
        <v>33</v>
      </c>
      <c r="AT539">
        <v>38</v>
      </c>
      <c r="AU539">
        <v>6</v>
      </c>
      <c r="AV539">
        <v>21</v>
      </c>
      <c r="AW539">
        <v>0</v>
      </c>
      <c r="AX539">
        <v>308</v>
      </c>
      <c r="AY539">
        <v>120</v>
      </c>
      <c r="AZ539">
        <v>1</v>
      </c>
      <c r="BA539">
        <v>3</v>
      </c>
      <c r="BB539" t="s">
        <v>11</v>
      </c>
      <c r="BD539" t="s">
        <v>704</v>
      </c>
      <c r="BE539" t="s">
        <v>1525</v>
      </c>
      <c r="BF539" t="s">
        <v>4229</v>
      </c>
      <c r="BG539" t="s">
        <v>4230</v>
      </c>
      <c r="BH539" s="1" t="s">
        <v>57</v>
      </c>
      <c r="BI539" t="s">
        <v>57</v>
      </c>
      <c r="BJ539" s="1" t="str">
        <f>HYPERLINK("http://exon.niaid.nih.gov/transcriptome/T_rubida/S1/links/CDD/Triru-contig_555-CDD.txt","PRK13299")</f>
        <v>PRK13299</v>
      </c>
      <c r="BK539" t="str">
        <f>HYPERLINK("http://www.ncbi.nlm.nih.gov/Structure/cdd/cddsrv.cgi?uid=PRK13299&amp;version=v4.0","0.056")</f>
        <v>0.056</v>
      </c>
      <c r="BL539" t="s">
        <v>4231</v>
      </c>
      <c r="BM539" s="1" t="str">
        <f>HYPERLINK("http://exon.niaid.nih.gov/transcriptome/T_rubida/S1/links/KOG/Triru-contig_555-KOG.txt","Xanthine/uracil transporters")</f>
        <v>Xanthine/uracil transporters</v>
      </c>
      <c r="BN539" t="str">
        <f>HYPERLINK("http://www.ncbi.nlm.nih.gov/COG/grace/shokog.cgi?KOG1292","3.2")</f>
        <v>3.2</v>
      </c>
      <c r="BO539" t="s">
        <v>2867</v>
      </c>
      <c r="BP539" s="1" t="str">
        <f>HYPERLINK("http://exon.niaid.nih.gov/transcriptome/T_rubida/S1/links/PFAM/Triru-contig_555-PFAM.txt","DUF2920")</f>
        <v>DUF2920</v>
      </c>
      <c r="BQ539" t="str">
        <f>HYPERLINK("http://pfam.sanger.ac.uk/family?acc=PF11144","0.15")</f>
        <v>0.15</v>
      </c>
      <c r="BR539" s="1" t="str">
        <f>HYPERLINK("http://exon.niaid.nih.gov/transcriptome/T_rubida/S1/links/SMART/Triru-contig_555-SMART.txt","TOP2c")</f>
        <v>TOP2c</v>
      </c>
      <c r="BS539" t="str">
        <f>HYPERLINK("http://smart.embl-heidelberg.de/smart/do_annotation.pl?DOMAIN=TOP2c&amp;BLAST=DUMMY","0.16")</f>
        <v>0.16</v>
      </c>
      <c r="BT539" s="1" t="str">
        <f>HYPERLINK("http://exon.niaid.nih.gov/transcriptome/T_rubida/S1/links/PRK/Triru-contig_555-PRK.txt","tRNA CCA-pyrophosphorylase")</f>
        <v>tRNA CCA-pyrophosphorylase</v>
      </c>
      <c r="BU539">
        <v>2.5999999999999999E-2</v>
      </c>
      <c r="BV539" s="1" t="s">
        <v>57</v>
      </c>
      <c r="BW539" t="s">
        <v>57</v>
      </c>
      <c r="BX539" s="1" t="s">
        <v>57</v>
      </c>
      <c r="BY539" t="s">
        <v>57</v>
      </c>
    </row>
    <row r="540" spans="1:77">
      <c r="A540" t="str">
        <f>HYPERLINK("http://exon.niaid.nih.gov/transcriptome/T_rubida/S1/links/Triru/Triru-contig_175.txt","Triru-contig_175")</f>
        <v>Triru-contig_175</v>
      </c>
      <c r="B540">
        <v>1</v>
      </c>
      <c r="C540" t="str">
        <f>HYPERLINK("http://exon.niaid.nih.gov/transcriptome/T_rubida/S1/links/Triru/Triru-5-48-asb-175.txt","Contig-175")</f>
        <v>Contig-175</v>
      </c>
      <c r="D540" t="str">
        <f>HYPERLINK("http://exon.niaid.nih.gov/transcriptome/T_rubida/S1/links/Triru/Triru-5-48-175-CLU.txt","Contig175")</f>
        <v>Contig175</v>
      </c>
      <c r="E540" t="str">
        <f>HYPERLINK("http://exon.niaid.nih.gov/transcriptome/T_rubida/S1/links/Triru/Triru-5-48-175-qual.txt","50.4")</f>
        <v>50.4</v>
      </c>
      <c r="F540" t="s">
        <v>10</v>
      </c>
      <c r="G540">
        <v>79.599999999999994</v>
      </c>
      <c r="H540" t="s">
        <v>57</v>
      </c>
      <c r="I540" t="s">
        <v>187</v>
      </c>
      <c r="J540" t="s">
        <v>57</v>
      </c>
      <c r="K540">
        <v>191</v>
      </c>
      <c r="L540">
        <v>66</v>
      </c>
      <c r="M540" t="s">
        <v>5561</v>
      </c>
      <c r="N540" s="15">
        <v>2</v>
      </c>
      <c r="Q540" s="5" t="s">
        <v>4827</v>
      </c>
      <c r="R540" t="s">
        <v>4828</v>
      </c>
      <c r="V540" s="1" t="str">
        <f>HYPERLINK("http://exon.niaid.nih.gov/transcriptome/T_rubida/S1/links/NR/Triru-contig_175-NR.txt","NADH dehydrogenase subunit 1")</f>
        <v>NADH dehydrogenase subunit 1</v>
      </c>
      <c r="W540" t="str">
        <f>HYPERLINK("http://www.ncbi.nlm.nih.gov/sutils/blink.cgi?pid=4586208","20")</f>
        <v>20</v>
      </c>
      <c r="X540" t="str">
        <f>HYPERLINK("http://www.ncbi.nlm.nih.gov/protein/4586208","gi|4586208")</f>
        <v>gi|4586208</v>
      </c>
      <c r="Y540">
        <v>32.700000000000003</v>
      </c>
      <c r="Z540">
        <v>35</v>
      </c>
      <c r="AA540">
        <v>115</v>
      </c>
      <c r="AB540">
        <v>38</v>
      </c>
      <c r="AC540">
        <v>31</v>
      </c>
      <c r="AD540">
        <v>22</v>
      </c>
      <c r="AE540">
        <v>0</v>
      </c>
      <c r="AF540">
        <v>47</v>
      </c>
      <c r="AG540">
        <v>54</v>
      </c>
      <c r="AH540">
        <v>1</v>
      </c>
      <c r="AI540">
        <v>3</v>
      </c>
      <c r="AJ540" t="s">
        <v>11</v>
      </c>
      <c r="AK540">
        <v>5.7140000000000004</v>
      </c>
      <c r="AL540" t="s">
        <v>1737</v>
      </c>
      <c r="AM540" t="s">
        <v>1738</v>
      </c>
      <c r="AN540" t="s">
        <v>1739</v>
      </c>
      <c r="AO540" s="1" t="str">
        <f>HYPERLINK("http://exon.niaid.nih.gov/transcriptome/T_rubida/S1/links/SWISSP/Triru-contig_175-SWISSP.txt","Flagellar motor switch protein FliM")</f>
        <v>Flagellar motor switch protein FliM</v>
      </c>
      <c r="AP540" t="str">
        <f>HYPERLINK("http://www.uniprot.org/uniprot/Q89AZ4","70")</f>
        <v>70</v>
      </c>
      <c r="AQ540" t="s">
        <v>1740</v>
      </c>
      <c r="AR540">
        <v>26.2</v>
      </c>
      <c r="AS540">
        <v>49</v>
      </c>
      <c r="AT540">
        <v>33</v>
      </c>
      <c r="AU540">
        <v>15</v>
      </c>
      <c r="AV540">
        <v>34</v>
      </c>
      <c r="AW540">
        <v>2</v>
      </c>
      <c r="AX540">
        <v>122</v>
      </c>
      <c r="AY540">
        <v>3</v>
      </c>
      <c r="AZ540">
        <v>1</v>
      </c>
      <c r="BA540">
        <v>3</v>
      </c>
      <c r="BB540" t="s">
        <v>11</v>
      </c>
      <c r="BC540">
        <v>6.1219999999999999</v>
      </c>
      <c r="BD540" t="s">
        <v>704</v>
      </c>
      <c r="BE540" t="s">
        <v>1741</v>
      </c>
      <c r="BF540" t="s">
        <v>1742</v>
      </c>
      <c r="BG540" t="s">
        <v>1743</v>
      </c>
      <c r="BH540" s="1" t="s">
        <v>57</v>
      </c>
      <c r="BI540" t="s">
        <v>57</v>
      </c>
      <c r="BJ540" s="1" t="str">
        <f>HYPERLINK("http://exon.niaid.nih.gov/transcriptome/T_rubida/S1/links/CDD/Triru-contig_175-CDD.txt","46")</f>
        <v>46</v>
      </c>
      <c r="BK540" t="str">
        <f>HYPERLINK("http://www.ncbi.nlm.nih.gov/Structure/cdd/cddsrv.cgi?uid=PHA02562&amp;version=v4.0","2.0")</f>
        <v>2.0</v>
      </c>
      <c r="BL540" t="s">
        <v>1744</v>
      </c>
      <c r="BM540" s="1" t="str">
        <f>HYPERLINK("http://exon.niaid.nih.gov/transcriptome/T_rubida/S1/links/KOG/Triru-contig_175-KOG.txt","Uncharacterized conserved protein")</f>
        <v>Uncharacterized conserved protein</v>
      </c>
      <c r="BN540" t="str">
        <f>HYPERLINK("http://www.ncbi.nlm.nih.gov/COG/grace/shokog.cgi?KOG4610","6.1")</f>
        <v>6.1</v>
      </c>
      <c r="BO540" t="s">
        <v>737</v>
      </c>
      <c r="BP540" s="1" t="str">
        <f>HYPERLINK("http://exon.niaid.nih.gov/transcriptome/T_rubida/S1/links/PFAM/Triru-contig_175-PFAM.txt","GWT1")</f>
        <v>GWT1</v>
      </c>
      <c r="BQ540" t="str">
        <f>HYPERLINK("http://pfam.sanger.ac.uk/family?acc=PF06423","2.2")</f>
        <v>2.2</v>
      </c>
      <c r="BR540" s="1" t="str">
        <f>HYPERLINK("http://exon.niaid.nih.gov/transcriptome/T_rubida/S1/links/SMART/Triru-contig_175-SMART.txt","CTLH")</f>
        <v>CTLH</v>
      </c>
      <c r="BS540" t="str">
        <f>HYPERLINK("http://smart.embl-heidelberg.de/smart/do_annotation.pl?DOMAIN=CTLH&amp;BLAST=DUMMY","1.1")</f>
        <v>1.1</v>
      </c>
      <c r="BT540" s="1" t="str">
        <f>HYPERLINK("http://exon.niaid.nih.gov/transcriptome/T_rubida/S1/links/PRK/Triru-contig_175-PRK.txt","endonuclease subunit")</f>
        <v>endonuclease subunit</v>
      </c>
      <c r="BU540">
        <v>0.72</v>
      </c>
      <c r="BV540" s="1" t="s">
        <v>57</v>
      </c>
      <c r="BW540" t="s">
        <v>57</v>
      </c>
      <c r="BX540" s="1" t="s">
        <v>57</v>
      </c>
      <c r="BY540" t="s">
        <v>57</v>
      </c>
    </row>
    <row r="541" spans="1:77">
      <c r="A541" t="str">
        <f>HYPERLINK("http://exon.niaid.nih.gov/transcriptome/T_rubida/S1/links/Triru/Triru-contig_168.txt","Triru-contig_168")</f>
        <v>Triru-contig_168</v>
      </c>
      <c r="B541">
        <v>1</v>
      </c>
      <c r="C541" t="str">
        <f>HYPERLINK("http://exon.niaid.nih.gov/transcriptome/T_rubida/S1/links/Triru/Triru-5-48-asb-168.txt","Contig-168")</f>
        <v>Contig-168</v>
      </c>
      <c r="D541" t="str">
        <f>HYPERLINK("http://exon.niaid.nih.gov/transcriptome/T_rubida/S1/links/Triru/Triru-5-48-168-CLU.txt","Contig168")</f>
        <v>Contig168</v>
      </c>
      <c r="E541" t="str">
        <f>HYPERLINK("http://exon.niaid.nih.gov/transcriptome/T_rubida/S1/links/Triru/Triru-5-48-168-qual.txt","49.8")</f>
        <v>49.8</v>
      </c>
      <c r="F541" t="s">
        <v>10</v>
      </c>
      <c r="G541">
        <v>66.599999999999994</v>
      </c>
      <c r="H541">
        <v>409</v>
      </c>
      <c r="I541" t="s">
        <v>180</v>
      </c>
      <c r="J541">
        <v>409</v>
      </c>
      <c r="K541">
        <v>428</v>
      </c>
      <c r="L541">
        <v>240</v>
      </c>
      <c r="M541" t="s">
        <v>5576</v>
      </c>
      <c r="N541" s="15">
        <v>3</v>
      </c>
      <c r="Q541" s="5" t="s">
        <v>4827</v>
      </c>
      <c r="R541" t="s">
        <v>4828</v>
      </c>
      <c r="V541" s="1" t="str">
        <f>HYPERLINK("http://exon.niaid.nih.gov/transcriptome/T_rubida/S1/links/NR/Triru-contig_168-NR.txt","predicted protein")</f>
        <v>predicted protein</v>
      </c>
      <c r="W541" t="str">
        <f>HYPERLINK("http://www.ncbi.nlm.nih.gov/sutils/blink.cgi?pid=290973911","20")</f>
        <v>20</v>
      </c>
      <c r="X541" t="str">
        <f>HYPERLINK("http://www.ncbi.nlm.nih.gov/protein/290973911","gi|290973911")</f>
        <v>gi|290973911</v>
      </c>
      <c r="Y541">
        <v>32.700000000000003</v>
      </c>
      <c r="Z541">
        <v>77</v>
      </c>
      <c r="AA541">
        <v>111</v>
      </c>
      <c r="AB541">
        <v>26</v>
      </c>
      <c r="AC541">
        <v>70</v>
      </c>
      <c r="AD541">
        <v>57</v>
      </c>
      <c r="AE541">
        <v>2</v>
      </c>
      <c r="AF541">
        <v>27</v>
      </c>
      <c r="AG541">
        <v>129</v>
      </c>
      <c r="AH541">
        <v>1</v>
      </c>
      <c r="AI541">
        <v>3</v>
      </c>
      <c r="AJ541" t="s">
        <v>11</v>
      </c>
      <c r="AK541">
        <v>2.597</v>
      </c>
      <c r="AL541" t="s">
        <v>1696</v>
      </c>
      <c r="AM541" t="s">
        <v>1697</v>
      </c>
      <c r="AN541" t="s">
        <v>1698</v>
      </c>
      <c r="AO541" s="1" t="str">
        <f>HYPERLINK("http://exon.niaid.nih.gov/transcriptome/T_rubida/S1/links/SWISSP/Triru-contig_168-SWISSP.txt","Auxin response factor 14")</f>
        <v>Auxin response factor 14</v>
      </c>
      <c r="AP541" t="str">
        <f>HYPERLINK("http://www.uniprot.org/uniprot/Q0DGS1","2.2")</f>
        <v>2.2</v>
      </c>
      <c r="AQ541" t="s">
        <v>1699</v>
      </c>
      <c r="AR541">
        <v>31.2</v>
      </c>
      <c r="AS541">
        <v>53</v>
      </c>
      <c r="AT541">
        <v>32</v>
      </c>
      <c r="AU541">
        <v>8</v>
      </c>
      <c r="AV541">
        <v>37</v>
      </c>
      <c r="AW541">
        <v>1</v>
      </c>
      <c r="AX541">
        <v>258</v>
      </c>
      <c r="AY541">
        <v>132</v>
      </c>
      <c r="AZ541">
        <v>1</v>
      </c>
      <c r="BA541">
        <v>3</v>
      </c>
      <c r="BB541" t="s">
        <v>11</v>
      </c>
      <c r="BC541">
        <v>1.887</v>
      </c>
      <c r="BD541" t="s">
        <v>704</v>
      </c>
      <c r="BE541" t="s">
        <v>1364</v>
      </c>
      <c r="BF541" t="s">
        <v>1700</v>
      </c>
      <c r="BG541" t="s">
        <v>1701</v>
      </c>
      <c r="BH541" s="1" t="s">
        <v>57</v>
      </c>
      <c r="BI541" t="s">
        <v>57</v>
      </c>
      <c r="BJ541" s="1" t="str">
        <f>HYPERLINK("http://exon.niaid.nih.gov/transcriptome/T_rubida/S1/links/CDD/Triru-contig_168-CDD.txt","Med5")</f>
        <v>Med5</v>
      </c>
      <c r="BK541" t="str">
        <f>HYPERLINK("http://www.ncbi.nlm.nih.gov/Structure/cdd/cddsrv.cgi?uid=pfam08689&amp;version=v4.0","0.24")</f>
        <v>0.24</v>
      </c>
      <c r="BL541" t="s">
        <v>1702</v>
      </c>
      <c r="BM541" s="1" t="str">
        <f>HYPERLINK("http://exon.niaid.nih.gov/transcriptome/T_rubida/S1/links/KOG/Triru-contig_168-KOG.txt","Transcription-coupled repair protein CSB/RAD26 (contains SNF2 family DNA-dependent ATPase domain)")</f>
        <v>Transcription-coupled repair protein CSB/RAD26 (contains SNF2 family DNA-dependent ATPase domain)</v>
      </c>
      <c r="BN541" t="str">
        <f>HYPERLINK("http://www.ncbi.nlm.nih.gov/COG/grace/shokog.cgi?KOG0387","0.49")</f>
        <v>0.49</v>
      </c>
      <c r="BO541" t="s">
        <v>1703</v>
      </c>
      <c r="BP541" s="1" t="str">
        <f>HYPERLINK("http://exon.niaid.nih.gov/transcriptome/T_rubida/S1/links/PFAM/Triru-contig_168-PFAM.txt","Med5")</f>
        <v>Med5</v>
      </c>
      <c r="BQ541" t="str">
        <f>HYPERLINK("http://pfam.sanger.ac.uk/family?acc=PF08689","0.052")</f>
        <v>0.052</v>
      </c>
      <c r="BR541" s="1" t="str">
        <f>HYPERLINK("http://exon.niaid.nih.gov/transcriptome/T_rubida/S1/links/SMART/Triru-contig_168-SMART.txt","PP2C_SIG")</f>
        <v>PP2C_SIG</v>
      </c>
      <c r="BS541" t="str">
        <f>HYPERLINK("http://smart.embl-heidelberg.de/smart/do_annotation.pl?DOMAIN=PP2C_SIG&amp;BLAST=DUMMY","0.25")</f>
        <v>0.25</v>
      </c>
      <c r="BT541" s="1" t="str">
        <f>HYPERLINK("http://exon.niaid.nih.gov/transcriptome/T_rubida/S1/links/PRK/Triru-contig_168-PRK.txt","magnesium-protoporphyrin IX monomethyl ester [oxidative] cyclase.")</f>
        <v>magnesium-protoporphyrin IX monomethyl ester [oxidative] cyclase.</v>
      </c>
      <c r="BU541">
        <v>0.2</v>
      </c>
      <c r="BV541" s="1" t="s">
        <v>57</v>
      </c>
      <c r="BW541" t="s">
        <v>57</v>
      </c>
      <c r="BX541" s="1" t="s">
        <v>57</v>
      </c>
      <c r="BY541" t="s">
        <v>57</v>
      </c>
    </row>
    <row r="542" spans="1:77">
      <c r="A542" t="str">
        <f>HYPERLINK("http://exon.niaid.nih.gov/transcriptome/T_rubida/S1/links/Triru/Triru-contig_615.txt","Triru-contig_615")</f>
        <v>Triru-contig_615</v>
      </c>
      <c r="B542">
        <v>1</v>
      </c>
      <c r="C542" t="str">
        <f>HYPERLINK("http://exon.niaid.nih.gov/transcriptome/T_rubida/S1/links/Triru/Triru-5-48-asb-615.txt","Contig-615")</f>
        <v>Contig-615</v>
      </c>
      <c r="D542" t="str">
        <f>HYPERLINK("http://exon.niaid.nih.gov/transcriptome/T_rubida/S1/links/Triru/Triru-5-48-615-CLU.txt","Contig615")</f>
        <v>Contig615</v>
      </c>
      <c r="E542" t="str">
        <f>HYPERLINK("http://exon.niaid.nih.gov/transcriptome/T_rubida/S1/links/Triru/Triru-5-48-615-qual.txt","54.3")</f>
        <v>54.3</v>
      </c>
      <c r="F542" t="s">
        <v>10</v>
      </c>
      <c r="G542">
        <v>68</v>
      </c>
      <c r="H542">
        <v>181</v>
      </c>
      <c r="I542" t="s">
        <v>627</v>
      </c>
      <c r="J542">
        <v>181</v>
      </c>
      <c r="K542">
        <v>200</v>
      </c>
      <c r="L542">
        <v>153</v>
      </c>
      <c r="M542" t="s">
        <v>5599</v>
      </c>
      <c r="N542" s="15">
        <v>3</v>
      </c>
      <c r="Q542" s="5" t="s">
        <v>4827</v>
      </c>
      <c r="R542" t="s">
        <v>4828</v>
      </c>
      <c r="V542" s="1" t="str">
        <f>HYPERLINK("http://exon.niaid.nih.gov/transcriptome/T_rubida/S1/links/NR/Triru-contig_615-NR.txt","Thebaine 6-O-demethylase gi|291264188|gb|ADD85329.1| thebaine 6-O-demethylase")</f>
        <v>Thebaine 6-O-demethylase gi|291264188|gb|ADD85329.1| thebaine 6-O-demethylase</v>
      </c>
      <c r="W542" t="str">
        <f>HYPERLINK("http://www.ncbi.nlm.nih.gov/sutils/blink.cgi?pid=313471275","20")</f>
        <v>20</v>
      </c>
      <c r="X542" t="str">
        <f>HYPERLINK("http://www.ncbi.nlm.nih.gov/protein/313471275","gi|313471275")</f>
        <v>gi|313471275</v>
      </c>
      <c r="Y542">
        <v>32.700000000000003</v>
      </c>
      <c r="Z542">
        <v>45</v>
      </c>
      <c r="AA542">
        <v>364</v>
      </c>
      <c r="AB542">
        <v>40</v>
      </c>
      <c r="AC542">
        <v>13</v>
      </c>
      <c r="AD542">
        <v>29</v>
      </c>
      <c r="AE542">
        <v>2</v>
      </c>
      <c r="AF542">
        <v>131</v>
      </c>
      <c r="AG542">
        <v>12</v>
      </c>
      <c r="AH542">
        <v>1</v>
      </c>
      <c r="AI542">
        <v>3</v>
      </c>
      <c r="AJ542" t="s">
        <v>11</v>
      </c>
      <c r="AL542" t="s">
        <v>4590</v>
      </c>
      <c r="AM542" t="s">
        <v>4591</v>
      </c>
      <c r="AN542" t="s">
        <v>4592</v>
      </c>
      <c r="AO542" s="1" t="str">
        <f>HYPERLINK("http://exon.niaid.nih.gov/transcriptome/T_rubida/S1/links/SWISSP/Triru-contig_615-SWISSP.txt","Thebaine 6-O-demethylase")</f>
        <v>Thebaine 6-O-demethylase</v>
      </c>
      <c r="AP542" t="str">
        <f>HYPERLINK("http://www.uniprot.org/uniprot/D4N500","0.74")</f>
        <v>0.74</v>
      </c>
      <c r="AQ542" t="s">
        <v>4593</v>
      </c>
      <c r="AR542">
        <v>32.700000000000003</v>
      </c>
      <c r="AS542">
        <v>45</v>
      </c>
      <c r="AT542">
        <v>40</v>
      </c>
      <c r="AU542">
        <v>13</v>
      </c>
      <c r="AV542">
        <v>29</v>
      </c>
      <c r="AW542">
        <v>2</v>
      </c>
      <c r="AX542">
        <v>131</v>
      </c>
      <c r="AY542">
        <v>12</v>
      </c>
      <c r="AZ542">
        <v>1</v>
      </c>
      <c r="BA542">
        <v>3</v>
      </c>
      <c r="BB542" t="s">
        <v>11</v>
      </c>
      <c r="BD542" t="s">
        <v>704</v>
      </c>
      <c r="BE542" t="s">
        <v>4590</v>
      </c>
      <c r="BF542" t="s">
        <v>4594</v>
      </c>
      <c r="BG542" t="s">
        <v>4595</v>
      </c>
      <c r="BH542" s="1" t="s">
        <v>57</v>
      </c>
      <c r="BI542" t="s">
        <v>57</v>
      </c>
      <c r="BJ542" s="1" t="str">
        <f>HYPERLINK("http://exon.niaid.nih.gov/transcriptome/T_rubida/S1/links/CDD/Triru-contig_615-CDD.txt","PLN02216")</f>
        <v>PLN02216</v>
      </c>
      <c r="BK542" t="str">
        <f>HYPERLINK("http://www.ncbi.nlm.nih.gov/Structure/cdd/cddsrv.cgi?uid=PLN02216&amp;version=v4.0","0.015")</f>
        <v>0.015</v>
      </c>
      <c r="BL542" t="s">
        <v>4596</v>
      </c>
      <c r="BM542" s="1" t="str">
        <f>HYPERLINK("http://exon.niaid.nih.gov/transcriptome/T_rubida/S1/links/KOG/Triru-contig_615-KOG.txt","Predicted protein kinase")</f>
        <v>Predicted protein kinase</v>
      </c>
      <c r="BN542" t="str">
        <f>HYPERLINK("http://www.ncbi.nlm.nih.gov/COG/grace/shokog.cgi?KOG3532","3.6")</f>
        <v>3.6</v>
      </c>
      <c r="BO542" t="s">
        <v>750</v>
      </c>
      <c r="BP542" s="1" t="str">
        <f>HYPERLINK("http://exon.niaid.nih.gov/transcriptome/T_rubida/S1/links/PFAM/Triru-contig_615-PFAM.txt","PAT1")</f>
        <v>PAT1</v>
      </c>
      <c r="BQ542" t="str">
        <f>HYPERLINK("http://pfam.sanger.ac.uk/family?acc=PF09770","0.40")</f>
        <v>0.40</v>
      </c>
      <c r="BR542" s="1" t="str">
        <f>HYPERLINK("http://exon.niaid.nih.gov/transcriptome/T_rubida/S1/links/SMART/Triru-contig_615-SMART.txt","MyTH4")</f>
        <v>MyTH4</v>
      </c>
      <c r="BS542" t="str">
        <f>HYPERLINK("http://smart.embl-heidelberg.de/smart/do_annotation.pl?DOMAIN=MyTH4&amp;BLAST=DUMMY","0.42")</f>
        <v>0.42</v>
      </c>
      <c r="BT542" s="1" t="str">
        <f>HYPERLINK("http://exon.niaid.nih.gov/transcriptome/T_rubida/S1/links/PRK/Triru-contig_615-PRK.txt","protein SRG1.")</f>
        <v>protein SRG1.</v>
      </c>
      <c r="BU542">
        <v>5.0000000000000001E-3</v>
      </c>
      <c r="BV542" s="1" t="s">
        <v>57</v>
      </c>
      <c r="BW542" t="s">
        <v>57</v>
      </c>
      <c r="BX542" s="1" t="s">
        <v>57</v>
      </c>
      <c r="BY542" t="s">
        <v>57</v>
      </c>
    </row>
    <row r="543" spans="1:77">
      <c r="A543" t="str">
        <f>HYPERLINK("http://exon.niaid.nih.gov/transcriptome/T_rubida/S1/links/Triru/Triru-contig_579.txt","Triru-contig_579")</f>
        <v>Triru-contig_579</v>
      </c>
      <c r="B543">
        <v>1</v>
      </c>
      <c r="C543" t="str">
        <f>HYPERLINK("http://exon.niaid.nih.gov/transcriptome/T_rubida/S1/links/Triru/Triru-5-48-asb-579.txt","Contig-579")</f>
        <v>Contig-579</v>
      </c>
      <c r="D543" t="str">
        <f>HYPERLINK("http://exon.niaid.nih.gov/transcriptome/T_rubida/S1/links/Triru/Triru-5-48-579-CLU.txt","Contig579")</f>
        <v>Contig579</v>
      </c>
      <c r="E543" t="str">
        <f>HYPERLINK("http://exon.niaid.nih.gov/transcriptome/T_rubida/S1/links/Triru/Triru-5-48-579-qual.txt","54.7")</f>
        <v>54.7</v>
      </c>
      <c r="F543" t="s">
        <v>10</v>
      </c>
      <c r="G543">
        <v>68.599999999999994</v>
      </c>
      <c r="H543">
        <v>185</v>
      </c>
      <c r="I543" t="s">
        <v>591</v>
      </c>
      <c r="J543">
        <v>185</v>
      </c>
      <c r="K543">
        <v>204</v>
      </c>
      <c r="L543">
        <v>120</v>
      </c>
      <c r="M543" t="s">
        <v>5602</v>
      </c>
      <c r="N543" s="15">
        <v>1</v>
      </c>
      <c r="Q543" s="5" t="s">
        <v>4827</v>
      </c>
      <c r="R543" t="s">
        <v>4828</v>
      </c>
      <c r="V543" s="1" t="str">
        <f>HYPERLINK("http://exon.niaid.nih.gov/transcriptome/T_rubida/S1/links/NR/Triru-contig_579-NR.txt","hypothetical protein")</f>
        <v>hypothetical protein</v>
      </c>
      <c r="W543" t="str">
        <f>HYPERLINK("http://www.ncbi.nlm.nih.gov/sutils/blink.cgi?pid=145528868","20")</f>
        <v>20</v>
      </c>
      <c r="X543" t="str">
        <f>HYPERLINK("http://www.ncbi.nlm.nih.gov/protein/145528868","gi|145528868")</f>
        <v>gi|145528868</v>
      </c>
      <c r="Y543">
        <v>32.700000000000003</v>
      </c>
      <c r="Z543">
        <v>43</v>
      </c>
      <c r="AA543">
        <v>3153</v>
      </c>
      <c r="AB543">
        <v>36</v>
      </c>
      <c r="AC543">
        <v>1</v>
      </c>
      <c r="AD543">
        <v>29</v>
      </c>
      <c r="AE543">
        <v>0</v>
      </c>
      <c r="AF543">
        <v>1239</v>
      </c>
      <c r="AG543">
        <v>6</v>
      </c>
      <c r="AH543">
        <v>1</v>
      </c>
      <c r="AI543">
        <v>3</v>
      </c>
      <c r="AJ543" t="s">
        <v>11</v>
      </c>
      <c r="AK543">
        <v>6.9770000000000003</v>
      </c>
      <c r="AL543" t="s">
        <v>1997</v>
      </c>
      <c r="AM543" t="s">
        <v>4382</v>
      </c>
      <c r="AN543" t="s">
        <v>4383</v>
      </c>
      <c r="AO543" s="1" t="str">
        <f>HYPERLINK("http://exon.niaid.nih.gov/transcriptome/T_rubida/S1/links/SWISSP/Triru-contig_579-SWISSP.txt","PAB-dependent poly(A)-specific ribonuclease subunit PAN2")</f>
        <v>PAB-dependent poly(A)-specific ribonuclease subunit PAN2</v>
      </c>
      <c r="AP543" t="str">
        <f>HYPERLINK("http://www.uniprot.org/uniprot/Q6FS70","89")</f>
        <v>89</v>
      </c>
      <c r="AQ543" t="s">
        <v>4384</v>
      </c>
      <c r="AR543">
        <v>25.8</v>
      </c>
      <c r="AS543">
        <v>45</v>
      </c>
      <c r="AT543">
        <v>32</v>
      </c>
      <c r="AU543">
        <v>4</v>
      </c>
      <c r="AV543">
        <v>31</v>
      </c>
      <c r="AW543">
        <v>1</v>
      </c>
      <c r="AX543">
        <v>773</v>
      </c>
      <c r="AY543">
        <v>13</v>
      </c>
      <c r="AZ543">
        <v>1</v>
      </c>
      <c r="BA543">
        <v>1</v>
      </c>
      <c r="BB543" t="s">
        <v>11</v>
      </c>
      <c r="BC543">
        <v>2.222</v>
      </c>
      <c r="BD543" t="s">
        <v>704</v>
      </c>
      <c r="BE543" t="s">
        <v>2848</v>
      </c>
      <c r="BF543" t="s">
        <v>4385</v>
      </c>
      <c r="BG543" t="s">
        <v>4386</v>
      </c>
      <c r="BH543" s="1" t="s">
        <v>57</v>
      </c>
      <c r="BI543" t="s">
        <v>57</v>
      </c>
      <c r="BJ543" s="1" t="str">
        <f>HYPERLINK("http://exon.niaid.nih.gov/transcriptome/T_rubida/S1/links/CDD/Triru-contig_579-CDD.txt","PTZ00404")</f>
        <v>PTZ00404</v>
      </c>
      <c r="BK543" t="str">
        <f>HYPERLINK("http://www.ncbi.nlm.nih.gov/Structure/cdd/cddsrv.cgi?uid=PTZ00404&amp;version=v4.0","0.33")</f>
        <v>0.33</v>
      </c>
      <c r="BL543" t="s">
        <v>4387</v>
      </c>
      <c r="BM543" s="1" t="str">
        <f>HYPERLINK("http://exon.niaid.nih.gov/transcriptome/T_rubida/S1/links/KOG/Triru-contig_579-KOG.txt","RNA polymerase II transcription initiation/nucleotide excision repair factor TFIIH, 3'-5' helicase subunit SSL2")</f>
        <v>RNA polymerase II transcription initiation/nucleotide excision repair factor TFIIH, 3'-5' helicase subunit SSL2</v>
      </c>
      <c r="BN543" t="str">
        <f>HYPERLINK("http://www.ncbi.nlm.nih.gov/COG/grace/shokog.cgi?KOG1123","2.8")</f>
        <v>2.8</v>
      </c>
      <c r="BO543" t="s">
        <v>1703</v>
      </c>
      <c r="BP543" s="1" t="str">
        <f>HYPERLINK("http://exon.niaid.nih.gov/transcriptome/T_rubida/S1/links/PFAM/Triru-contig_579-PFAM.txt","DUF28")</f>
        <v>DUF28</v>
      </c>
      <c r="BQ543" t="str">
        <f>HYPERLINK("http://pfam.sanger.ac.uk/family?acc=PF01709","0.35")</f>
        <v>0.35</v>
      </c>
      <c r="BR543" s="1" t="str">
        <f>HYPERLINK("http://exon.niaid.nih.gov/transcriptome/T_rubida/S1/links/SMART/Triru-contig_579-SMART.txt","WSN")</f>
        <v>WSN</v>
      </c>
      <c r="BS543" t="str">
        <f>HYPERLINK("http://smart.embl-heidelberg.de/smart/do_annotation.pl?DOMAIN=WSN&amp;BLAST=DUMMY","0.17")</f>
        <v>0.17</v>
      </c>
      <c r="BT543" s="1" t="str">
        <f>HYPERLINK("http://exon.niaid.nih.gov/transcriptome/T_rubida/S1/links/PRK/Triru-contig_579-PRK.txt","cytochrome P450")</f>
        <v>cytochrome P450</v>
      </c>
      <c r="BU543">
        <v>0.12</v>
      </c>
      <c r="BV543" s="1" t="s">
        <v>57</v>
      </c>
      <c r="BW543" t="s">
        <v>57</v>
      </c>
      <c r="BX543" s="1" t="s">
        <v>57</v>
      </c>
      <c r="BY543" t="s">
        <v>57</v>
      </c>
    </row>
    <row r="544" spans="1:77">
      <c r="A544" t="str">
        <f>HYPERLINK("http://exon.niaid.nih.gov/transcriptome/T_rubida/S1/links/Triru/Triru-contig_601.txt","Triru-contig_601")</f>
        <v>Triru-contig_601</v>
      </c>
      <c r="B544">
        <v>1</v>
      </c>
      <c r="C544" t="str">
        <f>HYPERLINK("http://exon.niaid.nih.gov/transcriptome/T_rubida/S1/links/Triru/Triru-5-48-asb-601.txt","Contig-601")</f>
        <v>Contig-601</v>
      </c>
      <c r="D544" t="str">
        <f>HYPERLINK("http://exon.niaid.nih.gov/transcriptome/T_rubida/S1/links/Triru/Triru-5-48-601-CLU.txt","Contig601")</f>
        <v>Contig601</v>
      </c>
      <c r="E544" t="str">
        <f>HYPERLINK("http://exon.niaid.nih.gov/transcriptome/T_rubida/S1/links/Triru/Triru-5-48-601-qual.txt","57.6")</f>
        <v>57.6</v>
      </c>
      <c r="F544" t="s">
        <v>10</v>
      </c>
      <c r="G544">
        <v>56</v>
      </c>
      <c r="H544">
        <v>106</v>
      </c>
      <c r="I544" t="s">
        <v>613</v>
      </c>
      <c r="J544">
        <v>106</v>
      </c>
      <c r="K544">
        <v>125</v>
      </c>
      <c r="L544">
        <v>87</v>
      </c>
      <c r="M544" t="s">
        <v>5687</v>
      </c>
      <c r="N544" s="15">
        <v>1</v>
      </c>
      <c r="Q544" s="5" t="s">
        <v>4827</v>
      </c>
      <c r="R544" t="s">
        <v>4828</v>
      </c>
      <c r="V544" s="1" t="str">
        <f>HYPERLINK("http://exon.niaid.nih.gov/transcriptome/T_rubida/S1/links/NR/Triru-contig_601-NR.txt","putative interleukin-4")</f>
        <v>putative interleukin-4</v>
      </c>
      <c r="W544" t="str">
        <f>HYPERLINK("http://www.ncbi.nlm.nih.gov/sutils/blink.cgi?pid=339262160","20")</f>
        <v>20</v>
      </c>
      <c r="X544" t="str">
        <f>HYPERLINK("http://www.ncbi.nlm.nih.gov/protein/339262160","gi|339262160")</f>
        <v>gi|339262160</v>
      </c>
      <c r="Y544">
        <v>32.700000000000003</v>
      </c>
      <c r="Z544">
        <v>20</v>
      </c>
      <c r="AA544">
        <v>102</v>
      </c>
      <c r="AB544">
        <v>71</v>
      </c>
      <c r="AC544">
        <v>21</v>
      </c>
      <c r="AD544">
        <v>6</v>
      </c>
      <c r="AE544">
        <v>0</v>
      </c>
      <c r="AF544">
        <v>33</v>
      </c>
      <c r="AG544">
        <v>9</v>
      </c>
      <c r="AH544">
        <v>1</v>
      </c>
      <c r="AI544">
        <v>3</v>
      </c>
      <c r="AJ544" t="s">
        <v>11</v>
      </c>
      <c r="AL544" t="s">
        <v>2492</v>
      </c>
      <c r="AM544" t="s">
        <v>4500</v>
      </c>
      <c r="AN544" t="s">
        <v>4501</v>
      </c>
      <c r="AO544" s="1" t="str">
        <f>HYPERLINK("http://exon.niaid.nih.gov/transcriptome/T_rubida/S1/links/SWISSP/Triru-contig_601-SWISSP.txt","Flagellar biosynthetic protein flhB")</f>
        <v>Flagellar biosynthetic protein flhB</v>
      </c>
      <c r="AP544" t="str">
        <f>HYPERLINK("http://www.uniprot.org/uniprot/Q56886","53")</f>
        <v>53</v>
      </c>
      <c r="AQ544" t="s">
        <v>4502</v>
      </c>
      <c r="AR544">
        <v>26.6</v>
      </c>
      <c r="AS544">
        <v>25</v>
      </c>
      <c r="AT544">
        <v>51</v>
      </c>
      <c r="AU544">
        <v>7</v>
      </c>
      <c r="AV544">
        <v>13</v>
      </c>
      <c r="AW544">
        <v>0</v>
      </c>
      <c r="AX544">
        <v>108</v>
      </c>
      <c r="AY544">
        <v>1</v>
      </c>
      <c r="AZ544">
        <v>1</v>
      </c>
      <c r="BA544">
        <v>1</v>
      </c>
      <c r="BB544" t="s">
        <v>11</v>
      </c>
      <c r="BD544" t="s">
        <v>704</v>
      </c>
      <c r="BE544" t="s">
        <v>4503</v>
      </c>
      <c r="BF544" t="s">
        <v>4504</v>
      </c>
      <c r="BG544" t="s">
        <v>4505</v>
      </c>
      <c r="BH544" s="1" t="s">
        <v>57</v>
      </c>
      <c r="BI544" t="s">
        <v>57</v>
      </c>
      <c r="BJ544" s="1" t="str">
        <f>HYPERLINK("http://exon.niaid.nih.gov/transcriptome/T_rubida/S1/links/CDD/Triru-contig_601-CDD.txt","PRK01175")</f>
        <v>PRK01175</v>
      </c>
      <c r="BK544" t="str">
        <f>HYPERLINK("http://www.ncbi.nlm.nih.gov/Structure/cdd/cddsrv.cgi?uid=PRK01175&amp;version=v4.0","1.1")</f>
        <v>1.1</v>
      </c>
      <c r="BL544" t="s">
        <v>4506</v>
      </c>
      <c r="BM544" s="1" t="str">
        <f>HYPERLINK("http://exon.niaid.nih.gov/transcriptome/T_rubida/S1/links/KOG/Triru-contig_601-KOG.txt","Signal recognition particle, subunit Srp72")</f>
        <v>Signal recognition particle, subunit Srp72</v>
      </c>
      <c r="BN544" t="str">
        <f>HYPERLINK("http://www.ncbi.nlm.nih.gov/COG/grace/shokog.cgi?KOG2376","1.9")</f>
        <v>1.9</v>
      </c>
      <c r="BO544" t="s">
        <v>1082</v>
      </c>
      <c r="BP544" s="1" t="str">
        <f>HYPERLINK("http://exon.niaid.nih.gov/transcriptome/T_rubida/S1/links/PFAM/Triru-contig_601-PFAM.txt","CLASP_N")</f>
        <v>CLASP_N</v>
      </c>
      <c r="BQ544" t="str">
        <f>HYPERLINK("http://pfam.sanger.ac.uk/family?acc=PF12348","5.0")</f>
        <v>5.0</v>
      </c>
      <c r="BR544" s="1" t="str">
        <f>HYPERLINK("http://exon.niaid.nih.gov/transcriptome/T_rubida/S1/links/SMART/Triru-contig_601-SMART.txt","PKS_ER")</f>
        <v>PKS_ER</v>
      </c>
      <c r="BS544" t="str">
        <f>HYPERLINK("http://smart.embl-heidelberg.de/smart/do_annotation.pl?DOMAIN=PKS_ER&amp;BLAST=DUMMY","0.96")</f>
        <v>0.96</v>
      </c>
      <c r="BT544" s="1" t="str">
        <f>HYPERLINK("http://exon.niaid.nih.gov/transcriptome/T_rubida/S1/links/PRK/Triru-contig_601-PRK.txt","phosphoribosylformylglycinamidine synthase I")</f>
        <v>phosphoribosylformylglycinamidine synthase I</v>
      </c>
      <c r="BU544">
        <v>0.42</v>
      </c>
      <c r="BV544" s="1" t="s">
        <v>57</v>
      </c>
      <c r="BW544" t="s">
        <v>57</v>
      </c>
      <c r="BX544" s="1" t="s">
        <v>57</v>
      </c>
      <c r="BY544" t="s">
        <v>57</v>
      </c>
    </row>
    <row r="545" spans="1:77">
      <c r="A545" t="str">
        <f>HYPERLINK("http://exon.niaid.nih.gov/transcriptome/T_rubida/S1/links/Triru/Triru-contig_436.txt","Triru-contig_436")</f>
        <v>Triru-contig_436</v>
      </c>
      <c r="B545">
        <v>1</v>
      </c>
      <c r="C545" t="str">
        <f>HYPERLINK("http://exon.niaid.nih.gov/transcriptome/T_rubida/S1/links/Triru/Triru-5-48-asb-436.txt","Contig-436")</f>
        <v>Contig-436</v>
      </c>
      <c r="D545" t="str">
        <f>HYPERLINK("http://exon.niaid.nih.gov/transcriptome/T_rubida/S1/links/Triru/Triru-5-48-436-CLU.txt","Contig436")</f>
        <v>Contig436</v>
      </c>
      <c r="E545" t="str">
        <f>HYPERLINK("http://exon.niaid.nih.gov/transcriptome/T_rubida/S1/links/Triru/Triru-5-48-436-qual.txt","35.8")</f>
        <v>35.8</v>
      </c>
      <c r="F545" t="s">
        <v>10</v>
      </c>
      <c r="G545">
        <v>66.7</v>
      </c>
      <c r="H545">
        <v>819</v>
      </c>
      <c r="I545" t="s">
        <v>448</v>
      </c>
      <c r="J545">
        <v>819</v>
      </c>
      <c r="K545">
        <v>838</v>
      </c>
      <c r="L545">
        <v>219</v>
      </c>
      <c r="M545" t="s">
        <v>5445</v>
      </c>
      <c r="N545" s="15">
        <v>2</v>
      </c>
      <c r="O545" s="14" t="str">
        <f>HYPERLINK("http://exon.niaid.nih.gov/transcriptome/T_rubida/S1/links/Sigp/TRIRU-CONTIG_436-SigP.txt","Cyt")</f>
        <v>Cyt</v>
      </c>
      <c r="Q545" s="5" t="s">
        <v>4827</v>
      </c>
      <c r="R545" t="s">
        <v>4828</v>
      </c>
      <c r="V545" s="1" t="str">
        <f>HYPERLINK("http://exon.niaid.nih.gov/transcriptome/T_rubida/S1/links/NR/Triru-contig_436-NR.txt","unnamed protein product")</f>
        <v>unnamed protein product</v>
      </c>
      <c r="W545" t="str">
        <f>HYPERLINK("http://www.ncbi.nlm.nih.gov/sutils/blink.cgi?pid=83775621","23")</f>
        <v>23</v>
      </c>
      <c r="X545" t="str">
        <f>HYPERLINK("http://www.ncbi.nlm.nih.gov/protein/83775621","gi|83775621")</f>
        <v>gi|83775621</v>
      </c>
      <c r="Y545">
        <v>34.299999999999997</v>
      </c>
      <c r="Z545">
        <v>42</v>
      </c>
      <c r="AA545">
        <v>243</v>
      </c>
      <c r="AB545">
        <v>41</v>
      </c>
      <c r="AC545">
        <v>18</v>
      </c>
      <c r="AD545">
        <v>25</v>
      </c>
      <c r="AE545">
        <v>0</v>
      </c>
      <c r="AF545">
        <v>201</v>
      </c>
      <c r="AG545">
        <v>588</v>
      </c>
      <c r="AH545">
        <v>1</v>
      </c>
      <c r="AI545">
        <v>3</v>
      </c>
      <c r="AJ545" t="s">
        <v>11</v>
      </c>
      <c r="AL545" t="s">
        <v>3428</v>
      </c>
      <c r="AM545" t="s">
        <v>3429</v>
      </c>
      <c r="AN545" t="s">
        <v>3430</v>
      </c>
      <c r="AO545" s="1" t="str">
        <f>HYPERLINK("http://exon.niaid.nih.gov/transcriptome/T_rubida/S1/links/SWISSP/Triru-contig_436-SWISSP.txt","50S ribosomal protein L28, chloroplastic")</f>
        <v>50S ribosomal protein L28, chloroplastic</v>
      </c>
      <c r="AP545" t="str">
        <f>HYPERLINK("http://www.uniprot.org/uniprot/O22795","7.1")</f>
        <v>7.1</v>
      </c>
      <c r="AQ545" t="s">
        <v>3431</v>
      </c>
      <c r="AR545">
        <v>31.6</v>
      </c>
      <c r="AS545">
        <v>62</v>
      </c>
      <c r="AT545">
        <v>30</v>
      </c>
      <c r="AU545">
        <v>44</v>
      </c>
      <c r="AV545">
        <v>44</v>
      </c>
      <c r="AW545">
        <v>0</v>
      </c>
      <c r="AX545">
        <v>52</v>
      </c>
      <c r="AY545">
        <v>183</v>
      </c>
      <c r="AZ545">
        <v>1</v>
      </c>
      <c r="BA545">
        <v>3</v>
      </c>
      <c r="BB545" t="s">
        <v>11</v>
      </c>
      <c r="BC545">
        <v>6.452</v>
      </c>
      <c r="BD545" t="s">
        <v>704</v>
      </c>
      <c r="BE545" t="s">
        <v>906</v>
      </c>
      <c r="BF545" t="s">
        <v>3432</v>
      </c>
      <c r="BG545" t="s">
        <v>3433</v>
      </c>
      <c r="BH545" s="1" t="s">
        <v>57</v>
      </c>
      <c r="BI545" t="s">
        <v>57</v>
      </c>
      <c r="BJ545" s="1" t="str">
        <f>HYPERLINK("http://exon.niaid.nih.gov/transcriptome/T_rubida/S1/links/CDD/Triru-contig_436-CDD.txt","recf")</f>
        <v>recf</v>
      </c>
      <c r="BK545" t="str">
        <f>HYPERLINK("http://www.ncbi.nlm.nih.gov/Structure/cdd/cddsrv.cgi?uid=TIGR00611&amp;version=v4.0","0.65")</f>
        <v>0.65</v>
      </c>
      <c r="BL545" t="s">
        <v>3434</v>
      </c>
      <c r="BM545" s="1" t="str">
        <f>HYPERLINK("http://exon.niaid.nih.gov/transcriptome/T_rubida/S1/links/KOG/Triru-contig_436-KOG.txt","Predicted acyltransferase")</f>
        <v>Predicted acyltransferase</v>
      </c>
      <c r="BN545" t="str">
        <f>HYPERLINK("http://www.ncbi.nlm.nih.gov/COG/grace/shokog.cgi?KOG3700","0.37")</f>
        <v>0.37</v>
      </c>
      <c r="BO545" t="s">
        <v>750</v>
      </c>
      <c r="BP545" s="1" t="str">
        <f>HYPERLINK("http://exon.niaid.nih.gov/transcriptome/T_rubida/S1/links/PFAM/Triru-contig_436-PFAM.txt","DUF63")</f>
        <v>DUF63</v>
      </c>
      <c r="BQ545" t="str">
        <f>HYPERLINK("http://pfam.sanger.ac.uk/family?acc=PF01889","0.24")</f>
        <v>0.24</v>
      </c>
      <c r="BR545" s="1" t="str">
        <f>HYPERLINK("http://exon.niaid.nih.gov/transcriptome/T_rubida/S1/links/SMART/Triru-contig_436-SMART.txt","ACTIN")</f>
        <v>ACTIN</v>
      </c>
      <c r="BS545" t="str">
        <f>HYPERLINK("http://smart.embl-heidelberg.de/smart/do_annotation.pl?DOMAIN=ACTIN&amp;BLAST=DUMMY","0.24")</f>
        <v>0.24</v>
      </c>
      <c r="BT545" s="1" t="str">
        <f>HYPERLINK("http://exon.niaid.nih.gov/transcriptome/T_rubida/S1/links/PRK/Triru-contig_436-PRK.txt","bifunctional dihydrofolate reductase-thymidylate synthase")</f>
        <v>bifunctional dihydrofolate reductase-thymidylate synthase</v>
      </c>
      <c r="BU545">
        <v>0.74</v>
      </c>
      <c r="BV545" s="1" t="s">
        <v>57</v>
      </c>
      <c r="BW545" t="s">
        <v>57</v>
      </c>
      <c r="BX545" s="1" t="s">
        <v>57</v>
      </c>
      <c r="BY545" t="s">
        <v>57</v>
      </c>
    </row>
    <row r="546" spans="1:77">
      <c r="A546" t="str">
        <f>HYPERLINK("http://exon.niaid.nih.gov/transcriptome/T_rubida/S1/links/Triru/Triru-contig_429.txt","Triru-contig_429")</f>
        <v>Triru-contig_429</v>
      </c>
      <c r="B546">
        <v>1</v>
      </c>
      <c r="C546" t="str">
        <f>HYPERLINK("http://exon.niaid.nih.gov/transcriptome/T_rubida/S1/links/Triru/Triru-5-48-asb-429.txt","Contig-429")</f>
        <v>Contig-429</v>
      </c>
      <c r="D546" t="str">
        <f>HYPERLINK("http://exon.niaid.nih.gov/transcriptome/T_rubida/S1/links/Triru/Triru-5-48-429-CLU.txt","Contig429")</f>
        <v>Contig429</v>
      </c>
      <c r="E546" t="str">
        <f>HYPERLINK("http://exon.niaid.nih.gov/transcriptome/T_rubida/S1/links/Triru/Triru-5-48-429-qual.txt","15.3")</f>
        <v>15.3</v>
      </c>
      <c r="F546" t="s">
        <v>10</v>
      </c>
      <c r="G546">
        <v>62.2</v>
      </c>
      <c r="H546">
        <v>565</v>
      </c>
      <c r="I546" t="s">
        <v>441</v>
      </c>
      <c r="J546">
        <v>565</v>
      </c>
      <c r="K546">
        <v>584</v>
      </c>
      <c r="L546">
        <v>201</v>
      </c>
      <c r="M546" t="s">
        <v>5592</v>
      </c>
      <c r="N546" s="15">
        <v>2</v>
      </c>
      <c r="Q546" s="5" t="s">
        <v>4827</v>
      </c>
      <c r="R546" t="s">
        <v>4828</v>
      </c>
      <c r="V546" s="1" t="str">
        <f>HYPERLINK("http://exon.niaid.nih.gov/transcriptome/T_rubida/S1/links/NR/Triru-contig_429-NR.txt","sulfatase")</f>
        <v>sulfatase</v>
      </c>
      <c r="W546" t="str">
        <f>HYPERLINK("http://www.ncbi.nlm.nih.gov/sutils/blink.cgi?pid=334145280","23")</f>
        <v>23</v>
      </c>
      <c r="X546" t="str">
        <f>HYPERLINK("http://www.ncbi.nlm.nih.gov/protein/334145280","gi|334145280")</f>
        <v>gi|334145280</v>
      </c>
      <c r="Y546">
        <v>33.1</v>
      </c>
      <c r="Z546">
        <v>36</v>
      </c>
      <c r="AA546">
        <v>785</v>
      </c>
      <c r="AB546">
        <v>45</v>
      </c>
      <c r="AC546">
        <v>5</v>
      </c>
      <c r="AD546">
        <v>20</v>
      </c>
      <c r="AE546">
        <v>0</v>
      </c>
      <c r="AF546">
        <v>132</v>
      </c>
      <c r="AG546">
        <v>142</v>
      </c>
      <c r="AH546">
        <v>1</v>
      </c>
      <c r="AI546">
        <v>1</v>
      </c>
      <c r="AJ546" t="s">
        <v>11</v>
      </c>
      <c r="AK546">
        <v>2.778</v>
      </c>
      <c r="AL546" t="s">
        <v>3386</v>
      </c>
      <c r="AM546" t="s">
        <v>3387</v>
      </c>
      <c r="AN546" t="s">
        <v>3388</v>
      </c>
      <c r="AO546" s="1" t="str">
        <f>HYPERLINK("http://exon.niaid.nih.gov/transcriptome/T_rubida/S1/links/SWISSP/Triru-contig_429-SWISSP.txt","Uncharacterized protein KIAA1908")</f>
        <v>Uncharacterized protein KIAA1908</v>
      </c>
      <c r="AP546" t="str">
        <f>HYPERLINK("http://www.uniprot.org/uniprot/Q96PY0","14")</f>
        <v>14</v>
      </c>
      <c r="AQ546" t="s">
        <v>3389</v>
      </c>
      <c r="AR546">
        <v>29.6</v>
      </c>
      <c r="AS546">
        <v>39</v>
      </c>
      <c r="AT546">
        <v>32</v>
      </c>
      <c r="AU546">
        <v>15</v>
      </c>
      <c r="AV546">
        <v>27</v>
      </c>
      <c r="AW546">
        <v>6</v>
      </c>
      <c r="AX546">
        <v>9</v>
      </c>
      <c r="AY546">
        <v>374</v>
      </c>
      <c r="AZ546">
        <v>1</v>
      </c>
      <c r="BA546">
        <v>2</v>
      </c>
      <c r="BB546" t="s">
        <v>11</v>
      </c>
      <c r="BD546" t="s">
        <v>704</v>
      </c>
      <c r="BE546" t="s">
        <v>1233</v>
      </c>
      <c r="BF546" t="s">
        <v>3390</v>
      </c>
      <c r="BG546" t="s">
        <v>3391</v>
      </c>
      <c r="BH546" s="1" t="s">
        <v>57</v>
      </c>
      <c r="BI546" t="s">
        <v>57</v>
      </c>
      <c r="BJ546" s="1" t="str">
        <f>HYPERLINK("http://exon.niaid.nih.gov/transcriptome/T_rubida/S1/links/CDD/Triru-contig_429-CDD.txt","RplO")</f>
        <v>RplO</v>
      </c>
      <c r="BK546" t="str">
        <f>HYPERLINK("http://www.ncbi.nlm.nih.gov/Structure/cdd/cddsrv.cgi?uid=COG0200&amp;version=v4.0","1.00")</f>
        <v>1.00</v>
      </c>
      <c r="BL546" t="s">
        <v>3392</v>
      </c>
      <c r="BM546" s="1" t="str">
        <f>HYPERLINK("http://exon.niaid.nih.gov/transcriptome/T_rubida/S1/links/KOG/Triru-contig_429-KOG.txt","CDP-diacylglycerol synthase")</f>
        <v>CDP-diacylglycerol synthase</v>
      </c>
      <c r="BN546" t="str">
        <f>HYPERLINK("http://www.ncbi.nlm.nih.gov/COG/grace/shokog.cgi?KOG1440","0.55")</f>
        <v>0.55</v>
      </c>
      <c r="BO546" t="s">
        <v>709</v>
      </c>
      <c r="BP546" s="1" t="str">
        <f>HYPERLINK("http://exon.niaid.nih.gov/transcriptome/T_rubida/S1/links/PFAM/Triru-contig_429-PFAM.txt","DUF1853")</f>
        <v>DUF1853</v>
      </c>
      <c r="BQ546" t="str">
        <f>HYPERLINK("http://pfam.sanger.ac.uk/family?acc=PF08907","0.50")</f>
        <v>0.50</v>
      </c>
      <c r="BR546" s="1" t="str">
        <f>HYPERLINK("http://exon.niaid.nih.gov/transcriptome/T_rubida/S1/links/SMART/Triru-contig_429-SMART.txt","Agglutinin")</f>
        <v>Agglutinin</v>
      </c>
      <c r="BS546" t="str">
        <f>HYPERLINK("http://smart.embl-heidelberg.de/smart/do_annotation.pl?DOMAIN=Agglutinin&amp;BLAST=DUMMY","0.32")</f>
        <v>0.32</v>
      </c>
      <c r="BT546" s="1" t="str">
        <f>HYPERLINK("http://exon.niaid.nih.gov/transcriptome/T_rubida/S1/links/PRK/Triru-contig_429-PRK.txt","double-strand RNA-binding protein")</f>
        <v>double-strand RNA-binding protein</v>
      </c>
      <c r="BU546">
        <v>1.6</v>
      </c>
      <c r="BV546" s="1" t="s">
        <v>57</v>
      </c>
      <c r="BW546" t="s">
        <v>57</v>
      </c>
      <c r="BX546" s="1" t="s">
        <v>57</v>
      </c>
      <c r="BY546" t="s">
        <v>57</v>
      </c>
    </row>
    <row r="547" spans="1:77">
      <c r="A547" t="str">
        <f>HYPERLINK("http://exon.niaid.nih.gov/transcriptome/T_rubida/S1/links/Triru/Triru-contig_267.txt","Triru-contig_267")</f>
        <v>Triru-contig_267</v>
      </c>
      <c r="B547">
        <v>1</v>
      </c>
      <c r="C547" t="str">
        <f>HYPERLINK("http://exon.niaid.nih.gov/transcriptome/T_rubida/S1/links/Triru/Triru-5-48-asb-267.txt","Contig-267")</f>
        <v>Contig-267</v>
      </c>
      <c r="D547" t="str">
        <f>HYPERLINK("http://exon.niaid.nih.gov/transcriptome/T_rubida/S1/links/Triru/Triru-5-48-267-CLU.txt","Contig267")</f>
        <v>Contig267</v>
      </c>
      <c r="E547" t="str">
        <f>HYPERLINK("http://exon.niaid.nih.gov/transcriptome/T_rubida/S1/links/Triru/Triru-5-48-267-qual.txt","47.5")</f>
        <v>47.5</v>
      </c>
      <c r="F547" t="s">
        <v>10</v>
      </c>
      <c r="G547">
        <v>63.3</v>
      </c>
      <c r="H547">
        <v>161</v>
      </c>
      <c r="I547" t="s">
        <v>279</v>
      </c>
      <c r="J547">
        <v>161</v>
      </c>
      <c r="K547">
        <v>180</v>
      </c>
      <c r="L547">
        <v>126</v>
      </c>
      <c r="M547" t="s">
        <v>5516</v>
      </c>
      <c r="N547" s="15">
        <v>3</v>
      </c>
      <c r="Q547" s="5" t="s">
        <v>4827</v>
      </c>
      <c r="R547" t="s">
        <v>4828</v>
      </c>
      <c r="V547" s="1" t="str">
        <f>HYPERLINK("http://exon.niaid.nih.gov/transcriptome/T_rubida/S1/links/NR/Triru-contig_267-NR.txt","hypothetical protein")</f>
        <v>hypothetical protein</v>
      </c>
      <c r="W547" t="str">
        <f>HYPERLINK("http://www.ncbi.nlm.nih.gov/sutils/blink.cgi?pid=67466890","25")</f>
        <v>25</v>
      </c>
      <c r="X547" t="str">
        <f>HYPERLINK("http://www.ncbi.nlm.nih.gov/protein/67466890","gi|67466890")</f>
        <v>gi|67466890</v>
      </c>
      <c r="Y547">
        <v>32.299999999999997</v>
      </c>
      <c r="Z547">
        <v>41</v>
      </c>
      <c r="AA547">
        <v>412</v>
      </c>
      <c r="AB547">
        <v>38</v>
      </c>
      <c r="AC547">
        <v>10</v>
      </c>
      <c r="AD547">
        <v>26</v>
      </c>
      <c r="AE547">
        <v>1</v>
      </c>
      <c r="AF547">
        <v>36</v>
      </c>
      <c r="AG547">
        <v>21</v>
      </c>
      <c r="AH547">
        <v>1</v>
      </c>
      <c r="AI547">
        <v>3</v>
      </c>
      <c r="AJ547" t="s">
        <v>11</v>
      </c>
      <c r="AK547">
        <v>2.4390000000000001</v>
      </c>
      <c r="AL547" t="s">
        <v>2272</v>
      </c>
      <c r="AM547" t="s">
        <v>2273</v>
      </c>
      <c r="AN547" t="s">
        <v>2274</v>
      </c>
      <c r="AO547" s="1" t="str">
        <f>HYPERLINK("http://exon.niaid.nih.gov/transcriptome/T_rubida/S1/links/SWISSP/Triru-contig_267-SWISSP.txt","Protein U90")</f>
        <v>Protein U90</v>
      </c>
      <c r="AP547" t="str">
        <f>HYPERLINK("http://www.uniprot.org/uniprot/Q77PU6","30")</f>
        <v>30</v>
      </c>
      <c r="AQ547" t="s">
        <v>2275</v>
      </c>
      <c r="AR547">
        <v>27.3</v>
      </c>
      <c r="AS547">
        <v>18</v>
      </c>
      <c r="AT547">
        <v>57</v>
      </c>
      <c r="AU547">
        <v>2</v>
      </c>
      <c r="AV547">
        <v>8</v>
      </c>
      <c r="AW547">
        <v>0</v>
      </c>
      <c r="AX547">
        <v>462</v>
      </c>
      <c r="AY547">
        <v>19</v>
      </c>
      <c r="AZ547">
        <v>1</v>
      </c>
      <c r="BA547">
        <v>1</v>
      </c>
      <c r="BB547" t="s">
        <v>11</v>
      </c>
      <c r="BD547" t="s">
        <v>704</v>
      </c>
      <c r="BE547" t="s">
        <v>2276</v>
      </c>
      <c r="BF547" t="s">
        <v>2277</v>
      </c>
      <c r="BG547" t="s">
        <v>2278</v>
      </c>
      <c r="BH547" s="1" t="s">
        <v>57</v>
      </c>
      <c r="BI547" t="s">
        <v>57</v>
      </c>
      <c r="BJ547" s="1" t="str">
        <f>HYPERLINK("http://exon.niaid.nih.gov/transcriptome/T_rubida/S1/links/CDD/Triru-contig_267-CDD.txt","PLN02715")</f>
        <v>PLN02715</v>
      </c>
      <c r="BK547" t="str">
        <f>HYPERLINK("http://www.ncbi.nlm.nih.gov/Structure/cdd/cddsrv.cgi?uid=PLN02715&amp;version=v4.0","0.52")</f>
        <v>0.52</v>
      </c>
      <c r="BL547" t="s">
        <v>2279</v>
      </c>
      <c r="BM547" s="1" t="str">
        <f>HYPERLINK("http://exon.niaid.nih.gov/transcriptome/T_rubida/S1/links/KOG/Triru-contig_267-KOG.txt","DNA replication licensing factor, MCM3 component")</f>
        <v>DNA replication licensing factor, MCM3 component</v>
      </c>
      <c r="BN547" t="str">
        <f>HYPERLINK("http://www.ncbi.nlm.nih.gov/COG/grace/shokog.cgi?KOG0479","1.3")</f>
        <v>1.3</v>
      </c>
      <c r="BO547" t="s">
        <v>785</v>
      </c>
      <c r="BP547" s="1" t="str">
        <f>HYPERLINK("http://exon.niaid.nih.gov/transcriptome/T_rubida/S1/links/PFAM/Triru-contig_267-PFAM.txt","IgaA")</f>
        <v>IgaA</v>
      </c>
      <c r="BQ547" t="str">
        <f>HYPERLINK("http://pfam.sanger.ac.uk/family?acc=PF07095","1.1")</f>
        <v>1.1</v>
      </c>
      <c r="BR547" s="1" t="str">
        <f>HYPERLINK("http://exon.niaid.nih.gov/transcriptome/T_rubida/S1/links/SMART/Triru-contig_267-SMART.txt","MCM")</f>
        <v>MCM</v>
      </c>
      <c r="BS547" t="str">
        <f>HYPERLINK("http://smart.embl-heidelberg.de/smart/do_annotation.pl?DOMAIN=MCM&amp;BLAST=DUMMY","0.073")</f>
        <v>0.073</v>
      </c>
      <c r="BT547" s="1" t="str">
        <f>HYPERLINK("http://exon.niaid.nih.gov/transcriptome/T_rubida/S1/links/PRK/Triru-contig_267-PRK.txt","lipid phosphate phosphatase.")</f>
        <v>lipid phosphate phosphatase.</v>
      </c>
      <c r="BU547">
        <v>0.19</v>
      </c>
      <c r="BV547" s="1" t="s">
        <v>57</v>
      </c>
      <c r="BW547" t="s">
        <v>57</v>
      </c>
      <c r="BX547" s="1" t="s">
        <v>57</v>
      </c>
      <c r="BY547" t="s">
        <v>57</v>
      </c>
    </row>
    <row r="548" spans="1:77">
      <c r="A548" t="str">
        <f>HYPERLINK("http://exon.niaid.nih.gov/transcriptome/T_rubida/S1/links/Triru/Triru-contig_261.txt","Triru-contig_261")</f>
        <v>Triru-contig_261</v>
      </c>
      <c r="B548">
        <v>1</v>
      </c>
      <c r="C548" t="str">
        <f>HYPERLINK("http://exon.niaid.nih.gov/transcriptome/T_rubida/S1/links/Triru/Triru-5-48-asb-261.txt","Contig-261")</f>
        <v>Contig-261</v>
      </c>
      <c r="D548" t="str">
        <f>HYPERLINK("http://exon.niaid.nih.gov/transcriptome/T_rubida/S1/links/Triru/Triru-5-48-261-CLU.txt","Contig261")</f>
        <v>Contig261</v>
      </c>
      <c r="E548" t="str">
        <f>HYPERLINK("http://exon.niaid.nih.gov/transcriptome/T_rubida/S1/links/Triru/Triru-5-48-261-qual.txt","64.1")</f>
        <v>64.1</v>
      </c>
      <c r="F548" t="s">
        <v>10</v>
      </c>
      <c r="G548">
        <v>81</v>
      </c>
      <c r="H548">
        <v>155</v>
      </c>
      <c r="I548" t="s">
        <v>273</v>
      </c>
      <c r="J548">
        <v>155</v>
      </c>
      <c r="K548">
        <v>174</v>
      </c>
      <c r="L548">
        <v>105</v>
      </c>
      <c r="M548" t="s">
        <v>5533</v>
      </c>
      <c r="N548" s="15">
        <v>1</v>
      </c>
      <c r="Q548" s="5" t="s">
        <v>4827</v>
      </c>
      <c r="R548" t="s">
        <v>4828</v>
      </c>
      <c r="V548" s="1" t="str">
        <f>HYPERLINK("http://exon.niaid.nih.gov/transcriptome/T_rubida/S1/links/NR/Triru-contig_261-NR.txt","hypothetical protein HAN_3g511")</f>
        <v>hypothetical protein HAN_3g511</v>
      </c>
      <c r="W548" t="str">
        <f>HYPERLINK("http://www.ncbi.nlm.nih.gov/sutils/blink.cgi?pid=160331861","25")</f>
        <v>25</v>
      </c>
      <c r="X548" t="str">
        <f>HYPERLINK("http://www.ncbi.nlm.nih.gov/protein/160331861","gi|160331861")</f>
        <v>gi|160331861</v>
      </c>
      <c r="Y548">
        <v>32.299999999999997</v>
      </c>
      <c r="Z548">
        <v>39</v>
      </c>
      <c r="AA548">
        <v>590</v>
      </c>
      <c r="AB548">
        <v>41</v>
      </c>
      <c r="AC548">
        <v>7</v>
      </c>
      <c r="AD548">
        <v>24</v>
      </c>
      <c r="AE548">
        <v>0</v>
      </c>
      <c r="AF548">
        <v>513</v>
      </c>
      <c r="AG548">
        <v>25</v>
      </c>
      <c r="AH548">
        <v>1</v>
      </c>
      <c r="AI548">
        <v>1</v>
      </c>
      <c r="AJ548" t="s">
        <v>11</v>
      </c>
      <c r="AK548">
        <v>5.1280000000000001</v>
      </c>
      <c r="AL548" t="s">
        <v>2236</v>
      </c>
      <c r="AM548" t="s">
        <v>2237</v>
      </c>
      <c r="AN548" t="s">
        <v>2238</v>
      </c>
      <c r="AO548" s="1" t="str">
        <f>HYPERLINK("http://exon.niaid.nih.gov/transcriptome/T_rubida/S1/links/SWISSP/Triru-contig_261-SWISSP.txt","Histone-lysine N-methyltransferase, H3 lysine-36 specific")</f>
        <v>Histone-lysine N-methyltransferase, H3 lysine-36 specific</v>
      </c>
      <c r="AP548" t="str">
        <f>HYPERLINK("http://www.uniprot.org/uniprot/Q4WTT2","68")</f>
        <v>68</v>
      </c>
      <c r="AQ548" t="s">
        <v>2239</v>
      </c>
      <c r="AR548">
        <v>26.2</v>
      </c>
      <c r="AS548">
        <v>20</v>
      </c>
      <c r="AT548">
        <v>47</v>
      </c>
      <c r="AU548">
        <v>2</v>
      </c>
      <c r="AV548">
        <v>11</v>
      </c>
      <c r="AW548">
        <v>0</v>
      </c>
      <c r="AX548">
        <v>150</v>
      </c>
      <c r="AY548">
        <v>43</v>
      </c>
      <c r="AZ548">
        <v>1</v>
      </c>
      <c r="BA548">
        <v>1</v>
      </c>
      <c r="BB548" t="s">
        <v>11</v>
      </c>
      <c r="BC548">
        <v>5</v>
      </c>
      <c r="BD548" t="s">
        <v>704</v>
      </c>
      <c r="BE548" t="s">
        <v>2240</v>
      </c>
      <c r="BF548" t="s">
        <v>2241</v>
      </c>
      <c r="BG548" t="s">
        <v>2242</v>
      </c>
      <c r="BH548" s="1" t="s">
        <v>57</v>
      </c>
      <c r="BI548" t="s">
        <v>57</v>
      </c>
      <c r="BJ548" s="1" t="str">
        <f>HYPERLINK("http://exon.niaid.nih.gov/transcriptome/T_rubida/S1/links/CDD/Triru-contig_261-CDD.txt","PRK06242")</f>
        <v>PRK06242</v>
      </c>
      <c r="BK548" t="str">
        <f>HYPERLINK("http://www.ncbi.nlm.nih.gov/Structure/cdd/cddsrv.cgi?uid=PRK06242&amp;version=v4.0","2.1")</f>
        <v>2.1</v>
      </c>
      <c r="BL548" t="s">
        <v>2243</v>
      </c>
      <c r="BM548" s="1" t="str">
        <f>HYPERLINK("http://exon.niaid.nih.gov/transcriptome/T_rubida/S1/links/KOG/Triru-contig_261-KOG.txt","Predicted exonuclease")</f>
        <v>Predicted exonuclease</v>
      </c>
      <c r="BN548" t="str">
        <f>HYPERLINK("http://www.ncbi.nlm.nih.gov/COG/grace/shokog.cgi?KOG0542","4.1")</f>
        <v>4.1</v>
      </c>
      <c r="BO548" t="s">
        <v>785</v>
      </c>
      <c r="BP548" s="1" t="str">
        <f>HYPERLINK("http://exon.niaid.nih.gov/transcriptome/T_rubida/S1/links/PFAM/Triru-contig_261-PFAM.txt","Tmp39")</f>
        <v>Tmp39</v>
      </c>
      <c r="BQ548" t="str">
        <f>HYPERLINK("http://pfam.sanger.ac.uk/family?acc=PF10271","0.64")</f>
        <v>0.64</v>
      </c>
      <c r="BR548" s="1" t="str">
        <f>HYPERLINK("http://exon.niaid.nih.gov/transcriptome/T_rubida/S1/links/SMART/Triru-contig_261-SMART.txt","DENN")</f>
        <v>DENN</v>
      </c>
      <c r="BS548" t="str">
        <f>HYPERLINK("http://smart.embl-heidelberg.de/smart/do_annotation.pl?DOMAIN=DENN&amp;BLAST=DUMMY","0.70")</f>
        <v>0.70</v>
      </c>
      <c r="BT548" s="1" t="str">
        <f>HYPERLINK("http://exon.niaid.nih.gov/transcriptome/T_rubida/S1/links/PRK/Triru-contig_261-PRK.txt","flavodoxin")</f>
        <v>flavodoxin</v>
      </c>
      <c r="BU548">
        <v>0.77</v>
      </c>
      <c r="BV548" s="1" t="s">
        <v>57</v>
      </c>
      <c r="BW548" t="s">
        <v>57</v>
      </c>
      <c r="BX548" s="1" t="s">
        <v>57</v>
      </c>
      <c r="BY548" t="s">
        <v>57</v>
      </c>
    </row>
    <row r="549" spans="1:77">
      <c r="A549" t="str">
        <f>HYPERLINK("http://exon.niaid.nih.gov/transcriptome/T_rubida/S1/links/Triru/Triru-contig_299.txt","Triru-contig_299")</f>
        <v>Triru-contig_299</v>
      </c>
      <c r="B549">
        <v>1</v>
      </c>
      <c r="C549" t="str">
        <f>HYPERLINK("http://exon.niaid.nih.gov/transcriptome/T_rubida/S1/links/Triru/Triru-5-48-asb-299.txt","Contig-299")</f>
        <v>Contig-299</v>
      </c>
      <c r="D549" t="str">
        <f>HYPERLINK("http://exon.niaid.nih.gov/transcriptome/T_rubida/S1/links/Triru/Triru-5-48-299-CLU.txt","Contig299")</f>
        <v>Contig299</v>
      </c>
      <c r="E549" t="str">
        <f>HYPERLINK("http://exon.niaid.nih.gov/transcriptome/T_rubida/S1/links/Triru/Triru-5-48-299-qual.txt","65.3")</f>
        <v>65.3</v>
      </c>
      <c r="F549" t="s">
        <v>10</v>
      </c>
      <c r="G549">
        <v>74.400000000000006</v>
      </c>
      <c r="H549">
        <v>196</v>
      </c>
      <c r="I549" t="s">
        <v>311</v>
      </c>
      <c r="J549">
        <v>196</v>
      </c>
      <c r="K549">
        <v>215</v>
      </c>
      <c r="L549">
        <v>177</v>
      </c>
      <c r="M549" t="s">
        <v>5642</v>
      </c>
      <c r="N549" s="15">
        <v>3</v>
      </c>
      <c r="O549" s="14" t="str">
        <f>HYPERLINK("http://exon.niaid.nih.gov/transcriptome/T_rubida/S1/links/Sigp/TRIRU-CONTIG_299-SigP.txt","Cyt")</f>
        <v>Cyt</v>
      </c>
      <c r="Q549" s="5" t="s">
        <v>4827</v>
      </c>
      <c r="R549" t="s">
        <v>4828</v>
      </c>
      <c r="V549" s="1" t="str">
        <f>HYPERLINK("http://exon.niaid.nih.gov/transcriptome/T_rubida/S1/links/NR/Triru-contig_299-NR.txt","hypothetical protein ROSEINA2194_02188")</f>
        <v>hypothetical protein ROSEINA2194_02188</v>
      </c>
      <c r="W549" t="str">
        <f>HYPERLINK("http://www.ncbi.nlm.nih.gov/sutils/blink.cgi?pid=225376546","25")</f>
        <v>25</v>
      </c>
      <c r="X549" t="str">
        <f>HYPERLINK("http://www.ncbi.nlm.nih.gov/protein/225376546","gi|225376546")</f>
        <v>gi|225376546</v>
      </c>
      <c r="Y549">
        <v>32.299999999999997</v>
      </c>
      <c r="Z549">
        <v>44</v>
      </c>
      <c r="AA549">
        <v>697</v>
      </c>
      <c r="AB549">
        <v>31</v>
      </c>
      <c r="AC549">
        <v>6</v>
      </c>
      <c r="AD549">
        <v>31</v>
      </c>
      <c r="AE549">
        <v>0</v>
      </c>
      <c r="AF549">
        <v>341</v>
      </c>
      <c r="AG549">
        <v>51</v>
      </c>
      <c r="AH549">
        <v>1</v>
      </c>
      <c r="AI549">
        <v>3</v>
      </c>
      <c r="AJ549" t="s">
        <v>11</v>
      </c>
      <c r="AL549" t="s">
        <v>2500</v>
      </c>
      <c r="AM549" t="s">
        <v>2501</v>
      </c>
      <c r="AN549" t="s">
        <v>2502</v>
      </c>
      <c r="AO549" s="1" t="str">
        <f>HYPERLINK("http://exon.niaid.nih.gov/transcriptome/T_rubida/S1/links/SWISSP/Triru-contig_299-SWISSP.txt","Phosphoadenosine phosphosulfate reductase")</f>
        <v>Phosphoadenosine phosphosulfate reductase</v>
      </c>
      <c r="AP549" t="str">
        <f>HYPERLINK("http://www.uniprot.org/uniprot/Q5WKF5","6.1")</f>
        <v>6.1</v>
      </c>
      <c r="AQ549" t="s">
        <v>2503</v>
      </c>
      <c r="AR549">
        <v>29.6</v>
      </c>
      <c r="AS549">
        <v>41</v>
      </c>
      <c r="AT549">
        <v>31</v>
      </c>
      <c r="AU549">
        <v>17</v>
      </c>
      <c r="AV549">
        <v>32</v>
      </c>
      <c r="AW549">
        <v>0</v>
      </c>
      <c r="AX549">
        <v>171</v>
      </c>
      <c r="AY549">
        <v>42</v>
      </c>
      <c r="AZ549">
        <v>1</v>
      </c>
      <c r="BA549">
        <v>3</v>
      </c>
      <c r="BB549" t="s">
        <v>11</v>
      </c>
      <c r="BD549" t="s">
        <v>704</v>
      </c>
      <c r="BE549" t="s">
        <v>2504</v>
      </c>
      <c r="BF549" t="s">
        <v>2505</v>
      </c>
      <c r="BG549" t="s">
        <v>2506</v>
      </c>
      <c r="BH549" s="1" t="s">
        <v>57</v>
      </c>
      <c r="BI549" t="s">
        <v>57</v>
      </c>
      <c r="BJ549" s="1" t="str">
        <f>HYPERLINK("http://exon.niaid.nih.gov/transcriptome/T_rubida/S1/links/CDD/Triru-contig_299-CDD.txt","STKc_PFTAIRE1")</f>
        <v>STKc_PFTAIRE1</v>
      </c>
      <c r="BK549" t="str">
        <f>HYPERLINK("http://www.ncbi.nlm.nih.gov/Structure/cdd/cddsrv.cgi?uid=cd07869&amp;version=v4.0","1.1")</f>
        <v>1.1</v>
      </c>
      <c r="BL549" t="s">
        <v>2507</v>
      </c>
      <c r="BM549" s="1" t="str">
        <f>HYPERLINK("http://exon.niaid.nih.gov/transcriptome/T_rubida/S1/links/KOG/Triru-contig_299-KOG.txt","Phytochelatin synthase")</f>
        <v>Phytochelatin synthase</v>
      </c>
      <c r="BN549" t="str">
        <f>HYPERLINK("http://www.ncbi.nlm.nih.gov/COG/grace/shokog.cgi?KOG0632","2.9")</f>
        <v>2.9</v>
      </c>
      <c r="BO549" t="s">
        <v>849</v>
      </c>
      <c r="BP549" s="1" t="str">
        <f>HYPERLINK("http://exon.niaid.nih.gov/transcriptome/T_rubida/S1/links/PFAM/Triru-contig_299-PFAM.txt","GBV-C_env")</f>
        <v>GBV-C_env</v>
      </c>
      <c r="BQ549" t="str">
        <f>HYPERLINK("http://pfam.sanger.ac.uk/family?acc=PF12786","0.59")</f>
        <v>0.59</v>
      </c>
      <c r="BR549" s="1" t="str">
        <f>HYPERLINK("http://exon.niaid.nih.gov/transcriptome/T_rubida/S1/links/SMART/Triru-contig_299-SMART.txt","TGFB")</f>
        <v>TGFB</v>
      </c>
      <c r="BS549" t="str">
        <f>HYPERLINK("http://smart.embl-heidelberg.de/smart/do_annotation.pl?DOMAIN=TGFB&amp;BLAST=DUMMY","0.14")</f>
        <v>0.14</v>
      </c>
      <c r="BT549" s="1" t="str">
        <f>HYPERLINK("http://exon.niaid.nih.gov/transcriptome/T_rubida/S1/links/PRK/Triru-contig_299-PRK.txt","electron transport complex protein RnfC")</f>
        <v>electron transport complex protein RnfC</v>
      </c>
      <c r="BU549">
        <v>1</v>
      </c>
      <c r="BV549" s="1" t="s">
        <v>57</v>
      </c>
      <c r="BW549" t="s">
        <v>57</v>
      </c>
      <c r="BX549" s="1" t="s">
        <v>57</v>
      </c>
      <c r="BY549" t="s">
        <v>57</v>
      </c>
    </row>
    <row r="550" spans="1:77">
      <c r="A550" t="str">
        <f>HYPERLINK("http://exon.niaid.nih.gov/transcriptome/T_rubida/S1/links/Triru/Triru-contig_508.txt","Triru-contig_508")</f>
        <v>Triru-contig_508</v>
      </c>
      <c r="B550">
        <v>1</v>
      </c>
      <c r="C550" t="str">
        <f>HYPERLINK("http://exon.niaid.nih.gov/transcriptome/T_rubida/S1/links/Triru/Triru-5-48-asb-508.txt","Contig-508")</f>
        <v>Contig-508</v>
      </c>
      <c r="D550" t="str">
        <f>HYPERLINK("http://exon.niaid.nih.gov/transcriptome/T_rubida/S1/links/Triru/Triru-5-48-508-CLU.txt","Contig508")</f>
        <v>Contig508</v>
      </c>
      <c r="E550" t="str">
        <f>HYPERLINK("http://exon.niaid.nih.gov/transcriptome/T_rubida/S1/links/Triru/Triru-5-48-508-qual.txt","54.6")</f>
        <v>54.6</v>
      </c>
      <c r="F550" t="s">
        <v>10</v>
      </c>
      <c r="G550">
        <v>67.3</v>
      </c>
      <c r="H550">
        <v>485</v>
      </c>
      <c r="I550" t="s">
        <v>520</v>
      </c>
      <c r="J550">
        <v>485</v>
      </c>
      <c r="K550">
        <v>504</v>
      </c>
      <c r="L550">
        <v>189</v>
      </c>
      <c r="M550" t="s">
        <v>5452</v>
      </c>
      <c r="N550" s="15">
        <v>1</v>
      </c>
      <c r="Q550" s="5" t="s">
        <v>4827</v>
      </c>
      <c r="R550" t="s">
        <v>4828</v>
      </c>
      <c r="V550" s="1" t="str">
        <f>HYPERLINK("http://exon.niaid.nih.gov/transcriptome/T_rubida/S1/links/NR/Triru-contig_508-NR.txt","hypothetical protein BT0536A")</f>
        <v>hypothetical protein BT0536A</v>
      </c>
      <c r="W550" t="str">
        <f>HYPERLINK("http://www.ncbi.nlm.nih.gov/sutils/blink.cgi?pid=119953320","26")</f>
        <v>26</v>
      </c>
      <c r="X550" t="str">
        <f>HYPERLINK("http://www.ncbi.nlm.nih.gov/protein/119953320","gi|119953320")</f>
        <v>gi|119953320</v>
      </c>
      <c r="Y550">
        <v>32.299999999999997</v>
      </c>
      <c r="Z550">
        <v>54</v>
      </c>
      <c r="AA550">
        <v>481</v>
      </c>
      <c r="AB550">
        <v>29</v>
      </c>
      <c r="AC550">
        <v>11</v>
      </c>
      <c r="AD550">
        <v>39</v>
      </c>
      <c r="AE550">
        <v>0</v>
      </c>
      <c r="AF550">
        <v>400</v>
      </c>
      <c r="AG550">
        <v>193</v>
      </c>
      <c r="AH550">
        <v>1</v>
      </c>
      <c r="AI550">
        <v>1</v>
      </c>
      <c r="AJ550" t="s">
        <v>11</v>
      </c>
      <c r="AK550">
        <v>1.8520000000000001</v>
      </c>
      <c r="AL550" t="s">
        <v>3916</v>
      </c>
      <c r="AM550" t="s">
        <v>3917</v>
      </c>
      <c r="AN550" t="s">
        <v>3918</v>
      </c>
      <c r="AO550" s="1" t="str">
        <f>HYPERLINK("http://exon.niaid.nih.gov/transcriptome/T_rubida/S1/links/SWISSP/Triru-contig_508-SWISSP.txt","Uncharacterized protein yfdI")</f>
        <v>Uncharacterized protein yfdI</v>
      </c>
      <c r="AP550" t="str">
        <f>HYPERLINK("http://www.uniprot.org/uniprot/P76507","4.6")</f>
        <v>4.6</v>
      </c>
      <c r="AQ550" t="s">
        <v>3919</v>
      </c>
      <c r="AR550">
        <v>30.8</v>
      </c>
      <c r="AS550">
        <v>64</v>
      </c>
      <c r="AT550">
        <v>20</v>
      </c>
      <c r="AU550">
        <v>15</v>
      </c>
      <c r="AV550">
        <v>53</v>
      </c>
      <c r="AW550">
        <v>0</v>
      </c>
      <c r="AX550">
        <v>63</v>
      </c>
      <c r="AY550">
        <v>124</v>
      </c>
      <c r="AZ550">
        <v>1</v>
      </c>
      <c r="BA550">
        <v>1</v>
      </c>
      <c r="BB550" t="s">
        <v>11</v>
      </c>
      <c r="BC550">
        <v>1.5629999999999999</v>
      </c>
      <c r="BD550" t="s">
        <v>704</v>
      </c>
      <c r="BE550" t="s">
        <v>3737</v>
      </c>
      <c r="BF550" t="s">
        <v>3920</v>
      </c>
      <c r="BG550" t="s">
        <v>3921</v>
      </c>
      <c r="BH550" s="1" t="s">
        <v>57</v>
      </c>
      <c r="BI550" t="s">
        <v>57</v>
      </c>
      <c r="BJ550" s="1" t="str">
        <f>HYPERLINK("http://exon.niaid.nih.gov/transcriptome/T_rubida/S1/links/CDD/Triru-contig_508-CDD.txt","polC")</f>
        <v>polC</v>
      </c>
      <c r="BK550" t="str">
        <f>HYPERLINK("http://www.ncbi.nlm.nih.gov/Structure/cdd/cddsrv.cgi?uid=PRK00448&amp;version=v4.0","0.18")</f>
        <v>0.18</v>
      </c>
      <c r="BL550" t="s">
        <v>3922</v>
      </c>
      <c r="BM550" s="1" t="str">
        <f>HYPERLINK("http://exon.niaid.nih.gov/transcriptome/T_rubida/S1/links/KOG/Triru-contig_508-KOG.txt","GTPase Rab11/YPT3, small G protein superfamily")</f>
        <v>GTPase Rab11/YPT3, small G protein superfamily</v>
      </c>
      <c r="BN550" t="str">
        <f>HYPERLINK("http://www.ncbi.nlm.nih.gov/COG/grace/shokog.cgi?KOG0087","0.59")</f>
        <v>0.59</v>
      </c>
      <c r="BO550" t="s">
        <v>1082</v>
      </c>
      <c r="BP550" s="1" t="str">
        <f>HYPERLINK("http://exon.niaid.nih.gov/transcriptome/T_rubida/S1/links/PFAM/Triru-contig_508-PFAM.txt","FMO-like")</f>
        <v>FMO-like</v>
      </c>
      <c r="BQ550" t="str">
        <f>HYPERLINK("http://pfam.sanger.ac.uk/family?acc=PF00743","0.23")</f>
        <v>0.23</v>
      </c>
      <c r="BR550" s="1" t="str">
        <f>HYPERLINK("http://exon.niaid.nih.gov/transcriptome/T_rubida/S1/links/SMART/Triru-contig_508-SMART.txt","ZnF_C4")</f>
        <v>ZnF_C4</v>
      </c>
      <c r="BS550" t="str">
        <f>HYPERLINK("http://smart.embl-heidelberg.de/smart/do_annotation.pl?DOMAIN=ZnF_C4&amp;BLAST=DUMMY","0.032")</f>
        <v>0.032</v>
      </c>
      <c r="BT550" s="1" t="str">
        <f>HYPERLINK("http://exon.niaid.nih.gov/transcriptome/T_rubida/S1/links/PRK/Triru-contig_508-PRK.txt","DNA polymerase III PolC")</f>
        <v>DNA polymerase III PolC</v>
      </c>
      <c r="BU550">
        <v>8.1000000000000003E-2</v>
      </c>
      <c r="BV550" s="1" t="s">
        <v>57</v>
      </c>
      <c r="BW550" t="s">
        <v>57</v>
      </c>
      <c r="BX550" s="1" t="s">
        <v>57</v>
      </c>
      <c r="BY550" t="s">
        <v>57</v>
      </c>
    </row>
    <row r="551" spans="1:77">
      <c r="A551" t="str">
        <f>HYPERLINK("http://exon.niaid.nih.gov/transcriptome/T_rubida/S1/links/Triru/Triru-contig_286.txt","Triru-contig_286")</f>
        <v>Triru-contig_286</v>
      </c>
      <c r="B551">
        <v>1</v>
      </c>
      <c r="C551" t="str">
        <f>HYPERLINK("http://exon.niaid.nih.gov/transcriptome/T_rubida/S1/links/Triru/Triru-5-48-asb-286.txt","Contig-286")</f>
        <v>Contig-286</v>
      </c>
      <c r="D551" t="str">
        <f>HYPERLINK("http://exon.niaid.nih.gov/transcriptome/T_rubida/S1/links/Triru/Triru-5-48-286-CLU.txt","Contig286")</f>
        <v>Contig286</v>
      </c>
      <c r="E551" t="str">
        <f>HYPERLINK("http://exon.niaid.nih.gov/transcriptome/T_rubida/S1/links/Triru/Triru-5-48-286-qual.txt","57.9")</f>
        <v>57.9</v>
      </c>
      <c r="F551">
        <v>0.8</v>
      </c>
      <c r="G551">
        <v>51.7</v>
      </c>
      <c r="H551">
        <v>219</v>
      </c>
      <c r="I551" t="s">
        <v>298</v>
      </c>
      <c r="J551">
        <v>219</v>
      </c>
      <c r="K551">
        <v>238</v>
      </c>
      <c r="L551">
        <v>126</v>
      </c>
      <c r="M551" t="s">
        <v>5552</v>
      </c>
      <c r="N551" s="15">
        <v>1</v>
      </c>
      <c r="Q551" s="5" t="s">
        <v>4827</v>
      </c>
      <c r="R551" t="s">
        <v>4828</v>
      </c>
      <c r="V551" s="1" t="str">
        <f>HYPERLINK("http://exon.niaid.nih.gov/transcriptome/T_rubida/S1/links/NR/Triru-contig_286-NR.txt","DNA gyrase, B subunit")</f>
        <v>DNA gyrase, B subunit</v>
      </c>
      <c r="W551" t="str">
        <f>HYPERLINK("http://www.ncbi.nlm.nih.gov/sutils/blink.cgi?pid=116493579","26")</f>
        <v>26</v>
      </c>
      <c r="X551" t="str">
        <f>HYPERLINK("http://www.ncbi.nlm.nih.gov/protein/116493579","gi|116493579")</f>
        <v>gi|116493579</v>
      </c>
      <c r="Y551">
        <v>32.299999999999997</v>
      </c>
      <c r="Z551">
        <v>59</v>
      </c>
      <c r="AA551">
        <v>653</v>
      </c>
      <c r="AB551">
        <v>44</v>
      </c>
      <c r="AC551">
        <v>9</v>
      </c>
      <c r="AD551">
        <v>34</v>
      </c>
      <c r="AE551">
        <v>5</v>
      </c>
      <c r="AF551">
        <v>118</v>
      </c>
      <c r="AG551">
        <v>3</v>
      </c>
      <c r="AH551">
        <v>1</v>
      </c>
      <c r="AI551">
        <v>3</v>
      </c>
      <c r="AJ551" t="s">
        <v>11</v>
      </c>
      <c r="AK551">
        <v>3.39</v>
      </c>
      <c r="AL551" t="s">
        <v>2405</v>
      </c>
      <c r="AM551" t="s">
        <v>2406</v>
      </c>
      <c r="AN551" t="s">
        <v>2407</v>
      </c>
      <c r="AO551" s="1" t="str">
        <f>HYPERLINK("http://exon.niaid.nih.gov/transcriptome/T_rubida/S1/links/SWISSP/Triru-contig_286-SWISSP.txt","4-hydroxybenzoate polyprenyltransferase, mitochondrial")</f>
        <v>4-hydroxybenzoate polyprenyltransferase, mitochondrial</v>
      </c>
      <c r="AP551" t="str">
        <f>HYPERLINK("http://www.uniprot.org/uniprot/Q93YP7","18")</f>
        <v>18</v>
      </c>
      <c r="AQ551" t="s">
        <v>2408</v>
      </c>
      <c r="AR551">
        <v>28.1</v>
      </c>
      <c r="AS551">
        <v>36</v>
      </c>
      <c r="AT551">
        <v>35</v>
      </c>
      <c r="AU551">
        <v>9</v>
      </c>
      <c r="AV551">
        <v>24</v>
      </c>
      <c r="AW551">
        <v>5</v>
      </c>
      <c r="AX551">
        <v>140</v>
      </c>
      <c r="AY551">
        <v>49</v>
      </c>
      <c r="AZ551">
        <v>1</v>
      </c>
      <c r="BA551">
        <v>1</v>
      </c>
      <c r="BB551" t="s">
        <v>11</v>
      </c>
      <c r="BC551">
        <v>5.556</v>
      </c>
      <c r="BD551" t="s">
        <v>704</v>
      </c>
      <c r="BE551" t="s">
        <v>906</v>
      </c>
      <c r="BF551" t="s">
        <v>2409</v>
      </c>
      <c r="BG551" t="s">
        <v>2410</v>
      </c>
      <c r="BH551" s="1" t="s">
        <v>57</v>
      </c>
      <c r="BI551" t="s">
        <v>57</v>
      </c>
      <c r="BJ551" s="1" t="str">
        <f>HYPERLINK("http://exon.niaid.nih.gov/transcriptome/T_rubida/S1/links/CDD/Triru-contig_286-CDD.txt","yidC_oxa1_cterm")</f>
        <v>yidC_oxa1_cterm</v>
      </c>
      <c r="BK551" t="str">
        <f>HYPERLINK("http://www.ncbi.nlm.nih.gov/Structure/cdd/cddsrv.cgi?uid=TIGR03592&amp;version=v4.0","0.19")</f>
        <v>0.19</v>
      </c>
      <c r="BL551" t="s">
        <v>2411</v>
      </c>
      <c r="BM551" s="1" t="str">
        <f>HYPERLINK("http://exon.niaid.nih.gov/transcriptome/T_rubida/S1/links/KOG/Triru-contig_286-KOG.txt","Transcription factor ACJ6/BRN-3, contains POU and HOX domains")</f>
        <v>Transcription factor ACJ6/BRN-3, contains POU and HOX domains</v>
      </c>
      <c r="BN551" t="str">
        <f>HYPERLINK("http://www.ncbi.nlm.nih.gov/COG/grace/shokog.cgi?KOG1168","1.3")</f>
        <v>1.3</v>
      </c>
      <c r="BO551" t="s">
        <v>790</v>
      </c>
      <c r="BP551" s="1" t="str">
        <f>HYPERLINK("http://exon.niaid.nih.gov/transcriptome/T_rubida/S1/links/PFAM/Triru-contig_286-PFAM.txt","Prim-Pol")</f>
        <v>Prim-Pol</v>
      </c>
      <c r="BQ551" t="str">
        <f>HYPERLINK("http://pfam.sanger.ac.uk/family?acc=PF09250","0.52")</f>
        <v>0.52</v>
      </c>
      <c r="BR551" s="1" t="str">
        <f>HYPERLINK("http://exon.niaid.nih.gov/transcriptome/T_rubida/S1/links/SMART/Triru-contig_286-SMART.txt","Glyco_32")</f>
        <v>Glyco_32</v>
      </c>
      <c r="BS551" t="str">
        <f>HYPERLINK("http://smart.embl-heidelberg.de/smart/do_annotation.pl?DOMAIN=Glyco_32&amp;BLAST=DUMMY","0.18")</f>
        <v>0.18</v>
      </c>
      <c r="BT551" s="1" t="str">
        <f>HYPERLINK("http://exon.niaid.nih.gov/transcriptome/T_rubida/S1/links/PRK/Triru-contig_286-PRK.txt","membrane protein insertase")</f>
        <v>membrane protein insertase</v>
      </c>
      <c r="BU551">
        <v>0.4</v>
      </c>
      <c r="BV551" s="1" t="s">
        <v>57</v>
      </c>
      <c r="BW551" t="s">
        <v>57</v>
      </c>
      <c r="BX551" s="1" t="s">
        <v>57</v>
      </c>
      <c r="BY551" t="s">
        <v>57</v>
      </c>
    </row>
    <row r="552" spans="1:77">
      <c r="A552" t="str">
        <f>HYPERLINK("http://exon.niaid.nih.gov/transcriptome/T_rubida/S1/links/Triru/Triru-contig_208.txt","Triru-contig_208")</f>
        <v>Triru-contig_208</v>
      </c>
      <c r="B552">
        <v>1</v>
      </c>
      <c r="C552" t="str">
        <f>HYPERLINK("http://exon.niaid.nih.gov/transcriptome/T_rubida/S1/links/Triru/Triru-5-48-asb-208.txt","Contig-208")</f>
        <v>Contig-208</v>
      </c>
      <c r="D552" t="str">
        <f>HYPERLINK("http://exon.niaid.nih.gov/transcriptome/T_rubida/S1/links/Triru/Triru-5-48-208-CLU.txt","Contig208")</f>
        <v>Contig208</v>
      </c>
      <c r="E552" t="str">
        <f>HYPERLINK("http://exon.niaid.nih.gov/transcriptome/T_rubida/S1/links/Triru/Triru-5-48-208-qual.txt","61.9")</f>
        <v>61.9</v>
      </c>
      <c r="F552">
        <v>0.4</v>
      </c>
      <c r="G552">
        <v>49</v>
      </c>
      <c r="H552">
        <v>236</v>
      </c>
      <c r="I552" t="s">
        <v>220</v>
      </c>
      <c r="J552">
        <v>236</v>
      </c>
      <c r="K552">
        <v>255</v>
      </c>
      <c r="L552">
        <v>141</v>
      </c>
      <c r="M552" t="s">
        <v>5639</v>
      </c>
      <c r="N552" s="15">
        <v>3</v>
      </c>
      <c r="Q552" s="5" t="s">
        <v>4827</v>
      </c>
      <c r="R552" t="s">
        <v>4828</v>
      </c>
      <c r="V552" s="1" t="str">
        <f>HYPERLINK("http://exon.niaid.nih.gov/transcriptome/T_rubida/S1/links/NR/Triru-contig_208-NR.txt","hypothetical protein RB2150_00599")</f>
        <v>hypothetical protein RB2150_00599</v>
      </c>
      <c r="W552" t="str">
        <f>HYPERLINK("http://www.ncbi.nlm.nih.gov/sutils/blink.cgi?pid=126727089","26")</f>
        <v>26</v>
      </c>
      <c r="X552" t="str">
        <f>HYPERLINK("http://www.ncbi.nlm.nih.gov/protein/126727089","gi|126727089")</f>
        <v>gi|126727089</v>
      </c>
      <c r="Y552">
        <v>32.299999999999997</v>
      </c>
      <c r="Z552">
        <v>37</v>
      </c>
      <c r="AA552">
        <v>197</v>
      </c>
      <c r="AB552">
        <v>39</v>
      </c>
      <c r="AC552">
        <v>19</v>
      </c>
      <c r="AD552">
        <v>23</v>
      </c>
      <c r="AE552">
        <v>0</v>
      </c>
      <c r="AF552">
        <v>82</v>
      </c>
      <c r="AG552">
        <v>64</v>
      </c>
      <c r="AH552">
        <v>1</v>
      </c>
      <c r="AI552">
        <v>1</v>
      </c>
      <c r="AJ552" t="s">
        <v>11</v>
      </c>
      <c r="AK552">
        <v>5.4050000000000002</v>
      </c>
      <c r="AL552" t="s">
        <v>1917</v>
      </c>
      <c r="AM552" t="s">
        <v>1918</v>
      </c>
      <c r="AN552" t="s">
        <v>1919</v>
      </c>
      <c r="AO552" s="1" t="str">
        <f>HYPERLINK("http://exon.niaid.nih.gov/transcriptome/T_rubida/S1/links/SWISSP/Triru-contig_208-SWISSP.txt","Putative sterigmatocystin biosynthesis dehydrogenase stcV")</f>
        <v>Putative sterigmatocystin biosynthesis dehydrogenase stcV</v>
      </c>
      <c r="AP552" t="str">
        <f>HYPERLINK("http://www.uniprot.org/uniprot/Q00727","18")</f>
        <v>18</v>
      </c>
      <c r="AQ552" t="s">
        <v>1920</v>
      </c>
      <c r="AR552">
        <v>28.1</v>
      </c>
      <c r="AS552">
        <v>44</v>
      </c>
      <c r="AT552">
        <v>31</v>
      </c>
      <c r="AU552">
        <v>12</v>
      </c>
      <c r="AV552">
        <v>31</v>
      </c>
      <c r="AW552">
        <v>5</v>
      </c>
      <c r="AX552">
        <v>76</v>
      </c>
      <c r="AY552">
        <v>6</v>
      </c>
      <c r="AZ552">
        <v>1</v>
      </c>
      <c r="BA552">
        <v>3</v>
      </c>
      <c r="BB552" t="s">
        <v>11</v>
      </c>
      <c r="BD552" t="s">
        <v>704</v>
      </c>
      <c r="BE552" t="s">
        <v>1319</v>
      </c>
      <c r="BF552" t="s">
        <v>1921</v>
      </c>
      <c r="BG552" t="s">
        <v>1922</v>
      </c>
      <c r="BH552" s="1" t="s">
        <v>57</v>
      </c>
      <c r="BI552" t="s">
        <v>57</v>
      </c>
      <c r="BJ552" s="1" t="str">
        <f>HYPERLINK("http://exon.niaid.nih.gov/transcriptome/T_rubida/S1/links/CDD/Triru-contig_208-CDD.txt","ihfB")</f>
        <v>ihfB</v>
      </c>
      <c r="BK552" t="str">
        <f>HYPERLINK("http://www.ncbi.nlm.nih.gov/Structure/cdd/cddsrv.cgi?uid=PRK00199&amp;version=v4.0","1.7")</f>
        <v>1.7</v>
      </c>
      <c r="BL552" t="s">
        <v>1923</v>
      </c>
      <c r="BM552" s="1" t="str">
        <f>HYPERLINK("http://exon.niaid.nih.gov/transcriptome/T_rubida/S1/links/KOG/Triru-contig_208-KOG.txt","Predicted mitochondrial DNA helicase twinkle")</f>
        <v>Predicted mitochondrial DNA helicase twinkle</v>
      </c>
      <c r="BN552" t="str">
        <f>HYPERLINK("http://www.ncbi.nlm.nih.gov/COG/grace/shokog.cgi?KOG2373","3.6")</f>
        <v>3.6</v>
      </c>
      <c r="BO552" t="s">
        <v>785</v>
      </c>
      <c r="BP552" s="1" t="str">
        <f>HYPERLINK("http://exon.niaid.nih.gov/transcriptome/T_rubida/S1/links/PFAM/Triru-contig_208-PFAM.txt","VWA_CoxE")</f>
        <v>VWA_CoxE</v>
      </c>
      <c r="BQ552" t="str">
        <f>HYPERLINK("http://pfam.sanger.ac.uk/family?acc=PF05762","0.45")</f>
        <v>0.45</v>
      </c>
      <c r="BR552" s="1" t="str">
        <f>HYPERLINK("http://exon.niaid.nih.gov/transcriptome/T_rubida/S1/links/SMART/Triru-contig_208-SMART.txt","VPS10")</f>
        <v>VPS10</v>
      </c>
      <c r="BS552" t="str">
        <f>HYPERLINK("http://smart.embl-heidelberg.de/smart/do_annotation.pl?DOMAIN=VPS10&amp;BLAST=DUMMY","0.31")</f>
        <v>0.31</v>
      </c>
      <c r="BT552" s="1" t="str">
        <f>HYPERLINK("http://exon.niaid.nih.gov/transcriptome/T_rubida/S1/links/PRK/Triru-contig_208-PRK.txt","integration host factor subunit beta")</f>
        <v>integration host factor subunit beta</v>
      </c>
      <c r="BU552">
        <v>0.62</v>
      </c>
      <c r="BV552" s="1" t="s">
        <v>57</v>
      </c>
      <c r="BW552" t="s">
        <v>57</v>
      </c>
      <c r="BX552" s="1" t="s">
        <v>57</v>
      </c>
      <c r="BY552" t="s">
        <v>57</v>
      </c>
    </row>
    <row r="553" spans="1:77">
      <c r="A553" t="str">
        <f>HYPERLINK("http://exon.niaid.nih.gov/transcriptome/T_rubida/S1/links/Triru/Triru-contig_449.txt","Triru-contig_449")</f>
        <v>Triru-contig_449</v>
      </c>
      <c r="B553">
        <v>1</v>
      </c>
      <c r="C553" t="str">
        <f>HYPERLINK("http://exon.niaid.nih.gov/transcriptome/T_rubida/S1/links/Triru/Triru-5-48-asb-449.txt","Contig-449")</f>
        <v>Contig-449</v>
      </c>
      <c r="D553" t="str">
        <f>HYPERLINK("http://exon.niaid.nih.gov/transcriptome/T_rubida/S1/links/Triru/Triru-5-48-449-CLU.txt","Contig449")</f>
        <v>Contig449</v>
      </c>
      <c r="E553" t="str">
        <f>HYPERLINK("http://exon.niaid.nih.gov/transcriptome/T_rubida/S1/links/Triru/Triru-5-48-449-qual.txt","28.5")</f>
        <v>28.5</v>
      </c>
      <c r="F553" t="s">
        <v>10</v>
      </c>
      <c r="G553">
        <v>71.400000000000006</v>
      </c>
      <c r="H553">
        <v>166</v>
      </c>
      <c r="I553" t="s">
        <v>461</v>
      </c>
      <c r="J553">
        <v>166</v>
      </c>
      <c r="K553">
        <v>185</v>
      </c>
      <c r="L553">
        <v>162</v>
      </c>
      <c r="M553" t="s">
        <v>5643</v>
      </c>
      <c r="N553" s="15">
        <v>1</v>
      </c>
      <c r="Q553" s="5" t="s">
        <v>4827</v>
      </c>
      <c r="R553" t="s">
        <v>4828</v>
      </c>
      <c r="V553" s="1" t="str">
        <f>HYPERLINK("http://exon.niaid.nih.gov/transcriptome/T_rubida/S1/links/NR/Triru-contig_449-NR.txt","hypothetical protein ROSEINA2194_02188")</f>
        <v>hypothetical protein ROSEINA2194_02188</v>
      </c>
      <c r="W553" t="str">
        <f>HYPERLINK("http://www.ncbi.nlm.nih.gov/sutils/blink.cgi?pid=225376546","26")</f>
        <v>26</v>
      </c>
      <c r="X553" t="str">
        <f>HYPERLINK("http://www.ncbi.nlm.nih.gov/protein/225376546","gi|225376546")</f>
        <v>gi|225376546</v>
      </c>
      <c r="Y553">
        <v>32.299999999999997</v>
      </c>
      <c r="Z553">
        <v>44</v>
      </c>
      <c r="AA553">
        <v>697</v>
      </c>
      <c r="AB553">
        <v>31</v>
      </c>
      <c r="AC553">
        <v>6</v>
      </c>
      <c r="AD553">
        <v>31</v>
      </c>
      <c r="AE553">
        <v>0</v>
      </c>
      <c r="AF553">
        <v>341</v>
      </c>
      <c r="AG553">
        <v>19</v>
      </c>
      <c r="AH553">
        <v>1</v>
      </c>
      <c r="AI553">
        <v>1</v>
      </c>
      <c r="AJ553" t="s">
        <v>11</v>
      </c>
      <c r="AL553" t="s">
        <v>2500</v>
      </c>
      <c r="AM553" t="s">
        <v>2501</v>
      </c>
      <c r="AN553" t="s">
        <v>2502</v>
      </c>
      <c r="AO553" s="1" t="str">
        <f>HYPERLINK("http://exon.niaid.nih.gov/transcriptome/T_rubida/S1/links/SWISSP/Triru-contig_449-SWISSP.txt","Dihydroxy-acid dehydratase")</f>
        <v>Dihydroxy-acid dehydratase</v>
      </c>
      <c r="AP553" t="str">
        <f>HYPERLINK("http://www.uniprot.org/uniprot/B2UR52","4.7")</f>
        <v>4.7</v>
      </c>
      <c r="AQ553" t="s">
        <v>3525</v>
      </c>
      <c r="AR553">
        <v>30</v>
      </c>
      <c r="AS553">
        <v>53</v>
      </c>
      <c r="AT553">
        <v>22</v>
      </c>
      <c r="AU553">
        <v>10</v>
      </c>
      <c r="AV553">
        <v>42</v>
      </c>
      <c r="AW553">
        <v>0</v>
      </c>
      <c r="AX553">
        <v>74</v>
      </c>
      <c r="AY553">
        <v>1</v>
      </c>
      <c r="AZ553">
        <v>1</v>
      </c>
      <c r="BA553">
        <v>1</v>
      </c>
      <c r="BB553" t="s">
        <v>11</v>
      </c>
      <c r="BD553" t="s">
        <v>704</v>
      </c>
      <c r="BE553" t="s">
        <v>3526</v>
      </c>
      <c r="BF553" t="s">
        <v>3527</v>
      </c>
      <c r="BG553" t="s">
        <v>3528</v>
      </c>
      <c r="BH553" s="1" t="s">
        <v>57</v>
      </c>
      <c r="BI553" t="s">
        <v>57</v>
      </c>
      <c r="BJ553" s="1" t="str">
        <f>HYPERLINK("http://exon.niaid.nih.gov/transcriptome/T_rubida/S1/links/CDD/Triru-contig_449-CDD.txt","liver_ADH_like1")</f>
        <v>liver_ADH_like1</v>
      </c>
      <c r="BK553" t="str">
        <f>HYPERLINK("http://www.ncbi.nlm.nih.gov/Structure/cdd/cddsrv.cgi?uid=cd08281&amp;version=v4.0","1.8")</f>
        <v>1.8</v>
      </c>
      <c r="BL553" t="s">
        <v>3529</v>
      </c>
      <c r="BM553" s="1" t="str">
        <f>HYPERLINK("http://exon.niaid.nih.gov/transcriptome/T_rubida/S1/links/KOG/Triru-contig_449-KOG.txt","Phytochelatin synthase")</f>
        <v>Phytochelatin synthase</v>
      </c>
      <c r="BN553" t="str">
        <f>HYPERLINK("http://www.ncbi.nlm.nih.gov/COG/grace/shokog.cgi?KOG0632","2.9")</f>
        <v>2.9</v>
      </c>
      <c r="BO553" t="s">
        <v>849</v>
      </c>
      <c r="BP553" s="1" t="str">
        <f>HYPERLINK("http://exon.niaid.nih.gov/transcriptome/T_rubida/S1/links/PFAM/Triru-contig_449-PFAM.txt","GBV-C_env")</f>
        <v>GBV-C_env</v>
      </c>
      <c r="BQ553" t="str">
        <f>HYPERLINK("http://pfam.sanger.ac.uk/family?acc=PF12786","0.59")</f>
        <v>0.59</v>
      </c>
      <c r="BR553" s="1" t="str">
        <f>HYPERLINK("http://exon.niaid.nih.gov/transcriptome/T_rubida/S1/links/SMART/Triru-contig_449-SMART.txt","TGFB")</f>
        <v>TGFB</v>
      </c>
      <c r="BS553" t="str">
        <f>HYPERLINK("http://smart.embl-heidelberg.de/smart/do_annotation.pl?DOMAIN=TGFB&amp;BLAST=DUMMY","0.14")</f>
        <v>0.14</v>
      </c>
      <c r="BT553" s="1" t="str">
        <f>HYPERLINK("http://exon.niaid.nih.gov/transcriptome/T_rubida/S1/links/PRK/Triru-contig_449-PRK.txt","electron transport complex protein RnfC")</f>
        <v>electron transport complex protein RnfC</v>
      </c>
      <c r="BU553">
        <v>1.1000000000000001</v>
      </c>
      <c r="BV553" s="1" t="s">
        <v>57</v>
      </c>
      <c r="BW553" t="s">
        <v>57</v>
      </c>
      <c r="BX553" s="1" t="s">
        <v>57</v>
      </c>
      <c r="BY553" t="s">
        <v>57</v>
      </c>
    </row>
    <row r="554" spans="1:77">
      <c r="A554" t="str">
        <f>HYPERLINK("http://exon.niaid.nih.gov/transcriptome/T_rubida/S1/links/Triru/Triru-contig_574.txt","Triru-contig_574")</f>
        <v>Triru-contig_574</v>
      </c>
      <c r="B554">
        <v>1</v>
      </c>
      <c r="C554" t="str">
        <f>HYPERLINK("http://exon.niaid.nih.gov/transcriptome/T_rubida/S1/links/Triru/Triru-5-48-asb-574.txt","Contig-574")</f>
        <v>Contig-574</v>
      </c>
      <c r="D554" t="str">
        <f>HYPERLINK("http://exon.niaid.nih.gov/transcriptome/T_rubida/S1/links/Triru/Triru-5-48-574-CLU.txt","Contig574")</f>
        <v>Contig574</v>
      </c>
      <c r="E554" t="str">
        <f>HYPERLINK("http://exon.niaid.nih.gov/transcriptome/T_rubida/S1/links/Triru/Triru-5-48-574-qual.txt","44.")</f>
        <v>44.</v>
      </c>
      <c r="F554">
        <v>0.1</v>
      </c>
      <c r="G554">
        <v>71.900000000000006</v>
      </c>
      <c r="H554">
        <v>952</v>
      </c>
      <c r="I554" t="s">
        <v>586</v>
      </c>
      <c r="J554">
        <v>952</v>
      </c>
      <c r="K554">
        <v>971</v>
      </c>
      <c r="L554">
        <v>186</v>
      </c>
      <c r="M554" t="s">
        <v>5621</v>
      </c>
      <c r="N554" s="15">
        <v>1</v>
      </c>
      <c r="Q554" s="5" t="s">
        <v>4827</v>
      </c>
      <c r="R554" t="s">
        <v>4828</v>
      </c>
      <c r="V554" s="1" t="str">
        <f>HYPERLINK("http://exon.niaid.nih.gov/transcriptome/T_rubida/S1/links/NR/Triru-contig_574-NR.txt","conserved Plasmodium protein")</f>
        <v>conserved Plasmodium protein</v>
      </c>
      <c r="W554" t="str">
        <f>HYPERLINK("http://www.ncbi.nlm.nih.gov/sutils/blink.cgi?pid=124806281","30")</f>
        <v>30</v>
      </c>
      <c r="X554" t="str">
        <f>HYPERLINK("http://www.ncbi.nlm.nih.gov/protein/124806281","gi|124806281")</f>
        <v>gi|124806281</v>
      </c>
      <c r="Y554">
        <v>34.299999999999997</v>
      </c>
      <c r="Z554">
        <v>74</v>
      </c>
      <c r="AA554">
        <v>818</v>
      </c>
      <c r="AB554">
        <v>33</v>
      </c>
      <c r="AC554">
        <v>9</v>
      </c>
      <c r="AD554">
        <v>54</v>
      </c>
      <c r="AE554">
        <v>0</v>
      </c>
      <c r="AF554">
        <v>371</v>
      </c>
      <c r="AG554">
        <v>10</v>
      </c>
      <c r="AH554">
        <v>1</v>
      </c>
      <c r="AI554">
        <v>1</v>
      </c>
      <c r="AJ554" t="s">
        <v>11</v>
      </c>
      <c r="AK554">
        <v>4.0540000000000003</v>
      </c>
      <c r="AL554" t="s">
        <v>1103</v>
      </c>
      <c r="AM554" t="s">
        <v>4348</v>
      </c>
      <c r="AN554" t="s">
        <v>4349</v>
      </c>
      <c r="AO554" s="1" t="str">
        <f>HYPERLINK("http://exon.niaid.nih.gov/transcriptome/T_rubida/S1/links/SWISSP/Triru-contig_574-SWISSP.txt","M-phase inducer phosphatase")</f>
        <v>M-phase inducer phosphatase</v>
      </c>
      <c r="AP554" t="str">
        <f>HYPERLINK("http://www.uniprot.org/uniprot/Q54QM6","2.4")</f>
        <v>2.4</v>
      </c>
      <c r="AQ554" t="s">
        <v>4350</v>
      </c>
      <c r="AR554">
        <v>33.5</v>
      </c>
      <c r="AS554">
        <v>53</v>
      </c>
      <c r="AT554">
        <v>40</v>
      </c>
      <c r="AU554">
        <v>5</v>
      </c>
      <c r="AV554">
        <v>29</v>
      </c>
      <c r="AW554">
        <v>0</v>
      </c>
      <c r="AX554">
        <v>635</v>
      </c>
      <c r="AY554">
        <v>187</v>
      </c>
      <c r="AZ554">
        <v>2</v>
      </c>
      <c r="BA554">
        <v>1</v>
      </c>
      <c r="BB554" t="s">
        <v>888</v>
      </c>
      <c r="BC554">
        <v>3.774</v>
      </c>
      <c r="BD554" t="s">
        <v>704</v>
      </c>
      <c r="BE554" t="s">
        <v>918</v>
      </c>
      <c r="BF554" t="s">
        <v>4351</v>
      </c>
      <c r="BG554" t="s">
        <v>4352</v>
      </c>
      <c r="BH554" s="1" t="s">
        <v>57</v>
      </c>
      <c r="BI554" t="s">
        <v>57</v>
      </c>
      <c r="BJ554" s="1" t="str">
        <f>HYPERLINK("http://exon.niaid.nih.gov/transcriptome/T_rubida/S1/links/CDD/Triru-contig_574-CDD.txt","ND3")</f>
        <v>ND3</v>
      </c>
      <c r="BK554" t="str">
        <f>HYPERLINK("http://www.ncbi.nlm.nih.gov/Structure/cdd/cddsrv.cgi?uid=MTH00161&amp;version=v4.0","0.007")</f>
        <v>0.007</v>
      </c>
      <c r="BL554" t="s">
        <v>4353</v>
      </c>
      <c r="BM554" s="1" t="str">
        <f>HYPERLINK("http://exon.niaid.nih.gov/transcriptome/T_rubida/S1/links/KOG/Triru-contig_574-KOG.txt","Kinesin-like protein")</f>
        <v>Kinesin-like protein</v>
      </c>
      <c r="BN554" t="str">
        <f>HYPERLINK("http://www.ncbi.nlm.nih.gov/COG/grace/shokog.cgi?KOG0247","2.1")</f>
        <v>2.1</v>
      </c>
      <c r="BO554" t="s">
        <v>867</v>
      </c>
      <c r="BP554" s="1" t="str">
        <f>HYPERLINK("http://exon.niaid.nih.gov/transcriptome/T_rubida/S1/links/PFAM/Triru-contig_574-PFAM.txt","7TM_GPCR_Srz")</f>
        <v>7TM_GPCR_Srz</v>
      </c>
      <c r="BQ554" t="str">
        <f>HYPERLINK("http://pfam.sanger.ac.uk/family?acc=PF10325","0.005")</f>
        <v>0.005</v>
      </c>
      <c r="BR554" s="1" t="str">
        <f>HYPERLINK("http://exon.niaid.nih.gov/transcriptome/T_rubida/S1/links/SMART/Triru-contig_574-SMART.txt","RICIN")</f>
        <v>RICIN</v>
      </c>
      <c r="BS554" t="str">
        <f>HYPERLINK("http://smart.embl-heidelberg.de/smart/do_annotation.pl?DOMAIN=RICIN&amp;BLAST=DUMMY","0.25")</f>
        <v>0.25</v>
      </c>
      <c r="BT554" s="1" t="str">
        <f>HYPERLINK("http://exon.niaid.nih.gov/transcriptome/T_rubida/S1/links/PRK/Triru-contig_574-PRK.txt","NADH dehydrogenase subunit 3")</f>
        <v>NADH dehydrogenase subunit 3</v>
      </c>
      <c r="BU554">
        <v>3.0000000000000001E-3</v>
      </c>
      <c r="BV554" s="1" t="s">
        <v>57</v>
      </c>
      <c r="BW554" t="s">
        <v>57</v>
      </c>
      <c r="BX554" s="1" t="s">
        <v>57</v>
      </c>
      <c r="BY554" t="s">
        <v>57</v>
      </c>
    </row>
    <row r="555" spans="1:77">
      <c r="A555" t="str">
        <f>HYPERLINK("http://exon.niaid.nih.gov/transcriptome/T_rubida/S1/links/Triru/Triru-contig_167.txt","Triru-contig_167")</f>
        <v>Triru-contig_167</v>
      </c>
      <c r="B555">
        <v>1</v>
      </c>
      <c r="C555" t="str">
        <f>HYPERLINK("http://exon.niaid.nih.gov/transcriptome/T_rubida/S1/links/Triru/Triru-5-48-asb-167.txt","Contig-167")</f>
        <v>Contig-167</v>
      </c>
      <c r="D555" t="str">
        <f>HYPERLINK("http://exon.niaid.nih.gov/transcriptome/T_rubida/S1/links/Triru/Triru-5-48-167-CLU.txt","Contig167")</f>
        <v>Contig167</v>
      </c>
      <c r="E555" t="str">
        <f>HYPERLINK("http://exon.niaid.nih.gov/transcriptome/T_rubida/S1/links/Triru/Triru-5-48-167-qual.txt","60.5")</f>
        <v>60.5</v>
      </c>
      <c r="F555" t="s">
        <v>10</v>
      </c>
      <c r="G555">
        <v>53.8</v>
      </c>
      <c r="H555">
        <v>516</v>
      </c>
      <c r="I555" t="s">
        <v>179</v>
      </c>
      <c r="J555">
        <v>516</v>
      </c>
      <c r="K555">
        <v>535</v>
      </c>
      <c r="L555">
        <v>153</v>
      </c>
      <c r="M555" t="s">
        <v>5418</v>
      </c>
      <c r="N555" s="15">
        <v>2</v>
      </c>
      <c r="Q555" s="5" t="s">
        <v>4827</v>
      </c>
      <c r="R555" t="s">
        <v>4828</v>
      </c>
      <c r="V555" s="1" t="str">
        <f>HYPERLINK("http://exon.niaid.nih.gov/transcriptome/T_rubida/S1/links/NR/Triru-contig_167-NR.txt","conserved hypothetical protein")</f>
        <v>conserved hypothetical protein</v>
      </c>
      <c r="W555" t="str">
        <f>HYPERLINK("http://www.ncbi.nlm.nih.gov/sutils/blink.cgi?pid=293606472","31")</f>
        <v>31</v>
      </c>
      <c r="X555" t="str">
        <f>HYPERLINK("http://www.ncbi.nlm.nih.gov/protein/293606472","gi|293606472")</f>
        <v>gi|293606472</v>
      </c>
      <c r="Y555">
        <v>32.299999999999997</v>
      </c>
      <c r="Z555">
        <v>38</v>
      </c>
      <c r="AA555">
        <v>348</v>
      </c>
      <c r="AB555">
        <v>40</v>
      </c>
      <c r="AC555">
        <v>11</v>
      </c>
      <c r="AD555">
        <v>26</v>
      </c>
      <c r="AE555">
        <v>0</v>
      </c>
      <c r="AF555">
        <v>194</v>
      </c>
      <c r="AG555">
        <v>2</v>
      </c>
      <c r="AH555">
        <v>1</v>
      </c>
      <c r="AI555">
        <v>2</v>
      </c>
      <c r="AJ555" t="s">
        <v>11</v>
      </c>
      <c r="AL555" t="s">
        <v>1688</v>
      </c>
      <c r="AM555" t="s">
        <v>1689</v>
      </c>
      <c r="AN555" t="s">
        <v>1690</v>
      </c>
      <c r="AO555" s="1" t="str">
        <f>HYPERLINK("http://exon.niaid.nih.gov/transcriptome/T_rubida/S1/links/SWISSP/Triru-contig_167-SWISSP.txt","Thiamine-phosphate pyrophosphorylase")</f>
        <v>Thiamine-phosphate pyrophosphorylase</v>
      </c>
      <c r="AP555" t="str">
        <f>HYPERLINK("http://www.uniprot.org/uniprot/C1DCM3","15")</f>
        <v>15</v>
      </c>
      <c r="AQ555" t="s">
        <v>1691</v>
      </c>
      <c r="AR555">
        <v>29.3</v>
      </c>
      <c r="AS555">
        <v>33</v>
      </c>
      <c r="AT555">
        <v>44</v>
      </c>
      <c r="AU555">
        <v>16</v>
      </c>
      <c r="AV555">
        <v>19</v>
      </c>
      <c r="AW555">
        <v>0</v>
      </c>
      <c r="AX555">
        <v>11</v>
      </c>
      <c r="AY555">
        <v>17</v>
      </c>
      <c r="AZ555">
        <v>1</v>
      </c>
      <c r="BA555">
        <v>2</v>
      </c>
      <c r="BB555" t="s">
        <v>11</v>
      </c>
      <c r="BD555" t="s">
        <v>704</v>
      </c>
      <c r="BE555" t="s">
        <v>1692</v>
      </c>
      <c r="BF555" t="s">
        <v>1693</v>
      </c>
      <c r="BG555" t="s">
        <v>1694</v>
      </c>
      <c r="BH555" s="1" t="s">
        <v>57</v>
      </c>
      <c r="BI555" t="s">
        <v>57</v>
      </c>
      <c r="BJ555" s="1" t="str">
        <f>HYPERLINK("http://exon.niaid.nih.gov/transcriptome/T_rubida/S1/links/CDD/Triru-contig_167-CDD.txt","PRK10750")</f>
        <v>PRK10750</v>
      </c>
      <c r="BK555" t="str">
        <f>HYPERLINK("http://www.ncbi.nlm.nih.gov/Structure/cdd/cddsrv.cgi?uid=PRK10750&amp;version=v4.0","0.22")</f>
        <v>0.22</v>
      </c>
      <c r="BL555" t="s">
        <v>1695</v>
      </c>
      <c r="BM555" s="1" t="str">
        <f>HYPERLINK("http://exon.niaid.nih.gov/transcriptome/T_rubida/S1/links/KOG/Triru-contig_167-KOG.txt","20S proteasome, regulatory subunit beta type PSMB7/PSMB10/PUP1")</f>
        <v>20S proteasome, regulatory subunit beta type PSMB7/PSMB10/PUP1</v>
      </c>
      <c r="BN555" t="str">
        <f>HYPERLINK("http://www.ncbi.nlm.nih.gov/COG/grace/shokog.cgi?KOG0173","0.67")</f>
        <v>0.67</v>
      </c>
      <c r="BO555" t="s">
        <v>954</v>
      </c>
      <c r="BP555" s="1" t="str">
        <f>HYPERLINK("http://exon.niaid.nih.gov/transcriptome/T_rubida/S1/links/PFAM/Triru-contig_167-PFAM.txt","DHHA1")</f>
        <v>DHHA1</v>
      </c>
      <c r="BQ555" t="str">
        <f>HYPERLINK("http://pfam.sanger.ac.uk/family?acc=PF02272","0.16")</f>
        <v>0.16</v>
      </c>
      <c r="BR555" s="1" t="str">
        <f>HYPERLINK("http://exon.niaid.nih.gov/transcriptome/T_rubida/S1/links/SMART/Triru-contig_167-SMART.txt","MUTSd")</f>
        <v>MUTSd</v>
      </c>
      <c r="BS555" t="str">
        <f>HYPERLINK("http://smart.embl-heidelberg.de/smart/do_annotation.pl?DOMAIN=MUTSd&amp;BLAST=DUMMY","0.11")</f>
        <v>0.11</v>
      </c>
      <c r="BT555" s="1" t="str">
        <f>HYPERLINK("http://exon.niaid.nih.gov/transcriptome/T_rubida/S1/links/PRK/Triru-contig_167-PRK.txt","potassium transporter")</f>
        <v>potassium transporter</v>
      </c>
      <c r="BU555">
        <v>9.9000000000000005E-2</v>
      </c>
      <c r="BV555" s="1" t="s">
        <v>57</v>
      </c>
      <c r="BW555" t="s">
        <v>57</v>
      </c>
      <c r="BX555" s="1" t="s">
        <v>57</v>
      </c>
      <c r="BY555" t="s">
        <v>57</v>
      </c>
    </row>
    <row r="556" spans="1:77">
      <c r="A556" t="str">
        <f>HYPERLINK("http://exon.niaid.nih.gov/transcriptome/T_rubida/S1/links/Triru/Triru-contig_152.txt","Triru-contig_152")</f>
        <v>Triru-contig_152</v>
      </c>
      <c r="B556">
        <v>2</v>
      </c>
      <c r="C556" t="str">
        <f>HYPERLINK("http://exon.niaid.nih.gov/transcriptome/T_rubida/S1/links/Triru/Triru-5-48-asb-152.txt","Contig-152")</f>
        <v>Contig-152</v>
      </c>
      <c r="D556" t="str">
        <f>HYPERLINK("http://exon.niaid.nih.gov/transcriptome/T_rubida/S1/links/Triru/Triru-5-48-152-CLU.txt","Contig152")</f>
        <v>Contig152</v>
      </c>
      <c r="E556" t="str">
        <f>HYPERLINK("http://exon.niaid.nih.gov/transcriptome/T_rubida/S1/links/Triru/Triru-5-48-152-qual.txt","41.7")</f>
        <v>41.7</v>
      </c>
      <c r="F556" t="s">
        <v>10</v>
      </c>
      <c r="G556">
        <v>65.2</v>
      </c>
      <c r="H556" t="s">
        <v>57</v>
      </c>
      <c r="I556" t="s">
        <v>164</v>
      </c>
      <c r="J556" t="s">
        <v>57</v>
      </c>
      <c r="K556">
        <v>843</v>
      </c>
      <c r="L556">
        <v>210</v>
      </c>
      <c r="M556" t="s">
        <v>5545</v>
      </c>
      <c r="N556" s="15">
        <v>3</v>
      </c>
      <c r="Q556" s="5" t="s">
        <v>4827</v>
      </c>
      <c r="R556" t="s">
        <v>4828</v>
      </c>
      <c r="V556" s="1" t="str">
        <f>HYPERLINK("http://exon.niaid.nih.gov/transcriptome/T_rubida/S1/links/NR/Triru-contig_152-NR.txt","insulin-degrading enzyme, putative")</f>
        <v>insulin-degrading enzyme, putative</v>
      </c>
      <c r="W556" t="str">
        <f>HYPERLINK("http://www.ncbi.nlm.nih.gov/sutils/blink.cgi?pid=340505590","31")</f>
        <v>31</v>
      </c>
      <c r="X556" t="str">
        <f>HYPERLINK("http://www.ncbi.nlm.nih.gov/protein/340505590","gi|340505590")</f>
        <v>gi|340505590</v>
      </c>
      <c r="Y556">
        <v>33.9</v>
      </c>
      <c r="Z556">
        <v>110</v>
      </c>
      <c r="AA556">
        <v>920</v>
      </c>
      <c r="AB556">
        <v>27</v>
      </c>
      <c r="AC556">
        <v>12</v>
      </c>
      <c r="AD556">
        <v>88</v>
      </c>
      <c r="AE556">
        <v>9</v>
      </c>
      <c r="AF556">
        <v>238</v>
      </c>
      <c r="AG556">
        <v>97</v>
      </c>
      <c r="AH556">
        <v>1</v>
      </c>
      <c r="AI556">
        <v>1</v>
      </c>
      <c r="AJ556" t="s">
        <v>11</v>
      </c>
      <c r="AK556">
        <v>2.7269999999999999</v>
      </c>
      <c r="AL556" t="s">
        <v>1593</v>
      </c>
      <c r="AM556" t="s">
        <v>1594</v>
      </c>
      <c r="AN556" t="s">
        <v>1595</v>
      </c>
      <c r="AO556" s="1" t="str">
        <f>HYPERLINK("http://exon.niaid.nih.gov/transcriptome/T_rubida/S1/links/SWISSP/Triru-contig_152-SWISSP.txt","Good for full DBP5 activity protein 2")</f>
        <v>Good for full DBP5 activity protein 2</v>
      </c>
      <c r="AP556" t="str">
        <f>HYPERLINK("http://www.uniprot.org/uniprot/P25370","16")</f>
        <v>16</v>
      </c>
      <c r="AQ556" t="s">
        <v>1596</v>
      </c>
      <c r="AR556">
        <v>30.4</v>
      </c>
      <c r="AS556">
        <v>64</v>
      </c>
      <c r="AT556">
        <v>31</v>
      </c>
      <c r="AU556">
        <v>11</v>
      </c>
      <c r="AV556">
        <v>47</v>
      </c>
      <c r="AW556">
        <v>2</v>
      </c>
      <c r="AX556">
        <v>173</v>
      </c>
      <c r="AY556">
        <v>474</v>
      </c>
      <c r="AZ556">
        <v>1</v>
      </c>
      <c r="BA556">
        <v>3</v>
      </c>
      <c r="BB556" t="s">
        <v>11</v>
      </c>
      <c r="BC556">
        <v>3.125</v>
      </c>
      <c r="BD556" t="s">
        <v>704</v>
      </c>
      <c r="BE556" t="s">
        <v>1487</v>
      </c>
      <c r="BF556" t="s">
        <v>1597</v>
      </c>
      <c r="BG556" t="s">
        <v>1598</v>
      </c>
      <c r="BH556" s="1" t="s">
        <v>57</v>
      </c>
      <c r="BI556" t="s">
        <v>57</v>
      </c>
      <c r="BJ556" s="1" t="str">
        <f>HYPERLINK("http://exon.niaid.nih.gov/transcriptome/T_rubida/S1/links/CDD/Triru-contig_152-CDD.txt","thrS")</f>
        <v>thrS</v>
      </c>
      <c r="BK556" t="str">
        <f>HYPERLINK("http://www.ncbi.nlm.nih.gov/Structure/cdd/cddsrv.cgi?uid=PRK12305&amp;version=v4.0","0.66")</f>
        <v>0.66</v>
      </c>
      <c r="BL556" t="s">
        <v>1599</v>
      </c>
      <c r="BM556" s="1" t="str">
        <f>HYPERLINK("http://exon.niaid.nih.gov/transcriptome/T_rubida/S1/links/KOG/Triru-contig_152-KOG.txt","Uncharacterized conserved protein")</f>
        <v>Uncharacterized conserved protein</v>
      </c>
      <c r="BN556" t="str">
        <f>HYPERLINK("http://www.ncbi.nlm.nih.gov/COG/grace/shokog.cgi?KOG1791","0.57")</f>
        <v>0.57</v>
      </c>
      <c r="BO556" t="s">
        <v>737</v>
      </c>
      <c r="BP556" s="1" t="str">
        <f>HYPERLINK("http://exon.niaid.nih.gov/transcriptome/T_rubida/S1/links/PFAM/Triru-contig_152-PFAM.txt","Botulinum_HA-17")</f>
        <v>Botulinum_HA-17</v>
      </c>
      <c r="BQ556" t="str">
        <f>HYPERLINK("http://pfam.sanger.ac.uk/family?acc=PF05588","1.1")</f>
        <v>1.1</v>
      </c>
      <c r="BR556" s="1" t="str">
        <f>HYPERLINK("http://exon.niaid.nih.gov/transcriptome/T_rubida/S1/links/SMART/Triru-contig_152-SMART.txt","PSN")</f>
        <v>PSN</v>
      </c>
      <c r="BS556" t="str">
        <f>HYPERLINK("http://smart.embl-heidelberg.de/smart/do_annotation.pl?DOMAIN=PSN&amp;BLAST=DUMMY","0.020")</f>
        <v>0.020</v>
      </c>
      <c r="BT556" s="1" t="str">
        <f>HYPERLINK("http://exon.niaid.nih.gov/transcriptome/T_rubida/S1/links/PRK/Triru-contig_152-PRK.txt","threonyl-tRNA synthetase")</f>
        <v>threonyl-tRNA synthetase</v>
      </c>
      <c r="BU556">
        <v>0.28000000000000003</v>
      </c>
      <c r="BV556" s="1" t="s">
        <v>57</v>
      </c>
      <c r="BW556" t="s">
        <v>57</v>
      </c>
      <c r="BX556" s="1" t="s">
        <v>57</v>
      </c>
      <c r="BY556" t="s">
        <v>57</v>
      </c>
    </row>
    <row r="557" spans="1:77">
      <c r="A557" t="str">
        <f>HYPERLINK("http://exon.niaid.nih.gov/transcriptome/T_rubida/S1/links/Triru/Triru-contig_292.txt","Triru-contig_292")</f>
        <v>Triru-contig_292</v>
      </c>
      <c r="B557">
        <v>1</v>
      </c>
      <c r="C557" t="str">
        <f>HYPERLINK("http://exon.niaid.nih.gov/transcriptome/T_rubida/S1/links/Triru/Triru-5-48-asb-292.txt","Contig-292")</f>
        <v>Contig-292</v>
      </c>
      <c r="D557" t="str">
        <f>HYPERLINK("http://exon.niaid.nih.gov/transcriptome/T_rubida/S1/links/Triru/Triru-5-48-292-CLU.txt","Contig292")</f>
        <v>Contig292</v>
      </c>
      <c r="E557" t="str">
        <f>HYPERLINK("http://exon.niaid.nih.gov/transcriptome/T_rubida/S1/links/Triru/Triru-5-48-292-qual.txt","64.7")</f>
        <v>64.7</v>
      </c>
      <c r="F557" t="s">
        <v>10</v>
      </c>
      <c r="G557">
        <v>69.2</v>
      </c>
      <c r="H557">
        <v>641</v>
      </c>
      <c r="I557" t="s">
        <v>304</v>
      </c>
      <c r="J557">
        <v>641</v>
      </c>
      <c r="K557">
        <v>660</v>
      </c>
      <c r="L557">
        <v>126</v>
      </c>
      <c r="M557" t="s">
        <v>5622</v>
      </c>
      <c r="N557" s="15">
        <v>2</v>
      </c>
      <c r="Q557" s="5" t="s">
        <v>4827</v>
      </c>
      <c r="R557" t="s">
        <v>4828</v>
      </c>
      <c r="V557" s="1" t="str">
        <f>HYPERLINK("http://exon.niaid.nih.gov/transcriptome/T_rubida/S1/links/NR/Triru-contig_292-NR.txt","conserved Plasmodium protein, unknown function")</f>
        <v>conserved Plasmodium protein, unknown function</v>
      </c>
      <c r="W557" t="str">
        <f>HYPERLINK("http://www.ncbi.nlm.nih.gov/sutils/blink.cgi?pid=124512862","31")</f>
        <v>31</v>
      </c>
      <c r="X557" t="str">
        <f>HYPERLINK("http://www.ncbi.nlm.nih.gov/protein/124512862","gi|124512862")</f>
        <v>gi|124512862</v>
      </c>
      <c r="Y557">
        <v>33.1</v>
      </c>
      <c r="Z557">
        <v>60</v>
      </c>
      <c r="AA557">
        <v>1341</v>
      </c>
      <c r="AB557">
        <v>27</v>
      </c>
      <c r="AC557">
        <v>5</v>
      </c>
      <c r="AD557">
        <v>44</v>
      </c>
      <c r="AE557">
        <v>3</v>
      </c>
      <c r="AF557">
        <v>982</v>
      </c>
      <c r="AG557">
        <v>269</v>
      </c>
      <c r="AH557">
        <v>1</v>
      </c>
      <c r="AI557">
        <v>2</v>
      </c>
      <c r="AJ557" t="s">
        <v>11</v>
      </c>
      <c r="AK557">
        <v>1.667</v>
      </c>
      <c r="AL557" t="s">
        <v>1103</v>
      </c>
      <c r="AM557" t="s">
        <v>2450</v>
      </c>
      <c r="AN557" t="s">
        <v>2451</v>
      </c>
      <c r="AO557" s="1" t="str">
        <f>HYPERLINK("http://exon.niaid.nih.gov/transcriptome/T_rubida/S1/links/SWISSP/Triru-contig_292-SWISSP.txt","Heparin-binding growth factor 1")</f>
        <v>Heparin-binding growth factor 1</v>
      </c>
      <c r="AP557" t="str">
        <f>HYPERLINK("http://www.uniprot.org/uniprot/Q6GLR6","6.2")</f>
        <v>6.2</v>
      </c>
      <c r="AQ557" t="s">
        <v>2452</v>
      </c>
      <c r="AR557">
        <v>31.2</v>
      </c>
      <c r="AS557">
        <v>34</v>
      </c>
      <c r="AT557">
        <v>51</v>
      </c>
      <c r="AU557">
        <v>23</v>
      </c>
      <c r="AV557">
        <v>17</v>
      </c>
      <c r="AW557">
        <v>0</v>
      </c>
      <c r="AX557">
        <v>7</v>
      </c>
      <c r="AY557">
        <v>509</v>
      </c>
      <c r="AZ557">
        <v>1</v>
      </c>
      <c r="BA557">
        <v>2</v>
      </c>
      <c r="BB557" t="s">
        <v>11</v>
      </c>
      <c r="BC557">
        <v>2.9409999999999998</v>
      </c>
      <c r="BD557" t="s">
        <v>704</v>
      </c>
      <c r="BE557" t="s">
        <v>2158</v>
      </c>
      <c r="BF557" t="s">
        <v>2453</v>
      </c>
      <c r="BG557" t="s">
        <v>2454</v>
      </c>
      <c r="BH557" s="1" t="s">
        <v>57</v>
      </c>
      <c r="BI557" t="s">
        <v>57</v>
      </c>
      <c r="BJ557" s="1" t="str">
        <f>HYPERLINK("http://exon.niaid.nih.gov/transcriptome/T_rubida/S1/links/CDD/Triru-contig_292-CDD.txt","lspA")</f>
        <v>lspA</v>
      </c>
      <c r="BK557" t="str">
        <f>HYPERLINK("http://www.ncbi.nlm.nih.gov/Structure/cdd/cddsrv.cgi?uid=PRK00573&amp;version=v4.0","0.79")</f>
        <v>0.79</v>
      </c>
      <c r="BL557" t="s">
        <v>2455</v>
      </c>
      <c r="BM557" s="1" t="str">
        <f>HYPERLINK("http://exon.niaid.nih.gov/transcriptome/T_rubida/S1/links/KOG/Triru-contig_292-KOG.txt","Endosomal membrane proteins, EMP70")</f>
        <v>Endosomal membrane proteins, EMP70</v>
      </c>
      <c r="BN557" t="str">
        <f>HYPERLINK("http://www.ncbi.nlm.nih.gov/COG/grace/shokog.cgi?KOG1278","2.2")</f>
        <v>2.2</v>
      </c>
      <c r="BO557" t="s">
        <v>1082</v>
      </c>
      <c r="BP557" s="1" t="str">
        <f>HYPERLINK("http://exon.niaid.nih.gov/transcriptome/T_rubida/S1/links/PFAM/Triru-contig_292-PFAM.txt","Baculo_ODV-E27")</f>
        <v>Baculo_ODV-E27</v>
      </c>
      <c r="BQ557" t="str">
        <f>HYPERLINK("http://pfam.sanger.ac.uk/family?acc=PF05314","0.21")</f>
        <v>0.21</v>
      </c>
      <c r="BR557" s="1" t="str">
        <f>HYPERLINK("http://exon.niaid.nih.gov/transcriptome/T_rubida/S1/links/SMART/Triru-contig_292-SMART.txt","AIP3")</f>
        <v>AIP3</v>
      </c>
      <c r="BS557" t="str">
        <f>HYPERLINK("http://smart.embl-heidelberg.de/smart/do_annotation.pl?DOMAIN=AIP3&amp;BLAST=DUMMY","0.24")</f>
        <v>0.24</v>
      </c>
      <c r="BT557" s="1" t="str">
        <f>HYPERLINK("http://exon.niaid.nih.gov/transcriptome/T_rubida/S1/links/PRK/Triru-contig_292-PRK.txt","signal peptidase II")</f>
        <v>signal peptidase II</v>
      </c>
      <c r="BU557">
        <v>0.35</v>
      </c>
      <c r="BV557" s="1" t="s">
        <v>57</v>
      </c>
      <c r="BW557" t="s">
        <v>57</v>
      </c>
      <c r="BX557" s="1" t="s">
        <v>57</v>
      </c>
      <c r="BY557" t="s">
        <v>57</v>
      </c>
    </row>
    <row r="558" spans="1:77">
      <c r="A558" t="str">
        <f>HYPERLINK("http://exon.niaid.nih.gov/transcriptome/T_rubida/S1/links/Triru/Triru-contig_154.txt","Triru-contig_154")</f>
        <v>Triru-contig_154</v>
      </c>
      <c r="B558">
        <v>2</v>
      </c>
      <c r="C558" t="str">
        <f>HYPERLINK("http://exon.niaid.nih.gov/transcriptome/T_rubida/S1/links/Triru/Triru-5-48-asb-154.txt","Contig-154")</f>
        <v>Contig-154</v>
      </c>
      <c r="D558" t="str">
        <f>HYPERLINK("http://exon.niaid.nih.gov/transcriptome/T_rubida/S1/links/Triru/Triru-5-48-154-CLU.txt","Contig154")</f>
        <v>Contig154</v>
      </c>
      <c r="E558" t="str">
        <f>HYPERLINK("http://exon.niaid.nih.gov/transcriptome/T_rubida/S1/links/Triru/Triru-5-48-154-qual.txt","86.9")</f>
        <v>86.9</v>
      </c>
      <c r="F558" t="s">
        <v>10</v>
      </c>
      <c r="G558">
        <v>79.400000000000006</v>
      </c>
      <c r="H558">
        <v>291</v>
      </c>
      <c r="I558" t="s">
        <v>166</v>
      </c>
      <c r="J558">
        <v>291</v>
      </c>
      <c r="K558">
        <v>310</v>
      </c>
      <c r="L558">
        <v>114</v>
      </c>
      <c r="M558" t="s">
        <v>5485</v>
      </c>
      <c r="N558" s="15">
        <v>1</v>
      </c>
      <c r="Q558" s="5" t="s">
        <v>4827</v>
      </c>
      <c r="R558" t="s">
        <v>4828</v>
      </c>
      <c r="V558" s="1" t="str">
        <f>HYPERLINK("http://exon.niaid.nih.gov/transcriptome/T_rubida/S1/links/NR/Triru-contig_154-NR.txt","conserved hypothetical protein")</f>
        <v>conserved hypothetical protein</v>
      </c>
      <c r="W558" t="str">
        <f>HYPERLINK("http://www.ncbi.nlm.nih.gov/sutils/blink.cgi?pid=168204545","33")</f>
        <v>33</v>
      </c>
      <c r="X558" t="str">
        <f>HYPERLINK("http://www.ncbi.nlm.nih.gov/protein/168204545","gi|168204545")</f>
        <v>gi|168204545</v>
      </c>
      <c r="Y558">
        <v>32</v>
      </c>
      <c r="Z558">
        <v>49</v>
      </c>
      <c r="AA558">
        <v>1249</v>
      </c>
      <c r="AB558">
        <v>31</v>
      </c>
      <c r="AC558">
        <v>4</v>
      </c>
      <c r="AD558">
        <v>35</v>
      </c>
      <c r="AE558">
        <v>0</v>
      </c>
      <c r="AF558">
        <v>161</v>
      </c>
      <c r="AG558">
        <v>73</v>
      </c>
      <c r="AH558">
        <v>1</v>
      </c>
      <c r="AI558">
        <v>1</v>
      </c>
      <c r="AJ558" t="s">
        <v>11</v>
      </c>
      <c r="AK558">
        <v>2.0409999999999999</v>
      </c>
      <c r="AL558" t="s">
        <v>1607</v>
      </c>
      <c r="AM558" t="s">
        <v>1608</v>
      </c>
      <c r="AN558" t="s">
        <v>1609</v>
      </c>
      <c r="AO558" s="1" t="str">
        <f>HYPERLINK("http://exon.niaid.nih.gov/transcriptome/T_rubida/S1/links/SWISSP/Triru-contig_154-SWISSP.txt","Putative membrane protein ycf1")</f>
        <v>Putative membrane protein ycf1</v>
      </c>
      <c r="AP558" t="str">
        <f>HYPERLINK("http://www.uniprot.org/uniprot/Q49KU0","1.6")</f>
        <v>1.6</v>
      </c>
      <c r="AQ558" t="s">
        <v>1610</v>
      </c>
      <c r="AR558">
        <v>31.6</v>
      </c>
      <c r="AS558">
        <v>58</v>
      </c>
      <c r="AT558">
        <v>34</v>
      </c>
      <c r="AU558">
        <v>3</v>
      </c>
      <c r="AV558">
        <v>45</v>
      </c>
      <c r="AW558">
        <v>4</v>
      </c>
      <c r="AX558">
        <v>864</v>
      </c>
      <c r="AY558">
        <v>43</v>
      </c>
      <c r="AZ558">
        <v>1</v>
      </c>
      <c r="BA558">
        <v>1</v>
      </c>
      <c r="BB558" t="s">
        <v>11</v>
      </c>
      <c r="BC558">
        <v>3.448</v>
      </c>
      <c r="BD558" t="s">
        <v>704</v>
      </c>
      <c r="BE558" t="s">
        <v>1611</v>
      </c>
      <c r="BF558" t="s">
        <v>1612</v>
      </c>
      <c r="BG558" t="s">
        <v>1613</v>
      </c>
      <c r="BH558" s="1" t="s">
        <v>57</v>
      </c>
      <c r="BI558" t="s">
        <v>57</v>
      </c>
      <c r="BJ558" s="1" t="str">
        <f>HYPERLINK("http://exon.niaid.nih.gov/transcriptome/T_rubida/S1/links/CDD/Triru-contig_154-CDD.txt","DUF443")</f>
        <v>DUF443</v>
      </c>
      <c r="BK558" t="str">
        <f>HYPERLINK("http://www.ncbi.nlm.nih.gov/Structure/cdd/cddsrv.cgi?uid=pfam04276&amp;version=v4.0","0.002")</f>
        <v>0.002</v>
      </c>
      <c r="BL558" t="s">
        <v>1614</v>
      </c>
      <c r="BM558" s="1" t="str">
        <f>HYPERLINK("http://exon.niaid.nih.gov/transcriptome/T_rubida/S1/links/KOG/Triru-contig_154-KOG.txt","Uncharacterized conserved protein")</f>
        <v>Uncharacterized conserved protein</v>
      </c>
      <c r="BN558" t="str">
        <f>HYPERLINK("http://www.ncbi.nlm.nih.gov/COG/grace/shokog.cgi?KOG4783","0.25")</f>
        <v>0.25</v>
      </c>
      <c r="BO558" t="s">
        <v>737</v>
      </c>
      <c r="BP558" s="1" t="str">
        <f>HYPERLINK("http://exon.niaid.nih.gov/transcriptome/T_rubida/S1/links/PFAM/Triru-contig_154-PFAM.txt","DUF443")</f>
        <v>DUF443</v>
      </c>
      <c r="BQ558" t="str">
        <f>HYPERLINK("http://pfam.sanger.ac.uk/family?acc=PF04276","5E-004")</f>
        <v>5E-004</v>
      </c>
      <c r="BR558" s="1" t="str">
        <f>HYPERLINK("http://exon.niaid.nih.gov/transcriptome/T_rubida/S1/links/SMART/Triru-contig_154-SMART.txt","PSN")</f>
        <v>PSN</v>
      </c>
      <c r="BS558" t="str">
        <f>HYPERLINK("http://smart.embl-heidelberg.de/smart/do_annotation.pl?DOMAIN=PSN&amp;BLAST=DUMMY","0.068")</f>
        <v>0.068</v>
      </c>
      <c r="BT558" s="1" t="str">
        <f>HYPERLINK("http://exon.niaid.nih.gov/transcriptome/T_rubida/S1/links/PRK/Triru-contig_154-PRK.txt","NADH dehydrogenase subunit 4")</f>
        <v>NADH dehydrogenase subunit 4</v>
      </c>
      <c r="BU558">
        <v>1.4E-2</v>
      </c>
      <c r="BV558" s="1" t="s">
        <v>57</v>
      </c>
      <c r="BW558" t="s">
        <v>57</v>
      </c>
      <c r="BX558" s="1" t="s">
        <v>57</v>
      </c>
      <c r="BY558" t="s">
        <v>57</v>
      </c>
    </row>
    <row r="559" spans="1:77">
      <c r="A559" t="str">
        <f>HYPERLINK("http://exon.niaid.nih.gov/transcriptome/T_rubida/S1/links/Triru/Triru-contig_488.txt","Triru-contig_488")</f>
        <v>Triru-contig_488</v>
      </c>
      <c r="B559">
        <v>1</v>
      </c>
      <c r="C559" t="str">
        <f>HYPERLINK("http://exon.niaid.nih.gov/transcriptome/T_rubida/S1/links/Triru/Triru-5-48-asb-488.txt","Contig-488")</f>
        <v>Contig-488</v>
      </c>
      <c r="D559" t="str">
        <f>HYPERLINK("http://exon.niaid.nih.gov/transcriptome/T_rubida/S1/links/Triru/Triru-5-48-488-CLU.txt","Contig488")</f>
        <v>Contig488</v>
      </c>
      <c r="E559" t="str">
        <f>HYPERLINK("http://exon.niaid.nih.gov/transcriptome/T_rubida/S1/links/Triru/Triru-5-48-488-qual.txt","56.8")</f>
        <v>56.8</v>
      </c>
      <c r="F559">
        <v>0.5</v>
      </c>
      <c r="G559">
        <v>73.5</v>
      </c>
      <c r="H559">
        <v>185</v>
      </c>
      <c r="I559" t="s">
        <v>500</v>
      </c>
      <c r="J559">
        <v>185</v>
      </c>
      <c r="K559">
        <v>204</v>
      </c>
      <c r="L559">
        <v>126</v>
      </c>
      <c r="M559" t="s">
        <v>5608</v>
      </c>
      <c r="N559" s="15">
        <v>1</v>
      </c>
      <c r="Q559" s="5" t="s">
        <v>4827</v>
      </c>
      <c r="R559" t="s">
        <v>4828</v>
      </c>
      <c r="V559" s="1" t="str">
        <f>HYPERLINK("http://exon.niaid.nih.gov/transcriptome/T_rubida/S1/links/NR/Triru-contig_488-NR.txt","putative RF1 protein")</f>
        <v>putative RF1 protein</v>
      </c>
      <c r="W559" t="str">
        <f>HYPERLINK("http://www.ncbi.nlm.nih.gov/sutils/blink.cgi?pid=290489054","33")</f>
        <v>33</v>
      </c>
      <c r="X559" t="str">
        <f>HYPERLINK("http://www.ncbi.nlm.nih.gov/protein/290489054","gi|290489054")</f>
        <v>gi|290489054</v>
      </c>
      <c r="Y559">
        <v>32</v>
      </c>
      <c r="Z559">
        <v>46</v>
      </c>
      <c r="AA559">
        <v>1872</v>
      </c>
      <c r="AB559">
        <v>28</v>
      </c>
      <c r="AC559">
        <v>3</v>
      </c>
      <c r="AD559">
        <v>36</v>
      </c>
      <c r="AE559">
        <v>0</v>
      </c>
      <c r="AF559">
        <v>1177</v>
      </c>
      <c r="AG559">
        <v>26</v>
      </c>
      <c r="AH559">
        <v>1</v>
      </c>
      <c r="AI559">
        <v>2</v>
      </c>
      <c r="AJ559" t="s">
        <v>11</v>
      </c>
      <c r="AK559">
        <v>6.5220000000000002</v>
      </c>
      <c r="AL559" t="s">
        <v>3785</v>
      </c>
      <c r="AM559" t="s">
        <v>3786</v>
      </c>
      <c r="AN559" t="s">
        <v>57</v>
      </c>
      <c r="AO559" s="1" t="str">
        <f>HYPERLINK("http://exon.niaid.nih.gov/transcriptome/T_rubida/S1/links/SWISSP/Triru-contig_488-SWISSP.txt","Uncharacterized transporter bbp_411")</f>
        <v>Uncharacterized transporter bbp_411</v>
      </c>
      <c r="AP559" t="str">
        <f>HYPERLINK("http://www.uniprot.org/uniprot/Q89AA9","8.1")</f>
        <v>8.1</v>
      </c>
      <c r="AQ559" t="s">
        <v>3787</v>
      </c>
      <c r="AR559">
        <v>29.3</v>
      </c>
      <c r="AS559">
        <v>39</v>
      </c>
      <c r="AT559">
        <v>40</v>
      </c>
      <c r="AU559">
        <v>10</v>
      </c>
      <c r="AV559">
        <v>25</v>
      </c>
      <c r="AW559">
        <v>0</v>
      </c>
      <c r="AX559">
        <v>160</v>
      </c>
      <c r="AY559">
        <v>38</v>
      </c>
      <c r="AZ559">
        <v>1</v>
      </c>
      <c r="BA559">
        <v>2</v>
      </c>
      <c r="BB559" t="s">
        <v>11</v>
      </c>
      <c r="BC559">
        <v>5.1280000000000001</v>
      </c>
      <c r="BD559" t="s">
        <v>704</v>
      </c>
      <c r="BE559" t="s">
        <v>1741</v>
      </c>
      <c r="BF559" t="s">
        <v>3788</v>
      </c>
      <c r="BG559" t="s">
        <v>3789</v>
      </c>
      <c r="BH559" s="1" t="s">
        <v>57</v>
      </c>
      <c r="BI559" t="s">
        <v>57</v>
      </c>
      <c r="BJ559" s="1" t="str">
        <f>HYPERLINK("http://exon.niaid.nih.gov/transcriptome/T_rubida/S1/links/CDD/Triru-contig_488-CDD.txt","RNRR2")</f>
        <v>RNRR2</v>
      </c>
      <c r="BK559" t="str">
        <f>HYPERLINK("http://www.ncbi.nlm.nih.gov/Structure/cdd/cddsrv.cgi?uid=cd01049&amp;version=v4.0","0.78")</f>
        <v>0.78</v>
      </c>
      <c r="BL559" t="s">
        <v>3790</v>
      </c>
      <c r="BM559" s="1" t="str">
        <f>HYPERLINK("http://exon.niaid.nih.gov/transcriptome/T_rubida/S1/links/KOG/Triru-contig_488-KOG.txt","Uncharacterized conserved protein, contains laminin, cadherin and EGF domains")</f>
        <v>Uncharacterized conserved protein, contains laminin, cadherin and EGF domains</v>
      </c>
      <c r="BN559" t="str">
        <f>HYPERLINK("http://www.ncbi.nlm.nih.gov/COG/grace/shokog.cgi?KOG1219","9.4")</f>
        <v>9.4</v>
      </c>
      <c r="BO559" t="s">
        <v>728</v>
      </c>
      <c r="BP559" s="1" t="str">
        <f>HYPERLINK("http://exon.niaid.nih.gov/transcriptome/T_rubida/S1/links/PFAM/Triru-contig_488-PFAM.txt","Ycf1")</f>
        <v>Ycf1</v>
      </c>
      <c r="BQ559" t="str">
        <f>HYPERLINK("http://pfam.sanger.ac.uk/family?acc=PF05758","0.54")</f>
        <v>0.54</v>
      </c>
      <c r="BR559" s="1" t="str">
        <f>HYPERLINK("http://exon.niaid.nih.gov/transcriptome/T_rubida/S1/links/SMART/Triru-contig_488-SMART.txt","MeTrc")</f>
        <v>MeTrc</v>
      </c>
      <c r="BS559" t="str">
        <f>HYPERLINK("http://smart.embl-heidelberg.de/smart/do_annotation.pl?DOMAIN=MeTrc&amp;BLAST=DUMMY","0.20")</f>
        <v>0.20</v>
      </c>
      <c r="BT559" s="1" t="str">
        <f>HYPERLINK("http://exon.niaid.nih.gov/transcriptome/T_rubida/S1/links/PRK/Triru-contig_488-PRK.txt","GIY-YIG nuclease superfamily protein")</f>
        <v>GIY-YIG nuclease superfamily protein</v>
      </c>
      <c r="BU559">
        <v>0.6</v>
      </c>
      <c r="BV559" s="1" t="s">
        <v>57</v>
      </c>
      <c r="BW559" t="s">
        <v>57</v>
      </c>
      <c r="BX559" s="1" t="s">
        <v>57</v>
      </c>
      <c r="BY559" t="s">
        <v>57</v>
      </c>
    </row>
    <row r="560" spans="1:77">
      <c r="A560" t="str">
        <f>HYPERLINK("http://exon.niaid.nih.gov/transcriptome/T_rubida/S1/links/Triru/Triru-contig_623.txt","Triru-contig_623")</f>
        <v>Triru-contig_623</v>
      </c>
      <c r="B560">
        <v>1</v>
      </c>
      <c r="C560" t="str">
        <f>HYPERLINK("http://exon.niaid.nih.gov/transcriptome/T_rubida/S1/links/Triru/Triru-5-48-asb-623.txt","Contig-623")</f>
        <v>Contig-623</v>
      </c>
      <c r="D560" t="str">
        <f>HYPERLINK("http://exon.niaid.nih.gov/transcriptome/T_rubida/S1/links/Triru/Triru-5-48-623-CLU.txt","Contig623")</f>
        <v>Contig623</v>
      </c>
      <c r="E560" t="str">
        <f>HYPERLINK("http://exon.niaid.nih.gov/transcriptome/T_rubida/S1/links/Triru/Triru-5-48-623-qual.txt","62.1")</f>
        <v>62.1</v>
      </c>
      <c r="F560" t="s">
        <v>10</v>
      </c>
      <c r="G560">
        <v>70.5</v>
      </c>
      <c r="H560">
        <v>259</v>
      </c>
      <c r="I560" t="s">
        <v>635</v>
      </c>
      <c r="J560">
        <v>259</v>
      </c>
      <c r="K560">
        <v>278</v>
      </c>
      <c r="L560">
        <v>165</v>
      </c>
      <c r="M560" t="s">
        <v>5610</v>
      </c>
      <c r="N560" s="15">
        <v>1</v>
      </c>
      <c r="Q560" s="5" t="s">
        <v>4827</v>
      </c>
      <c r="R560" t="s">
        <v>4828</v>
      </c>
      <c r="V560" s="1" t="str">
        <f>HYPERLINK("http://exon.niaid.nih.gov/transcriptome/T_rubida/S1/links/NR/Triru-contig_623-NR.txt","predicted protein")</f>
        <v>predicted protein</v>
      </c>
      <c r="W560" t="str">
        <f>HYPERLINK("http://www.ncbi.nlm.nih.gov/sutils/blink.cgi?pid=168028676","33")</f>
        <v>33</v>
      </c>
      <c r="X560" t="str">
        <f>HYPERLINK("http://www.ncbi.nlm.nih.gov/protein/168028676","gi|168028676")</f>
        <v>gi|168028676</v>
      </c>
      <c r="Y560">
        <v>32</v>
      </c>
      <c r="Z560">
        <v>31</v>
      </c>
      <c r="AA560">
        <v>318</v>
      </c>
      <c r="AB560">
        <v>40</v>
      </c>
      <c r="AC560">
        <v>10</v>
      </c>
      <c r="AD560">
        <v>19</v>
      </c>
      <c r="AE560">
        <v>0</v>
      </c>
      <c r="AF560">
        <v>136</v>
      </c>
      <c r="AG560">
        <v>117</v>
      </c>
      <c r="AH560">
        <v>1</v>
      </c>
      <c r="AI560">
        <v>3</v>
      </c>
      <c r="AJ560" t="s">
        <v>11</v>
      </c>
      <c r="AK560">
        <v>3.226</v>
      </c>
      <c r="AL560" t="s">
        <v>1229</v>
      </c>
      <c r="AM560" t="s">
        <v>4639</v>
      </c>
      <c r="AN560" t="s">
        <v>4640</v>
      </c>
      <c r="AO560" s="1" t="str">
        <f>HYPERLINK("http://exon.niaid.nih.gov/transcriptome/T_rubida/S1/links/SWISSP/Triru-contig_623-SWISSP.txt","Putative uncharacterized transmembrane protein DDB_G0285949")</f>
        <v>Putative uncharacterized transmembrane protein DDB_G0285949</v>
      </c>
      <c r="AP560" t="str">
        <f>HYPERLINK("http://www.uniprot.org/uniprot/Q54MI8","14")</f>
        <v>14</v>
      </c>
      <c r="AQ560" t="s">
        <v>4641</v>
      </c>
      <c r="AR560">
        <v>28.5</v>
      </c>
      <c r="AS560">
        <v>33</v>
      </c>
      <c r="AT560">
        <v>29</v>
      </c>
      <c r="AU560">
        <v>26</v>
      </c>
      <c r="AV560">
        <v>24</v>
      </c>
      <c r="AW560">
        <v>0</v>
      </c>
      <c r="AX560">
        <v>20</v>
      </c>
      <c r="AY560">
        <v>46</v>
      </c>
      <c r="AZ560">
        <v>1</v>
      </c>
      <c r="BA560">
        <v>1</v>
      </c>
      <c r="BB560" t="s">
        <v>11</v>
      </c>
      <c r="BD560" t="s">
        <v>704</v>
      </c>
      <c r="BE560" t="s">
        <v>918</v>
      </c>
      <c r="BF560" t="s">
        <v>4642</v>
      </c>
      <c r="BG560" t="s">
        <v>4643</v>
      </c>
      <c r="BH560" s="1" t="s">
        <v>57</v>
      </c>
      <c r="BI560" t="s">
        <v>57</v>
      </c>
      <c r="BJ560" s="1" t="str">
        <f>HYPERLINK("http://exon.niaid.nih.gov/transcriptome/T_rubida/S1/links/CDD/Triru-contig_623-CDD.txt","Bunya_NS-S_2")</f>
        <v>Bunya_NS-S_2</v>
      </c>
      <c r="BK560" t="str">
        <f>HYPERLINK("http://www.ncbi.nlm.nih.gov/Structure/cdd/cddsrv.cgi?uid=pfam03231&amp;version=v4.0","0.64")</f>
        <v>0.64</v>
      </c>
      <c r="BL560" t="s">
        <v>4644</v>
      </c>
      <c r="BM560" s="1" t="str">
        <f>HYPERLINK("http://exon.niaid.nih.gov/transcriptome/T_rubida/S1/links/KOG/Triru-contig_623-KOG.txt","RNA polymerase III transcription factor TFIIIC")</f>
        <v>RNA polymerase III transcription factor TFIIIC</v>
      </c>
      <c r="BN560" t="str">
        <f>HYPERLINK("http://www.ncbi.nlm.nih.gov/COG/grace/shokog.cgi?KOG2076","0.27")</f>
        <v>0.27</v>
      </c>
      <c r="BO560" t="s">
        <v>790</v>
      </c>
      <c r="BP560" s="1" t="str">
        <f>HYPERLINK("http://exon.niaid.nih.gov/transcriptome/T_rubida/S1/links/PFAM/Triru-contig_623-PFAM.txt","Bunya_NS-S_2")</f>
        <v>Bunya_NS-S_2</v>
      </c>
      <c r="BQ560" t="str">
        <f>HYPERLINK("http://pfam.sanger.ac.uk/family?acc=PF03231","0.14")</f>
        <v>0.14</v>
      </c>
      <c r="BR560" s="1" t="str">
        <f>HYPERLINK("http://exon.niaid.nih.gov/transcriptome/T_rubida/S1/links/SMART/Triru-contig_623-SMART.txt","WNT1")</f>
        <v>WNT1</v>
      </c>
      <c r="BS560" t="str">
        <f>HYPERLINK("http://smart.embl-heidelberg.de/smart/do_annotation.pl?DOMAIN=WNT1&amp;BLAST=DUMMY","0.099")</f>
        <v>0.099</v>
      </c>
      <c r="BT560" s="1" t="str">
        <f>HYPERLINK("http://exon.niaid.nih.gov/transcriptome/T_rubida/S1/links/PRK/Triru-contig_623-PRK.txt","Probable galacturonosyltransferase.")</f>
        <v>Probable galacturonosyltransferase.</v>
      </c>
      <c r="BU560">
        <v>0.45</v>
      </c>
      <c r="BV560" s="1" t="s">
        <v>57</v>
      </c>
      <c r="BW560" t="s">
        <v>57</v>
      </c>
      <c r="BX560" s="1" t="s">
        <v>57</v>
      </c>
      <c r="BY560" t="s">
        <v>57</v>
      </c>
    </row>
    <row r="561" spans="1:77">
      <c r="A561" t="str">
        <f>HYPERLINK("http://exon.niaid.nih.gov/transcriptome/T_rubida/S1/links/Triru/Triru-contig_80.txt","Triru-contig_80")</f>
        <v>Triru-contig_80</v>
      </c>
      <c r="B561">
        <v>2</v>
      </c>
      <c r="C561" t="str">
        <f>HYPERLINK("http://exon.niaid.nih.gov/transcriptome/T_rubida/S1/links/Triru/Triru-5-48-asb-80.txt","Contig-80")</f>
        <v>Contig-80</v>
      </c>
      <c r="D561" t="str">
        <f>HYPERLINK("http://exon.niaid.nih.gov/transcriptome/T_rubida/S1/links/Triru/Triru-5-48-80-CLU.txt","Contig80")</f>
        <v>Contig80</v>
      </c>
      <c r="E561" t="str">
        <f>HYPERLINK("http://exon.niaid.nih.gov/transcriptome/T_rubida/S1/links/Triru/Triru-5-48-80-qual.txt","69.2")</f>
        <v>69.2</v>
      </c>
      <c r="F561" t="s">
        <v>10</v>
      </c>
      <c r="G561">
        <v>74.3</v>
      </c>
      <c r="H561">
        <v>117</v>
      </c>
      <c r="I561" t="s">
        <v>92</v>
      </c>
      <c r="J561">
        <v>121</v>
      </c>
      <c r="K561">
        <v>140</v>
      </c>
      <c r="L561">
        <v>135</v>
      </c>
      <c r="M561" t="s">
        <v>5623</v>
      </c>
      <c r="N561" s="15">
        <v>3</v>
      </c>
      <c r="Q561" s="5" t="s">
        <v>4827</v>
      </c>
      <c r="R561" t="s">
        <v>4828</v>
      </c>
      <c r="V561" s="1" t="str">
        <f>HYPERLINK("http://exon.niaid.nih.gov/transcriptome/T_rubida/S1/links/NR/Triru-contig_80-NR.txt","Serine/Threonine protein kinase, FIKK family")</f>
        <v>Serine/Threonine protein kinase, FIKK family</v>
      </c>
      <c r="W561" t="str">
        <f>HYPERLINK("http://www.ncbi.nlm.nih.gov/sutils/blink.cgi?pid=296005153","33")</f>
        <v>33</v>
      </c>
      <c r="X561" t="str">
        <f>HYPERLINK("http://www.ncbi.nlm.nih.gov/protein/296005153","gi|296005153")</f>
        <v>gi|296005153</v>
      </c>
      <c r="Y561">
        <v>32</v>
      </c>
      <c r="Z561">
        <v>32</v>
      </c>
      <c r="AA561">
        <v>559</v>
      </c>
      <c r="AB561">
        <v>42</v>
      </c>
      <c r="AC561">
        <v>6</v>
      </c>
      <c r="AD561">
        <v>19</v>
      </c>
      <c r="AE561">
        <v>0</v>
      </c>
      <c r="AF561">
        <v>110</v>
      </c>
      <c r="AG561">
        <v>15</v>
      </c>
      <c r="AH561">
        <v>1</v>
      </c>
      <c r="AI561">
        <v>3</v>
      </c>
      <c r="AJ561" t="s">
        <v>11</v>
      </c>
      <c r="AL561" t="s">
        <v>1103</v>
      </c>
      <c r="AM561" t="s">
        <v>1104</v>
      </c>
      <c r="AN561" t="s">
        <v>1105</v>
      </c>
      <c r="AO561" s="1" t="str">
        <f>HYPERLINK("http://exon.niaid.nih.gov/transcriptome/T_rubida/S1/links/SWISSP/Triru-contig_80-SWISSP.txt","Dephospho-CoA kinase")</f>
        <v>Dephospho-CoA kinase</v>
      </c>
      <c r="AP561" t="str">
        <f>HYPERLINK("http://www.uniprot.org/uniprot/P57299","8.0")</f>
        <v>8.0</v>
      </c>
      <c r="AQ561" t="s">
        <v>1106</v>
      </c>
      <c r="AR561">
        <v>29.3</v>
      </c>
      <c r="AS561">
        <v>31</v>
      </c>
      <c r="AT561">
        <v>45</v>
      </c>
      <c r="AU561">
        <v>15</v>
      </c>
      <c r="AV561">
        <v>18</v>
      </c>
      <c r="AW561">
        <v>0</v>
      </c>
      <c r="AX561">
        <v>150</v>
      </c>
      <c r="AY561">
        <v>3</v>
      </c>
      <c r="AZ561">
        <v>1</v>
      </c>
      <c r="BA561">
        <v>3</v>
      </c>
      <c r="BB561" t="s">
        <v>11</v>
      </c>
      <c r="BD561" t="s">
        <v>704</v>
      </c>
      <c r="BE561" t="s">
        <v>1107</v>
      </c>
      <c r="BF561" t="s">
        <v>1108</v>
      </c>
      <c r="BG561" t="s">
        <v>1109</v>
      </c>
      <c r="BH561" s="1" t="s">
        <v>57</v>
      </c>
      <c r="BI561" t="s">
        <v>57</v>
      </c>
      <c r="BJ561" s="1" t="str">
        <f>HYPERLINK("http://exon.niaid.nih.gov/transcriptome/T_rubida/S1/links/CDD/Triru-contig_80-CDD.txt","STE2")</f>
        <v>STE2</v>
      </c>
      <c r="BK561" t="str">
        <f>HYPERLINK("http://www.ncbi.nlm.nih.gov/Structure/cdd/cddsrv.cgi?uid=pfam02116&amp;version=v4.0","3.3")</f>
        <v>3.3</v>
      </c>
      <c r="BL561" t="s">
        <v>1110</v>
      </c>
      <c r="BM561" s="1" t="str">
        <f>HYPERLINK("http://exon.niaid.nih.gov/transcriptome/T_rubida/S1/links/KOG/Triru-contig_80-KOG.txt","Nuclear pore complex component (sc Nup85)")</f>
        <v>Nuclear pore complex component (sc Nup85)</v>
      </c>
      <c r="BN561" t="str">
        <f>HYPERLINK("http://www.ncbi.nlm.nih.gov/COG/grace/shokog.cgi?KOG2271","2.2")</f>
        <v>2.2</v>
      </c>
      <c r="BO561" t="s">
        <v>1111</v>
      </c>
      <c r="BP561" s="1" t="str">
        <f>HYPERLINK("http://exon.niaid.nih.gov/transcriptome/T_rubida/S1/links/PFAM/Triru-contig_80-PFAM.txt","STE2")</f>
        <v>STE2</v>
      </c>
      <c r="BQ561" t="str">
        <f>HYPERLINK("http://pfam.sanger.ac.uk/family?acc=PF02116","0.71")</f>
        <v>0.71</v>
      </c>
      <c r="BR561" s="1" t="str">
        <f>HYPERLINK("http://exon.niaid.nih.gov/transcriptome/T_rubida/S1/links/SMART/Triru-contig_80-SMART.txt","TLC")</f>
        <v>TLC</v>
      </c>
      <c r="BS561" t="str">
        <f>HYPERLINK("http://smart.embl-heidelberg.de/smart/do_annotation.pl?DOMAIN=TLC&amp;BLAST=DUMMY","0.47")</f>
        <v>0.47</v>
      </c>
      <c r="BT561" s="1" t="str">
        <f>HYPERLINK("http://exon.niaid.nih.gov/transcriptome/T_rubida/S1/links/PRK/Triru-contig_80-PRK.txt","NADH dehydrogenase subunit 1")</f>
        <v>NADH dehydrogenase subunit 1</v>
      </c>
      <c r="BU561">
        <v>2.2000000000000002</v>
      </c>
      <c r="BV561" s="1" t="s">
        <v>57</v>
      </c>
      <c r="BW561" t="s">
        <v>57</v>
      </c>
      <c r="BX561" s="1" t="s">
        <v>57</v>
      </c>
      <c r="BY561" t="s">
        <v>57</v>
      </c>
    </row>
    <row r="562" spans="1:77">
      <c r="A562" t="str">
        <f>HYPERLINK("http://exon.niaid.nih.gov/transcriptome/T_rubida/S1/links/Triru/Triru-contig_260.txt","Triru-contig_260")</f>
        <v>Triru-contig_260</v>
      </c>
      <c r="B562">
        <v>1</v>
      </c>
      <c r="C562" t="str">
        <f>HYPERLINK("http://exon.niaid.nih.gov/transcriptome/T_rubida/S1/links/Triru/Triru-5-48-asb-260.txt","Contig-260")</f>
        <v>Contig-260</v>
      </c>
      <c r="D562" t="str">
        <f>HYPERLINK("http://exon.niaid.nih.gov/transcriptome/T_rubida/S1/links/Triru/Triru-5-48-260-CLU.txt","Contig260")</f>
        <v>Contig260</v>
      </c>
      <c r="E562" t="str">
        <f>HYPERLINK("http://exon.niaid.nih.gov/transcriptome/T_rubida/S1/links/Triru/Triru-5-48-260-qual.txt","44.")</f>
        <v>44.</v>
      </c>
      <c r="F562" t="s">
        <v>10</v>
      </c>
      <c r="G562">
        <v>62.8</v>
      </c>
      <c r="H562">
        <v>164</v>
      </c>
      <c r="I562" t="s">
        <v>272</v>
      </c>
      <c r="J562">
        <v>164</v>
      </c>
      <c r="K562">
        <v>183</v>
      </c>
      <c r="L562">
        <v>105</v>
      </c>
      <c r="M562" t="s">
        <v>5637</v>
      </c>
      <c r="N562" s="15">
        <v>1</v>
      </c>
      <c r="Q562" s="5" t="s">
        <v>4827</v>
      </c>
      <c r="R562" t="s">
        <v>4828</v>
      </c>
      <c r="V562" s="1" t="str">
        <f>HYPERLINK("http://exon.niaid.nih.gov/transcriptome/T_rubida/S1/links/NR/Triru-contig_260-NR.txt","ribosomal RNA small subunit methyltransferase C")</f>
        <v>ribosomal RNA small subunit methyltransferase C</v>
      </c>
      <c r="W562" t="str">
        <f>HYPERLINK("http://www.ncbi.nlm.nih.gov/sutils/blink.cgi?pid=70732439","33")</f>
        <v>33</v>
      </c>
      <c r="X562" t="str">
        <f>HYPERLINK("http://www.ncbi.nlm.nih.gov/protein/70732439","gi|70732439")</f>
        <v>gi|70732439</v>
      </c>
      <c r="Y562">
        <v>32</v>
      </c>
      <c r="Z562">
        <v>48</v>
      </c>
      <c r="AA562">
        <v>332</v>
      </c>
      <c r="AB562">
        <v>36</v>
      </c>
      <c r="AC562">
        <v>15</v>
      </c>
      <c r="AD562">
        <v>31</v>
      </c>
      <c r="AE562">
        <v>0</v>
      </c>
      <c r="AF562">
        <v>38</v>
      </c>
      <c r="AG562">
        <v>3</v>
      </c>
      <c r="AH562">
        <v>1</v>
      </c>
      <c r="AI562">
        <v>3</v>
      </c>
      <c r="AJ562" t="s">
        <v>11</v>
      </c>
      <c r="AK562">
        <v>2.0830000000000002</v>
      </c>
      <c r="AL562" t="s">
        <v>2228</v>
      </c>
      <c r="AM562" t="s">
        <v>2229</v>
      </c>
      <c r="AN562" t="s">
        <v>2230</v>
      </c>
      <c r="AO562" s="1" t="str">
        <f>HYPERLINK("http://exon.niaid.nih.gov/transcriptome/T_rubida/S1/links/SWISSP/Triru-contig_260-SWISSP.txt","Ribosomal RNA small subunit methyltransferase C")</f>
        <v>Ribosomal RNA small subunit methyltransferase C</v>
      </c>
      <c r="AP562" t="str">
        <f>HYPERLINK("http://www.uniprot.org/uniprot/Q4K6D2","1.2")</f>
        <v>1.2</v>
      </c>
      <c r="AQ562" t="s">
        <v>2231</v>
      </c>
      <c r="AR562">
        <v>32</v>
      </c>
      <c r="AS562">
        <v>48</v>
      </c>
      <c r="AT562">
        <v>36</v>
      </c>
      <c r="AU562">
        <v>15</v>
      </c>
      <c r="AV562">
        <v>31</v>
      </c>
      <c r="AW562">
        <v>0</v>
      </c>
      <c r="AX562">
        <v>38</v>
      </c>
      <c r="AY562">
        <v>3</v>
      </c>
      <c r="AZ562">
        <v>1</v>
      </c>
      <c r="BA562">
        <v>3</v>
      </c>
      <c r="BB562" t="s">
        <v>11</v>
      </c>
      <c r="BC562">
        <v>2.0830000000000002</v>
      </c>
      <c r="BD562" t="s">
        <v>704</v>
      </c>
      <c r="BE562" t="s">
        <v>2232</v>
      </c>
      <c r="BF562" t="s">
        <v>2233</v>
      </c>
      <c r="BG562" t="s">
        <v>2234</v>
      </c>
      <c r="BH562" s="1" t="s">
        <v>57</v>
      </c>
      <c r="BI562" t="s">
        <v>57</v>
      </c>
      <c r="BJ562" s="1" t="str">
        <f>HYPERLINK("http://exon.niaid.nih.gov/transcriptome/T_rubida/S1/links/CDD/Triru-contig_260-CDD.txt","PRK10689")</f>
        <v>PRK10689</v>
      </c>
      <c r="BK562" t="str">
        <f>HYPERLINK("http://www.ncbi.nlm.nih.gov/Structure/cdd/cddsrv.cgi?uid=PRK10689&amp;version=v4.0","1.6")</f>
        <v>1.6</v>
      </c>
      <c r="BL562" t="s">
        <v>2235</v>
      </c>
      <c r="BM562" s="1" t="str">
        <f>HYPERLINK("http://exon.niaid.nih.gov/transcriptome/T_rubida/S1/links/KOG/Triru-contig_260-KOG.txt","Mitotic spindle checkpoint protein BUB3, WD repeat superfamily")</f>
        <v>Mitotic spindle checkpoint protein BUB3, WD repeat superfamily</v>
      </c>
      <c r="BN562" t="str">
        <f>HYPERLINK("http://www.ncbi.nlm.nih.gov/COG/grace/shokog.cgi?KOG1036","1.1")</f>
        <v>1.1</v>
      </c>
      <c r="BO562" t="s">
        <v>715</v>
      </c>
      <c r="BP562" s="1" t="str">
        <f>HYPERLINK("http://exon.niaid.nih.gov/transcriptome/T_rubida/S1/links/PFAM/Triru-contig_260-PFAM.txt","NifQ")</f>
        <v>NifQ</v>
      </c>
      <c r="BQ562" t="str">
        <f>HYPERLINK("http://pfam.sanger.ac.uk/family?acc=PF04891","0.82")</f>
        <v>0.82</v>
      </c>
      <c r="BR562" s="1" t="str">
        <f>HYPERLINK("http://exon.niaid.nih.gov/transcriptome/T_rubida/S1/links/SMART/Triru-contig_260-SMART.txt","SCAN")</f>
        <v>SCAN</v>
      </c>
      <c r="BS562" t="str">
        <f>HYPERLINK("http://smart.embl-heidelberg.de/smart/do_annotation.pl?DOMAIN=SCAN&amp;BLAST=DUMMY","0.25")</f>
        <v>0.25</v>
      </c>
      <c r="BT562" s="1" t="str">
        <f>HYPERLINK("http://exon.niaid.nih.gov/transcriptome/T_rubida/S1/links/PRK/Triru-contig_260-PRK.txt","transcription-repair coupling factor")</f>
        <v>transcription-repair coupling factor</v>
      </c>
      <c r="BU562">
        <v>0.61</v>
      </c>
      <c r="BV562" s="1" t="s">
        <v>57</v>
      </c>
      <c r="BW562" t="s">
        <v>57</v>
      </c>
      <c r="BX562" s="1" t="s">
        <v>57</v>
      </c>
      <c r="BY562" t="s">
        <v>57</v>
      </c>
    </row>
    <row r="563" spans="1:77">
      <c r="A563" t="str">
        <f>HYPERLINK("http://exon.niaid.nih.gov/transcriptome/T_rubida/S1/links/Triru/Triru-contig_372.txt","Triru-contig_372")</f>
        <v>Triru-contig_372</v>
      </c>
      <c r="B563">
        <v>1</v>
      </c>
      <c r="C563" t="str">
        <f>HYPERLINK("http://exon.niaid.nih.gov/transcriptome/T_rubida/S1/links/Triru/Triru-5-48-asb-372.txt","Contig-372")</f>
        <v>Contig-372</v>
      </c>
      <c r="D563" t="str">
        <f>HYPERLINK("http://exon.niaid.nih.gov/transcriptome/T_rubida/S1/links/Triru/Triru-5-48-372-CLU.txt","Contig372")</f>
        <v>Contig372</v>
      </c>
      <c r="E563" t="str">
        <f>HYPERLINK("http://exon.niaid.nih.gov/transcriptome/T_rubida/S1/links/Triru/Triru-5-48-372-qual.txt","58.2")</f>
        <v>58.2</v>
      </c>
      <c r="F563">
        <v>0.6</v>
      </c>
      <c r="G563">
        <v>66.900000000000006</v>
      </c>
      <c r="H563">
        <v>340</v>
      </c>
      <c r="I563" t="s">
        <v>384</v>
      </c>
      <c r="J563">
        <v>340</v>
      </c>
      <c r="K563">
        <v>359</v>
      </c>
      <c r="L563">
        <v>156</v>
      </c>
      <c r="M563" t="s">
        <v>5702</v>
      </c>
      <c r="N563" s="15">
        <v>1</v>
      </c>
      <c r="Q563" s="5" t="s">
        <v>4827</v>
      </c>
      <c r="R563" t="s">
        <v>4828</v>
      </c>
      <c r="V563" s="1" t="str">
        <f>HYPERLINK("http://exon.niaid.nih.gov/transcriptome/T_rubida/S1/links/NR/Triru-contig_372-NR.txt","hypothetical protein Weevi_1809")</f>
        <v>hypothetical protein Weevi_1809</v>
      </c>
      <c r="W563" t="str">
        <f>HYPERLINK("http://www.ncbi.nlm.nih.gov/sutils/blink.cgi?pid=325955417","33")</f>
        <v>33</v>
      </c>
      <c r="X563" t="str">
        <f>HYPERLINK("http://www.ncbi.nlm.nih.gov/protein/325955417","gi|325955417")</f>
        <v>gi|325955417</v>
      </c>
      <c r="Y563">
        <v>32</v>
      </c>
      <c r="Z563">
        <v>65</v>
      </c>
      <c r="AA563">
        <v>716</v>
      </c>
      <c r="AB563">
        <v>29</v>
      </c>
      <c r="AC563">
        <v>9</v>
      </c>
      <c r="AD563">
        <v>53</v>
      </c>
      <c r="AE563">
        <v>2</v>
      </c>
      <c r="AF563">
        <v>19</v>
      </c>
      <c r="AG563">
        <v>121</v>
      </c>
      <c r="AH563">
        <v>1</v>
      </c>
      <c r="AI563">
        <v>1</v>
      </c>
      <c r="AJ563" t="s">
        <v>11</v>
      </c>
      <c r="AK563">
        <v>6.1539999999999999</v>
      </c>
      <c r="AL563" t="s">
        <v>2995</v>
      </c>
      <c r="AM563" t="s">
        <v>2996</v>
      </c>
      <c r="AN563" t="s">
        <v>2997</v>
      </c>
      <c r="AO563" s="1" t="str">
        <f>HYPERLINK("http://exon.niaid.nih.gov/transcriptome/T_rubida/S1/links/SWISSP/Triru-contig_372-SWISSP.txt","Putative antiporter subunit mnhA2")</f>
        <v>Putative antiporter subunit mnhA2</v>
      </c>
      <c r="AP563" t="str">
        <f>HYPERLINK("http://www.uniprot.org/uniprot/Q8NXT2","14")</f>
        <v>14</v>
      </c>
      <c r="AQ563" t="s">
        <v>2998</v>
      </c>
      <c r="AR563">
        <v>28.5</v>
      </c>
      <c r="AS563">
        <v>42</v>
      </c>
      <c r="AT563">
        <v>27</v>
      </c>
      <c r="AU563">
        <v>5</v>
      </c>
      <c r="AV563">
        <v>31</v>
      </c>
      <c r="AW563">
        <v>0</v>
      </c>
      <c r="AX563">
        <v>532</v>
      </c>
      <c r="AY563">
        <v>159</v>
      </c>
      <c r="AZ563">
        <v>1</v>
      </c>
      <c r="BA563">
        <v>3</v>
      </c>
      <c r="BB563" t="s">
        <v>11</v>
      </c>
      <c r="BD563" t="s">
        <v>704</v>
      </c>
      <c r="BE563" t="s">
        <v>2999</v>
      </c>
      <c r="BF563" t="s">
        <v>3000</v>
      </c>
      <c r="BG563" t="s">
        <v>3001</v>
      </c>
      <c r="BH563" s="1" t="s">
        <v>57</v>
      </c>
      <c r="BI563" t="s">
        <v>57</v>
      </c>
      <c r="BJ563" s="1" t="str">
        <f>HYPERLINK("http://exon.niaid.nih.gov/transcriptome/T_rubida/S1/links/CDD/Triru-contig_372-CDD.txt","COG4587")</f>
        <v>COG4587</v>
      </c>
      <c r="BK563" t="str">
        <f>HYPERLINK("http://www.ncbi.nlm.nih.gov/Structure/cdd/cddsrv.cgi?uid=COG4587&amp;version=v4.0","0.11")</f>
        <v>0.11</v>
      </c>
      <c r="BL563" t="s">
        <v>3002</v>
      </c>
      <c r="BM563" s="1" t="str">
        <f>HYPERLINK("http://exon.niaid.nih.gov/transcriptome/T_rubida/S1/links/KOG/Triru-contig_372-KOG.txt","Voltage-gated Ca2+ channels, alpha1 subunits")</f>
        <v>Voltage-gated Ca2+ channels, alpha1 subunits</v>
      </c>
      <c r="BN563" t="str">
        <f>HYPERLINK("http://www.ncbi.nlm.nih.gov/COG/grace/shokog.cgi?KOG2301","0.84")</f>
        <v>0.84</v>
      </c>
      <c r="BO563" t="s">
        <v>720</v>
      </c>
      <c r="BP563" s="1" t="str">
        <f>HYPERLINK("http://exon.niaid.nih.gov/transcriptome/T_rubida/S1/links/PFAM/Triru-contig_372-PFAM.txt","TAF8_C")</f>
        <v>TAF8_C</v>
      </c>
      <c r="BQ563" t="str">
        <f>HYPERLINK("http://pfam.sanger.ac.uk/family?acc=PF10406","0.40")</f>
        <v>0.40</v>
      </c>
      <c r="BR563" s="1" t="str">
        <f>HYPERLINK("http://exon.niaid.nih.gov/transcriptome/T_rubida/S1/links/SMART/Triru-contig_372-SMART.txt","LIGANc")</f>
        <v>LIGANc</v>
      </c>
      <c r="BS563" t="str">
        <f>HYPERLINK("http://smart.embl-heidelberg.de/smart/do_annotation.pl?DOMAIN=LIGANc&amp;BLAST=DUMMY","0.007")</f>
        <v>0.007</v>
      </c>
      <c r="BT563" s="1" t="str">
        <f>HYPERLINK("http://exon.niaid.nih.gov/transcriptome/T_rubida/S1/links/PRK/Triru-contig_372-PRK.txt","pyridoxal kinase")</f>
        <v>pyridoxal kinase</v>
      </c>
      <c r="BU563">
        <v>0.28999999999999998</v>
      </c>
      <c r="BV563" s="1" t="s">
        <v>57</v>
      </c>
      <c r="BW563" t="s">
        <v>57</v>
      </c>
      <c r="BX563" s="1" t="s">
        <v>57</v>
      </c>
      <c r="BY563" t="s">
        <v>57</v>
      </c>
    </row>
    <row r="564" spans="1:77">
      <c r="A564" t="str">
        <f>HYPERLINK("http://exon.niaid.nih.gov/transcriptome/T_rubida/S1/links/Triru/Triru-contig_452.txt","Triru-contig_452")</f>
        <v>Triru-contig_452</v>
      </c>
      <c r="B564">
        <v>1</v>
      </c>
      <c r="C564" t="str">
        <f>HYPERLINK("http://exon.niaid.nih.gov/transcriptome/T_rubida/S1/links/Triru/Triru-5-48-asb-452.txt","Contig-452")</f>
        <v>Contig-452</v>
      </c>
      <c r="D564" t="str">
        <f>HYPERLINK("http://exon.niaid.nih.gov/transcriptome/T_rubida/S1/links/Triru/Triru-5-48-452-CLU.txt","Contig452")</f>
        <v>Contig452</v>
      </c>
      <c r="E564" t="str">
        <f>HYPERLINK("http://exon.niaid.nih.gov/transcriptome/T_rubida/S1/links/Triru/Triru-5-48-452-qual.txt","58.8")</f>
        <v>58.8</v>
      </c>
      <c r="F564" t="s">
        <v>10</v>
      </c>
      <c r="G564">
        <v>71.7</v>
      </c>
      <c r="H564">
        <v>303</v>
      </c>
      <c r="I564" t="s">
        <v>464</v>
      </c>
      <c r="J564">
        <v>303</v>
      </c>
      <c r="K564">
        <v>322</v>
      </c>
      <c r="L564">
        <v>114</v>
      </c>
      <c r="M564" t="s">
        <v>5448</v>
      </c>
      <c r="N564" s="15">
        <v>1</v>
      </c>
      <c r="Q564" s="5" t="s">
        <v>4827</v>
      </c>
      <c r="R564" t="s">
        <v>4828</v>
      </c>
      <c r="V564" s="1" t="str">
        <f>HYPERLINK("http://exon.niaid.nih.gov/transcriptome/T_rubida/S1/links/NR/Triru-contig_452-NR.txt","Na+/H+ antiporter NhaA")</f>
        <v>Na+/H+ antiporter NhaA</v>
      </c>
      <c r="W564" t="str">
        <f>HYPERLINK("http://www.ncbi.nlm.nih.gov/sutils/blink.cgi?pid=298385347","34")</f>
        <v>34</v>
      </c>
      <c r="X564" t="str">
        <f>HYPERLINK("http://www.ncbi.nlm.nih.gov/protein/298385347","gi|298385347")</f>
        <v>gi|298385347</v>
      </c>
      <c r="Y564">
        <v>32</v>
      </c>
      <c r="Z564">
        <v>55</v>
      </c>
      <c r="AA564">
        <v>439</v>
      </c>
      <c r="AB564">
        <v>26</v>
      </c>
      <c r="AC564">
        <v>13</v>
      </c>
      <c r="AD564">
        <v>41</v>
      </c>
      <c r="AE564">
        <v>0</v>
      </c>
      <c r="AF564">
        <v>177</v>
      </c>
      <c r="AG564">
        <v>65</v>
      </c>
      <c r="AH564">
        <v>1</v>
      </c>
      <c r="AI564">
        <v>2</v>
      </c>
      <c r="AJ564" t="s">
        <v>11</v>
      </c>
      <c r="AK564">
        <v>1.8180000000000001</v>
      </c>
      <c r="AL564" t="s">
        <v>3543</v>
      </c>
      <c r="AM564" t="s">
        <v>3544</v>
      </c>
      <c r="AN564" t="s">
        <v>3545</v>
      </c>
      <c r="AO564" s="1" t="str">
        <f>HYPERLINK("http://exon.niaid.nih.gov/transcriptome/T_rubida/S1/links/SWISSP/Triru-contig_452-SWISSP.txt","Na(+)/H(+) antiporter nhaA")</f>
        <v>Na(+)/H(+) antiporter nhaA</v>
      </c>
      <c r="AP564" t="str">
        <f>HYPERLINK("http://www.uniprot.org/uniprot/Q8AA31","1.3")</f>
        <v>1.3</v>
      </c>
      <c r="AQ564" t="s">
        <v>3546</v>
      </c>
      <c r="AR564">
        <v>32</v>
      </c>
      <c r="AS564">
        <v>55</v>
      </c>
      <c r="AT564">
        <v>26</v>
      </c>
      <c r="AU564">
        <v>13</v>
      </c>
      <c r="AV564">
        <v>41</v>
      </c>
      <c r="AW564">
        <v>0</v>
      </c>
      <c r="AX564">
        <v>177</v>
      </c>
      <c r="AY564">
        <v>65</v>
      </c>
      <c r="AZ564">
        <v>1</v>
      </c>
      <c r="BA564">
        <v>2</v>
      </c>
      <c r="BB564" t="s">
        <v>11</v>
      </c>
      <c r="BC564">
        <v>1.8180000000000001</v>
      </c>
      <c r="BD564" t="s">
        <v>704</v>
      </c>
      <c r="BE564" t="s">
        <v>1312</v>
      </c>
      <c r="BF564" t="s">
        <v>3547</v>
      </c>
      <c r="BG564" t="s">
        <v>3548</v>
      </c>
      <c r="BH564" s="1" t="s">
        <v>57</v>
      </c>
      <c r="BI564" t="s">
        <v>57</v>
      </c>
      <c r="BJ564" s="1" t="str">
        <f>HYPERLINK("http://exon.niaid.nih.gov/transcriptome/T_rubida/S1/links/CDD/Triru-contig_452-CDD.txt","DUF226")</f>
        <v>DUF226</v>
      </c>
      <c r="BK564" t="str">
        <f>HYPERLINK("http://www.ncbi.nlm.nih.gov/Structure/cdd/cddsrv.cgi?uid=pfam02890&amp;version=v4.0","0.46")</f>
        <v>0.46</v>
      </c>
      <c r="BL564" t="s">
        <v>3549</v>
      </c>
      <c r="BM564" s="1" t="str">
        <f>HYPERLINK("http://exon.niaid.nih.gov/transcriptome/T_rubida/S1/links/KOG/Triru-contig_452-KOG.txt","Beta-tubulin folding cofactor E")</f>
        <v>Beta-tubulin folding cofactor E</v>
      </c>
      <c r="BN564" t="str">
        <f>HYPERLINK("http://www.ncbi.nlm.nih.gov/COG/grace/shokog.cgi?KOG3207","4.6")</f>
        <v>4.6</v>
      </c>
      <c r="BO564" t="s">
        <v>954</v>
      </c>
      <c r="BP564" s="1" t="str">
        <f>HYPERLINK("http://exon.niaid.nih.gov/transcriptome/T_rubida/S1/links/PFAM/Triru-contig_452-PFAM.txt","DUF226")</f>
        <v>DUF226</v>
      </c>
      <c r="BQ564" t="str">
        <f>HYPERLINK("http://pfam.sanger.ac.uk/family?acc=PF02890","0.10")</f>
        <v>0.10</v>
      </c>
      <c r="BR564" s="1" t="str">
        <f>HYPERLINK("http://exon.niaid.nih.gov/transcriptome/T_rubida/S1/links/SMART/Triru-contig_452-SMART.txt","BSD")</f>
        <v>BSD</v>
      </c>
      <c r="BS564" t="str">
        <f>HYPERLINK("http://smart.embl-heidelberg.de/smart/do_annotation.pl?DOMAIN=BSD&amp;BLAST=DUMMY","0.22")</f>
        <v>0.22</v>
      </c>
      <c r="BT564" s="1" t="str">
        <f>HYPERLINK("http://exon.niaid.nih.gov/transcriptome/T_rubida/S1/links/PRK/Triru-contig_452-PRK.txt","Sec-independent translocase component C")</f>
        <v>Sec-independent translocase component C</v>
      </c>
      <c r="BU564">
        <v>0.57999999999999996</v>
      </c>
      <c r="BV564" s="1" t="s">
        <v>57</v>
      </c>
      <c r="BW564" t="s">
        <v>57</v>
      </c>
      <c r="BX564" s="1" t="s">
        <v>57</v>
      </c>
      <c r="BY564" t="s">
        <v>57</v>
      </c>
    </row>
    <row r="565" spans="1:77">
      <c r="A565" t="str">
        <f>HYPERLINK("http://exon.niaid.nih.gov/transcriptome/T_rubida/S1/links/Triru/Triru-contig_520.txt","Triru-contig_520")</f>
        <v>Triru-contig_520</v>
      </c>
      <c r="B565">
        <v>1</v>
      </c>
      <c r="C565" t="str">
        <f>HYPERLINK("http://exon.niaid.nih.gov/transcriptome/T_rubida/S1/links/Triru/Triru-5-48-asb-520.txt","Contig-520")</f>
        <v>Contig-520</v>
      </c>
      <c r="D565" t="str">
        <f>HYPERLINK("http://exon.niaid.nih.gov/transcriptome/T_rubida/S1/links/Triru/Triru-5-48-520-CLU.txt","Contig520")</f>
        <v>Contig520</v>
      </c>
      <c r="E565" t="str">
        <f>HYPERLINK("http://exon.niaid.nih.gov/transcriptome/T_rubida/S1/links/Triru/Triru-5-48-520-qual.txt","48.7")</f>
        <v>48.7</v>
      </c>
      <c r="F565" t="s">
        <v>10</v>
      </c>
      <c r="G565">
        <v>72.400000000000006</v>
      </c>
      <c r="H565">
        <v>307</v>
      </c>
      <c r="I565" t="s">
        <v>532</v>
      </c>
      <c r="J565">
        <v>307</v>
      </c>
      <c r="K565">
        <v>326</v>
      </c>
      <c r="L565">
        <v>207</v>
      </c>
      <c r="M565" t="s">
        <v>5475</v>
      </c>
      <c r="N565" s="15">
        <v>1</v>
      </c>
      <c r="O565" s="14" t="str">
        <f>HYPERLINK("http://exon.niaid.nih.gov/transcriptome/T_rubida/S1/links/Sigp/TRIRU-CONTIG_520-SigP.txt","Cyt")</f>
        <v>Cyt</v>
      </c>
      <c r="Q565" s="5" t="s">
        <v>4827</v>
      </c>
      <c r="R565" t="s">
        <v>4828</v>
      </c>
      <c r="V565" s="1" t="str">
        <f>HYPERLINK("http://exon.niaid.nih.gov/transcriptome/T_rubida/S1/links/NR/Triru-contig_520-NR.txt","putative aspartyl-tRNA synthetase")</f>
        <v>putative aspartyl-tRNA synthetase</v>
      </c>
      <c r="W565" t="str">
        <f>HYPERLINK("http://www.ncbi.nlm.nih.gov/sutils/blink.cgi?pid=307069545","34")</f>
        <v>34</v>
      </c>
      <c r="X565" t="str">
        <f>HYPERLINK("http://www.ncbi.nlm.nih.gov/protein/307069545","gi|307069545")</f>
        <v>gi|307069545</v>
      </c>
      <c r="Y565">
        <v>32</v>
      </c>
      <c r="Z565">
        <v>26</v>
      </c>
      <c r="AA565">
        <v>567</v>
      </c>
      <c r="AB565">
        <v>55</v>
      </c>
      <c r="AC565">
        <v>5</v>
      </c>
      <c r="AD565">
        <v>12</v>
      </c>
      <c r="AE565">
        <v>0</v>
      </c>
      <c r="AF565">
        <v>45</v>
      </c>
      <c r="AG565">
        <v>1</v>
      </c>
      <c r="AH565">
        <v>1</v>
      </c>
      <c r="AI565">
        <v>1</v>
      </c>
      <c r="AJ565" t="s">
        <v>11</v>
      </c>
      <c r="AL565" t="s">
        <v>4002</v>
      </c>
      <c r="AM565" t="s">
        <v>4003</v>
      </c>
      <c r="AN565" t="s">
        <v>4004</v>
      </c>
      <c r="AO565" s="1" t="str">
        <f>HYPERLINK("http://exon.niaid.nih.gov/transcriptome/T_rubida/S1/links/SWISSP/Triru-contig_520-SWISSP.txt","Putative UPF0479 protein YOR396C-A")</f>
        <v>Putative UPF0479 protein YOR396C-A</v>
      </c>
      <c r="AP565" t="str">
        <f>HYPERLINK("http://www.uniprot.org/uniprot/P0CL40","11")</f>
        <v>11</v>
      </c>
      <c r="AQ565" t="s">
        <v>1764</v>
      </c>
      <c r="AR565">
        <v>28.9</v>
      </c>
      <c r="AS565">
        <v>42</v>
      </c>
      <c r="AT565">
        <v>40</v>
      </c>
      <c r="AU565">
        <v>27</v>
      </c>
      <c r="AV565">
        <v>28</v>
      </c>
      <c r="AW565">
        <v>2</v>
      </c>
      <c r="AX565">
        <v>26</v>
      </c>
      <c r="AY565">
        <v>117</v>
      </c>
      <c r="AZ565">
        <v>1</v>
      </c>
      <c r="BA565">
        <v>3</v>
      </c>
      <c r="BB565" t="s">
        <v>11</v>
      </c>
      <c r="BC565">
        <v>4.7619999999999996</v>
      </c>
      <c r="BD565" t="s">
        <v>704</v>
      </c>
      <c r="BE565" t="s">
        <v>1487</v>
      </c>
      <c r="BF565" t="s">
        <v>1765</v>
      </c>
      <c r="BG565" t="s">
        <v>1766</v>
      </c>
      <c r="BH565" s="1" t="s">
        <v>57</v>
      </c>
      <c r="BI565" t="s">
        <v>57</v>
      </c>
      <c r="BJ565" s="1" t="str">
        <f>HYPERLINK("http://exon.niaid.nih.gov/transcriptome/T_rubida/S1/links/CDD/Triru-contig_520-CDD.txt","FimP")</f>
        <v>FimP</v>
      </c>
      <c r="BK565" t="str">
        <f>HYPERLINK("http://www.ncbi.nlm.nih.gov/Structure/cdd/cddsrv.cgi?uid=pfam09766&amp;version=v4.0","0.015")</f>
        <v>0.015</v>
      </c>
      <c r="BL565" t="s">
        <v>4005</v>
      </c>
      <c r="BM565" s="1" t="str">
        <f>HYPERLINK("http://exon.niaid.nih.gov/transcriptome/T_rubida/S1/links/KOG/Triru-contig_520-KOG.txt","Dopey and related predicted leucine zipper transcription factors")</f>
        <v>Dopey and related predicted leucine zipper transcription factors</v>
      </c>
      <c r="BN565" t="str">
        <f>HYPERLINK("http://www.ncbi.nlm.nih.gov/COG/grace/shokog.cgi?KOG3613","0.41")</f>
        <v>0.41</v>
      </c>
      <c r="BO565" t="s">
        <v>790</v>
      </c>
      <c r="BP565" s="1" t="str">
        <f>HYPERLINK("http://exon.niaid.nih.gov/transcriptome/T_rubida/S1/links/PFAM/Triru-contig_520-PFAM.txt","FimP")</f>
        <v>FimP</v>
      </c>
      <c r="BQ565" t="str">
        <f>HYPERLINK("http://pfam.sanger.ac.uk/family?acc=PF09766","0.003")</f>
        <v>0.003</v>
      </c>
      <c r="BR565" s="1" t="str">
        <f>HYPERLINK("http://exon.niaid.nih.gov/transcriptome/T_rubida/S1/links/SMART/Triru-contig_520-SMART.txt","IFabd")</f>
        <v>IFabd</v>
      </c>
      <c r="BS565" t="str">
        <f>HYPERLINK("http://smart.embl-heidelberg.de/smart/do_annotation.pl?DOMAIN=IFabd&amp;BLAST=DUMMY","0.014")</f>
        <v>0.014</v>
      </c>
      <c r="BT565" s="1" t="str">
        <f>HYPERLINK("http://exon.niaid.nih.gov/transcriptome/T_rubida/S1/links/PRK/Triru-contig_520-PRK.txt","NADH dehydrogenase subunit 5")</f>
        <v>NADH dehydrogenase subunit 5</v>
      </c>
      <c r="BU565">
        <v>0.18</v>
      </c>
      <c r="BV565" s="1" t="s">
        <v>57</v>
      </c>
      <c r="BW565" t="s">
        <v>57</v>
      </c>
      <c r="BX565" s="1" t="s">
        <v>57</v>
      </c>
      <c r="BY565" t="s">
        <v>57</v>
      </c>
    </row>
    <row r="566" spans="1:77">
      <c r="A566" t="str">
        <f>HYPERLINK("http://exon.niaid.nih.gov/transcriptome/T_rubida/S1/links/Triru/Triru-contig_114.txt","Triru-contig_114")</f>
        <v>Triru-contig_114</v>
      </c>
      <c r="B566">
        <v>4</v>
      </c>
      <c r="C566" t="str">
        <f>HYPERLINK("http://exon.niaid.nih.gov/transcriptome/T_rubida/S1/links/Triru/Triru-5-48-asb-114.txt","Contig-114")</f>
        <v>Contig-114</v>
      </c>
      <c r="D566" t="str">
        <f>HYPERLINK("http://exon.niaid.nih.gov/transcriptome/T_rubida/S1/links/Triru/Triru-5-48-114-CLU.txt","Contig114")</f>
        <v>Contig114</v>
      </c>
      <c r="E566" t="str">
        <f>HYPERLINK("http://exon.niaid.nih.gov/transcriptome/T_rubida/S1/links/Triru/Triru-5-48-114-qual.txt","85.3")</f>
        <v>85.3</v>
      </c>
      <c r="F566" t="s">
        <v>10</v>
      </c>
      <c r="G566">
        <v>75.400000000000006</v>
      </c>
      <c r="H566">
        <v>1043</v>
      </c>
      <c r="I566" t="s">
        <v>126</v>
      </c>
      <c r="J566">
        <v>1041</v>
      </c>
      <c r="K566">
        <v>1063</v>
      </c>
      <c r="L566">
        <v>228</v>
      </c>
      <c r="M566" t="s">
        <v>5480</v>
      </c>
      <c r="N566" s="15">
        <v>2</v>
      </c>
      <c r="O566" s="14" t="str">
        <f>HYPERLINK("http://exon.niaid.nih.gov/transcriptome/T_rubida/S1/links/Sigp/TRIRU-CONTIG_114-SigP.txt","Anch")</f>
        <v>Anch</v>
      </c>
      <c r="Q566" s="5" t="s">
        <v>4827</v>
      </c>
      <c r="R566" t="s">
        <v>4828</v>
      </c>
      <c r="V566" s="1" t="str">
        <f>HYPERLINK("http://exon.niaid.nih.gov/transcriptome/T_rubida/S1/links/NR/Triru-contig_114-NR.txt","apolipoprotein N-acyltransferase")</f>
        <v>apolipoprotein N-acyltransferase</v>
      </c>
      <c r="W566" t="str">
        <f>HYPERLINK("http://www.ncbi.nlm.nih.gov/sutils/blink.cgi?pid=300776248","34")</f>
        <v>34</v>
      </c>
      <c r="X566" t="str">
        <f>HYPERLINK("http://www.ncbi.nlm.nih.gov/protein/300776248","gi|300776248")</f>
        <v>gi|300776248</v>
      </c>
      <c r="Y566">
        <v>34.299999999999997</v>
      </c>
      <c r="Z566">
        <v>48</v>
      </c>
      <c r="AA566">
        <v>544</v>
      </c>
      <c r="AB566">
        <v>36</v>
      </c>
      <c r="AC566">
        <v>9</v>
      </c>
      <c r="AD566">
        <v>31</v>
      </c>
      <c r="AE566">
        <v>4</v>
      </c>
      <c r="AF566">
        <v>103</v>
      </c>
      <c r="AG566">
        <v>524</v>
      </c>
      <c r="AH566">
        <v>1</v>
      </c>
      <c r="AI566">
        <v>2</v>
      </c>
      <c r="AJ566" t="s">
        <v>11</v>
      </c>
      <c r="AK566">
        <v>4.1669999999999998</v>
      </c>
      <c r="AL566" t="s">
        <v>1352</v>
      </c>
      <c r="AM566" t="s">
        <v>1353</v>
      </c>
      <c r="AN566" t="s">
        <v>1354</v>
      </c>
      <c r="AO566" s="1" t="str">
        <f>HYPERLINK("http://exon.niaid.nih.gov/transcriptome/T_rubida/S1/links/SWISSP/Triru-contig_114-SWISSP.txt","Uncharacterized protein PF07_0086")</f>
        <v>Uncharacterized protein PF07_0086</v>
      </c>
      <c r="AP566" t="str">
        <f>HYPERLINK("http://www.uniprot.org/uniprot/Q8IBP1","18")</f>
        <v>18</v>
      </c>
      <c r="AQ566" t="s">
        <v>1355</v>
      </c>
      <c r="AR566">
        <v>30.8</v>
      </c>
      <c r="AS566">
        <v>82</v>
      </c>
      <c r="AT566">
        <v>27</v>
      </c>
      <c r="AU566">
        <v>2</v>
      </c>
      <c r="AV566">
        <v>60</v>
      </c>
      <c r="AW566">
        <v>13</v>
      </c>
      <c r="AX566">
        <v>2854</v>
      </c>
      <c r="AY566">
        <v>812</v>
      </c>
      <c r="AZ566">
        <v>1</v>
      </c>
      <c r="BA566">
        <v>2</v>
      </c>
      <c r="BB566" t="s">
        <v>11</v>
      </c>
      <c r="BD566" t="s">
        <v>704</v>
      </c>
      <c r="BE566" t="s">
        <v>1356</v>
      </c>
      <c r="BF566" t="s">
        <v>1357</v>
      </c>
      <c r="BG566" t="s">
        <v>1358</v>
      </c>
      <c r="BH566" s="1" t="s">
        <v>57</v>
      </c>
      <c r="BI566" t="s">
        <v>57</v>
      </c>
      <c r="BJ566" s="1" t="str">
        <f>HYPERLINK("http://exon.niaid.nih.gov/transcriptome/T_rubida/S1/links/CDD/Triru-contig_114-CDD.txt","SunT")</f>
        <v>SunT</v>
      </c>
      <c r="BK566" t="str">
        <f>HYPERLINK("http://www.ncbi.nlm.nih.gov/Structure/cdd/cddsrv.cgi?uid=COG2274&amp;version=v4.0","0.16")</f>
        <v>0.16</v>
      </c>
      <c r="BL566" t="s">
        <v>1359</v>
      </c>
      <c r="BM566" s="1" t="str">
        <f>HYPERLINK("http://exon.niaid.nih.gov/transcriptome/T_rubida/S1/links/KOG/Triru-contig_114-KOG.txt","K+-dependent Na+:Ca2+ antiporter")</f>
        <v>K+-dependent Na+:Ca2+ antiporter</v>
      </c>
      <c r="BN566" t="str">
        <f>HYPERLINK("http://www.ncbi.nlm.nih.gov/COG/grace/shokog.cgi?KOG2399","1.2")</f>
        <v>1.2</v>
      </c>
      <c r="BO566" t="s">
        <v>849</v>
      </c>
      <c r="BP566" s="1" t="str">
        <f>HYPERLINK("http://exon.niaid.nih.gov/transcriptome/T_rubida/S1/links/PFAM/Triru-contig_114-PFAM.txt","7TM_GPCR_Srz")</f>
        <v>7TM_GPCR_Srz</v>
      </c>
      <c r="BQ566" t="str">
        <f>HYPERLINK("http://pfam.sanger.ac.uk/family?acc=PF10325","0.19")</f>
        <v>0.19</v>
      </c>
      <c r="BR566" s="1" t="str">
        <f>HYPERLINK("http://exon.niaid.nih.gov/transcriptome/T_rubida/S1/links/SMART/Triru-contig_114-SMART.txt","GPS")</f>
        <v>GPS</v>
      </c>
      <c r="BS566" t="str">
        <f>HYPERLINK("http://smart.embl-heidelberg.de/smart/do_annotation.pl?DOMAIN=GPS&amp;BLAST=DUMMY","0.089")</f>
        <v>0.089</v>
      </c>
      <c r="BT566" s="1" t="str">
        <f>HYPERLINK("http://exon.niaid.nih.gov/transcriptome/T_rubida/S1/links/PRK/Triru-contig_114-PRK.txt","variable surface protein Vir21")</f>
        <v>variable surface protein Vir21</v>
      </c>
      <c r="BU566">
        <v>0.25</v>
      </c>
      <c r="BV566" s="1" t="s">
        <v>57</v>
      </c>
      <c r="BW566" t="s">
        <v>57</v>
      </c>
      <c r="BX566" s="1" t="s">
        <v>57</v>
      </c>
      <c r="BY566" t="s">
        <v>57</v>
      </c>
    </row>
    <row r="567" spans="1:77">
      <c r="A567" t="str">
        <f>HYPERLINK("http://exon.niaid.nih.gov/transcriptome/T_rubida/S1/links/Triru/Triru-contig_271.txt","Triru-contig_271")</f>
        <v>Triru-contig_271</v>
      </c>
      <c r="B567">
        <v>1</v>
      </c>
      <c r="C567" t="str">
        <f>HYPERLINK("http://exon.niaid.nih.gov/transcriptome/T_rubida/S1/links/Triru/Triru-5-48-asb-271.txt","Contig-271")</f>
        <v>Contig-271</v>
      </c>
      <c r="D567" t="str">
        <f>HYPERLINK("http://exon.niaid.nih.gov/transcriptome/T_rubida/S1/links/Triru/Triru-5-48-271-CLU.txt","Contig271")</f>
        <v>Contig271</v>
      </c>
      <c r="E567" t="str">
        <f>HYPERLINK("http://exon.niaid.nih.gov/transcriptome/T_rubida/S1/links/Triru/Triru-5-48-271-qual.txt","53.2")</f>
        <v>53.2</v>
      </c>
      <c r="F567" t="s">
        <v>10</v>
      </c>
      <c r="G567">
        <v>65.900000000000006</v>
      </c>
      <c r="H567">
        <v>248</v>
      </c>
      <c r="I567" t="s">
        <v>283</v>
      </c>
      <c r="J567">
        <v>248</v>
      </c>
      <c r="K567">
        <v>267</v>
      </c>
      <c r="L567">
        <v>150</v>
      </c>
      <c r="M567" t="s">
        <v>5494</v>
      </c>
      <c r="N567" s="15">
        <v>2</v>
      </c>
      <c r="Q567" s="5" t="s">
        <v>4827</v>
      </c>
      <c r="R567" t="s">
        <v>4828</v>
      </c>
      <c r="V567" s="1" t="str">
        <f>HYPERLINK("http://exon.niaid.nih.gov/transcriptome/T_rubida/S1/links/NR/Triru-contig_271-NR.txt","UDP glucuronosyltransferase 5 family, polypeptide C1")</f>
        <v>UDP glucuronosyltransferase 5 family, polypeptide C1</v>
      </c>
      <c r="W567" t="str">
        <f>HYPERLINK("http://www.ncbi.nlm.nih.gov/sutils/blink.cgi?pid=294610618","34")</f>
        <v>34</v>
      </c>
      <c r="X567" t="str">
        <f>HYPERLINK("http://www.ncbi.nlm.nih.gov/protein/294610618","gi|294610618")</f>
        <v>gi|294610618</v>
      </c>
      <c r="Y567">
        <v>32</v>
      </c>
      <c r="Z567">
        <v>30</v>
      </c>
      <c r="AA567">
        <v>531</v>
      </c>
      <c r="AB567">
        <v>51</v>
      </c>
      <c r="AC567">
        <v>6</v>
      </c>
      <c r="AD567">
        <v>15</v>
      </c>
      <c r="AE567">
        <v>0</v>
      </c>
      <c r="AF567">
        <v>210</v>
      </c>
      <c r="AG567">
        <v>131</v>
      </c>
      <c r="AH567">
        <v>1</v>
      </c>
      <c r="AI567">
        <v>2</v>
      </c>
      <c r="AJ567" t="s">
        <v>11</v>
      </c>
      <c r="AL567" t="s">
        <v>1556</v>
      </c>
      <c r="AM567" t="s">
        <v>2302</v>
      </c>
      <c r="AN567" t="s">
        <v>2303</v>
      </c>
      <c r="AO567" s="1" t="str">
        <f>HYPERLINK("http://exon.niaid.nih.gov/transcriptome/T_rubida/S1/links/SWISSP/Triru-contig_271-SWISSP.txt","NADH-ubiquinone oxidoreductase chain 2")</f>
        <v>NADH-ubiquinone oxidoreductase chain 2</v>
      </c>
      <c r="AP567" t="str">
        <f>HYPERLINK("http://www.uniprot.org/uniprot/P48906","53")</f>
        <v>53</v>
      </c>
      <c r="AQ567" t="s">
        <v>2304</v>
      </c>
      <c r="AR567">
        <v>26.6</v>
      </c>
      <c r="AS567">
        <v>33</v>
      </c>
      <c r="AT567">
        <v>38</v>
      </c>
      <c r="AU567">
        <v>6</v>
      </c>
      <c r="AV567">
        <v>21</v>
      </c>
      <c r="AW567">
        <v>0</v>
      </c>
      <c r="AX567">
        <v>268</v>
      </c>
      <c r="AY567">
        <v>146</v>
      </c>
      <c r="AZ567">
        <v>1</v>
      </c>
      <c r="BA567">
        <v>2</v>
      </c>
      <c r="BB567" t="s">
        <v>11</v>
      </c>
      <c r="BD567" t="s">
        <v>704</v>
      </c>
      <c r="BE567" t="s">
        <v>2305</v>
      </c>
      <c r="BF567" t="s">
        <v>2306</v>
      </c>
      <c r="BG567" t="s">
        <v>2307</v>
      </c>
      <c r="BH567" s="1" t="s">
        <v>57</v>
      </c>
      <c r="BI567" t="s">
        <v>57</v>
      </c>
      <c r="BJ567" s="1" t="str">
        <f>HYPERLINK("http://exon.niaid.nih.gov/transcriptome/T_rubida/S1/links/CDD/Triru-contig_271-CDD.txt","7TM_GPCR_Srb")</f>
        <v>7TM_GPCR_Srb</v>
      </c>
      <c r="BK567" t="str">
        <f>HYPERLINK("http://www.ncbi.nlm.nih.gov/Structure/cdd/cddsrv.cgi?uid=pfam02175&amp;version=v4.0","0.95")</f>
        <v>0.95</v>
      </c>
      <c r="BL567" t="s">
        <v>2308</v>
      </c>
      <c r="BM567" s="1" t="str">
        <f>HYPERLINK("http://exon.niaid.nih.gov/transcriptome/T_rubida/S1/links/KOG/Triru-contig_271-KOG.txt","DRIM (Down-regulated in metastasis)-like proteins")</f>
        <v>DRIM (Down-regulated in metastasis)-like proteins</v>
      </c>
      <c r="BN567" t="str">
        <f>HYPERLINK("http://www.ncbi.nlm.nih.gov/COG/grace/shokog.cgi?KOG1823","0.34")</f>
        <v>0.34</v>
      </c>
      <c r="BO567" t="s">
        <v>2309</v>
      </c>
      <c r="BP567" s="1" t="str">
        <f>HYPERLINK("http://exon.niaid.nih.gov/transcriptome/T_rubida/S1/links/PFAM/Triru-contig_271-PFAM.txt","7TM_GPCR_Srb")</f>
        <v>7TM_GPCR_Srb</v>
      </c>
      <c r="BQ567" t="str">
        <f>HYPERLINK("http://pfam.sanger.ac.uk/family?acc=PF02175","0.20")</f>
        <v>0.20</v>
      </c>
      <c r="BR567" s="1" t="str">
        <f>HYPERLINK("http://exon.niaid.nih.gov/transcriptome/T_rubida/S1/links/SMART/Triru-contig_271-SMART.txt","HOLI")</f>
        <v>HOLI</v>
      </c>
      <c r="BS567" t="str">
        <f>HYPERLINK("http://smart.embl-heidelberg.de/smart/do_annotation.pl?DOMAIN=HOLI&amp;BLAST=DUMMY","0.17")</f>
        <v>0.17</v>
      </c>
      <c r="BT567" s="1" t="str">
        <f>HYPERLINK("http://exon.niaid.nih.gov/transcriptome/T_rubida/S1/links/PRK/Triru-contig_271-PRK.txt","NADH dehydrogenase subunit 2.")</f>
        <v>NADH dehydrogenase subunit 2.</v>
      </c>
      <c r="BU567">
        <v>1</v>
      </c>
      <c r="BV567" s="1" t="s">
        <v>57</v>
      </c>
      <c r="BW567" t="s">
        <v>57</v>
      </c>
      <c r="BX567" s="1" t="s">
        <v>57</v>
      </c>
      <c r="BY567" t="s">
        <v>57</v>
      </c>
    </row>
    <row r="568" spans="1:77">
      <c r="A568" t="str">
        <f>HYPERLINK("http://exon.niaid.nih.gov/transcriptome/T_rubida/S1/links/Triru/Triru-contig_244.txt","Triru-contig_244")</f>
        <v>Triru-contig_244</v>
      </c>
      <c r="B568">
        <v>1</v>
      </c>
      <c r="C568" t="str">
        <f>HYPERLINK("http://exon.niaid.nih.gov/transcriptome/T_rubida/S1/links/Triru/Triru-5-48-asb-244.txt","Contig-244")</f>
        <v>Contig-244</v>
      </c>
      <c r="D568" t="str">
        <f>HYPERLINK("http://exon.niaid.nih.gov/transcriptome/T_rubida/S1/links/Triru/Triru-5-48-244-CLU.txt","Contig244")</f>
        <v>Contig244</v>
      </c>
      <c r="E568" t="str">
        <f>HYPERLINK("http://exon.niaid.nih.gov/transcriptome/T_rubida/S1/links/Triru/Triru-5-48-244-qual.txt","59.5")</f>
        <v>59.5</v>
      </c>
      <c r="F568" t="s">
        <v>10</v>
      </c>
      <c r="G568">
        <v>74.3</v>
      </c>
      <c r="H568">
        <v>172</v>
      </c>
      <c r="I568" t="s">
        <v>256</v>
      </c>
      <c r="J568">
        <v>172</v>
      </c>
      <c r="K568">
        <v>191</v>
      </c>
      <c r="L568">
        <v>108</v>
      </c>
      <c r="M568" t="s">
        <v>5527</v>
      </c>
      <c r="N568" s="15">
        <v>3</v>
      </c>
      <c r="Q568" s="5" t="s">
        <v>4827</v>
      </c>
      <c r="R568" t="s">
        <v>4828</v>
      </c>
      <c r="V568" s="1" t="str">
        <f>HYPERLINK("http://exon.niaid.nih.gov/transcriptome/T_rubida/S1/links/NR/Triru-contig_244-NR.txt","hypothetical protein GTHECHR1080")</f>
        <v>hypothetical protein GTHECHR1080</v>
      </c>
      <c r="W568" t="str">
        <f>HYPERLINK("http://www.ncbi.nlm.nih.gov/sutils/blink.cgi?pid=162606124","34")</f>
        <v>34</v>
      </c>
      <c r="X568" t="str">
        <f>HYPERLINK("http://www.ncbi.nlm.nih.gov/protein/162606124","gi|162606124")</f>
        <v>gi|162606124</v>
      </c>
      <c r="Y568">
        <v>32</v>
      </c>
      <c r="Z568">
        <v>37</v>
      </c>
      <c r="AA568">
        <v>391</v>
      </c>
      <c r="AB568">
        <v>39</v>
      </c>
      <c r="AC568">
        <v>10</v>
      </c>
      <c r="AD568">
        <v>23</v>
      </c>
      <c r="AE568">
        <v>0</v>
      </c>
      <c r="AF568">
        <v>305</v>
      </c>
      <c r="AG568">
        <v>48</v>
      </c>
      <c r="AH568">
        <v>1</v>
      </c>
      <c r="AI568">
        <v>3</v>
      </c>
      <c r="AJ568" t="s">
        <v>11</v>
      </c>
      <c r="AK568">
        <v>2.7029999999999998</v>
      </c>
      <c r="AL568" t="s">
        <v>2136</v>
      </c>
      <c r="AM568" t="s">
        <v>2137</v>
      </c>
      <c r="AN568" t="s">
        <v>2138</v>
      </c>
      <c r="AO568" s="1" t="str">
        <f>HYPERLINK("http://exon.niaid.nih.gov/transcriptome/T_rubida/S1/links/SWISSP/Triru-contig_244-SWISSP.txt","Spastin")</f>
        <v>Spastin</v>
      </c>
      <c r="AP568" t="str">
        <f>HYPERLINK("http://www.uniprot.org/uniprot/B4QSF0","31")</f>
        <v>31</v>
      </c>
      <c r="AQ568" t="s">
        <v>2139</v>
      </c>
      <c r="AR568">
        <v>27.3</v>
      </c>
      <c r="AS568">
        <v>32</v>
      </c>
      <c r="AT568">
        <v>39</v>
      </c>
      <c r="AU568">
        <v>4</v>
      </c>
      <c r="AV568">
        <v>20</v>
      </c>
      <c r="AW568">
        <v>1</v>
      </c>
      <c r="AX568">
        <v>97</v>
      </c>
      <c r="AY568">
        <v>42</v>
      </c>
      <c r="AZ568">
        <v>1</v>
      </c>
      <c r="BA568">
        <v>3</v>
      </c>
      <c r="BB568" t="s">
        <v>11</v>
      </c>
      <c r="BC568">
        <v>3.125</v>
      </c>
      <c r="BD568" t="s">
        <v>704</v>
      </c>
      <c r="BE568" t="s">
        <v>2128</v>
      </c>
      <c r="BF568" t="s">
        <v>2140</v>
      </c>
      <c r="BG568" t="s">
        <v>2141</v>
      </c>
      <c r="BH568" s="1" t="s">
        <v>57</v>
      </c>
      <c r="BI568" t="s">
        <v>57</v>
      </c>
      <c r="BJ568" s="1" t="str">
        <f>HYPERLINK("http://exon.niaid.nih.gov/transcriptome/T_rubida/S1/links/CDD/Triru-contig_244-CDD.txt","PHA02748")</f>
        <v>PHA02748</v>
      </c>
      <c r="BK568" t="str">
        <f>HYPERLINK("http://www.ncbi.nlm.nih.gov/Structure/cdd/cddsrv.cgi?uid=PHA02748&amp;version=v4.0","0.40")</f>
        <v>0.40</v>
      </c>
      <c r="BL568" t="s">
        <v>2142</v>
      </c>
      <c r="BM568" s="1" t="str">
        <f>HYPERLINK("http://exon.niaid.nih.gov/transcriptome/T_rubida/S1/links/KOG/Triru-contig_244-KOG.txt","Aminoacylase ACY1 and related metalloexopeptidases")</f>
        <v>Aminoacylase ACY1 and related metalloexopeptidases</v>
      </c>
      <c r="BN568" t="str">
        <f>HYPERLINK("http://www.ncbi.nlm.nih.gov/COG/grace/shokog.cgi?KOG2275","0.79")</f>
        <v>0.79</v>
      </c>
      <c r="BO568" t="s">
        <v>839</v>
      </c>
      <c r="BP568" s="1" t="str">
        <f>HYPERLINK("http://exon.niaid.nih.gov/transcriptome/T_rubida/S1/links/PFAM/Triru-contig_244-PFAM.txt","Borrelia_orfA")</f>
        <v>Borrelia_orfA</v>
      </c>
      <c r="BQ568" t="str">
        <f>HYPERLINK("http://pfam.sanger.ac.uk/family?acc=PF02414","0.17")</f>
        <v>0.17</v>
      </c>
      <c r="BR568" s="1" t="str">
        <f>HYPERLINK("http://exon.niaid.nih.gov/transcriptome/T_rubida/S1/links/SMART/Triru-contig_244-SMART.txt","SHR3_chaperone")</f>
        <v>SHR3_chaperone</v>
      </c>
      <c r="BS568" t="str">
        <f>HYPERLINK("http://smart.embl-heidelberg.de/smart/do_annotation.pl?DOMAIN=SHR3_chaperone&amp;BLAST=DUMMY","0.15")</f>
        <v>0.15</v>
      </c>
      <c r="BT568" s="1" t="str">
        <f>HYPERLINK("http://exon.niaid.nih.gov/transcriptome/T_rubida/S1/links/PRK/Triru-contig_244-PRK.txt","viral inexin-like protein")</f>
        <v>viral inexin-like protein</v>
      </c>
      <c r="BU568">
        <v>0.15</v>
      </c>
      <c r="BV568" s="1" t="s">
        <v>57</v>
      </c>
      <c r="BW568" t="s">
        <v>57</v>
      </c>
      <c r="BX568" s="1" t="s">
        <v>57</v>
      </c>
      <c r="BY568" t="s">
        <v>57</v>
      </c>
    </row>
    <row r="569" spans="1:77">
      <c r="A569" t="str">
        <f>HYPERLINK("http://exon.niaid.nih.gov/transcriptome/T_rubida/S1/links/Triru/Triru-contig_645.txt","Triru-contig_645")</f>
        <v>Triru-contig_645</v>
      </c>
      <c r="B569">
        <v>1</v>
      </c>
      <c r="C569" t="str">
        <f>HYPERLINK("http://exon.niaid.nih.gov/transcriptome/T_rubida/S1/links/Triru/Triru-5-48-asb-645.txt","Contig-645")</f>
        <v>Contig-645</v>
      </c>
      <c r="D569" t="str">
        <f>HYPERLINK("http://exon.niaid.nih.gov/transcriptome/T_rubida/S1/links/Triru/Triru-5-48-645-CLU.txt","Contig645")</f>
        <v>Contig645</v>
      </c>
      <c r="E569" t="str">
        <f>HYPERLINK("http://exon.niaid.nih.gov/transcriptome/T_rubida/S1/links/Triru/Triru-5-48-645-qual.txt","45.6")</f>
        <v>45.6</v>
      </c>
      <c r="F569" t="s">
        <v>10</v>
      </c>
      <c r="G569">
        <v>73</v>
      </c>
      <c r="H569">
        <v>170</v>
      </c>
      <c r="I569" t="s">
        <v>657</v>
      </c>
      <c r="J569">
        <v>170</v>
      </c>
      <c r="K569">
        <v>189</v>
      </c>
      <c r="L569">
        <v>66</v>
      </c>
      <c r="M569" t="s">
        <v>5546</v>
      </c>
      <c r="N569" s="15">
        <v>2</v>
      </c>
      <c r="Q569" s="5" t="s">
        <v>4827</v>
      </c>
      <c r="R569" t="s">
        <v>4828</v>
      </c>
      <c r="V569" s="1" t="str">
        <f>HYPERLINK("http://exon.niaid.nih.gov/transcriptome/T_rubida/S1/links/NR/Triru-contig_645-NR.txt","hypothetical protein IMG5_106200")</f>
        <v>hypothetical protein IMG5_106200</v>
      </c>
      <c r="W569" t="str">
        <f>HYPERLINK("http://www.ncbi.nlm.nih.gov/sutils/blink.cgi?pid=340505257","34")</f>
        <v>34</v>
      </c>
      <c r="X569" t="str">
        <f>HYPERLINK("http://www.ncbi.nlm.nih.gov/protein/340505257","gi|340505257")</f>
        <v>gi|340505257</v>
      </c>
      <c r="Y569">
        <v>32</v>
      </c>
      <c r="Z569">
        <v>28</v>
      </c>
      <c r="AA569">
        <v>1998</v>
      </c>
      <c r="AB569">
        <v>50</v>
      </c>
      <c r="AC569">
        <v>1</v>
      </c>
      <c r="AD569">
        <v>15</v>
      </c>
      <c r="AE569">
        <v>0</v>
      </c>
      <c r="AF569">
        <v>1877</v>
      </c>
      <c r="AG569">
        <v>65</v>
      </c>
      <c r="AH569">
        <v>1</v>
      </c>
      <c r="AI569">
        <v>2</v>
      </c>
      <c r="AJ569" t="s">
        <v>11</v>
      </c>
      <c r="AK569">
        <v>3.5710000000000002</v>
      </c>
      <c r="AL569" t="s">
        <v>1593</v>
      </c>
      <c r="AM569" t="s">
        <v>4745</v>
      </c>
      <c r="AN569" t="s">
        <v>4746</v>
      </c>
      <c r="AO569" s="1" t="str">
        <f>HYPERLINK("http://exon.niaid.nih.gov/transcriptome/T_rubida/S1/links/SWISSP/Triru-contig_645-SWISSP.txt","Glycyl-tRNA synthetase beta subunit")</f>
        <v>Glycyl-tRNA synthetase beta subunit</v>
      </c>
      <c r="AP569" t="str">
        <f>HYPERLINK("http://www.uniprot.org/uniprot/A8F071","14")</f>
        <v>14</v>
      </c>
      <c r="AQ569" t="s">
        <v>4747</v>
      </c>
      <c r="AR569">
        <v>28.5</v>
      </c>
      <c r="AS569">
        <v>27</v>
      </c>
      <c r="AT569">
        <v>53</v>
      </c>
      <c r="AU569">
        <v>4</v>
      </c>
      <c r="AV569">
        <v>13</v>
      </c>
      <c r="AW569">
        <v>0</v>
      </c>
      <c r="AX569">
        <v>488</v>
      </c>
      <c r="AY569">
        <v>74</v>
      </c>
      <c r="AZ569">
        <v>1</v>
      </c>
      <c r="BA569">
        <v>2</v>
      </c>
      <c r="BB569" t="s">
        <v>11</v>
      </c>
      <c r="BC569">
        <v>3.7040000000000002</v>
      </c>
      <c r="BD569" t="s">
        <v>704</v>
      </c>
      <c r="BE569" t="s">
        <v>4748</v>
      </c>
      <c r="BF569" t="s">
        <v>4749</v>
      </c>
      <c r="BG569" t="s">
        <v>4750</v>
      </c>
      <c r="BH569" s="1" t="s">
        <v>57</v>
      </c>
      <c r="BI569" t="s">
        <v>57</v>
      </c>
      <c r="BJ569" s="1" t="str">
        <f>HYPERLINK("http://exon.niaid.nih.gov/transcriptome/T_rubida/S1/links/CDD/Triru-contig_645-CDD.txt","6")</f>
        <v>6</v>
      </c>
      <c r="BK569" t="str">
        <f>HYPERLINK("http://www.ncbi.nlm.nih.gov/Structure/cdd/cddsrv.cgi?uid=PHA02553&amp;version=v4.0","0.74")</f>
        <v>0.74</v>
      </c>
      <c r="BL569" t="s">
        <v>4751</v>
      </c>
      <c r="BM569" s="1" t="str">
        <f>HYPERLINK("http://exon.niaid.nih.gov/transcriptome/T_rubida/S1/links/KOG/Triru-contig_645-KOG.txt","Fatty acyl-CoA elongase/Polyunsaturated fatty acid specific elongation enzyme")</f>
        <v>Fatty acyl-CoA elongase/Polyunsaturated fatty acid specific elongation enzyme</v>
      </c>
      <c r="BN569" t="str">
        <f>HYPERLINK("http://www.ncbi.nlm.nih.gov/COG/grace/shokog.cgi?KOG3071","8.5")</f>
        <v>8.5</v>
      </c>
      <c r="BO569" t="s">
        <v>709</v>
      </c>
      <c r="BP569" s="1" t="str">
        <f>HYPERLINK("http://exon.niaid.nih.gov/transcriptome/T_rubida/S1/links/PFAM/Triru-contig_645-PFAM.txt","Baculo_p47")</f>
        <v>Baculo_p47</v>
      </c>
      <c r="BQ569" t="str">
        <f>HYPERLINK("http://pfam.sanger.ac.uk/family?acc=PF05112","0.38")</f>
        <v>0.38</v>
      </c>
      <c r="BR569" s="1" t="str">
        <f>HYPERLINK("http://exon.niaid.nih.gov/transcriptome/T_rubida/S1/links/SMART/Triru-contig_645-SMART.txt","G_alpha")</f>
        <v>G_alpha</v>
      </c>
      <c r="BS569" t="str">
        <f>HYPERLINK("http://smart.embl-heidelberg.de/smart/do_annotation.pl?DOMAIN=G_alpha&amp;BLAST=DUMMY","0.098")</f>
        <v>0.098</v>
      </c>
      <c r="BT569" s="1" t="str">
        <f>HYPERLINK("http://exon.niaid.nih.gov/transcriptome/T_rubida/S1/links/PRK/Triru-contig_645-PRK.txt","baseplate wedge subunit")</f>
        <v>baseplate wedge subunit</v>
      </c>
      <c r="BU569">
        <v>0.27</v>
      </c>
      <c r="BV569" s="1" t="s">
        <v>57</v>
      </c>
      <c r="BW569" t="s">
        <v>57</v>
      </c>
      <c r="BX569" s="1" t="s">
        <v>57</v>
      </c>
      <c r="BY569" t="s">
        <v>57</v>
      </c>
    </row>
    <row r="570" spans="1:77">
      <c r="A570" t="str">
        <f>HYPERLINK("http://exon.niaid.nih.gov/transcriptome/T_rubida/S1/links/Triru/Triru-contig_477.txt","Triru-contig_477")</f>
        <v>Triru-contig_477</v>
      </c>
      <c r="B570">
        <v>1</v>
      </c>
      <c r="C570" t="str">
        <f>HYPERLINK("http://exon.niaid.nih.gov/transcriptome/T_rubida/S1/links/Triru/Triru-5-48-asb-477.txt","Contig-477")</f>
        <v>Contig-477</v>
      </c>
      <c r="D570" t="str">
        <f>HYPERLINK("http://exon.niaid.nih.gov/transcriptome/T_rubida/S1/links/Triru/Triru-5-48-477-CLU.txt","Contig477")</f>
        <v>Contig477</v>
      </c>
      <c r="E570" t="str">
        <f>HYPERLINK("http://exon.niaid.nih.gov/transcriptome/T_rubida/S1/links/Triru/Triru-5-48-477-qual.txt","27.4")</f>
        <v>27.4</v>
      </c>
      <c r="F570" t="s">
        <v>10</v>
      </c>
      <c r="G570">
        <v>57.7</v>
      </c>
      <c r="H570">
        <v>144</v>
      </c>
      <c r="I570" t="s">
        <v>489</v>
      </c>
      <c r="J570">
        <v>144</v>
      </c>
      <c r="K570">
        <v>163</v>
      </c>
      <c r="L570">
        <v>93</v>
      </c>
      <c r="M570" t="s">
        <v>5651</v>
      </c>
      <c r="N570" s="15">
        <v>1</v>
      </c>
      <c r="Q570" s="5" t="s">
        <v>4827</v>
      </c>
      <c r="R570" t="s">
        <v>4828</v>
      </c>
      <c r="V570" s="1" t="str">
        <f>HYPERLINK("http://exon.niaid.nih.gov/transcriptome/T_rubida/S1/links/NR/Triru-contig_477-NR.txt","hypothetical protein SERLADRAFT_451630")</f>
        <v>hypothetical protein SERLADRAFT_451630</v>
      </c>
      <c r="W570" t="str">
        <f>HYPERLINK("http://www.ncbi.nlm.nih.gov/sutils/blink.cgi?pid=336380456","34")</f>
        <v>34</v>
      </c>
      <c r="X570" t="str">
        <f>HYPERLINK("http://www.ncbi.nlm.nih.gov/protein/336380456","gi|336380456")</f>
        <v>gi|336380456</v>
      </c>
      <c r="Y570">
        <v>32</v>
      </c>
      <c r="Z570">
        <v>24</v>
      </c>
      <c r="AA570">
        <v>1414</v>
      </c>
      <c r="AB570">
        <v>57</v>
      </c>
      <c r="AC570">
        <v>2</v>
      </c>
      <c r="AD570">
        <v>11</v>
      </c>
      <c r="AE570">
        <v>0</v>
      </c>
      <c r="AF570">
        <v>628</v>
      </c>
      <c r="AG570">
        <v>48</v>
      </c>
      <c r="AH570">
        <v>1</v>
      </c>
      <c r="AI570">
        <v>3</v>
      </c>
      <c r="AJ570" t="s">
        <v>11</v>
      </c>
      <c r="AK570">
        <v>4.1669999999999998</v>
      </c>
      <c r="AL570" t="s">
        <v>3705</v>
      </c>
      <c r="AM570" t="s">
        <v>3706</v>
      </c>
      <c r="AN570" t="s">
        <v>3707</v>
      </c>
      <c r="AO570" s="1" t="str">
        <f>HYPERLINK("http://exon.niaid.nih.gov/transcriptome/T_rubida/S1/links/SWISSP/Triru-contig_477-SWISSP.txt","Obscurin")</f>
        <v>Obscurin</v>
      </c>
      <c r="AP570" t="str">
        <f>HYPERLINK("http://www.uniprot.org/uniprot/Q5VST9","2.1")</f>
        <v>2.1</v>
      </c>
      <c r="AQ570" t="s">
        <v>3708</v>
      </c>
      <c r="AR570">
        <v>31.2</v>
      </c>
      <c r="AS570">
        <v>20</v>
      </c>
      <c r="AT570">
        <v>61</v>
      </c>
      <c r="AV570">
        <v>8</v>
      </c>
      <c r="AW570">
        <v>0</v>
      </c>
      <c r="AX570">
        <v>7916</v>
      </c>
      <c r="AY570">
        <v>29</v>
      </c>
      <c r="AZ570">
        <v>1</v>
      </c>
      <c r="BA570">
        <v>2</v>
      </c>
      <c r="BB570" t="s">
        <v>11</v>
      </c>
      <c r="BD570" t="s">
        <v>704</v>
      </c>
      <c r="BE570" t="s">
        <v>1233</v>
      </c>
      <c r="BF570" t="s">
        <v>3709</v>
      </c>
      <c r="BG570" t="s">
        <v>3710</v>
      </c>
      <c r="BH570" s="1" t="s">
        <v>57</v>
      </c>
      <c r="BI570" t="s">
        <v>57</v>
      </c>
      <c r="BJ570" s="1" t="str">
        <f>HYPERLINK("http://exon.niaid.nih.gov/transcriptome/T_rubida/S1/links/CDD/Triru-contig_477-CDD.txt","PBP2_Nitroaroma")</f>
        <v>PBP2_Nitroaroma</v>
      </c>
      <c r="BK570" t="str">
        <f>HYPERLINK("http://www.ncbi.nlm.nih.gov/Structure/cdd/cddsrv.cgi?uid=cd08417&amp;version=v4.0","2.1")</f>
        <v>2.1</v>
      </c>
      <c r="BL570" t="s">
        <v>3711</v>
      </c>
      <c r="BM570" s="1" t="str">
        <f>HYPERLINK("http://exon.niaid.nih.gov/transcriptome/T_rubida/S1/links/KOG/Triru-contig_477-KOG.txt","Oligophrenin-1 and related Rho GTPase-activating proteins")</f>
        <v>Oligophrenin-1 and related Rho GTPase-activating proteins</v>
      </c>
      <c r="BN570" t="str">
        <f>HYPERLINK("http://www.ncbi.nlm.nih.gov/COG/grace/shokog.cgi?KOG1451","3.2")</f>
        <v>3.2</v>
      </c>
      <c r="BO570" t="s">
        <v>728</v>
      </c>
      <c r="BP570" s="1" t="str">
        <f>HYPERLINK("http://exon.niaid.nih.gov/transcriptome/T_rubida/S1/links/PFAM/Triru-contig_477-PFAM.txt","PCAF_N")</f>
        <v>PCAF_N</v>
      </c>
      <c r="BQ570" t="str">
        <f>HYPERLINK("http://pfam.sanger.ac.uk/family?acc=PF06466","1.9")</f>
        <v>1.9</v>
      </c>
      <c r="BR570" s="1" t="str">
        <f>HYPERLINK("http://exon.niaid.nih.gov/transcriptome/T_rubida/S1/links/SMART/Triru-contig_477-SMART.txt","SCY")</f>
        <v>SCY</v>
      </c>
      <c r="BS570" t="str">
        <f>HYPERLINK("http://smart.embl-heidelberg.de/smart/do_annotation.pl?DOMAIN=SCY&amp;BLAST=DUMMY","0.079")</f>
        <v>0.079</v>
      </c>
      <c r="BT570" s="1" t="str">
        <f>HYPERLINK("http://exon.niaid.nih.gov/transcriptome/T_rubida/S1/links/PRK/Triru-contig_477-PRK.txt","ORF080 virion core protein")</f>
        <v>ORF080 virion core protein</v>
      </c>
      <c r="BU570">
        <v>1.2</v>
      </c>
      <c r="BV570" s="1" t="s">
        <v>57</v>
      </c>
      <c r="BW570" t="s">
        <v>57</v>
      </c>
      <c r="BX570" s="1" t="s">
        <v>57</v>
      </c>
      <c r="BY570" t="s">
        <v>57</v>
      </c>
    </row>
    <row r="571" spans="1:77">
      <c r="A571" t="str">
        <f>HYPERLINK("http://exon.niaid.nih.gov/transcriptome/T_rubida/S1/links/Triru/Triru-contig_300.txt","Triru-contig_300")</f>
        <v>Triru-contig_300</v>
      </c>
      <c r="B571">
        <v>1</v>
      </c>
      <c r="C571" t="str">
        <f>HYPERLINK("http://exon.niaid.nih.gov/transcriptome/T_rubida/S1/links/Triru/Triru-5-48-asb-300.txt","Contig-300")</f>
        <v>Contig-300</v>
      </c>
      <c r="D571" t="str">
        <f>HYPERLINK("http://exon.niaid.nih.gov/transcriptome/T_rubida/S1/links/Triru/Triru-5-48-300-CLU.txt","Contig300")</f>
        <v>Contig300</v>
      </c>
      <c r="E571" t="str">
        <f>HYPERLINK("http://exon.niaid.nih.gov/transcriptome/T_rubida/S1/links/Triru/Triru-5-48-300-qual.txt","18.2")</f>
        <v>18.2</v>
      </c>
      <c r="F571" t="s">
        <v>10</v>
      </c>
      <c r="G571">
        <v>65.5</v>
      </c>
      <c r="H571">
        <v>543</v>
      </c>
      <c r="I571" t="s">
        <v>312</v>
      </c>
      <c r="J571">
        <v>543</v>
      </c>
      <c r="K571">
        <v>562</v>
      </c>
      <c r="L571">
        <v>162</v>
      </c>
      <c r="M571" t="s">
        <v>5430</v>
      </c>
      <c r="N571" s="15">
        <v>2</v>
      </c>
      <c r="Q571" s="5" t="s">
        <v>4827</v>
      </c>
      <c r="R571" t="s">
        <v>4828</v>
      </c>
      <c r="V571" s="1" t="str">
        <f>HYPERLINK("http://exon.niaid.nih.gov/transcriptome/T_rubida/S1/links/NR/Triru-contig_300-NR.txt","hypothetical protein LOC100633698")</f>
        <v>hypothetical protein LOC100633698</v>
      </c>
      <c r="W571" t="str">
        <f>HYPERLINK("http://www.ncbi.nlm.nih.gov/sutils/blink.cgi?pid=340382617","35")</f>
        <v>35</v>
      </c>
      <c r="X571" t="str">
        <f>HYPERLINK("http://www.ncbi.nlm.nih.gov/protein/340382617","gi|340382617")</f>
        <v>gi|340382617</v>
      </c>
      <c r="Y571">
        <v>32.299999999999997</v>
      </c>
      <c r="Z571">
        <v>23</v>
      </c>
      <c r="AA571">
        <v>430</v>
      </c>
      <c r="AB571">
        <v>50</v>
      </c>
      <c r="AC571">
        <v>6</v>
      </c>
      <c r="AD571">
        <v>12</v>
      </c>
      <c r="AE571">
        <v>0</v>
      </c>
      <c r="AF571">
        <v>225</v>
      </c>
      <c r="AG571">
        <v>315</v>
      </c>
      <c r="AH571">
        <v>1</v>
      </c>
      <c r="AI571">
        <v>3</v>
      </c>
      <c r="AJ571" t="s">
        <v>11</v>
      </c>
      <c r="AL571" t="s">
        <v>2508</v>
      </c>
      <c r="AM571" t="s">
        <v>2509</v>
      </c>
      <c r="AN571" t="s">
        <v>2510</v>
      </c>
      <c r="AO571" s="1" t="str">
        <f>HYPERLINK("http://exon.niaid.nih.gov/transcriptome/T_rubida/S1/links/SWISSP/Triru-contig_300-SWISSP.txt","Formin-like protein 3")</f>
        <v>Formin-like protein 3</v>
      </c>
      <c r="AP571" t="str">
        <f>HYPERLINK("http://www.uniprot.org/uniprot/Q7G6K7","10.0")</f>
        <v>10.0</v>
      </c>
      <c r="AQ571" t="s">
        <v>2511</v>
      </c>
      <c r="AR571">
        <v>30</v>
      </c>
      <c r="AS571">
        <v>45</v>
      </c>
      <c r="AT571">
        <v>34</v>
      </c>
      <c r="AU571">
        <v>4</v>
      </c>
      <c r="AV571">
        <v>32</v>
      </c>
      <c r="AW571">
        <v>1</v>
      </c>
      <c r="AX571">
        <v>34</v>
      </c>
      <c r="AY571">
        <v>56</v>
      </c>
      <c r="AZ571">
        <v>1</v>
      </c>
      <c r="BA571">
        <v>2</v>
      </c>
      <c r="BB571" t="s">
        <v>11</v>
      </c>
      <c r="BD571" t="s">
        <v>704</v>
      </c>
      <c r="BE571" t="s">
        <v>1364</v>
      </c>
      <c r="BF571" t="s">
        <v>2512</v>
      </c>
      <c r="BG571" t="s">
        <v>2513</v>
      </c>
      <c r="BH571" s="1" t="s">
        <v>57</v>
      </c>
      <c r="BI571" t="s">
        <v>57</v>
      </c>
      <c r="BJ571" s="1" t="str">
        <f>HYPERLINK("http://exon.niaid.nih.gov/transcriptome/T_rubida/S1/links/CDD/Triru-contig_300-CDD.txt","SR_beta")</f>
        <v>SR_beta</v>
      </c>
      <c r="BK571" t="str">
        <f>HYPERLINK("http://www.ncbi.nlm.nih.gov/Structure/cdd/cddsrv.cgi?uid=cd04105&amp;version=v4.0","0.56")</f>
        <v>0.56</v>
      </c>
      <c r="BL571" t="s">
        <v>2514</v>
      </c>
      <c r="BM571" s="1" t="str">
        <f>HYPERLINK("http://exon.niaid.nih.gov/transcriptome/T_rubida/S1/links/KOG/Triru-contig_300-KOG.txt","Deoxyribodipyrimidine photolyase/cryptochrome")</f>
        <v>Deoxyribodipyrimidine photolyase/cryptochrome</v>
      </c>
      <c r="BN571" t="str">
        <f>HYPERLINK("http://www.ncbi.nlm.nih.gov/COG/grace/shokog.cgi?KOG0133","1.9")</f>
        <v>1.9</v>
      </c>
      <c r="BO571" t="s">
        <v>2515</v>
      </c>
      <c r="BP571" s="1" t="str">
        <f>HYPERLINK("http://exon.niaid.nih.gov/transcriptome/T_rubida/S1/links/PFAM/Triru-contig_300-PFAM.txt","7TM_GPCR_Sra")</f>
        <v>7TM_GPCR_Sra</v>
      </c>
      <c r="BQ571" t="str">
        <f>HYPERLINK("http://pfam.sanger.ac.uk/family?acc=PF02117","0.30")</f>
        <v>0.30</v>
      </c>
      <c r="BR571" s="1" t="str">
        <f>HYPERLINK("http://exon.niaid.nih.gov/transcriptome/T_rubida/S1/links/SMART/Triru-contig_300-SMART.txt","Zpr1")</f>
        <v>Zpr1</v>
      </c>
      <c r="BS571" t="str">
        <f>HYPERLINK("http://smart.embl-heidelberg.de/smart/do_annotation.pl?DOMAIN=Zpr1&amp;BLAST=DUMMY","0.047")</f>
        <v>0.047</v>
      </c>
      <c r="BT571" s="1" t="str">
        <f>HYPERLINK("http://exon.niaid.nih.gov/transcriptome/T_rubida/S1/links/PRK/Triru-contig_300-PRK.txt","type IV secretion system ATPase VirB4")</f>
        <v>type IV secretion system ATPase VirB4</v>
      </c>
      <c r="BU571">
        <v>0.61</v>
      </c>
      <c r="BV571" s="1" t="s">
        <v>57</v>
      </c>
      <c r="BW571" t="s">
        <v>57</v>
      </c>
      <c r="BX571" s="1" t="s">
        <v>57</v>
      </c>
      <c r="BY571" t="s">
        <v>57</v>
      </c>
    </row>
    <row r="572" spans="1:77">
      <c r="A572" t="str">
        <f>HYPERLINK("http://exon.niaid.nih.gov/transcriptome/T_rubida/S1/links/Triru/Triru-contig_376.txt","Triru-contig_376")</f>
        <v>Triru-contig_376</v>
      </c>
      <c r="B572">
        <v>1</v>
      </c>
      <c r="C572" t="str">
        <f>HYPERLINK("http://exon.niaid.nih.gov/transcriptome/T_rubida/S1/links/Triru/Triru-5-48-asb-376.txt","Contig-376")</f>
        <v>Contig-376</v>
      </c>
      <c r="D572" t="str">
        <f>HYPERLINK("http://exon.niaid.nih.gov/transcriptome/T_rubida/S1/links/Triru/Triru-5-48-376-CLU.txt","Contig376")</f>
        <v>Contig376</v>
      </c>
      <c r="E572" t="str">
        <f>HYPERLINK("http://exon.niaid.nih.gov/transcriptome/T_rubida/S1/links/Triru/Triru-5-48-376-qual.txt","29.2")</f>
        <v>29.2</v>
      </c>
      <c r="F572" t="s">
        <v>10</v>
      </c>
      <c r="G572">
        <v>68.2</v>
      </c>
      <c r="H572">
        <v>541</v>
      </c>
      <c r="I572" t="s">
        <v>388</v>
      </c>
      <c r="J572">
        <v>541</v>
      </c>
      <c r="K572">
        <v>560</v>
      </c>
      <c r="L572">
        <v>174</v>
      </c>
      <c r="M572" t="s">
        <v>5526</v>
      </c>
      <c r="N572" s="15">
        <v>1</v>
      </c>
      <c r="O572" s="14" t="str">
        <f>HYPERLINK("http://exon.niaid.nih.gov/transcriptome/T_rubida/S1/links/Sigp/TRIRU-CONTIG_376-SigP.txt","Cyt")</f>
        <v>Cyt</v>
      </c>
      <c r="Q572" s="5" t="s">
        <v>4827</v>
      </c>
      <c r="R572" t="s">
        <v>4828</v>
      </c>
      <c r="V572" s="1" t="str">
        <f>HYPERLINK("http://exon.niaid.nih.gov/transcriptome/T_rubida/S1/links/NR/Triru-contig_376-NR.txt","multidrug-resistance genes transcriptional activator")</f>
        <v>multidrug-resistance genes transcriptional activator</v>
      </c>
      <c r="W572" t="str">
        <f>HYPERLINK("http://www.ncbi.nlm.nih.gov/sutils/blink.cgi?pid=320590155","35")</f>
        <v>35</v>
      </c>
      <c r="X572" t="str">
        <f>HYPERLINK("http://www.ncbi.nlm.nih.gov/protein/320590155","gi|320590155")</f>
        <v>gi|320590155</v>
      </c>
      <c r="Y572">
        <v>32.299999999999997</v>
      </c>
      <c r="Z572">
        <v>48</v>
      </c>
      <c r="AA572">
        <v>795</v>
      </c>
      <c r="AB572">
        <v>30</v>
      </c>
      <c r="AC572">
        <v>6</v>
      </c>
      <c r="AD572">
        <v>34</v>
      </c>
      <c r="AE572">
        <v>3</v>
      </c>
      <c r="AF572">
        <v>69</v>
      </c>
      <c r="AG572">
        <v>232</v>
      </c>
      <c r="AH572">
        <v>1</v>
      </c>
      <c r="AI572">
        <v>1</v>
      </c>
      <c r="AJ572" t="s">
        <v>11</v>
      </c>
      <c r="AL572" t="s">
        <v>3022</v>
      </c>
      <c r="AM572" t="s">
        <v>3023</v>
      </c>
      <c r="AN572" t="s">
        <v>3024</v>
      </c>
      <c r="AO572" s="1" t="str">
        <f>HYPERLINK("http://exon.niaid.nih.gov/transcriptome/T_rubida/S1/links/SWISSP/Triru-contig_376-SWISSP.txt","Sperm protamine P1")</f>
        <v>Sperm protamine P1</v>
      </c>
      <c r="AP572" t="str">
        <f>HYPERLINK("http://www.uniprot.org/uniprot/P24713","13")</f>
        <v>13</v>
      </c>
      <c r="AQ572" t="s">
        <v>3025</v>
      </c>
      <c r="AR572">
        <v>29.6</v>
      </c>
      <c r="AS572">
        <v>22</v>
      </c>
      <c r="AT572">
        <v>39</v>
      </c>
      <c r="AU572">
        <v>49</v>
      </c>
      <c r="AV572">
        <v>14</v>
      </c>
      <c r="AW572">
        <v>0</v>
      </c>
      <c r="AX572">
        <v>20</v>
      </c>
      <c r="AY572">
        <v>310</v>
      </c>
      <c r="AZ572">
        <v>1</v>
      </c>
      <c r="BA572">
        <v>1</v>
      </c>
      <c r="BB572" t="s">
        <v>11</v>
      </c>
      <c r="BD572" t="s">
        <v>704</v>
      </c>
      <c r="BE572" t="s">
        <v>3026</v>
      </c>
      <c r="BF572" t="s">
        <v>3027</v>
      </c>
      <c r="BG572" t="s">
        <v>3028</v>
      </c>
      <c r="BH572" s="1" t="s">
        <v>57</v>
      </c>
      <c r="BI572" t="s">
        <v>57</v>
      </c>
      <c r="BJ572" s="1" t="str">
        <f>HYPERLINK("http://exon.niaid.nih.gov/transcriptome/T_rubida/S1/links/CDD/Triru-contig_376-CDD.txt","Mga")</f>
        <v>Mga</v>
      </c>
      <c r="BK572" t="str">
        <f>HYPERLINK("http://www.ncbi.nlm.nih.gov/Structure/cdd/cddsrv.cgi?uid=pfam05043&amp;version=v4.0","0.67")</f>
        <v>0.67</v>
      </c>
      <c r="BL572" t="s">
        <v>3029</v>
      </c>
      <c r="BM572" s="1" t="str">
        <f>HYPERLINK("http://exon.niaid.nih.gov/transcriptome/T_rubida/S1/links/KOG/Triru-contig_376-KOG.txt","Ubiquitin carboxyl-terminal hydrolase")</f>
        <v>Ubiquitin carboxyl-terminal hydrolase</v>
      </c>
      <c r="BN572" t="str">
        <f>HYPERLINK("http://www.ncbi.nlm.nih.gov/COG/grace/shokog.cgi?KOG1865","0.12")</f>
        <v>0.12</v>
      </c>
      <c r="BO572" t="s">
        <v>954</v>
      </c>
      <c r="BP572" s="1" t="str">
        <f>HYPERLINK("http://exon.niaid.nih.gov/transcriptome/T_rubida/S1/links/PFAM/Triru-contig_376-PFAM.txt","Mga")</f>
        <v>Mga</v>
      </c>
      <c r="BQ572" t="str">
        <f>HYPERLINK("http://pfam.sanger.ac.uk/family?acc=PF05043","0.14")</f>
        <v>0.14</v>
      </c>
      <c r="BR572" s="1" t="str">
        <f>HYPERLINK("http://exon.niaid.nih.gov/transcriptome/T_rubida/S1/links/SMART/Triru-contig_376-SMART.txt","PSN")</f>
        <v>PSN</v>
      </c>
      <c r="BS572" t="str">
        <f>HYPERLINK("http://smart.embl-heidelberg.de/smart/do_annotation.pl?DOMAIN=PSN&amp;BLAST=DUMMY","0.15")</f>
        <v>0.15</v>
      </c>
      <c r="BT572" s="1" t="str">
        <f>HYPERLINK("http://exon.niaid.nih.gov/transcriptome/T_rubida/S1/links/PRK/Triru-contig_376-PRK.txt","O-antigen ligase RfaL")</f>
        <v>O-antigen ligase RfaL</v>
      </c>
      <c r="BU572">
        <v>1.2</v>
      </c>
      <c r="BV572" s="1" t="s">
        <v>57</v>
      </c>
      <c r="BW572" t="s">
        <v>57</v>
      </c>
      <c r="BX572" s="1" t="s">
        <v>57</v>
      </c>
      <c r="BY572" t="s">
        <v>57</v>
      </c>
    </row>
    <row r="573" spans="1:77">
      <c r="A573" t="str">
        <f>HYPERLINK("http://exon.niaid.nih.gov/transcriptome/T_rubida/S1/links/Triru/Triru-contig_349.txt","Triru-contig_349")</f>
        <v>Triru-contig_349</v>
      </c>
      <c r="B573">
        <v>1</v>
      </c>
      <c r="C573" t="str">
        <f>HYPERLINK("http://exon.niaid.nih.gov/transcriptome/T_rubida/S1/links/Triru/Triru-5-48-asb-349.txt","Contig-349")</f>
        <v>Contig-349</v>
      </c>
      <c r="D573" t="str">
        <f>HYPERLINK("http://exon.niaid.nih.gov/transcriptome/T_rubida/S1/links/Triru/Triru-5-48-349-CLU.txt","Contig349")</f>
        <v>Contig349</v>
      </c>
      <c r="E573" t="str">
        <f>HYPERLINK("http://exon.niaid.nih.gov/transcriptome/T_rubida/S1/links/Triru/Triru-5-48-349-qual.txt","63.2")</f>
        <v>63.2</v>
      </c>
      <c r="F573" t="s">
        <v>10</v>
      </c>
      <c r="G573">
        <v>66</v>
      </c>
      <c r="H573">
        <v>684</v>
      </c>
      <c r="I573" t="s">
        <v>361</v>
      </c>
      <c r="J573">
        <v>684</v>
      </c>
      <c r="K573">
        <v>703</v>
      </c>
      <c r="L573">
        <v>147</v>
      </c>
      <c r="M573" t="s">
        <v>5577</v>
      </c>
      <c r="N573" s="15">
        <v>3</v>
      </c>
      <c r="Q573" s="5" t="s">
        <v>4827</v>
      </c>
      <c r="R573" t="s">
        <v>4828</v>
      </c>
      <c r="V573" s="1" t="str">
        <f>HYPERLINK("http://exon.niaid.nih.gov/transcriptome/T_rubida/S1/links/NR/Triru-contig_349-NR.txt","cyclin-like protein")</f>
        <v>cyclin-like protein</v>
      </c>
      <c r="W573" t="str">
        <f>HYPERLINK("http://www.ncbi.nlm.nih.gov/sutils/blink.cgi?pid=290975377","36")</f>
        <v>36</v>
      </c>
      <c r="X573" t="str">
        <f>HYPERLINK("http://www.ncbi.nlm.nih.gov/protein/290975377","gi|290975377")</f>
        <v>gi|290975377</v>
      </c>
      <c r="Y573">
        <v>33.1</v>
      </c>
      <c r="Z573">
        <v>57</v>
      </c>
      <c r="AA573">
        <v>612</v>
      </c>
      <c r="AB573">
        <v>24</v>
      </c>
      <c r="AC573">
        <v>9</v>
      </c>
      <c r="AD573">
        <v>44</v>
      </c>
      <c r="AE573">
        <v>0</v>
      </c>
      <c r="AF573">
        <v>320</v>
      </c>
      <c r="AG573">
        <v>408</v>
      </c>
      <c r="AH573">
        <v>1</v>
      </c>
      <c r="AI573">
        <v>3</v>
      </c>
      <c r="AJ573" t="s">
        <v>11</v>
      </c>
      <c r="AK573">
        <v>3.5089999999999999</v>
      </c>
      <c r="AL573" t="s">
        <v>1696</v>
      </c>
      <c r="AM573" t="s">
        <v>2845</v>
      </c>
      <c r="AN573" t="s">
        <v>2846</v>
      </c>
      <c r="AO573" s="1" t="str">
        <f>HYPERLINK("http://exon.niaid.nih.gov/transcriptome/T_rubida/S1/links/SWISSP/Triru-contig_349-SWISSP.txt","Pre-rRNA-processing protein RIX1")</f>
        <v>Pre-rRNA-processing protein RIX1</v>
      </c>
      <c r="AP573" t="str">
        <f>HYPERLINK("http://www.uniprot.org/uniprot/Q6FW61","9.0")</f>
        <v>9.0</v>
      </c>
      <c r="AQ573" t="s">
        <v>2847</v>
      </c>
      <c r="AR573">
        <v>30.8</v>
      </c>
      <c r="AS573">
        <v>41</v>
      </c>
      <c r="AT573">
        <v>33</v>
      </c>
      <c r="AU573">
        <v>5</v>
      </c>
      <c r="AV573">
        <v>28</v>
      </c>
      <c r="AW573">
        <v>0</v>
      </c>
      <c r="AX573">
        <v>574</v>
      </c>
      <c r="AY573">
        <v>360</v>
      </c>
      <c r="AZ573">
        <v>1</v>
      </c>
      <c r="BA573">
        <v>3</v>
      </c>
      <c r="BB573" t="s">
        <v>11</v>
      </c>
      <c r="BD573" t="s">
        <v>704</v>
      </c>
      <c r="BE573" t="s">
        <v>2848</v>
      </c>
      <c r="BF573" t="s">
        <v>2849</v>
      </c>
      <c r="BG573" t="s">
        <v>2850</v>
      </c>
      <c r="BH573" s="1" t="s">
        <v>57</v>
      </c>
      <c r="BI573" t="s">
        <v>57</v>
      </c>
      <c r="BJ573" s="1" t="str">
        <f>HYPERLINK("http://exon.niaid.nih.gov/transcriptome/T_rubida/S1/links/CDD/Triru-contig_349-CDD.txt","PI-PLCc_eukaryo")</f>
        <v>PI-PLCc_eukaryo</v>
      </c>
      <c r="BK573" t="str">
        <f>HYPERLINK("http://www.ncbi.nlm.nih.gov/Structure/cdd/cddsrv.cgi?uid=cd08558&amp;version=v4.0","0.53")</f>
        <v>0.53</v>
      </c>
      <c r="BL573" t="s">
        <v>2851</v>
      </c>
      <c r="BM573" s="1" t="str">
        <f>HYPERLINK("http://exon.niaid.nih.gov/transcriptome/T_rubida/S1/links/KOG/Triru-contig_349-KOG.txt","Cyclin B and related kinase-activating proteins")</f>
        <v>Cyclin B and related kinase-activating proteins</v>
      </c>
      <c r="BN573" t="str">
        <f>HYPERLINK("http://www.ncbi.nlm.nih.gov/COG/grace/shokog.cgi?KOG0653","0.35")</f>
        <v>0.35</v>
      </c>
      <c r="BO573" t="s">
        <v>715</v>
      </c>
      <c r="BP573" s="1" t="str">
        <f>HYPERLINK("http://exon.niaid.nih.gov/transcriptome/T_rubida/S1/links/PFAM/Triru-contig_349-PFAM.txt","Lipocalin_3")</f>
        <v>Lipocalin_3</v>
      </c>
      <c r="BQ573" t="str">
        <f>HYPERLINK("http://pfam.sanger.ac.uk/family?acc=PF12702","0.48")</f>
        <v>0.48</v>
      </c>
      <c r="BR573" s="1" t="str">
        <f>HYPERLINK("http://exon.niaid.nih.gov/transcriptome/T_rubida/S1/links/SMART/Triru-contig_349-SMART.txt","PLCYc")</f>
        <v>PLCYc</v>
      </c>
      <c r="BS573" t="str">
        <f>HYPERLINK("http://smart.embl-heidelberg.de/smart/do_annotation.pl?DOMAIN=PLCYc&amp;BLAST=DUMMY","0.19")</f>
        <v>0.19</v>
      </c>
      <c r="BT573" s="1" t="str">
        <f>HYPERLINK("http://exon.niaid.nih.gov/transcriptome/T_rubida/S1/links/PRK/Triru-contig_349-PRK.txt","NADH dehydrogenase subunit 4L")</f>
        <v>NADH dehydrogenase subunit 4L</v>
      </c>
      <c r="BU573">
        <v>1.1000000000000001</v>
      </c>
      <c r="BV573" s="1" t="s">
        <v>57</v>
      </c>
      <c r="BW573" t="s">
        <v>57</v>
      </c>
      <c r="BX573" s="1" t="s">
        <v>57</v>
      </c>
      <c r="BY573" t="s">
        <v>57</v>
      </c>
    </row>
    <row r="574" spans="1:77">
      <c r="A574" t="str">
        <f>HYPERLINK("http://exon.niaid.nih.gov/transcriptome/T_rubida/S1/links/Triru/Triru-contig_523.txt","Triru-contig_523")</f>
        <v>Triru-contig_523</v>
      </c>
      <c r="B574">
        <v>1</v>
      </c>
      <c r="C574" t="str">
        <f>HYPERLINK("http://exon.niaid.nih.gov/transcriptome/T_rubida/S1/links/Triru/Triru-5-48-asb-523.txt","Contig-523")</f>
        <v>Contig-523</v>
      </c>
      <c r="D574" t="str">
        <f>HYPERLINK("http://exon.niaid.nih.gov/transcriptome/T_rubida/S1/links/Triru/Triru-5-48-523-CLU.txt","Contig523")</f>
        <v>Contig523</v>
      </c>
      <c r="E574" t="str">
        <f>HYPERLINK("http://exon.niaid.nih.gov/transcriptome/T_rubida/S1/links/Triru/Triru-5-48-523-qual.txt","42.9")</f>
        <v>42.9</v>
      </c>
      <c r="F574" t="s">
        <v>10</v>
      </c>
      <c r="G574">
        <v>79</v>
      </c>
      <c r="H574">
        <v>210</v>
      </c>
      <c r="I574" t="s">
        <v>535</v>
      </c>
      <c r="J574">
        <v>210</v>
      </c>
      <c r="K574">
        <v>229</v>
      </c>
      <c r="L574">
        <v>108</v>
      </c>
      <c r="M574" t="s">
        <v>5624</v>
      </c>
      <c r="N574" s="15">
        <v>2</v>
      </c>
      <c r="Q574" s="5" t="s">
        <v>4827</v>
      </c>
      <c r="R574" t="s">
        <v>4828</v>
      </c>
      <c r="V574" s="1" t="str">
        <f>HYPERLINK("http://exon.niaid.nih.gov/transcriptome/T_rubida/S1/links/NR/Triru-contig_523-NR.txt","conserved Plasmodium membrane protein, unknown function")</f>
        <v>conserved Plasmodium membrane protein, unknown function</v>
      </c>
      <c r="W574" t="str">
        <f>HYPERLINK("http://www.ncbi.nlm.nih.gov/sutils/blink.cgi?pid=124513254","36")</f>
        <v>36</v>
      </c>
      <c r="X574" t="str">
        <f>HYPERLINK("http://www.ncbi.nlm.nih.gov/protein/124513254","gi|124513254")</f>
        <v>gi|124513254</v>
      </c>
      <c r="Y574">
        <v>30</v>
      </c>
      <c r="Z574">
        <v>46</v>
      </c>
      <c r="AA574">
        <v>5415</v>
      </c>
      <c r="AB574">
        <v>39</v>
      </c>
      <c r="AC574">
        <v>1</v>
      </c>
      <c r="AD574">
        <v>14</v>
      </c>
      <c r="AE574">
        <v>0</v>
      </c>
      <c r="AF574">
        <v>5271</v>
      </c>
      <c r="AG574">
        <v>32</v>
      </c>
      <c r="AH574">
        <v>2</v>
      </c>
      <c r="AI574">
        <v>2</v>
      </c>
      <c r="AJ574" t="s">
        <v>888</v>
      </c>
      <c r="AL574" t="s">
        <v>1103</v>
      </c>
      <c r="AM574" t="s">
        <v>4018</v>
      </c>
      <c r="AN574" t="s">
        <v>4019</v>
      </c>
      <c r="AO574" s="1" t="str">
        <f>HYPERLINK("http://exon.niaid.nih.gov/transcriptome/T_rubida/S1/links/SWISSP/Triru-contig_523-SWISSP.txt","Zinc finger protein 91")</f>
        <v>Zinc finger protein 91</v>
      </c>
      <c r="AP574" t="str">
        <f>HYPERLINK("http://www.uniprot.org/uniprot/Q05481","11")</f>
        <v>11</v>
      </c>
      <c r="AQ574" t="s">
        <v>4020</v>
      </c>
      <c r="AR574">
        <v>28.9</v>
      </c>
      <c r="AS574">
        <v>31</v>
      </c>
      <c r="AT574">
        <v>42</v>
      </c>
      <c r="AU574">
        <v>3</v>
      </c>
      <c r="AV574">
        <v>19</v>
      </c>
      <c r="AW574">
        <v>0</v>
      </c>
      <c r="AX574">
        <v>179</v>
      </c>
      <c r="AY574">
        <v>61</v>
      </c>
      <c r="AZ574">
        <v>1</v>
      </c>
      <c r="BA574">
        <v>1</v>
      </c>
      <c r="BB574" t="s">
        <v>11</v>
      </c>
      <c r="BC574">
        <v>9.6769999999999996</v>
      </c>
      <c r="BD574" t="s">
        <v>704</v>
      </c>
      <c r="BE574" t="s">
        <v>1233</v>
      </c>
      <c r="BF574" t="s">
        <v>4021</v>
      </c>
      <c r="BG574" t="s">
        <v>4022</v>
      </c>
      <c r="BH574" s="1" t="s">
        <v>57</v>
      </c>
      <c r="BI574" t="s">
        <v>57</v>
      </c>
      <c r="BJ574" s="1" t="str">
        <f>HYPERLINK("http://exon.niaid.nih.gov/transcriptome/T_rubida/S1/links/CDD/Triru-contig_523-CDD.txt","ND4")</f>
        <v>ND4</v>
      </c>
      <c r="BK574" t="str">
        <f>HYPERLINK("http://www.ncbi.nlm.nih.gov/Structure/cdd/cddsrv.cgi?uid=MTH00205&amp;version=v4.0","0.028")</f>
        <v>0.028</v>
      </c>
      <c r="BL574" t="s">
        <v>4023</v>
      </c>
      <c r="BM574" s="1" t="str">
        <f>HYPERLINK("http://exon.niaid.nih.gov/transcriptome/T_rubida/S1/links/KOG/Triru-contig_523-KOG.txt","UDP-N-acetylglucosamine transporter")</f>
        <v>UDP-N-acetylglucosamine transporter</v>
      </c>
      <c r="BN574" t="str">
        <f>HYPERLINK("http://www.ncbi.nlm.nih.gov/COG/grace/shokog.cgi?KOG1583","0.48")</f>
        <v>0.48</v>
      </c>
      <c r="BO574" t="s">
        <v>946</v>
      </c>
      <c r="BP574" s="1" t="str">
        <f>HYPERLINK("http://exon.niaid.nih.gov/transcriptome/T_rubida/S1/links/PFAM/Triru-contig_523-PFAM.txt","TAS2R")</f>
        <v>TAS2R</v>
      </c>
      <c r="BQ574" t="str">
        <f>HYPERLINK("http://pfam.sanger.ac.uk/family?acc=PF05296","0.050")</f>
        <v>0.050</v>
      </c>
      <c r="BR574" s="1" t="str">
        <f>HYPERLINK("http://exon.niaid.nih.gov/transcriptome/T_rubida/S1/links/SMART/Triru-contig_523-SMART.txt","PIPKc")</f>
        <v>PIPKc</v>
      </c>
      <c r="BS574" t="str">
        <f>HYPERLINK("http://smart.embl-heidelberg.de/smart/do_annotation.pl?DOMAIN=PIPKc&amp;BLAST=DUMMY","0.013")</f>
        <v>0.013</v>
      </c>
      <c r="BT574" s="1" t="str">
        <f>HYPERLINK("http://exon.niaid.nih.gov/transcriptome/T_rubida/S1/links/PRK/Triru-contig_523-PRK.txt","NADH dehydrogenase subunit 4")</f>
        <v>NADH dehydrogenase subunit 4</v>
      </c>
      <c r="BU574">
        <v>0.01</v>
      </c>
      <c r="BV574" s="1" t="s">
        <v>57</v>
      </c>
      <c r="BW574" t="s">
        <v>57</v>
      </c>
      <c r="BX574" s="1" t="s">
        <v>57</v>
      </c>
      <c r="BY574" t="s">
        <v>57</v>
      </c>
    </row>
    <row r="575" spans="1:77">
      <c r="A575" t="str">
        <f>HYPERLINK("http://exon.niaid.nih.gov/transcriptome/T_rubida/S1/links/Triru/Triru-contig_348.txt","Triru-contig_348")</f>
        <v>Triru-contig_348</v>
      </c>
      <c r="B575">
        <v>1</v>
      </c>
      <c r="C575" t="str">
        <f>HYPERLINK("http://exon.niaid.nih.gov/transcriptome/T_rubida/S1/links/Triru/Triru-5-48-asb-348.txt","Contig-348")</f>
        <v>Contig-348</v>
      </c>
      <c r="D575" t="str">
        <f>HYPERLINK("http://exon.niaid.nih.gov/transcriptome/T_rubida/S1/links/Triru/Triru-5-48-348-CLU.txt","Contig348")</f>
        <v>Contig348</v>
      </c>
      <c r="E575" t="str">
        <f>HYPERLINK("http://exon.niaid.nih.gov/transcriptome/T_rubida/S1/links/Triru/Triru-5-48-348-qual.txt","52.7")</f>
        <v>52.7</v>
      </c>
      <c r="F575" t="s">
        <v>10</v>
      </c>
      <c r="G575">
        <v>68</v>
      </c>
      <c r="H575">
        <v>927</v>
      </c>
      <c r="I575" t="s">
        <v>360</v>
      </c>
      <c r="J575">
        <v>927</v>
      </c>
      <c r="K575">
        <v>946</v>
      </c>
      <c r="L575">
        <v>177</v>
      </c>
      <c r="M575" t="s">
        <v>5569</v>
      </c>
      <c r="N575" s="15">
        <v>2</v>
      </c>
      <c r="O575" s="14" t="str">
        <f>HYPERLINK("http://exon.niaid.nih.gov/transcriptome/T_rubida/S1/links/Sigp/TRIRU-CONTIG_348-SigP.txt","Cyt")</f>
        <v>Cyt</v>
      </c>
      <c r="Q575" s="5" t="s">
        <v>4827</v>
      </c>
      <c r="R575" t="s">
        <v>4828</v>
      </c>
      <c r="V575" s="1" t="str">
        <f>HYPERLINK("http://exon.niaid.nih.gov/transcriptome/T_rubida/S1/links/NR/Triru-contig_348-NR.txt","hypothetical protein")</f>
        <v>hypothetical protein</v>
      </c>
      <c r="W575" t="str">
        <f>HYPERLINK("http://www.ncbi.nlm.nih.gov/sutils/blink.cgi?pid=167535686","37")</f>
        <v>37</v>
      </c>
      <c r="X575" t="str">
        <f>HYPERLINK("http://www.ncbi.nlm.nih.gov/protein/167535686","gi|167535686")</f>
        <v>gi|167535686</v>
      </c>
      <c r="Y575">
        <v>33.9</v>
      </c>
      <c r="Z575">
        <v>46</v>
      </c>
      <c r="AA575">
        <v>5741</v>
      </c>
      <c r="AB575">
        <v>43</v>
      </c>
      <c r="AC575">
        <v>1</v>
      </c>
      <c r="AD575">
        <v>29</v>
      </c>
      <c r="AE575">
        <v>0</v>
      </c>
      <c r="AF575">
        <v>5596</v>
      </c>
      <c r="AG575">
        <v>756</v>
      </c>
      <c r="AH575">
        <v>1</v>
      </c>
      <c r="AI575">
        <v>3</v>
      </c>
      <c r="AJ575" t="s">
        <v>11</v>
      </c>
      <c r="AK575">
        <v>2.1739999999999999</v>
      </c>
      <c r="AL575" t="s">
        <v>2837</v>
      </c>
      <c r="AM575" t="s">
        <v>2838</v>
      </c>
      <c r="AN575" t="s">
        <v>2839</v>
      </c>
      <c r="AO575" s="1" t="str">
        <f>HYPERLINK("http://exon.niaid.nih.gov/transcriptome/T_rubida/S1/links/SWISSP/Triru-contig_348-SWISSP.txt","NADH-ubiquinone oxidoreductase chain 4L")</f>
        <v>NADH-ubiquinone oxidoreductase chain 4L</v>
      </c>
      <c r="AP575" t="str">
        <f>HYPERLINK("http://www.uniprot.org/uniprot/P33512","25")</f>
        <v>25</v>
      </c>
      <c r="AQ575" t="s">
        <v>2840</v>
      </c>
      <c r="AR575">
        <v>30</v>
      </c>
      <c r="AS575">
        <v>25</v>
      </c>
      <c r="AT575">
        <v>50</v>
      </c>
      <c r="AU575">
        <v>26</v>
      </c>
      <c r="AV575">
        <v>13</v>
      </c>
      <c r="AW575">
        <v>0</v>
      </c>
      <c r="AX575">
        <v>40</v>
      </c>
      <c r="AY575">
        <v>704</v>
      </c>
      <c r="AZ575">
        <v>1</v>
      </c>
      <c r="BA575">
        <v>2</v>
      </c>
      <c r="BB575" t="s">
        <v>11</v>
      </c>
      <c r="BC575">
        <v>4</v>
      </c>
      <c r="BD575" t="s">
        <v>704</v>
      </c>
      <c r="BE575" t="s">
        <v>2841</v>
      </c>
      <c r="BF575" t="s">
        <v>2842</v>
      </c>
      <c r="BG575" t="s">
        <v>2843</v>
      </c>
      <c r="BH575" s="1" t="s">
        <v>57</v>
      </c>
      <c r="BI575" t="s">
        <v>57</v>
      </c>
      <c r="BJ575" s="1" t="str">
        <f>HYPERLINK("http://exon.niaid.nih.gov/transcriptome/T_rubida/S1/links/CDD/Triru-contig_348-CDD.txt","COX3")</f>
        <v>COX3</v>
      </c>
      <c r="BK575" t="str">
        <f>HYPERLINK("http://www.ncbi.nlm.nih.gov/Structure/cdd/cddsrv.cgi?uid=MTH00155&amp;version=v4.0","0.002")</f>
        <v>0.002</v>
      </c>
      <c r="BL575" t="s">
        <v>2844</v>
      </c>
      <c r="BM575" s="1" t="str">
        <f>HYPERLINK("http://exon.niaid.nih.gov/transcriptome/T_rubida/S1/links/KOG/Triru-contig_348-KOG.txt","Predicted membrane protein")</f>
        <v>Predicted membrane protein</v>
      </c>
      <c r="BN575" t="str">
        <f>HYPERLINK("http://www.ncbi.nlm.nih.gov/COG/grace/shokog.cgi?KOG2970","0.41")</f>
        <v>0.41</v>
      </c>
      <c r="BO575" t="s">
        <v>737</v>
      </c>
      <c r="BP575" s="1" t="str">
        <f>HYPERLINK("http://exon.niaid.nih.gov/transcriptome/T_rubida/S1/links/PFAM/Triru-contig_348-PFAM.txt","Trehalose_recp")</f>
        <v>Trehalose_recp</v>
      </c>
      <c r="BQ575" t="str">
        <f>HYPERLINK("http://pfam.sanger.ac.uk/family?acc=PF06151","0.15")</f>
        <v>0.15</v>
      </c>
      <c r="BR575" s="1" t="str">
        <f>HYPERLINK("http://exon.niaid.nih.gov/transcriptome/T_rubida/S1/links/SMART/Triru-contig_348-SMART.txt","AgrB")</f>
        <v>AgrB</v>
      </c>
      <c r="BS575" t="str">
        <f>HYPERLINK("http://smart.embl-heidelberg.de/smart/do_annotation.pl?DOMAIN=AgrB&amp;BLAST=DUMMY","0.051")</f>
        <v>0.051</v>
      </c>
      <c r="BT575" s="1" t="str">
        <f>HYPERLINK("http://exon.niaid.nih.gov/transcriptome/T_rubida/S1/links/PRK/Triru-contig_348-PRK.txt","cytochrome c oxidase subunit III")</f>
        <v>cytochrome c oxidase subunit III</v>
      </c>
      <c r="BU575" s="2">
        <v>8.9999999999999998E-4</v>
      </c>
      <c r="BV575" s="1" t="s">
        <v>57</v>
      </c>
      <c r="BW575" t="s">
        <v>57</v>
      </c>
      <c r="BX575" s="1" t="s">
        <v>57</v>
      </c>
      <c r="BY575" t="s">
        <v>57</v>
      </c>
    </row>
    <row r="576" spans="1:77">
      <c r="A576" t="str">
        <f>HYPERLINK("http://exon.niaid.nih.gov/transcriptome/T_rubida/S1/links/Triru/Triru-contig_538.txt","Triru-contig_538")</f>
        <v>Triru-contig_538</v>
      </c>
      <c r="B576">
        <v>1</v>
      </c>
      <c r="C576" t="str">
        <f>HYPERLINK("http://exon.niaid.nih.gov/transcriptome/T_rubida/S1/links/Triru/Triru-5-48-asb-538.txt","Contig-538")</f>
        <v>Contig-538</v>
      </c>
      <c r="D576" t="str">
        <f>HYPERLINK("http://exon.niaid.nih.gov/transcriptome/T_rubida/S1/links/Triru/Triru-5-48-538-CLU.txt","Contig538")</f>
        <v>Contig538</v>
      </c>
      <c r="E576" t="str">
        <f>HYPERLINK("http://exon.niaid.nih.gov/transcriptome/T_rubida/S1/links/Triru/Triru-5-48-538-qual.txt","61.7")</f>
        <v>61.7</v>
      </c>
      <c r="F576" t="s">
        <v>10</v>
      </c>
      <c r="G576">
        <v>59.3</v>
      </c>
      <c r="H576">
        <v>227</v>
      </c>
      <c r="I576" t="s">
        <v>550</v>
      </c>
      <c r="J576">
        <v>227</v>
      </c>
      <c r="K576">
        <v>246</v>
      </c>
      <c r="L576">
        <v>105</v>
      </c>
      <c r="M576" t="s">
        <v>5441</v>
      </c>
      <c r="N576" s="15">
        <v>1</v>
      </c>
      <c r="Q576" s="5" t="s">
        <v>4827</v>
      </c>
      <c r="R576" t="s">
        <v>4828</v>
      </c>
      <c r="V576" s="1" t="str">
        <f>HYPERLINK("http://exon.niaid.nih.gov/transcriptome/T_rubida/S1/links/NR/Triru-contig_538-NR.txt","hypothetical protein ARALYDRAFT_915409")</f>
        <v>hypothetical protein ARALYDRAFT_915409</v>
      </c>
      <c r="W576" t="str">
        <f>HYPERLINK("http://www.ncbi.nlm.nih.gov/sutils/blink.cgi?pid=297804842","43")</f>
        <v>43</v>
      </c>
      <c r="X576" t="str">
        <f>HYPERLINK("http://www.ncbi.nlm.nih.gov/protein/297804842","gi|297804842")</f>
        <v>gi|297804842</v>
      </c>
      <c r="Y576">
        <v>31.6</v>
      </c>
      <c r="Z576">
        <v>64</v>
      </c>
      <c r="AA576">
        <v>763</v>
      </c>
      <c r="AB576">
        <v>29</v>
      </c>
      <c r="AC576">
        <v>9</v>
      </c>
      <c r="AD576">
        <v>46</v>
      </c>
      <c r="AE576">
        <v>1</v>
      </c>
      <c r="AF576">
        <v>437</v>
      </c>
      <c r="AG576">
        <v>14</v>
      </c>
      <c r="AH576">
        <v>1</v>
      </c>
      <c r="AI576">
        <v>2</v>
      </c>
      <c r="AJ576" t="s">
        <v>11</v>
      </c>
      <c r="AK576">
        <v>4.6879999999999997</v>
      </c>
      <c r="AL576" t="s">
        <v>3860</v>
      </c>
      <c r="AM576" t="s">
        <v>4115</v>
      </c>
      <c r="AN576" t="s">
        <v>4116</v>
      </c>
      <c r="AO576" s="1" t="str">
        <f>HYPERLINK("http://exon.niaid.nih.gov/transcriptome/T_rubida/S1/links/SWISSP/Triru-contig_538-SWISSP.txt","E3 ubiquitin-protein ligase rpm-1")</f>
        <v>E3 ubiquitin-protein ligase rpm-1</v>
      </c>
      <c r="AP576" t="str">
        <f>HYPERLINK("http://www.uniprot.org/uniprot/Q17551","3.6")</f>
        <v>3.6</v>
      </c>
      <c r="AQ576" t="s">
        <v>4117</v>
      </c>
      <c r="AR576">
        <v>30.4</v>
      </c>
      <c r="AS576">
        <v>35</v>
      </c>
      <c r="AT576">
        <v>40</v>
      </c>
      <c r="AU576">
        <v>1</v>
      </c>
      <c r="AV576">
        <v>22</v>
      </c>
      <c r="AW576">
        <v>0</v>
      </c>
      <c r="AX576">
        <v>2295</v>
      </c>
      <c r="AY576">
        <v>11</v>
      </c>
      <c r="AZ576">
        <v>1</v>
      </c>
      <c r="BA576">
        <v>2</v>
      </c>
      <c r="BB576" t="s">
        <v>11</v>
      </c>
      <c r="BC576">
        <v>2.8570000000000002</v>
      </c>
      <c r="BD576" t="s">
        <v>704</v>
      </c>
      <c r="BE576" t="s">
        <v>1385</v>
      </c>
      <c r="BF576" t="s">
        <v>4118</v>
      </c>
      <c r="BG576" t="s">
        <v>4119</v>
      </c>
      <c r="BH576" s="1" t="s">
        <v>57</v>
      </c>
      <c r="BI576" t="s">
        <v>57</v>
      </c>
      <c r="BJ576" s="1" t="str">
        <f>HYPERLINK("http://exon.niaid.nih.gov/transcriptome/T_rubida/S1/links/CDD/Triru-contig_538-CDD.txt","ndhC")</f>
        <v>ndhC</v>
      </c>
      <c r="BK576" t="str">
        <f>HYPERLINK("http://www.ncbi.nlm.nih.gov/Structure/cdd/cddsrv.cgi?uid=CHL00022&amp;version=v4.0","1.2")</f>
        <v>1.2</v>
      </c>
      <c r="BL576" t="s">
        <v>4120</v>
      </c>
      <c r="BM576" s="1" t="str">
        <f>HYPERLINK("http://exon.niaid.nih.gov/transcriptome/T_rubida/S1/links/KOG/Triru-contig_538-KOG.txt","Sorting nexin SNX9/SH3PX1 and related proteins")</f>
        <v>Sorting nexin SNX9/SH3PX1 and related proteins</v>
      </c>
      <c r="BN576" t="str">
        <f>HYPERLINK("http://www.ncbi.nlm.nih.gov/COG/grace/shokog.cgi?KOG2528","0.79")</f>
        <v>0.79</v>
      </c>
      <c r="BO576" t="s">
        <v>1082</v>
      </c>
      <c r="BP576" s="1" t="str">
        <f>HYPERLINK("http://exon.niaid.nih.gov/transcriptome/T_rubida/S1/links/PFAM/Triru-contig_538-PFAM.txt","CDT1")</f>
        <v>CDT1</v>
      </c>
      <c r="BQ576" t="str">
        <f>HYPERLINK("http://pfam.sanger.ac.uk/family?acc=PF08839","1.3")</f>
        <v>1.3</v>
      </c>
      <c r="BR576" s="1" t="str">
        <f>HYPERLINK("http://exon.niaid.nih.gov/transcriptome/T_rubida/S1/links/SMART/Triru-contig_538-SMART.txt","ZP")</f>
        <v>ZP</v>
      </c>
      <c r="BS576" t="str">
        <f>HYPERLINK("http://smart.embl-heidelberg.de/smart/do_annotation.pl?DOMAIN=ZP&amp;BLAST=DUMMY","0.54")</f>
        <v>0.54</v>
      </c>
      <c r="BT576" s="1" t="str">
        <f>HYPERLINK("http://exon.niaid.nih.gov/transcriptome/T_rubida/S1/links/PRK/Triru-contig_538-PRK.txt","NADH dehydrogenase subunit 3.")</f>
        <v>NADH dehydrogenase subunit 3.</v>
      </c>
      <c r="BU576">
        <v>0.44</v>
      </c>
      <c r="BV576" s="1" t="s">
        <v>57</v>
      </c>
      <c r="BW576" t="s">
        <v>57</v>
      </c>
      <c r="BX576" s="1" t="s">
        <v>57</v>
      </c>
      <c r="BY576" t="s">
        <v>57</v>
      </c>
    </row>
    <row r="577" spans="1:77">
      <c r="A577" t="str">
        <f>HYPERLINK("http://exon.niaid.nih.gov/transcriptome/T_rubida/S1/links/Triru/Triru-contig_646.txt","Triru-contig_646")</f>
        <v>Triru-contig_646</v>
      </c>
      <c r="B577">
        <v>1</v>
      </c>
      <c r="C577" t="str">
        <f>HYPERLINK("http://exon.niaid.nih.gov/transcriptome/T_rubida/S1/links/Triru/Triru-5-48-asb-646.txt","Contig-646")</f>
        <v>Contig-646</v>
      </c>
      <c r="D577" t="str">
        <f>HYPERLINK("http://exon.niaid.nih.gov/transcriptome/T_rubida/S1/links/Triru/Triru-5-48-646-CLU.txt","Contig646")</f>
        <v>Contig646</v>
      </c>
      <c r="E577" t="str">
        <f>HYPERLINK("http://exon.niaid.nih.gov/transcriptome/T_rubida/S1/links/Triru/Triru-5-48-646-qual.txt","61.")</f>
        <v>61.</v>
      </c>
      <c r="F577" t="s">
        <v>10</v>
      </c>
      <c r="G577">
        <v>48</v>
      </c>
      <c r="H577">
        <v>233</v>
      </c>
      <c r="I577" t="s">
        <v>658</v>
      </c>
      <c r="J577">
        <v>233</v>
      </c>
      <c r="K577">
        <v>252</v>
      </c>
      <c r="L577">
        <v>144</v>
      </c>
      <c r="M577" t="s">
        <v>5442</v>
      </c>
      <c r="N577" s="15">
        <v>3</v>
      </c>
      <c r="Q577" s="5" t="s">
        <v>4827</v>
      </c>
      <c r="R577" t="s">
        <v>4828</v>
      </c>
      <c r="V577" s="1" t="str">
        <f>HYPERLINK("http://exon.niaid.nih.gov/transcriptome/T_rubida/S1/links/NR/Triru-contig_646-NR.txt","abscisic acid 8'-hydroxylase 1")</f>
        <v>abscisic acid 8'-hydroxylase 1</v>
      </c>
      <c r="W577" t="str">
        <f>HYPERLINK("http://www.ncbi.nlm.nih.gov/sutils/blink.cgi?pid=42572955","43")</f>
        <v>43</v>
      </c>
      <c r="X577" t="str">
        <f>HYPERLINK("http://www.ncbi.nlm.nih.gov/protein/42572955","gi|42572955")</f>
        <v>gi|42572955</v>
      </c>
      <c r="Y577">
        <v>31.6</v>
      </c>
      <c r="Z577">
        <v>21</v>
      </c>
      <c r="AA577">
        <v>484</v>
      </c>
      <c r="AB577">
        <v>54</v>
      </c>
      <c r="AC577">
        <v>5</v>
      </c>
      <c r="AD577">
        <v>10</v>
      </c>
      <c r="AE577">
        <v>0</v>
      </c>
      <c r="AF577">
        <v>459</v>
      </c>
      <c r="AG577">
        <v>33</v>
      </c>
      <c r="AH577">
        <v>1</v>
      </c>
      <c r="AI577">
        <v>3</v>
      </c>
      <c r="AJ577" t="s">
        <v>11</v>
      </c>
      <c r="AL577" t="s">
        <v>906</v>
      </c>
      <c r="AM577" t="s">
        <v>4752</v>
      </c>
      <c r="AN577" t="s">
        <v>4753</v>
      </c>
      <c r="AO577" s="1" t="str">
        <f>HYPERLINK("http://exon.niaid.nih.gov/transcriptome/T_rubida/S1/links/SWISSP/Triru-contig_646-SWISSP.txt","Modification methylase NgoFVII")</f>
        <v>Modification methylase NgoFVII</v>
      </c>
      <c r="AP577" t="str">
        <f>HYPERLINK("http://www.uniprot.org/uniprot/Q59606","30")</f>
        <v>30</v>
      </c>
      <c r="AQ577" t="s">
        <v>4754</v>
      </c>
      <c r="AR577">
        <v>27.3</v>
      </c>
      <c r="AS577">
        <v>21</v>
      </c>
      <c r="AT577">
        <v>50</v>
      </c>
      <c r="AU577">
        <v>6</v>
      </c>
      <c r="AV577">
        <v>11</v>
      </c>
      <c r="AW577">
        <v>0</v>
      </c>
      <c r="AX577">
        <v>294</v>
      </c>
      <c r="AY577">
        <v>45</v>
      </c>
      <c r="AZ577">
        <v>1</v>
      </c>
      <c r="BA577">
        <v>3</v>
      </c>
      <c r="BB577" t="s">
        <v>11</v>
      </c>
      <c r="BD577" t="s">
        <v>704</v>
      </c>
      <c r="BE577" t="s">
        <v>4755</v>
      </c>
      <c r="BF577" t="s">
        <v>4756</v>
      </c>
      <c r="BG577" t="s">
        <v>4757</v>
      </c>
      <c r="BH577" s="1" t="s">
        <v>57</v>
      </c>
      <c r="BI577" t="s">
        <v>57</v>
      </c>
      <c r="BJ577" s="1" t="str">
        <f>HYPERLINK("http://exon.niaid.nih.gov/transcriptome/T_rubida/S1/links/CDD/Triru-contig_646-CDD.txt","ihfB")</f>
        <v>ihfB</v>
      </c>
      <c r="BK577" t="str">
        <f>HYPERLINK("http://www.ncbi.nlm.nih.gov/Structure/cdd/cddsrv.cgi?uid=PRK00199&amp;version=v4.0","0.25")</f>
        <v>0.25</v>
      </c>
      <c r="BL577" t="s">
        <v>4758</v>
      </c>
      <c r="BM577" s="1" t="str">
        <f>HYPERLINK("http://exon.niaid.nih.gov/transcriptome/T_rubida/S1/links/KOG/Triru-contig_646-KOG.txt","Vesicle coat complex AP-1, gamma subunit")</f>
        <v>Vesicle coat complex AP-1, gamma subunit</v>
      </c>
      <c r="BN577" t="str">
        <f>HYPERLINK("http://www.ncbi.nlm.nih.gov/COG/grace/shokog.cgi?KOG1062","0.60")</f>
        <v>0.60</v>
      </c>
      <c r="BO577" t="s">
        <v>1082</v>
      </c>
      <c r="BP577" s="1" t="str">
        <f>HYPERLINK("http://exon.niaid.nih.gov/transcriptome/T_rubida/S1/links/PFAM/Triru-contig_646-PFAM.txt","CobW_C")</f>
        <v>CobW_C</v>
      </c>
      <c r="BQ577" t="str">
        <f>HYPERLINK("http://pfam.sanger.ac.uk/family?acc=PF07683","0.16")</f>
        <v>0.16</v>
      </c>
      <c r="BR577" s="1" t="str">
        <f>HYPERLINK("http://exon.niaid.nih.gov/transcriptome/T_rubida/S1/links/SMART/Triru-contig_646-SMART.txt","CobW_C")</f>
        <v>CobW_C</v>
      </c>
      <c r="BS577" t="str">
        <f>HYPERLINK("http://smart.embl-heidelberg.de/smart/do_annotation.pl?DOMAIN=CobW_C&amp;BLAST=DUMMY","0.024")</f>
        <v>0.024</v>
      </c>
      <c r="BT577" s="1" t="str">
        <f>HYPERLINK("http://exon.niaid.nih.gov/transcriptome/T_rubida/S1/links/PRK/Triru-contig_646-PRK.txt","integration host factor subunit beta")</f>
        <v>integration host factor subunit beta</v>
      </c>
      <c r="BU577">
        <v>8.8999999999999996E-2</v>
      </c>
      <c r="BV577" s="1" t="s">
        <v>57</v>
      </c>
      <c r="BW577" t="s">
        <v>57</v>
      </c>
      <c r="BX577" s="1" t="s">
        <v>57</v>
      </c>
      <c r="BY577" t="s">
        <v>57</v>
      </c>
    </row>
    <row r="578" spans="1:77">
      <c r="A578" t="str">
        <f>HYPERLINK("http://exon.niaid.nih.gov/transcriptome/T_rubida/S1/links/Triru/Triru-contig_174.txt","Triru-contig_174")</f>
        <v>Triru-contig_174</v>
      </c>
      <c r="B578">
        <v>1</v>
      </c>
      <c r="C578" t="str">
        <f>HYPERLINK("http://exon.niaid.nih.gov/transcriptome/T_rubida/S1/links/Triru/Triru-5-48-asb-174.txt","Contig-174")</f>
        <v>Contig-174</v>
      </c>
      <c r="D578" t="str">
        <f>HYPERLINK("http://exon.niaid.nih.gov/transcriptome/T_rubida/S1/links/Triru/Triru-5-48-174-CLU.txt","Contig174")</f>
        <v>Contig174</v>
      </c>
      <c r="E578" t="str">
        <f>HYPERLINK("http://exon.niaid.nih.gov/transcriptome/T_rubida/S1/links/Triru/Triru-5-48-174-qual.txt","61.5")</f>
        <v>61.5</v>
      </c>
      <c r="F578" t="s">
        <v>10</v>
      </c>
      <c r="G578">
        <v>71.7</v>
      </c>
      <c r="H578">
        <v>225</v>
      </c>
      <c r="I578" t="s">
        <v>186</v>
      </c>
      <c r="J578">
        <v>225</v>
      </c>
      <c r="K578">
        <v>244</v>
      </c>
      <c r="L578">
        <v>90</v>
      </c>
      <c r="M578" t="s">
        <v>5476</v>
      </c>
      <c r="N578" s="15">
        <v>3</v>
      </c>
      <c r="Q578" s="5" t="s">
        <v>4827</v>
      </c>
      <c r="R578" t="s">
        <v>4828</v>
      </c>
      <c r="V578" s="1" t="str">
        <f>HYPERLINK("http://exon.niaid.nih.gov/transcriptome/T_rubida/S1/links/NR/Triru-contig_174-NR.txt","Two component regulator propeller")</f>
        <v>Two component regulator propeller</v>
      </c>
      <c r="W578" t="str">
        <f>HYPERLINK("http://www.ncbi.nlm.nih.gov/sutils/blink.cgi?pid=332881591","43")</f>
        <v>43</v>
      </c>
      <c r="X578" t="str">
        <f>HYPERLINK("http://www.ncbi.nlm.nih.gov/protein/332881591","gi|332881591")</f>
        <v>gi|332881591</v>
      </c>
      <c r="Y578">
        <v>31.6</v>
      </c>
      <c r="Z578">
        <v>58</v>
      </c>
      <c r="AA578">
        <v>767</v>
      </c>
      <c r="AB578">
        <v>33</v>
      </c>
      <c r="AC578">
        <v>8</v>
      </c>
      <c r="AD578">
        <v>39</v>
      </c>
      <c r="AE578">
        <v>12</v>
      </c>
      <c r="AF578">
        <v>138</v>
      </c>
      <c r="AG578">
        <v>80</v>
      </c>
      <c r="AH578">
        <v>1</v>
      </c>
      <c r="AI578">
        <v>2</v>
      </c>
      <c r="AJ578" t="s">
        <v>11</v>
      </c>
      <c r="AK578">
        <v>3.448</v>
      </c>
      <c r="AL578" t="s">
        <v>1730</v>
      </c>
      <c r="AM578" t="s">
        <v>1731</v>
      </c>
      <c r="AN578" t="s">
        <v>1732</v>
      </c>
      <c r="AO578" s="1" t="str">
        <f>HYPERLINK("http://exon.niaid.nih.gov/transcriptome/T_rubida/S1/links/SWISSP/Triru-contig_174-SWISSP.txt","28S ribosomal protein S9, mitochondrial")</f>
        <v>28S ribosomal protein S9, mitochondrial</v>
      </c>
      <c r="AP578" t="str">
        <f>HYPERLINK("http://www.uniprot.org/uniprot/P82933","40")</f>
        <v>40</v>
      </c>
      <c r="AQ578" t="s">
        <v>1733</v>
      </c>
      <c r="AR578">
        <v>26.9</v>
      </c>
      <c r="AS578">
        <v>29</v>
      </c>
      <c r="AT578">
        <v>40</v>
      </c>
      <c r="AU578">
        <v>8</v>
      </c>
      <c r="AV578">
        <v>18</v>
      </c>
      <c r="AW578">
        <v>0</v>
      </c>
      <c r="AX578">
        <v>304</v>
      </c>
      <c r="AY578">
        <v>48</v>
      </c>
      <c r="AZ578">
        <v>1</v>
      </c>
      <c r="BA578">
        <v>3</v>
      </c>
      <c r="BB578" t="s">
        <v>11</v>
      </c>
      <c r="BC578">
        <v>3.448</v>
      </c>
      <c r="BD578" t="s">
        <v>704</v>
      </c>
      <c r="BE578" t="s">
        <v>1233</v>
      </c>
      <c r="BF578" t="s">
        <v>1734</v>
      </c>
      <c r="BG578" t="s">
        <v>1735</v>
      </c>
      <c r="BH578" s="1" t="s">
        <v>57</v>
      </c>
      <c r="BI578" t="s">
        <v>57</v>
      </c>
      <c r="BJ578" s="1" t="str">
        <f>HYPERLINK("http://exon.niaid.nih.gov/transcriptome/T_rubida/S1/links/CDD/Triru-contig_174-CDD.txt","7TM_GPCR_Srx")</f>
        <v>7TM_GPCR_Srx</v>
      </c>
      <c r="BK578" t="str">
        <f>HYPERLINK("http://www.ncbi.nlm.nih.gov/Structure/cdd/cddsrv.cgi?uid=pfam10328&amp;version=v4.0","0.047")</f>
        <v>0.047</v>
      </c>
      <c r="BL578" t="s">
        <v>1736</v>
      </c>
      <c r="BM578" s="1" t="str">
        <f>HYPERLINK("http://exon.niaid.nih.gov/transcriptome/T_rubida/S1/links/KOG/Triru-contig_174-KOG.txt","Uncharacterized conserved protein")</f>
        <v>Uncharacterized conserved protein</v>
      </c>
      <c r="BN578" t="str">
        <f>HYPERLINK("http://www.ncbi.nlm.nih.gov/COG/grace/shokog.cgi?KOG3870","0.25")</f>
        <v>0.25</v>
      </c>
      <c r="BO578" t="s">
        <v>737</v>
      </c>
      <c r="BP578" s="1" t="str">
        <f>HYPERLINK("http://exon.niaid.nih.gov/transcriptome/T_rubida/S1/links/PFAM/Triru-contig_174-PFAM.txt","7TM_GPCR_Srx")</f>
        <v>7TM_GPCR_Srx</v>
      </c>
      <c r="BQ578" t="str">
        <f>HYPERLINK("http://pfam.sanger.ac.uk/family?acc=PF10328","0.010")</f>
        <v>0.010</v>
      </c>
      <c r="BR578" s="1" t="str">
        <f>HYPERLINK("http://exon.niaid.nih.gov/transcriptome/T_rubida/S1/links/SMART/Triru-contig_174-SMART.txt","SERPIN")</f>
        <v>SERPIN</v>
      </c>
      <c r="BS578" t="str">
        <f>HYPERLINK("http://smart.embl-heidelberg.de/smart/do_annotation.pl?DOMAIN=SERPIN&amp;BLAST=DUMMY","0.33")</f>
        <v>0.33</v>
      </c>
      <c r="BT578" s="1" t="str">
        <f>HYPERLINK("http://exon.niaid.nih.gov/transcriptome/T_rubida/S1/links/PRK/Triru-contig_174-PRK.txt","NADH dehydrogenase subunit 1")</f>
        <v>NADH dehydrogenase subunit 1</v>
      </c>
      <c r="BU578">
        <v>1.4</v>
      </c>
      <c r="BV578" s="1" t="s">
        <v>57</v>
      </c>
      <c r="BW578" t="s">
        <v>57</v>
      </c>
      <c r="BX578" s="1" t="s">
        <v>57</v>
      </c>
      <c r="BY578" t="s">
        <v>57</v>
      </c>
    </row>
    <row r="579" spans="1:77">
      <c r="A579" t="str">
        <f>HYPERLINK("http://exon.niaid.nih.gov/transcriptome/T_rubida/S1/links/Triru/Triru-contig_383.txt","Triru-contig_383")</f>
        <v>Triru-contig_383</v>
      </c>
      <c r="B579">
        <v>1</v>
      </c>
      <c r="C579" t="str">
        <f>HYPERLINK("http://exon.niaid.nih.gov/transcriptome/T_rubida/S1/links/Triru/Triru-5-48-asb-383.txt","Contig-383")</f>
        <v>Contig-383</v>
      </c>
      <c r="D579" t="str">
        <f>HYPERLINK("http://exon.niaid.nih.gov/transcriptome/T_rubida/S1/links/Triru/Triru-5-48-383-CLU.txt","Contig383")</f>
        <v>Contig383</v>
      </c>
      <c r="E579" t="str">
        <f>HYPERLINK("http://exon.niaid.nih.gov/transcriptome/T_rubida/S1/links/Triru/Triru-5-48-383-qual.txt","63.4")</f>
        <v>63.4</v>
      </c>
      <c r="F579" t="s">
        <v>10</v>
      </c>
      <c r="G579">
        <v>70</v>
      </c>
      <c r="H579">
        <v>264</v>
      </c>
      <c r="I579" t="s">
        <v>395</v>
      </c>
      <c r="J579">
        <v>264</v>
      </c>
      <c r="K579">
        <v>283</v>
      </c>
      <c r="L579">
        <v>111</v>
      </c>
      <c r="M579" t="s">
        <v>5672</v>
      </c>
      <c r="N579" s="15">
        <v>1</v>
      </c>
      <c r="Q579" s="5" t="s">
        <v>4827</v>
      </c>
      <c r="R579" t="s">
        <v>4828</v>
      </c>
      <c r="V579" s="1" t="str">
        <f>HYPERLINK("http://exon.niaid.nih.gov/transcriptome/T_rubida/S1/links/NR/Triru-contig_383-NR.txt","oxidoreductase, FAD-binding")</f>
        <v>oxidoreductase, FAD-binding</v>
      </c>
      <c r="W579" t="str">
        <f>HYPERLINK("http://www.ncbi.nlm.nih.gov/sutils/blink.cgi?pid=74318781","43")</f>
        <v>43</v>
      </c>
      <c r="X579" t="str">
        <f>HYPERLINK("http://www.ncbi.nlm.nih.gov/protein/74318781","gi|74318781")</f>
        <v>gi|74318781</v>
      </c>
      <c r="Y579">
        <v>31.6</v>
      </c>
      <c r="Z579">
        <v>32</v>
      </c>
      <c r="AA579">
        <v>445</v>
      </c>
      <c r="AB579">
        <v>33</v>
      </c>
      <c r="AC579">
        <v>7</v>
      </c>
      <c r="AD579">
        <v>22</v>
      </c>
      <c r="AE579">
        <v>0</v>
      </c>
      <c r="AF579">
        <v>257</v>
      </c>
      <c r="AG579">
        <v>1</v>
      </c>
      <c r="AH579">
        <v>1</v>
      </c>
      <c r="AI579">
        <v>1</v>
      </c>
      <c r="AJ579" t="s">
        <v>11</v>
      </c>
      <c r="AL579" t="s">
        <v>3072</v>
      </c>
      <c r="AM579" t="s">
        <v>3073</v>
      </c>
      <c r="AN579" t="s">
        <v>3074</v>
      </c>
      <c r="AO579" s="1" t="str">
        <f>HYPERLINK("http://exon.niaid.nih.gov/transcriptome/T_rubida/S1/links/SWISSP/Triru-contig_383-SWISSP.txt","Fructose-1,6-bisphosphatase class 2")</f>
        <v>Fructose-1,6-bisphosphatase class 2</v>
      </c>
      <c r="AP579" t="str">
        <f>HYPERLINK("http://www.uniprot.org/uniprot/P44811","30")</f>
        <v>30</v>
      </c>
      <c r="AQ579" t="s">
        <v>3075</v>
      </c>
      <c r="AR579">
        <v>27.3</v>
      </c>
      <c r="AS579">
        <v>29</v>
      </c>
      <c r="AT579">
        <v>33</v>
      </c>
      <c r="AU579">
        <v>9</v>
      </c>
      <c r="AV579">
        <v>20</v>
      </c>
      <c r="AW579">
        <v>0</v>
      </c>
      <c r="AX579">
        <v>251</v>
      </c>
      <c r="AY579">
        <v>10</v>
      </c>
      <c r="AZ579">
        <v>1</v>
      </c>
      <c r="BA579">
        <v>1</v>
      </c>
      <c r="BB579" t="s">
        <v>11</v>
      </c>
      <c r="BD579" t="s">
        <v>704</v>
      </c>
      <c r="BE579" t="s">
        <v>3076</v>
      </c>
      <c r="BF579" t="s">
        <v>3077</v>
      </c>
      <c r="BG579" t="s">
        <v>3078</v>
      </c>
      <c r="BH579" s="1" t="s">
        <v>57</v>
      </c>
      <c r="BI579" t="s">
        <v>57</v>
      </c>
      <c r="BJ579" s="1" t="str">
        <f>HYPERLINK("http://exon.niaid.nih.gov/transcriptome/T_rubida/S1/links/CDD/Triru-contig_383-CDD.txt","ND3")</f>
        <v>ND3</v>
      </c>
      <c r="BK579" t="str">
        <f>HYPERLINK("http://www.ncbi.nlm.nih.gov/Structure/cdd/cddsrv.cgi?uid=MTH00161&amp;version=v4.0","0.026")</f>
        <v>0.026</v>
      </c>
      <c r="BL579" t="s">
        <v>3079</v>
      </c>
      <c r="BM579" s="1" t="str">
        <f>HYPERLINK("http://exon.niaid.nih.gov/transcriptome/T_rubida/S1/links/KOG/Triru-contig_383-KOG.txt","Alpha-1,2 glucosyltransferase/transcriptional activator")</f>
        <v>Alpha-1,2 glucosyltransferase/transcriptional activator</v>
      </c>
      <c r="BN579" t="str">
        <f>HYPERLINK("http://www.ncbi.nlm.nih.gov/COG/grace/shokog.cgi?KOG2642","0.81")</f>
        <v>0.81</v>
      </c>
      <c r="BO579" t="s">
        <v>3080</v>
      </c>
      <c r="BP579" s="1" t="str">
        <f>HYPERLINK("http://exon.niaid.nih.gov/transcriptome/T_rubida/S1/links/PFAM/Triru-contig_383-PFAM.txt","DUF2418")</f>
        <v>DUF2418</v>
      </c>
      <c r="BQ579" t="str">
        <f>HYPERLINK("http://pfam.sanger.ac.uk/family?acc=PF10332","0.18")</f>
        <v>0.18</v>
      </c>
      <c r="BR579" s="1" t="str">
        <f>HYPERLINK("http://exon.niaid.nih.gov/transcriptome/T_rubida/S1/links/SMART/Triru-contig_383-SMART.txt","PSN")</f>
        <v>PSN</v>
      </c>
      <c r="BS579" t="str">
        <f>HYPERLINK("http://smart.embl-heidelberg.de/smart/do_annotation.pl?DOMAIN=PSN&amp;BLAST=DUMMY","0.29")</f>
        <v>0.29</v>
      </c>
      <c r="BT579" s="1" t="str">
        <f>HYPERLINK("http://exon.niaid.nih.gov/transcriptome/T_rubida/S1/links/PRK/Triru-contig_383-PRK.txt","NADH dehydrogenase subunit 3")</f>
        <v>NADH dehydrogenase subunit 3</v>
      </c>
      <c r="BU579">
        <v>8.9999999999999993E-3</v>
      </c>
      <c r="BV579" s="1" t="s">
        <v>57</v>
      </c>
      <c r="BW579" t="s">
        <v>57</v>
      </c>
      <c r="BX579" s="1" t="s">
        <v>57</v>
      </c>
      <c r="BY579" t="s">
        <v>57</v>
      </c>
    </row>
    <row r="580" spans="1:77">
      <c r="A580" t="str">
        <f>HYPERLINK("http://exon.niaid.nih.gov/transcriptome/T_rubida/S1/links/Triru/Triru-contig_550.txt","Triru-contig_550")</f>
        <v>Triru-contig_550</v>
      </c>
      <c r="B580">
        <v>1</v>
      </c>
      <c r="C580" t="str">
        <f>HYPERLINK("http://exon.niaid.nih.gov/transcriptome/T_rubida/S1/links/Triru/Triru-5-48-asb-550.txt","Contig-550")</f>
        <v>Contig-550</v>
      </c>
      <c r="D580" t="str">
        <f>HYPERLINK("http://exon.niaid.nih.gov/transcriptome/T_rubida/S1/links/Triru/Triru-5-48-550-CLU.txt","Contig550")</f>
        <v>Contig550</v>
      </c>
      <c r="E580" t="str">
        <f>HYPERLINK("http://exon.niaid.nih.gov/transcriptome/T_rubida/S1/links/Triru/Triru-5-48-550-qual.txt","61.9")</f>
        <v>61.9</v>
      </c>
      <c r="F580" t="s">
        <v>10</v>
      </c>
      <c r="G580">
        <v>60.5</v>
      </c>
      <c r="H580">
        <v>252</v>
      </c>
      <c r="I580" t="s">
        <v>562</v>
      </c>
      <c r="J580">
        <v>252</v>
      </c>
      <c r="K580">
        <v>271</v>
      </c>
      <c r="L580">
        <v>159</v>
      </c>
      <c r="M580" t="s">
        <v>5453</v>
      </c>
      <c r="N580" s="15">
        <v>1</v>
      </c>
      <c r="Q580" s="5" t="s">
        <v>4827</v>
      </c>
      <c r="R580" t="s">
        <v>4828</v>
      </c>
      <c r="V580" s="1" t="str">
        <f>HYPERLINK("http://exon.niaid.nih.gov/transcriptome/T_rubida/S1/links/NR/Triru-contig_550-NR.txt","hypothetical protein BC1G_00989")</f>
        <v>hypothetical protein BC1G_00989</v>
      </c>
      <c r="W580" t="str">
        <f>HYPERLINK("http://www.ncbi.nlm.nih.gov/sutils/blink.cgi?pid=154321684","44")</f>
        <v>44</v>
      </c>
      <c r="X580" t="str">
        <f>HYPERLINK("http://www.ncbi.nlm.nih.gov/protein/154321684","gi|154321684")</f>
        <v>gi|154321684</v>
      </c>
      <c r="Y580">
        <v>31.6</v>
      </c>
      <c r="Z580">
        <v>39</v>
      </c>
      <c r="AA580">
        <v>1493</v>
      </c>
      <c r="AB580">
        <v>40</v>
      </c>
      <c r="AC580">
        <v>3</v>
      </c>
      <c r="AD580">
        <v>24</v>
      </c>
      <c r="AE580">
        <v>3</v>
      </c>
      <c r="AF580">
        <v>823</v>
      </c>
      <c r="AG580">
        <v>118</v>
      </c>
      <c r="AH580">
        <v>1</v>
      </c>
      <c r="AI580">
        <v>1</v>
      </c>
      <c r="AJ580" t="s">
        <v>11</v>
      </c>
      <c r="AL580" t="s">
        <v>4188</v>
      </c>
      <c r="AM580" t="s">
        <v>4189</v>
      </c>
      <c r="AN580" t="s">
        <v>4190</v>
      </c>
      <c r="AO580" s="1" t="str">
        <f>HYPERLINK("http://exon.niaid.nih.gov/transcriptome/T_rubida/S1/links/SWISSP/Triru-contig_550-SWISSP.txt","Peptide chain release factor 1")</f>
        <v>Peptide chain release factor 1</v>
      </c>
      <c r="AP580" t="str">
        <f>HYPERLINK("http://www.uniprot.org/uniprot/Q8U8B8","2.1")</f>
        <v>2.1</v>
      </c>
      <c r="AQ580" t="s">
        <v>4191</v>
      </c>
      <c r="AR580">
        <v>31.2</v>
      </c>
      <c r="AS580">
        <v>34</v>
      </c>
      <c r="AT580">
        <v>37</v>
      </c>
      <c r="AU580">
        <v>10</v>
      </c>
      <c r="AV580">
        <v>22</v>
      </c>
      <c r="AW580">
        <v>0</v>
      </c>
      <c r="AX580">
        <v>20</v>
      </c>
      <c r="AY580">
        <v>127</v>
      </c>
      <c r="AZ580">
        <v>1</v>
      </c>
      <c r="BA580">
        <v>1</v>
      </c>
      <c r="BB580" t="s">
        <v>11</v>
      </c>
      <c r="BD580" t="s">
        <v>704</v>
      </c>
      <c r="BE580" t="s">
        <v>4192</v>
      </c>
      <c r="BF580" t="s">
        <v>4193</v>
      </c>
      <c r="BG580" t="s">
        <v>4194</v>
      </c>
      <c r="BH580" s="1" t="s">
        <v>57</v>
      </c>
      <c r="BI580" t="s">
        <v>57</v>
      </c>
      <c r="BJ580" s="1" t="str">
        <f>HYPERLINK("http://exon.niaid.nih.gov/transcriptome/T_rubida/S1/links/CDD/Triru-contig_550-CDD.txt","PLN00207")</f>
        <v>PLN00207</v>
      </c>
      <c r="BK580" t="str">
        <f>HYPERLINK("http://www.ncbi.nlm.nih.gov/Structure/cdd/cddsrv.cgi?uid=PLN00207&amp;version=v4.0","0.31")</f>
        <v>0.31</v>
      </c>
      <c r="BL580" t="s">
        <v>4195</v>
      </c>
      <c r="BM580" s="1" t="str">
        <f>HYPERLINK("http://exon.niaid.nih.gov/transcriptome/T_rubida/S1/links/KOG/Triru-contig_550-KOG.txt","Acyltransferase required for palmitoylation of Hedgehog (Hh) family of secreted signaling proteins")</f>
        <v>Acyltransferase required for palmitoylation of Hedgehog (Hh) family of secreted signaling proteins</v>
      </c>
      <c r="BN580" t="str">
        <f>HYPERLINK("http://www.ncbi.nlm.nih.gov/COG/grace/shokog.cgi?KOG3860","0.62")</f>
        <v>0.62</v>
      </c>
      <c r="BO580" t="s">
        <v>728</v>
      </c>
      <c r="BP580" s="1" t="str">
        <f>HYPERLINK("http://exon.niaid.nih.gov/transcriptome/T_rubida/S1/links/PFAM/Triru-contig_550-PFAM.txt","DUF3272")</f>
        <v>DUF3272</v>
      </c>
      <c r="BQ580" t="str">
        <f>HYPERLINK("http://pfam.sanger.ac.uk/family?acc=PF11676","0.22")</f>
        <v>0.22</v>
      </c>
      <c r="BR580" s="1" t="str">
        <f>HYPERLINK("http://exon.niaid.nih.gov/transcriptome/T_rubida/S1/links/SMART/Triru-contig_550-SMART.txt","Aamy")</f>
        <v>Aamy</v>
      </c>
      <c r="BS580" t="str">
        <f>HYPERLINK("http://smart.embl-heidelberg.de/smart/do_annotation.pl?DOMAIN=Aamy&amp;BLAST=DUMMY","0.049")</f>
        <v>0.049</v>
      </c>
      <c r="BT580" s="1" t="str">
        <f>HYPERLINK("http://exon.niaid.nih.gov/transcriptome/T_rubida/S1/links/PRK/Triru-contig_550-PRK.txt","polyribonucleotide nucleotidyltransferase")</f>
        <v>polyribonucleotide nucleotidyltransferase</v>
      </c>
      <c r="BU580">
        <v>0.11</v>
      </c>
      <c r="BV580" s="1" t="s">
        <v>57</v>
      </c>
      <c r="BW580" t="s">
        <v>57</v>
      </c>
      <c r="BX580" s="1" t="s">
        <v>57</v>
      </c>
      <c r="BY580" t="s">
        <v>57</v>
      </c>
    </row>
    <row r="581" spans="1:77">
      <c r="A581" t="str">
        <f>HYPERLINK("http://exon.niaid.nih.gov/transcriptome/T_rubida/S1/links/Triru/Triru-contig_657.txt","Triru-contig_657")</f>
        <v>Triru-contig_657</v>
      </c>
      <c r="B581">
        <v>1</v>
      </c>
      <c r="C581" t="str">
        <f>HYPERLINK("http://exon.niaid.nih.gov/transcriptome/T_rubida/S1/links/Triru/Triru-5-48-asb-657.txt","Contig-657")</f>
        <v>Contig-657</v>
      </c>
      <c r="D581" t="str">
        <f>HYPERLINK("http://exon.niaid.nih.gov/transcriptome/T_rubida/S1/links/Triru/Triru-5-48-657-CLU.txt","Contig657")</f>
        <v>Contig657</v>
      </c>
      <c r="E581" t="str">
        <f>HYPERLINK("http://exon.niaid.nih.gov/transcriptome/T_rubida/S1/links/Triru/Triru-5-48-657-qual.txt","56.2")</f>
        <v>56.2</v>
      </c>
      <c r="F581" t="s">
        <v>10</v>
      </c>
      <c r="G581">
        <v>73.8</v>
      </c>
      <c r="H581">
        <v>221</v>
      </c>
      <c r="I581" t="s">
        <v>669</v>
      </c>
      <c r="J581">
        <v>221</v>
      </c>
      <c r="K581">
        <v>240</v>
      </c>
      <c r="L581">
        <v>108</v>
      </c>
      <c r="M581" t="s">
        <v>5593</v>
      </c>
      <c r="N581" s="15">
        <v>2</v>
      </c>
      <c r="Q581" s="5" t="s">
        <v>4827</v>
      </c>
      <c r="R581" t="s">
        <v>4828</v>
      </c>
      <c r="V581" s="1" t="str">
        <f>HYPERLINK("http://exon.niaid.nih.gov/transcriptome/T_rubida/S1/links/NR/Triru-contig_657-NR.txt","NADH dehydrogenase subunit 4")</f>
        <v>NADH dehydrogenase subunit 4</v>
      </c>
      <c r="W581" t="str">
        <f>HYPERLINK("http://www.ncbi.nlm.nih.gov/sutils/blink.cgi?pid=240266391","44")</f>
        <v>44</v>
      </c>
      <c r="X581" t="str">
        <f>HYPERLINK("http://www.ncbi.nlm.nih.gov/protein/240266391","gi|240266391")</f>
        <v>gi|240266391</v>
      </c>
      <c r="Y581">
        <v>31.6</v>
      </c>
      <c r="Z581">
        <v>40</v>
      </c>
      <c r="AA581">
        <v>443</v>
      </c>
      <c r="AB581">
        <v>35</v>
      </c>
      <c r="AC581">
        <v>9</v>
      </c>
      <c r="AD581">
        <v>33</v>
      </c>
      <c r="AE581">
        <v>0</v>
      </c>
      <c r="AF581">
        <v>10</v>
      </c>
      <c r="AG581">
        <v>47</v>
      </c>
      <c r="AH581">
        <v>1</v>
      </c>
      <c r="AI581">
        <v>2</v>
      </c>
      <c r="AJ581" t="s">
        <v>11</v>
      </c>
      <c r="AK581">
        <v>2.5</v>
      </c>
      <c r="AL581" t="s">
        <v>4806</v>
      </c>
      <c r="AM581" t="s">
        <v>4807</v>
      </c>
      <c r="AN581" t="s">
        <v>4808</v>
      </c>
      <c r="AO581" s="1" t="str">
        <f>HYPERLINK("http://exon.niaid.nih.gov/transcriptome/T_rubida/S1/links/SWISSP/Triru-contig_657-SWISSP.txt","Chloride channel protein D")</f>
        <v>Chloride channel protein D</v>
      </c>
      <c r="AP581" t="str">
        <f>HYPERLINK("http://www.uniprot.org/uniprot/Q1ZXJ0","18")</f>
        <v>18</v>
      </c>
      <c r="AQ581" t="s">
        <v>4809</v>
      </c>
      <c r="AR581">
        <v>28.1</v>
      </c>
      <c r="AS581">
        <v>32</v>
      </c>
      <c r="AT581">
        <v>33</v>
      </c>
      <c r="AU581">
        <v>3</v>
      </c>
      <c r="AV581">
        <v>22</v>
      </c>
      <c r="AW581">
        <v>0</v>
      </c>
      <c r="AX581">
        <v>660</v>
      </c>
      <c r="AY581">
        <v>55</v>
      </c>
      <c r="AZ581">
        <v>1</v>
      </c>
      <c r="BA581">
        <v>1</v>
      </c>
      <c r="BB581" t="s">
        <v>11</v>
      </c>
      <c r="BC581">
        <v>3.125</v>
      </c>
      <c r="BD581" t="s">
        <v>704</v>
      </c>
      <c r="BE581" t="s">
        <v>918</v>
      </c>
      <c r="BF581" t="s">
        <v>4810</v>
      </c>
      <c r="BG581" t="s">
        <v>4811</v>
      </c>
      <c r="BH581" s="1" t="s">
        <v>57</v>
      </c>
      <c r="BI581" t="s">
        <v>57</v>
      </c>
      <c r="BJ581" s="1" t="str">
        <f>HYPERLINK("http://exon.niaid.nih.gov/transcriptome/T_rubida/S1/links/CDD/Triru-contig_657-CDD.txt","ND1")</f>
        <v>ND1</v>
      </c>
      <c r="BK581" t="str">
        <f>HYPERLINK("http://www.ncbi.nlm.nih.gov/Structure/cdd/cddsrv.cgi?uid=MTH00193&amp;version=v4.0","0.036")</f>
        <v>0.036</v>
      </c>
      <c r="BL581" t="s">
        <v>4812</v>
      </c>
      <c r="BM581" s="1" t="str">
        <f>HYPERLINK("http://exon.niaid.nih.gov/transcriptome/T_rubida/S1/links/KOG/Triru-contig_657-KOG.txt","ATP synthase F0 subunit 6 and related proteins")</f>
        <v>ATP synthase F0 subunit 6 and related proteins</v>
      </c>
      <c r="BN581" t="str">
        <f>HYPERLINK("http://www.ncbi.nlm.nih.gov/COG/grace/shokog.cgi?KOG4665","0.15")</f>
        <v>0.15</v>
      </c>
      <c r="BO581" t="s">
        <v>1139</v>
      </c>
      <c r="BP581" s="1" t="str">
        <f>HYPERLINK("http://exon.niaid.nih.gov/transcriptome/T_rubida/S1/links/PFAM/Triru-contig_657-PFAM.txt","Ctr")</f>
        <v>Ctr</v>
      </c>
      <c r="BQ581" t="str">
        <f>HYPERLINK("http://pfam.sanger.ac.uk/family?acc=PF04145","0.009")</f>
        <v>0.009</v>
      </c>
      <c r="BR581" s="1" t="str">
        <f>HYPERLINK("http://exon.niaid.nih.gov/transcriptome/T_rubida/S1/links/SMART/Triru-contig_657-SMART.txt","TLC")</f>
        <v>TLC</v>
      </c>
      <c r="BS581" t="str">
        <f>HYPERLINK("http://smart.embl-heidelberg.de/smart/do_annotation.pl?DOMAIN=TLC&amp;BLAST=DUMMY","0.013")</f>
        <v>0.013</v>
      </c>
      <c r="BT581" s="1" t="str">
        <f>HYPERLINK("http://exon.niaid.nih.gov/transcriptome/T_rubida/S1/links/PRK/Triru-contig_657-PRK.txt","NADH dehydrogenase subunit 1")</f>
        <v>NADH dehydrogenase subunit 1</v>
      </c>
      <c r="BU581">
        <v>1.2999999999999999E-2</v>
      </c>
      <c r="BV581" s="1" t="s">
        <v>57</v>
      </c>
      <c r="BW581" t="s">
        <v>57</v>
      </c>
      <c r="BX581" s="1" t="s">
        <v>57</v>
      </c>
      <c r="BY581" t="s">
        <v>57</v>
      </c>
    </row>
    <row r="582" spans="1:77">
      <c r="A582" t="str">
        <f>HYPERLINK("http://exon.niaid.nih.gov/transcriptome/T_rubida/S1/links/Triru/Triru-contig_153.txt","Triru-contig_153")</f>
        <v>Triru-contig_153</v>
      </c>
      <c r="B582">
        <v>2</v>
      </c>
      <c r="C582" t="str">
        <f>HYPERLINK("http://exon.niaid.nih.gov/transcriptome/T_rubida/S1/links/Triru/Triru-5-48-asb-153.txt","Contig-153")</f>
        <v>Contig-153</v>
      </c>
      <c r="D582" t="str">
        <f>HYPERLINK("http://exon.niaid.nih.gov/transcriptome/T_rubida/S1/links/Triru/Triru-5-48-153-CLU.txt","Contig153")</f>
        <v>Contig153</v>
      </c>
      <c r="E582" t="str">
        <f>HYPERLINK("http://exon.niaid.nih.gov/transcriptome/T_rubida/S1/links/Triru/Triru-5-48-153-qual.txt","90.7")</f>
        <v>90.7</v>
      </c>
      <c r="F582" t="s">
        <v>10</v>
      </c>
      <c r="G582">
        <v>68.2</v>
      </c>
      <c r="H582">
        <v>594</v>
      </c>
      <c r="I582" t="s">
        <v>165</v>
      </c>
      <c r="J582">
        <v>594</v>
      </c>
      <c r="K582">
        <v>613</v>
      </c>
      <c r="L582">
        <v>129</v>
      </c>
      <c r="M582" t="s">
        <v>5598</v>
      </c>
      <c r="N582" s="15">
        <v>2</v>
      </c>
      <c r="Q582" s="5" t="s">
        <v>4827</v>
      </c>
      <c r="R582" t="s">
        <v>4828</v>
      </c>
      <c r="V582" s="1" t="str">
        <f>HYPERLINK("http://exon.niaid.nih.gov/transcriptome/T_rubida/S1/links/NR/Triru-contig_153-NR.txt","Ig domain-containing protein")</f>
        <v>Ig domain-containing protein</v>
      </c>
      <c r="W582" t="str">
        <f>HYPERLINK("http://www.ncbi.nlm.nih.gov/sutils/blink.cgi?pid=337748639","44")</f>
        <v>44</v>
      </c>
      <c r="X582" t="str">
        <f>HYPERLINK("http://www.ncbi.nlm.nih.gov/protein/337748639","gi|337748639")</f>
        <v>gi|337748639</v>
      </c>
      <c r="Y582">
        <v>32.299999999999997</v>
      </c>
      <c r="Z582">
        <v>49</v>
      </c>
      <c r="AA582">
        <v>1407</v>
      </c>
      <c r="AB582">
        <v>40</v>
      </c>
      <c r="AC582">
        <v>4</v>
      </c>
      <c r="AD582">
        <v>30</v>
      </c>
      <c r="AE582">
        <v>4</v>
      </c>
      <c r="AF582">
        <v>811</v>
      </c>
      <c r="AG582">
        <v>81</v>
      </c>
      <c r="AH582">
        <v>1</v>
      </c>
      <c r="AI582">
        <v>3</v>
      </c>
      <c r="AJ582" t="s">
        <v>11</v>
      </c>
      <c r="AK582">
        <v>2.0409999999999999</v>
      </c>
      <c r="AL582" t="s">
        <v>1600</v>
      </c>
      <c r="AM582" t="s">
        <v>1601</v>
      </c>
      <c r="AN582" t="s">
        <v>1602</v>
      </c>
      <c r="AO582" s="1" t="str">
        <f>HYPERLINK("http://exon.niaid.nih.gov/transcriptome/T_rubida/S1/links/SWISSP/Triru-contig_153-SWISSP.txt","Protein tirA")</f>
        <v>Protein tirA</v>
      </c>
      <c r="AP582" t="str">
        <f>HYPERLINK("http://www.uniprot.org/uniprot/Q54HT1","46")</f>
        <v>46</v>
      </c>
      <c r="AQ582" t="s">
        <v>1603</v>
      </c>
      <c r="AR582">
        <v>28.1</v>
      </c>
      <c r="AS582">
        <v>47</v>
      </c>
      <c r="AT582">
        <v>35</v>
      </c>
      <c r="AU582">
        <v>4</v>
      </c>
      <c r="AV582">
        <v>31</v>
      </c>
      <c r="AW582">
        <v>2</v>
      </c>
      <c r="AX582">
        <v>1146</v>
      </c>
      <c r="AY582">
        <v>367</v>
      </c>
      <c r="AZ582">
        <v>1</v>
      </c>
      <c r="BA582">
        <v>1</v>
      </c>
      <c r="BB582" t="s">
        <v>11</v>
      </c>
      <c r="BC582">
        <v>4.2549999999999999</v>
      </c>
      <c r="BD582" t="s">
        <v>704</v>
      </c>
      <c r="BE582" t="s">
        <v>918</v>
      </c>
      <c r="BF582" t="s">
        <v>1604</v>
      </c>
      <c r="BG582" t="s">
        <v>1605</v>
      </c>
      <c r="BH582" s="1" t="s">
        <v>57</v>
      </c>
      <c r="BI582" t="s">
        <v>57</v>
      </c>
      <c r="BJ582" s="1" t="str">
        <f>HYPERLINK("http://exon.niaid.nih.gov/transcriptome/T_rubida/S1/links/CDD/Triru-contig_153-CDD.txt","ycf1")</f>
        <v>ycf1</v>
      </c>
      <c r="BK582" t="str">
        <f>HYPERLINK("http://www.ncbi.nlm.nih.gov/Structure/cdd/cddsrv.cgi?uid=CHL00204&amp;version=v4.0","1.6")</f>
        <v>1.6</v>
      </c>
      <c r="BL582" t="s">
        <v>1606</v>
      </c>
      <c r="BM582" s="1" t="str">
        <f>HYPERLINK("http://exon.niaid.nih.gov/transcriptome/T_rubida/S1/links/KOG/Triru-contig_153-KOG.txt","Uncharacterized conserved protein")</f>
        <v>Uncharacterized conserved protein</v>
      </c>
      <c r="BN582" t="str">
        <f>HYPERLINK("http://www.ncbi.nlm.nih.gov/COG/grace/shokog.cgi?KOG1893","2.8")</f>
        <v>2.8</v>
      </c>
      <c r="BO582" t="s">
        <v>737</v>
      </c>
      <c r="BP582" s="1" t="str">
        <f>HYPERLINK("http://exon.niaid.nih.gov/transcriptome/T_rubida/S1/links/PFAM/Triru-contig_153-PFAM.txt","Ycf1")</f>
        <v>Ycf1</v>
      </c>
      <c r="BQ582" t="str">
        <f>HYPERLINK("http://pfam.sanger.ac.uk/family?acc=PF05758","0.90")</f>
        <v>0.90</v>
      </c>
      <c r="BR582" s="1" t="str">
        <f>HYPERLINK("http://exon.niaid.nih.gov/transcriptome/T_rubida/S1/links/SMART/Triru-contig_153-SMART.txt","MIF4G")</f>
        <v>MIF4G</v>
      </c>
      <c r="BS582" t="str">
        <f>HYPERLINK("http://smart.embl-heidelberg.de/smart/do_annotation.pl?DOMAIN=MIF4G&amp;BLAST=DUMMY","0.16")</f>
        <v>0.16</v>
      </c>
      <c r="BT582" s="1" t="str">
        <f>HYPERLINK("http://exon.niaid.nih.gov/transcriptome/T_rubida/S1/links/PRK/Triru-contig_153-PRK.txt","Ycf1")</f>
        <v>Ycf1</v>
      </c>
      <c r="BU582">
        <v>0.7</v>
      </c>
      <c r="BV582" s="1" t="s">
        <v>57</v>
      </c>
      <c r="BW582" t="s">
        <v>57</v>
      </c>
      <c r="BX582" s="1" t="s">
        <v>57</v>
      </c>
      <c r="BY582" t="s">
        <v>57</v>
      </c>
    </row>
    <row r="583" spans="1:77">
      <c r="A583" t="str">
        <f>HYPERLINK("http://exon.niaid.nih.gov/transcriptome/T_rubida/S1/links/Triru/Triru-contig_521.txt","Triru-contig_521")</f>
        <v>Triru-contig_521</v>
      </c>
      <c r="B583">
        <v>1</v>
      </c>
      <c r="C583" t="str">
        <f>HYPERLINK("http://exon.niaid.nih.gov/transcriptome/T_rubida/S1/links/Triru/Triru-5-48-asb-521.txt","Contig-521")</f>
        <v>Contig-521</v>
      </c>
      <c r="D583" t="str">
        <f>HYPERLINK("http://exon.niaid.nih.gov/transcriptome/T_rubida/S1/links/Triru/Triru-5-48-521-CLU.txt","Contig521")</f>
        <v>Contig521</v>
      </c>
      <c r="E583" t="str">
        <f>HYPERLINK("http://exon.niaid.nih.gov/transcriptome/T_rubida/S1/links/Triru/Triru-5-48-521-qual.txt","61.")</f>
        <v>61.</v>
      </c>
      <c r="F583" t="s">
        <v>10</v>
      </c>
      <c r="G583">
        <v>81</v>
      </c>
      <c r="H583">
        <v>186</v>
      </c>
      <c r="I583" t="s">
        <v>533</v>
      </c>
      <c r="J583">
        <v>186</v>
      </c>
      <c r="K583">
        <v>205</v>
      </c>
      <c r="L583">
        <v>90</v>
      </c>
      <c r="M583" t="s">
        <v>5625</v>
      </c>
      <c r="N583" s="15">
        <v>1</v>
      </c>
      <c r="Q583" s="5" t="s">
        <v>4827</v>
      </c>
      <c r="R583" t="s">
        <v>4828</v>
      </c>
      <c r="V583" s="1" t="str">
        <f>HYPERLINK("http://exon.niaid.nih.gov/transcriptome/T_rubida/S1/links/NR/Triru-contig_521-NR.txt","conserved Plasmodium protein, unknown function")</f>
        <v>conserved Plasmodium protein, unknown function</v>
      </c>
      <c r="W583" t="str">
        <f>HYPERLINK("http://www.ncbi.nlm.nih.gov/sutils/blink.cgi?pid=296005076","44")</f>
        <v>44</v>
      </c>
      <c r="X583" t="str">
        <f>HYPERLINK("http://www.ncbi.nlm.nih.gov/protein/296005076","gi|296005076")</f>
        <v>gi|296005076</v>
      </c>
      <c r="Y583">
        <v>31.6</v>
      </c>
      <c r="Z583">
        <v>44</v>
      </c>
      <c r="AA583">
        <v>1124</v>
      </c>
      <c r="AB583">
        <v>44</v>
      </c>
      <c r="AC583">
        <v>4</v>
      </c>
      <c r="AD583">
        <v>26</v>
      </c>
      <c r="AE583">
        <v>2</v>
      </c>
      <c r="AF583">
        <v>628</v>
      </c>
      <c r="AG583">
        <v>24</v>
      </c>
      <c r="AH583">
        <v>1</v>
      </c>
      <c r="AI583">
        <v>3</v>
      </c>
      <c r="AJ583" t="s">
        <v>11</v>
      </c>
      <c r="AK583">
        <v>6.8179999999999996</v>
      </c>
      <c r="AL583" t="s">
        <v>1103</v>
      </c>
      <c r="AM583" t="s">
        <v>4006</v>
      </c>
      <c r="AN583" t="s">
        <v>4007</v>
      </c>
      <c r="AO583" s="1" t="str">
        <f>HYPERLINK("http://exon.niaid.nih.gov/transcriptome/T_rubida/S1/links/SWISSP/Triru-contig_521-SWISSP.txt","Expansin-like protein 5")</f>
        <v>Expansin-like protein 5</v>
      </c>
      <c r="AP583" t="str">
        <f>HYPERLINK("http://www.uniprot.org/uniprot/Q86AV4","40")</f>
        <v>40</v>
      </c>
      <c r="AQ583" t="s">
        <v>4008</v>
      </c>
      <c r="AR583">
        <v>26.9</v>
      </c>
      <c r="AS583">
        <v>18</v>
      </c>
      <c r="AT583">
        <v>57</v>
      </c>
      <c r="AU583">
        <v>8</v>
      </c>
      <c r="AV583">
        <v>8</v>
      </c>
      <c r="AW583">
        <v>0</v>
      </c>
      <c r="AX583">
        <v>3</v>
      </c>
      <c r="AY583">
        <v>115</v>
      </c>
      <c r="AZ583">
        <v>1</v>
      </c>
      <c r="BA583">
        <v>1</v>
      </c>
      <c r="BB583" t="s">
        <v>11</v>
      </c>
      <c r="BD583" t="s">
        <v>704</v>
      </c>
      <c r="BE583" t="s">
        <v>918</v>
      </c>
      <c r="BF583" t="s">
        <v>4009</v>
      </c>
      <c r="BG583" t="s">
        <v>4010</v>
      </c>
      <c r="BH583" s="1" t="s">
        <v>57</v>
      </c>
      <c r="BI583" t="s">
        <v>57</v>
      </c>
      <c r="BJ583" s="1" t="str">
        <f>HYPERLINK("http://exon.niaid.nih.gov/transcriptome/T_rubida/S1/links/CDD/Triru-contig_521-CDD.txt","DUF485")</f>
        <v>DUF485</v>
      </c>
      <c r="BK583" t="str">
        <f>HYPERLINK("http://www.ncbi.nlm.nih.gov/Structure/cdd/cddsrv.cgi?uid=pfam04341&amp;version=v4.0","3.8")</f>
        <v>3.8</v>
      </c>
      <c r="BL583" t="s">
        <v>4011</v>
      </c>
      <c r="BM583" s="1" t="str">
        <f>HYPERLINK("http://exon.niaid.nih.gov/transcriptome/T_rubida/S1/links/KOG/Triru-contig_521-KOG.txt","Membrane-associated proteoglycan Leprecan")</f>
        <v>Membrane-associated proteoglycan Leprecan</v>
      </c>
      <c r="BN583" t="str">
        <f>HYPERLINK("http://www.ncbi.nlm.nih.gov/COG/grace/shokog.cgi?KOG4459","5.4")</f>
        <v>5.4</v>
      </c>
      <c r="BO583" t="s">
        <v>737</v>
      </c>
      <c r="BP583" s="1" t="str">
        <f>HYPERLINK("http://exon.niaid.nih.gov/transcriptome/T_rubida/S1/links/PFAM/Triru-contig_521-PFAM.txt","DUF485")</f>
        <v>DUF485</v>
      </c>
      <c r="BQ583" t="str">
        <f>HYPERLINK("http://pfam.sanger.ac.uk/family?acc=PF04341","0.81")</f>
        <v>0.81</v>
      </c>
      <c r="BR583" s="1" t="str">
        <f>HYPERLINK("http://exon.niaid.nih.gov/transcriptome/T_rubida/S1/links/SMART/Triru-contig_521-SMART.txt","KISc")</f>
        <v>KISc</v>
      </c>
      <c r="BS583" t="str">
        <f>HYPERLINK("http://smart.embl-heidelberg.de/smart/do_annotation.pl?DOMAIN=KISc&amp;BLAST=DUMMY","0.37")</f>
        <v>0.37</v>
      </c>
      <c r="BT583" s="1" t="str">
        <f>HYPERLINK("http://exon.niaid.nih.gov/transcriptome/T_rubida/S1/links/PRK/Triru-contig_521-PRK.txt","ubiquinone/menaquinone biosynthesis methyltransferase")</f>
        <v>ubiquinone/menaquinone biosynthesis methyltransferase</v>
      </c>
      <c r="BU583">
        <v>3.9</v>
      </c>
      <c r="BV583" s="1" t="s">
        <v>57</v>
      </c>
      <c r="BW583" t="s">
        <v>57</v>
      </c>
      <c r="BX583" s="1" t="s">
        <v>57</v>
      </c>
      <c r="BY583" t="s">
        <v>57</v>
      </c>
    </row>
    <row r="584" spans="1:77">
      <c r="A584" t="str">
        <f>HYPERLINK("http://exon.niaid.nih.gov/transcriptome/T_rubida/S1/links/Triru/Triru-contig_238.txt","Triru-contig_238")</f>
        <v>Triru-contig_238</v>
      </c>
      <c r="B584">
        <v>1</v>
      </c>
      <c r="C584" t="str">
        <f>HYPERLINK("http://exon.niaid.nih.gov/transcriptome/T_rubida/S1/links/Triru/Triru-5-48-asb-238.txt","Contig-238")</f>
        <v>Contig-238</v>
      </c>
      <c r="D584" t="str">
        <f>HYPERLINK("http://exon.niaid.nih.gov/transcriptome/T_rubida/S1/links/Triru/Triru-5-48-238-CLU.txt","Contig238")</f>
        <v>Contig238</v>
      </c>
      <c r="E584" t="str">
        <f>HYPERLINK("http://exon.niaid.nih.gov/transcriptome/T_rubida/S1/links/Triru/Triru-5-48-238-qual.txt","53.6")</f>
        <v>53.6</v>
      </c>
      <c r="F584" t="s">
        <v>10</v>
      </c>
      <c r="G584">
        <v>74.8</v>
      </c>
      <c r="H584">
        <v>219</v>
      </c>
      <c r="I584" t="s">
        <v>250</v>
      </c>
      <c r="J584">
        <v>219</v>
      </c>
      <c r="K584">
        <v>238</v>
      </c>
      <c r="L584">
        <v>111</v>
      </c>
      <c r="M584" t="s">
        <v>5673</v>
      </c>
      <c r="N584" s="15">
        <v>3</v>
      </c>
      <c r="Q584" s="5" t="s">
        <v>4827</v>
      </c>
      <c r="R584" t="s">
        <v>4828</v>
      </c>
      <c r="V584" s="1" t="str">
        <f>HYPERLINK("http://exon.niaid.nih.gov/transcriptome/T_rubida/S1/links/NR/Triru-contig_238-NR.txt","hypothetical protein TREPR_0347")</f>
        <v>hypothetical protein TREPR_0347</v>
      </c>
      <c r="W584" t="str">
        <f>HYPERLINK("http://www.ncbi.nlm.nih.gov/sutils/blink.cgi?pid=333999922","44")</f>
        <v>44</v>
      </c>
      <c r="X584" t="str">
        <f>HYPERLINK("http://www.ncbi.nlm.nih.gov/protein/333999922","gi|333999922")</f>
        <v>gi|333999922</v>
      </c>
      <c r="Y584">
        <v>31.6</v>
      </c>
      <c r="Z584">
        <v>33</v>
      </c>
      <c r="AA584">
        <v>335</v>
      </c>
      <c r="AB584">
        <v>41</v>
      </c>
      <c r="AC584">
        <v>10</v>
      </c>
      <c r="AD584">
        <v>21</v>
      </c>
      <c r="AE584">
        <v>0</v>
      </c>
      <c r="AF584">
        <v>8</v>
      </c>
      <c r="AG584">
        <v>77</v>
      </c>
      <c r="AH584">
        <v>1</v>
      </c>
      <c r="AI584">
        <v>2</v>
      </c>
      <c r="AJ584" t="s">
        <v>11</v>
      </c>
      <c r="AK584">
        <v>3.03</v>
      </c>
      <c r="AL584" t="s">
        <v>2102</v>
      </c>
      <c r="AM584" t="s">
        <v>2103</v>
      </c>
      <c r="AN584" t="s">
        <v>2104</v>
      </c>
      <c r="AO584" s="1" t="str">
        <f>HYPERLINK("http://exon.niaid.nih.gov/transcriptome/T_rubida/S1/links/SWISSP/Triru-contig_238-SWISSP.txt","U3 small nucleolar RNA-associated protein 20")</f>
        <v>U3 small nucleolar RNA-associated protein 20</v>
      </c>
      <c r="AP584" t="str">
        <f>HYPERLINK("http://www.uniprot.org/uniprot/O60055","31")</f>
        <v>31</v>
      </c>
      <c r="AQ584" t="s">
        <v>2105</v>
      </c>
      <c r="AR584">
        <v>27.3</v>
      </c>
      <c r="AS584">
        <v>32</v>
      </c>
      <c r="AT584">
        <v>40</v>
      </c>
      <c r="AU584">
        <v>1</v>
      </c>
      <c r="AV584">
        <v>21</v>
      </c>
      <c r="AW584">
        <v>0</v>
      </c>
      <c r="AX584">
        <v>2043</v>
      </c>
      <c r="AY584">
        <v>30</v>
      </c>
      <c r="AZ584">
        <v>1</v>
      </c>
      <c r="BA584">
        <v>3</v>
      </c>
      <c r="BB584" t="s">
        <v>11</v>
      </c>
      <c r="BD584" t="s">
        <v>704</v>
      </c>
      <c r="BE584" t="s">
        <v>950</v>
      </c>
      <c r="BF584" t="s">
        <v>2106</v>
      </c>
      <c r="BG584" t="s">
        <v>2107</v>
      </c>
      <c r="BH584" s="1" t="s">
        <v>57</v>
      </c>
      <c r="BI584" t="s">
        <v>57</v>
      </c>
      <c r="BJ584" s="1" t="str">
        <f>HYPERLINK("http://exon.niaid.nih.gov/transcriptome/T_rubida/S1/links/CDD/Triru-contig_238-CDD.txt","lgt")</f>
        <v>lgt</v>
      </c>
      <c r="BK584" t="str">
        <f>HYPERLINK("http://www.ncbi.nlm.nih.gov/Structure/cdd/cddsrv.cgi?uid=TIGR00544&amp;version=v4.0","1.5")</f>
        <v>1.5</v>
      </c>
      <c r="BL584" t="s">
        <v>2108</v>
      </c>
      <c r="BM584" s="1" t="str">
        <f>HYPERLINK("http://exon.niaid.nih.gov/transcriptome/T_rubida/S1/links/KOG/Triru-contig_238-KOG.txt","Integral membrane protein")</f>
        <v>Integral membrane protein</v>
      </c>
      <c r="BN584" t="str">
        <f>HYPERLINK("http://www.ncbi.nlm.nih.gov/COG/grace/shokog.cgi?KOG2173","2.5")</f>
        <v>2.5</v>
      </c>
      <c r="BO584" t="s">
        <v>750</v>
      </c>
      <c r="BP584" s="1" t="str">
        <f>HYPERLINK("http://exon.niaid.nih.gov/transcriptome/T_rubida/S1/links/PFAM/Triru-contig_238-PFAM.txt","DUF2748")</f>
        <v>DUF2748</v>
      </c>
      <c r="BQ584" t="str">
        <f>HYPERLINK("http://pfam.sanger.ac.uk/family?acc=PF10871","0.49")</f>
        <v>0.49</v>
      </c>
      <c r="BR584" s="1" t="str">
        <f>HYPERLINK("http://exon.niaid.nih.gov/transcriptome/T_rubida/S1/links/SMART/Triru-contig_238-SMART.txt","RGS")</f>
        <v>RGS</v>
      </c>
      <c r="BS584" t="str">
        <f>HYPERLINK("http://smart.embl-heidelberg.de/smart/do_annotation.pl?DOMAIN=RGS&amp;BLAST=DUMMY","0.31")</f>
        <v>0.31</v>
      </c>
      <c r="BT584" s="1" t="str">
        <f>HYPERLINK("http://exon.niaid.nih.gov/transcriptome/T_rubida/S1/links/PRK/Triru-contig_238-PRK.txt","flagellar hook protein FlgE")</f>
        <v>flagellar hook protein FlgE</v>
      </c>
      <c r="BU584">
        <v>0.54</v>
      </c>
      <c r="BV584" s="1" t="s">
        <v>57</v>
      </c>
      <c r="BW584" t="s">
        <v>57</v>
      </c>
      <c r="BX584" s="1" t="s">
        <v>57</v>
      </c>
      <c r="BY584" t="s">
        <v>57</v>
      </c>
    </row>
    <row r="585" spans="1:77">
      <c r="A585" t="str">
        <f>HYPERLINK("http://exon.niaid.nih.gov/transcriptome/T_rubida/S1/links/Triru/Triru-contig_218.txt","Triru-contig_218")</f>
        <v>Triru-contig_218</v>
      </c>
      <c r="B585">
        <v>1</v>
      </c>
      <c r="C585" t="str">
        <f>HYPERLINK("http://exon.niaid.nih.gov/transcriptome/T_rubida/S1/links/Triru/Triru-5-48-asb-218.txt","Contig-218")</f>
        <v>Contig-218</v>
      </c>
      <c r="D585" t="str">
        <f>HYPERLINK("http://exon.niaid.nih.gov/transcriptome/T_rubida/S1/links/Triru/Triru-5-48-218-CLU.txt","Contig218")</f>
        <v>Contig218</v>
      </c>
      <c r="E585" t="str">
        <f>HYPERLINK("http://exon.niaid.nih.gov/transcriptome/T_rubida/S1/links/Triru/Triru-5-48-218-qual.txt","58.8")</f>
        <v>58.8</v>
      </c>
      <c r="F585" t="s">
        <v>10</v>
      </c>
      <c r="G585">
        <v>65.900000000000006</v>
      </c>
      <c r="H585">
        <v>113</v>
      </c>
      <c r="I585" t="s">
        <v>230</v>
      </c>
      <c r="J585">
        <v>113</v>
      </c>
      <c r="K585">
        <v>132</v>
      </c>
      <c r="L585">
        <v>129</v>
      </c>
      <c r="M585" t="s">
        <v>5694</v>
      </c>
      <c r="N585" s="15">
        <v>1</v>
      </c>
      <c r="Q585" s="5" t="s">
        <v>4827</v>
      </c>
      <c r="R585" t="s">
        <v>4828</v>
      </c>
      <c r="V585" s="1" t="str">
        <f>HYPERLINK("http://exon.niaid.nih.gov/transcriptome/T_rubida/S1/links/NR/Triru-contig_218-NR.txt","eukaryotic initiation factor 5a, putative")</f>
        <v>eukaryotic initiation factor 5a, putative</v>
      </c>
      <c r="W585" t="str">
        <f>HYPERLINK("http://www.ncbi.nlm.nih.gov/sutils/blink.cgi?pid=322815485","44")</f>
        <v>44</v>
      </c>
      <c r="X585" t="str">
        <f>HYPERLINK("http://www.ncbi.nlm.nih.gov/protein/322815485","gi|322815485")</f>
        <v>gi|322815485</v>
      </c>
      <c r="Y585">
        <v>31.6</v>
      </c>
      <c r="Z585">
        <v>14</v>
      </c>
      <c r="AA585">
        <v>126</v>
      </c>
      <c r="AB585">
        <v>93</v>
      </c>
      <c r="AC585">
        <v>12</v>
      </c>
      <c r="AD585">
        <v>1</v>
      </c>
      <c r="AE585">
        <v>0</v>
      </c>
      <c r="AF585">
        <v>112</v>
      </c>
      <c r="AG585">
        <v>9</v>
      </c>
      <c r="AH585">
        <v>1</v>
      </c>
      <c r="AI585">
        <v>3</v>
      </c>
      <c r="AJ585" t="s">
        <v>11</v>
      </c>
      <c r="AL585" t="s">
        <v>1491</v>
      </c>
      <c r="AM585" t="s">
        <v>1977</v>
      </c>
      <c r="AN585" t="s">
        <v>1978</v>
      </c>
      <c r="AO585" s="1" t="str">
        <f>HYPERLINK("http://exon.niaid.nih.gov/transcriptome/T_rubida/S1/links/SWISSP/Triru-contig_218-SWISSP.txt","Fer-1-like protein 5")</f>
        <v>Fer-1-like protein 5</v>
      </c>
      <c r="AP585" t="str">
        <f>HYPERLINK("http://www.uniprot.org/uniprot/A0AVI2","52")</f>
        <v>52</v>
      </c>
      <c r="AQ585" t="s">
        <v>1979</v>
      </c>
      <c r="AR585">
        <v>26.6</v>
      </c>
      <c r="AS585">
        <v>28</v>
      </c>
      <c r="AT585">
        <v>48</v>
      </c>
      <c r="AU585">
        <v>1</v>
      </c>
      <c r="AV585">
        <v>15</v>
      </c>
      <c r="AW585">
        <v>1</v>
      </c>
      <c r="AX585">
        <v>1991</v>
      </c>
      <c r="AY585">
        <v>10</v>
      </c>
      <c r="AZ585">
        <v>1</v>
      </c>
      <c r="BA585">
        <v>1</v>
      </c>
      <c r="BB585" t="s">
        <v>11</v>
      </c>
      <c r="BD585" t="s">
        <v>704</v>
      </c>
      <c r="BE585" t="s">
        <v>1233</v>
      </c>
      <c r="BF585" t="s">
        <v>1980</v>
      </c>
      <c r="BG585" t="s">
        <v>1981</v>
      </c>
      <c r="BH585" s="1" t="s">
        <v>57</v>
      </c>
      <c r="BI585" t="s">
        <v>57</v>
      </c>
      <c r="BJ585" s="1" t="str">
        <f>HYPERLINK("http://exon.niaid.nih.gov/transcriptome/T_rubida/S1/links/CDD/Triru-contig_218-CDD.txt","PTZ00328")</f>
        <v>PTZ00328</v>
      </c>
      <c r="BK585" t="str">
        <f>HYPERLINK("http://www.ncbi.nlm.nih.gov/Structure/cdd/cddsrv.cgi?uid=PTZ00328&amp;version=v4.0","0.015")</f>
        <v>0.015</v>
      </c>
      <c r="BL585" t="s">
        <v>1982</v>
      </c>
      <c r="BM585" s="1" t="str">
        <f>HYPERLINK("http://exon.niaid.nih.gov/transcriptome/T_rubida/S1/links/KOG/Triru-contig_218-KOG.txt","Acetyl-CoA transporter")</f>
        <v>Acetyl-CoA transporter</v>
      </c>
      <c r="BN585" t="str">
        <f>HYPERLINK("http://www.ncbi.nlm.nih.gov/COG/grace/shokog.cgi?KOG3574","2.2")</f>
        <v>2.2</v>
      </c>
      <c r="BO585" t="s">
        <v>849</v>
      </c>
      <c r="BP585" s="1" t="str">
        <f>HYPERLINK("http://exon.niaid.nih.gov/transcriptome/T_rubida/S1/links/PFAM/Triru-contig_218-PFAM.txt","Bax1-I")</f>
        <v>Bax1-I</v>
      </c>
      <c r="BQ585" t="str">
        <f>HYPERLINK("http://pfam.sanger.ac.uk/family?acc=PF01027","0.12")</f>
        <v>0.12</v>
      </c>
      <c r="BR585" s="1" t="str">
        <f>HYPERLINK("http://exon.niaid.nih.gov/transcriptome/T_rubida/S1/links/SMART/Triru-contig_218-SMART.txt","Brix")</f>
        <v>Brix</v>
      </c>
      <c r="BS585" t="str">
        <f>HYPERLINK("http://smart.embl-heidelberg.de/smart/do_annotation.pl?DOMAIN=Brix&amp;BLAST=DUMMY","0.54")</f>
        <v>0.54</v>
      </c>
      <c r="BT585" s="1" t="str">
        <f>HYPERLINK("http://exon.niaid.nih.gov/transcriptome/T_rubida/S1/links/PRK/Triru-contig_218-PRK.txt","eukaryotic initiation factor 5a")</f>
        <v>eukaryotic initiation factor 5a</v>
      </c>
      <c r="BU585">
        <v>5.0000000000000001E-3</v>
      </c>
      <c r="BV585" s="1" t="s">
        <v>57</v>
      </c>
      <c r="BW585" t="s">
        <v>57</v>
      </c>
      <c r="BX585" s="1" t="s">
        <v>57</v>
      </c>
      <c r="BY585" t="s">
        <v>57</v>
      </c>
    </row>
    <row r="586" spans="1:77">
      <c r="A586" t="str">
        <f>HYPERLINK("http://exon.niaid.nih.gov/transcriptome/T_rubida/S1/links/Triru/Triru-contig_205.txt","Triru-contig_205")</f>
        <v>Triru-contig_205</v>
      </c>
      <c r="B586">
        <v>1</v>
      </c>
      <c r="C586" t="str">
        <f>HYPERLINK("http://exon.niaid.nih.gov/transcriptome/T_rubida/S1/links/Triru/Triru-5-48-asb-205.txt","Contig-205")</f>
        <v>Contig-205</v>
      </c>
      <c r="D586" t="str">
        <f>HYPERLINK("http://exon.niaid.nih.gov/transcriptome/T_rubida/S1/links/Triru/Triru-5-48-205-CLU.txt","Contig205")</f>
        <v>Contig205</v>
      </c>
      <c r="E586" t="str">
        <f>HYPERLINK("http://exon.niaid.nih.gov/transcriptome/T_rubida/S1/links/Triru/Triru-5-48-205-qual.txt","58.6")</f>
        <v>58.6</v>
      </c>
      <c r="F586" t="s">
        <v>10</v>
      </c>
      <c r="G586">
        <v>69.400000000000006</v>
      </c>
      <c r="H586">
        <v>203</v>
      </c>
      <c r="I586" t="s">
        <v>217</v>
      </c>
      <c r="J586">
        <v>203</v>
      </c>
      <c r="K586">
        <v>222</v>
      </c>
      <c r="L586">
        <v>183</v>
      </c>
      <c r="M586" t="s">
        <v>5508</v>
      </c>
      <c r="N586" s="15">
        <v>2</v>
      </c>
      <c r="Q586" s="5" t="s">
        <v>4827</v>
      </c>
      <c r="R586" t="s">
        <v>4828</v>
      </c>
      <c r="V586" s="1" t="str">
        <f>HYPERLINK("http://exon.niaid.nih.gov/transcriptome/T_rubida/S1/links/NR/Triru-contig_205-NR.txt","GA27569")</f>
        <v>GA27569</v>
      </c>
      <c r="W586" t="str">
        <f>HYPERLINK("http://www.ncbi.nlm.nih.gov/sutils/blink.cgi?pid=198455369","45")</f>
        <v>45</v>
      </c>
      <c r="X586" t="str">
        <f>HYPERLINK("http://www.ncbi.nlm.nih.gov/protein/198455369","gi|198455369")</f>
        <v>gi|198455369</v>
      </c>
      <c r="Y586">
        <v>31.6</v>
      </c>
      <c r="Z586">
        <v>47</v>
      </c>
      <c r="AA586">
        <v>993</v>
      </c>
      <c r="AB586">
        <v>35</v>
      </c>
      <c r="AC586">
        <v>5</v>
      </c>
      <c r="AD586">
        <v>31</v>
      </c>
      <c r="AE586">
        <v>7</v>
      </c>
      <c r="AF586">
        <v>788</v>
      </c>
      <c r="AG586">
        <v>74</v>
      </c>
      <c r="AH586">
        <v>1</v>
      </c>
      <c r="AI586">
        <v>2</v>
      </c>
      <c r="AJ586" t="s">
        <v>11</v>
      </c>
      <c r="AL586" t="s">
        <v>1895</v>
      </c>
      <c r="AM586" t="s">
        <v>1896</v>
      </c>
      <c r="AN586" t="s">
        <v>1897</v>
      </c>
      <c r="AO586" s="1" t="str">
        <f>HYPERLINK("http://exon.niaid.nih.gov/transcriptome/T_rubida/S1/links/SWISSP/Triru-contig_205-SWISSP.txt","Serine/threonine-protein phosphatase 2A 56 kDa regulatory subunit epsilon")</f>
        <v>Serine/threonine-protein phosphatase 2A 56 kDa regulatory subunit epsilon</v>
      </c>
      <c r="AP586" t="str">
        <f>HYPERLINK("http://www.uniprot.org/uniprot/Q61151","4.7")</f>
        <v>4.7</v>
      </c>
      <c r="AQ586" t="s">
        <v>1898</v>
      </c>
      <c r="AR586">
        <v>30</v>
      </c>
      <c r="AS586">
        <v>47</v>
      </c>
      <c r="AT586">
        <v>33</v>
      </c>
      <c r="AU586">
        <v>10</v>
      </c>
      <c r="AV586">
        <v>32</v>
      </c>
      <c r="AW586">
        <v>7</v>
      </c>
      <c r="AX586">
        <v>364</v>
      </c>
      <c r="AY586">
        <v>74</v>
      </c>
      <c r="AZ586">
        <v>1</v>
      </c>
      <c r="BA586">
        <v>2</v>
      </c>
      <c r="BB586" t="s">
        <v>11</v>
      </c>
      <c r="BD586" t="s">
        <v>704</v>
      </c>
      <c r="BE586" t="s">
        <v>807</v>
      </c>
      <c r="BF586" t="s">
        <v>1899</v>
      </c>
      <c r="BG586" t="s">
        <v>1900</v>
      </c>
      <c r="BH586" s="1" t="s">
        <v>57</v>
      </c>
      <c r="BI586" t="s">
        <v>57</v>
      </c>
      <c r="BJ586" s="1" t="str">
        <f>HYPERLINK("http://exon.niaid.nih.gov/transcriptome/T_rubida/S1/links/CDD/Triru-contig_205-CDD.txt","Tho2")</f>
        <v>Tho2</v>
      </c>
      <c r="BK586" t="str">
        <f>HYPERLINK("http://www.ncbi.nlm.nih.gov/Structure/cdd/cddsrv.cgi?uid=pfam11262&amp;version=v4.0","0.43")</f>
        <v>0.43</v>
      </c>
      <c r="BL586" t="s">
        <v>1901</v>
      </c>
      <c r="BM586" s="1" t="str">
        <f>HYPERLINK("http://exon.niaid.nih.gov/transcriptome/T_rubida/S1/links/KOG/Triru-contig_205-KOG.txt","Serine/threonine protein phosphatase 2A, regulatory subunit")</f>
        <v>Serine/threonine protein phosphatase 2A, regulatory subunit</v>
      </c>
      <c r="BN586" t="str">
        <f>HYPERLINK("http://www.ncbi.nlm.nih.gov/COG/grace/shokog.cgi?KOG2085","0.18")</f>
        <v>0.18</v>
      </c>
      <c r="BO586" t="s">
        <v>728</v>
      </c>
      <c r="BP586" s="1" t="str">
        <f>HYPERLINK("http://exon.niaid.nih.gov/transcriptome/T_rubida/S1/links/PFAM/Triru-contig_205-PFAM.txt","Tho2")</f>
        <v>Tho2</v>
      </c>
      <c r="BQ586" t="str">
        <f>HYPERLINK("http://pfam.sanger.ac.uk/family?acc=PF11262","0.090")</f>
        <v>0.090</v>
      </c>
      <c r="BR586" s="1" t="str">
        <f>HYPERLINK("http://exon.niaid.nih.gov/transcriptome/T_rubida/S1/links/SMART/Triru-contig_205-SMART.txt","AgrB")</f>
        <v>AgrB</v>
      </c>
      <c r="BS586" t="str">
        <f>HYPERLINK("http://smart.embl-heidelberg.de/smart/do_annotation.pl?DOMAIN=AgrB&amp;BLAST=DUMMY","0.15")</f>
        <v>0.15</v>
      </c>
      <c r="BT586" s="1" t="str">
        <f>HYPERLINK("http://exon.niaid.nih.gov/transcriptome/T_rubida/S1/links/PRK/Triru-contig_205-PRK.txt","hypothetical protein")</f>
        <v>hypothetical protein</v>
      </c>
      <c r="BU586">
        <v>0.52</v>
      </c>
      <c r="BV586" s="1" t="s">
        <v>57</v>
      </c>
      <c r="BW586" t="s">
        <v>57</v>
      </c>
      <c r="BX586" s="1" t="s">
        <v>57</v>
      </c>
      <c r="BY586" t="s">
        <v>57</v>
      </c>
    </row>
    <row r="587" spans="1:77">
      <c r="A587" t="str">
        <f>HYPERLINK("http://exon.niaid.nih.gov/transcriptome/T_rubida/S1/links/Triru/Triru-contig_257.txt","Triru-contig_257")</f>
        <v>Triru-contig_257</v>
      </c>
      <c r="B587">
        <v>1</v>
      </c>
      <c r="C587" t="str">
        <f>HYPERLINK("http://exon.niaid.nih.gov/transcriptome/T_rubida/S1/links/Triru/Triru-5-48-asb-257.txt","Contig-257")</f>
        <v>Contig-257</v>
      </c>
      <c r="D587" t="str">
        <f>HYPERLINK("http://exon.niaid.nih.gov/transcriptome/T_rubida/S1/links/Triru/Triru-5-48-257-CLU.txt","Contig257")</f>
        <v>Contig257</v>
      </c>
      <c r="E587" t="str">
        <f>HYPERLINK("http://exon.niaid.nih.gov/transcriptome/T_rubida/S1/links/Triru/Triru-5-48-257-qual.txt","59.7")</f>
        <v>59.7</v>
      </c>
      <c r="F587" t="s">
        <v>10</v>
      </c>
      <c r="G587">
        <v>83.2</v>
      </c>
      <c r="H587">
        <v>166</v>
      </c>
      <c r="I587" t="s">
        <v>269</v>
      </c>
      <c r="J587">
        <v>166</v>
      </c>
      <c r="K587">
        <v>185</v>
      </c>
      <c r="L587">
        <v>90</v>
      </c>
      <c r="M587" t="s">
        <v>5567</v>
      </c>
      <c r="N587" s="15">
        <v>2</v>
      </c>
      <c r="Q587" s="5" t="s">
        <v>4827</v>
      </c>
      <c r="R587" t="s">
        <v>4828</v>
      </c>
      <c r="V587" s="1" t="str">
        <f>HYPERLINK("http://exon.niaid.nih.gov/transcriptome/T_rubida/S1/links/NR/Triru-contig_257-NR.txt","phosphoadenosine phosphosulfate reductase")</f>
        <v>phosphoadenosine phosphosulfate reductase</v>
      </c>
      <c r="W587" t="str">
        <f>HYPERLINK("http://www.ncbi.nlm.nih.gov/sutils/blink.cgi?pid=336121653","45")</f>
        <v>45</v>
      </c>
      <c r="X587" t="str">
        <f>HYPERLINK("http://www.ncbi.nlm.nih.gov/protein/336121653","gi|336121653")</f>
        <v>gi|336121653</v>
      </c>
      <c r="Y587">
        <v>31.6</v>
      </c>
      <c r="Z587">
        <v>34</v>
      </c>
      <c r="AA587">
        <v>432</v>
      </c>
      <c r="AB587">
        <v>37</v>
      </c>
      <c r="AC587">
        <v>8</v>
      </c>
      <c r="AD587">
        <v>25</v>
      </c>
      <c r="AE587">
        <v>0</v>
      </c>
      <c r="AF587">
        <v>165</v>
      </c>
      <c r="AG587">
        <v>35</v>
      </c>
      <c r="AH587">
        <v>1</v>
      </c>
      <c r="AI587">
        <v>2</v>
      </c>
      <c r="AJ587" t="s">
        <v>11</v>
      </c>
      <c r="AK587">
        <v>5.8819999999999997</v>
      </c>
      <c r="AL587" t="s">
        <v>2206</v>
      </c>
      <c r="AM587" t="s">
        <v>2207</v>
      </c>
      <c r="AN587" t="s">
        <v>2208</v>
      </c>
      <c r="AO587" s="1" t="str">
        <f>HYPERLINK("http://exon.niaid.nih.gov/transcriptome/T_rubida/S1/links/SWISSP/Triru-contig_257-SWISSP.txt","Uncharacterized protein F58F12.3")</f>
        <v>Uncharacterized protein F58F12.3</v>
      </c>
      <c r="AP587" t="str">
        <f>HYPERLINK("http://www.uniprot.org/uniprot/Q09400","23")</f>
        <v>23</v>
      </c>
      <c r="AQ587" t="s">
        <v>2209</v>
      </c>
      <c r="AR587">
        <v>27.7</v>
      </c>
      <c r="AS587">
        <v>30</v>
      </c>
      <c r="AT587">
        <v>35</v>
      </c>
      <c r="AU587">
        <v>7</v>
      </c>
      <c r="AV587">
        <v>20</v>
      </c>
      <c r="AW587">
        <v>0</v>
      </c>
      <c r="AX587">
        <v>134</v>
      </c>
      <c r="AY587">
        <v>29</v>
      </c>
      <c r="AZ587">
        <v>1</v>
      </c>
      <c r="BA587">
        <v>2</v>
      </c>
      <c r="BB587" t="s">
        <v>11</v>
      </c>
      <c r="BC587">
        <v>3.3330000000000002</v>
      </c>
      <c r="BD587" t="s">
        <v>704</v>
      </c>
      <c r="BE587" t="s">
        <v>1385</v>
      </c>
      <c r="BF587" t="s">
        <v>2210</v>
      </c>
      <c r="BG587" t="s">
        <v>2211</v>
      </c>
      <c r="BH587" s="1" t="s">
        <v>57</v>
      </c>
      <c r="BI587" t="s">
        <v>57</v>
      </c>
      <c r="BJ587" s="1" t="str">
        <f>HYPERLINK("http://exon.niaid.nih.gov/transcriptome/T_rubida/S1/links/CDD/Triru-contig_257-CDD.txt","ATP6")</f>
        <v>ATP6</v>
      </c>
      <c r="BK587" t="str">
        <f>HYPERLINK("http://www.ncbi.nlm.nih.gov/Structure/cdd/cddsrv.cgi?uid=MTH00087&amp;version=v4.0","0.17")</f>
        <v>0.17</v>
      </c>
      <c r="BL587" t="s">
        <v>2212</v>
      </c>
      <c r="BM587" s="1" t="str">
        <f>HYPERLINK("http://exon.niaid.nih.gov/transcriptome/T_rubida/S1/links/KOG/Triru-contig_257-KOG.txt","Tetraspanin family integral membrane protein")</f>
        <v>Tetraspanin family integral membrane protein</v>
      </c>
      <c r="BN587" t="str">
        <f>HYPERLINK("http://www.ncbi.nlm.nih.gov/COG/grace/shokog.cgi?KOG3882","2.0")</f>
        <v>2.0</v>
      </c>
      <c r="BO587" t="s">
        <v>750</v>
      </c>
      <c r="BP587" s="1" t="str">
        <f>HYPERLINK("http://exon.niaid.nih.gov/transcriptome/T_rubida/S1/links/PFAM/Triru-contig_257-PFAM.txt","Spore_permease")</f>
        <v>Spore_permease</v>
      </c>
      <c r="BQ587" t="str">
        <f>HYPERLINK("http://pfam.sanger.ac.uk/family?acc=PF03845","0.12")</f>
        <v>0.12</v>
      </c>
      <c r="BR587" s="1" t="str">
        <f>HYPERLINK("http://exon.niaid.nih.gov/transcriptome/T_rubida/S1/links/SMART/Triru-contig_257-SMART.txt","PSN")</f>
        <v>PSN</v>
      </c>
      <c r="BS587" t="str">
        <f>HYPERLINK("http://smart.embl-heidelberg.de/smart/do_annotation.pl?DOMAIN=PSN&amp;BLAST=DUMMY","0.025")</f>
        <v>0.025</v>
      </c>
      <c r="BT587" s="1" t="str">
        <f>HYPERLINK("http://exon.niaid.nih.gov/transcriptome/T_rubida/S1/links/PRK/Triru-contig_257-PRK.txt","ATP synthase F0 subunit 6")</f>
        <v>ATP synthase F0 subunit 6</v>
      </c>
      <c r="BU587">
        <v>6.3E-2</v>
      </c>
      <c r="BV587" s="1" t="s">
        <v>57</v>
      </c>
      <c r="BW587" t="s">
        <v>57</v>
      </c>
      <c r="BX587" s="1" t="s">
        <v>57</v>
      </c>
      <c r="BY587" t="s">
        <v>57</v>
      </c>
    </row>
    <row r="588" spans="1:77">
      <c r="A588" t="str">
        <f>HYPERLINK("http://exon.niaid.nih.gov/transcriptome/T_rubida/S1/links/Triru/Triru-contig_354.txt","Triru-contig_354")</f>
        <v>Triru-contig_354</v>
      </c>
      <c r="B588">
        <v>1</v>
      </c>
      <c r="C588" t="str">
        <f>HYPERLINK("http://exon.niaid.nih.gov/transcriptome/T_rubida/S1/links/Triru/Triru-5-48-asb-354.txt","Contig-354")</f>
        <v>Contig-354</v>
      </c>
      <c r="D588" t="str">
        <f>HYPERLINK("http://exon.niaid.nih.gov/transcriptome/T_rubida/S1/links/Triru/Triru-5-48-354-CLU.txt","Contig354")</f>
        <v>Contig354</v>
      </c>
      <c r="E588" t="str">
        <f>HYPERLINK("http://exon.niaid.nih.gov/transcriptome/T_rubida/S1/links/Triru/Triru-5-48-354-qual.txt","21.1")</f>
        <v>21.1</v>
      </c>
      <c r="F588" t="s">
        <v>10</v>
      </c>
      <c r="G588">
        <v>70.400000000000006</v>
      </c>
      <c r="H588">
        <v>593</v>
      </c>
      <c r="I588" t="s">
        <v>366</v>
      </c>
      <c r="J588">
        <v>593</v>
      </c>
      <c r="K588">
        <v>612</v>
      </c>
      <c r="L588">
        <v>111</v>
      </c>
      <c r="M588" t="s">
        <v>5635</v>
      </c>
      <c r="N588" s="15">
        <v>2</v>
      </c>
      <c r="Q588" s="5" t="s">
        <v>4827</v>
      </c>
      <c r="R588" t="s">
        <v>4828</v>
      </c>
      <c r="V588" s="1" t="str">
        <f>HYPERLINK("http://exon.niaid.nih.gov/transcriptome/T_rubida/S1/links/NR/Triru-contig_354-NR.txt","olfactory receptor 51B2-like")</f>
        <v>olfactory receptor 51B2-like</v>
      </c>
      <c r="W588" t="str">
        <f>HYPERLINK("http://www.ncbi.nlm.nih.gov/sutils/blink.cgi?pid=297689470","45")</f>
        <v>45</v>
      </c>
      <c r="X588" t="str">
        <f>HYPERLINK("http://www.ncbi.nlm.nih.gov/protein/297689470","gi|297689470")</f>
        <v>gi|297689470</v>
      </c>
      <c r="Y588">
        <v>32.299999999999997</v>
      </c>
      <c r="Z588">
        <v>48</v>
      </c>
      <c r="AA588">
        <v>312</v>
      </c>
      <c r="AB588">
        <v>37</v>
      </c>
      <c r="AC588">
        <v>16</v>
      </c>
      <c r="AD588">
        <v>32</v>
      </c>
      <c r="AE588">
        <v>0</v>
      </c>
      <c r="AF588">
        <v>212</v>
      </c>
      <c r="AG588">
        <v>154</v>
      </c>
      <c r="AH588">
        <v>1</v>
      </c>
      <c r="AI588">
        <v>1</v>
      </c>
      <c r="AJ588" t="s">
        <v>11</v>
      </c>
      <c r="AK588">
        <v>4.1669999999999998</v>
      </c>
      <c r="AL588" t="s">
        <v>1508</v>
      </c>
      <c r="AM588" t="s">
        <v>2881</v>
      </c>
      <c r="AN588" t="s">
        <v>2882</v>
      </c>
      <c r="AO588" s="1" t="str">
        <f>HYPERLINK("http://exon.niaid.nih.gov/transcriptome/T_rubida/S1/links/SWISSP/Triru-contig_354-SWISSP.txt","Olfactory receptor 51B2")</f>
        <v>Olfactory receptor 51B2</v>
      </c>
      <c r="AP588" t="str">
        <f>HYPERLINK("http://www.uniprot.org/uniprot/Q9Y5P1","3.2")</f>
        <v>3.2</v>
      </c>
      <c r="AQ588" t="s">
        <v>2883</v>
      </c>
      <c r="AR588">
        <v>32</v>
      </c>
      <c r="AS588">
        <v>48</v>
      </c>
      <c r="AT588">
        <v>37</v>
      </c>
      <c r="AU588">
        <v>16</v>
      </c>
      <c r="AV588">
        <v>32</v>
      </c>
      <c r="AW588">
        <v>0</v>
      </c>
      <c r="AX588">
        <v>212</v>
      </c>
      <c r="AY588">
        <v>154</v>
      </c>
      <c r="AZ588">
        <v>1</v>
      </c>
      <c r="BA588">
        <v>1</v>
      </c>
      <c r="BB588" t="s">
        <v>11</v>
      </c>
      <c r="BC588">
        <v>4.1669999999999998</v>
      </c>
      <c r="BD588" t="s">
        <v>704</v>
      </c>
      <c r="BE588" t="s">
        <v>1233</v>
      </c>
      <c r="BF588" t="s">
        <v>2884</v>
      </c>
      <c r="BG588" t="s">
        <v>2885</v>
      </c>
      <c r="BH588" s="1" t="s">
        <v>57</v>
      </c>
      <c r="BI588" t="s">
        <v>57</v>
      </c>
      <c r="BJ588" s="1" t="str">
        <f>HYPERLINK("http://exon.niaid.nih.gov/transcriptome/T_rubida/S1/links/CDD/Triru-contig_354-CDD.txt","COG4478")</f>
        <v>COG4478</v>
      </c>
      <c r="BK588" t="str">
        <f>HYPERLINK("http://www.ncbi.nlm.nih.gov/Structure/cdd/cddsrv.cgi?uid=COG4478&amp;version=v4.0","1.9")</f>
        <v>1.9</v>
      </c>
      <c r="BL588" t="s">
        <v>2886</v>
      </c>
      <c r="BM588" s="1" t="str">
        <f>HYPERLINK("http://exon.niaid.nih.gov/transcriptome/T_rubida/S1/links/KOG/Triru-contig_354-KOG.txt","N-myristoyl transferase")</f>
        <v>N-myristoyl transferase</v>
      </c>
      <c r="BN588" t="str">
        <f>HYPERLINK("http://www.ncbi.nlm.nih.gov/COG/grace/shokog.cgi?KOG2779","0.093")</f>
        <v>0.093</v>
      </c>
      <c r="BO588" t="s">
        <v>709</v>
      </c>
      <c r="BP588" s="1" t="str">
        <f>HYPERLINK("http://exon.niaid.nih.gov/transcriptome/T_rubida/S1/links/PFAM/Triru-contig_354-PFAM.txt","OAS1_C")</f>
        <v>OAS1_C</v>
      </c>
      <c r="BQ588" t="str">
        <f>HYPERLINK("http://pfam.sanger.ac.uk/family?acc=PF10421","0.39")</f>
        <v>0.39</v>
      </c>
      <c r="BR588" s="1" t="str">
        <f>HYPERLINK("http://exon.niaid.nih.gov/transcriptome/T_rubida/S1/links/SMART/Triru-contig_354-SMART.txt","PLP")</f>
        <v>PLP</v>
      </c>
      <c r="BS588" t="str">
        <f>HYPERLINK("http://smart.embl-heidelberg.de/smart/do_annotation.pl?DOMAIN=PLP&amp;BLAST=DUMMY","0.11")</f>
        <v>0.11</v>
      </c>
      <c r="BT588" s="1" t="str">
        <f>HYPERLINK("http://exon.niaid.nih.gov/transcriptome/T_rubida/S1/links/PRK/Triru-contig_354-PRK.txt","NADH dehydrogenase subunit 1")</f>
        <v>NADH dehydrogenase subunit 1</v>
      </c>
      <c r="BU588">
        <v>0.92</v>
      </c>
      <c r="BV588" s="1" t="s">
        <v>57</v>
      </c>
      <c r="BW588" t="s">
        <v>57</v>
      </c>
      <c r="BX588" s="1" t="s">
        <v>57</v>
      </c>
      <c r="BY588" t="s">
        <v>57</v>
      </c>
    </row>
    <row r="589" spans="1:77">
      <c r="A589" t="str">
        <f>HYPERLINK("http://exon.niaid.nih.gov/transcriptome/T_rubida/S1/links/Triru/Triru-contig_475.txt","Triru-contig_475")</f>
        <v>Triru-contig_475</v>
      </c>
      <c r="B589">
        <v>1</v>
      </c>
      <c r="C589" t="str">
        <f>HYPERLINK("http://exon.niaid.nih.gov/transcriptome/T_rubida/S1/links/Triru/Triru-5-48-asb-475.txt","Contig-475")</f>
        <v>Contig-475</v>
      </c>
      <c r="D589" t="str">
        <f>HYPERLINK("http://exon.niaid.nih.gov/transcriptome/T_rubida/S1/links/Triru/Triru-5-48-475-CLU.txt","Contig475")</f>
        <v>Contig475</v>
      </c>
      <c r="E589" t="str">
        <f>HYPERLINK("http://exon.niaid.nih.gov/transcriptome/T_rubida/S1/links/Triru/Triru-5-48-475-qual.txt","52.4")</f>
        <v>52.4</v>
      </c>
      <c r="F589" t="s">
        <v>10</v>
      </c>
      <c r="G589">
        <v>58.4</v>
      </c>
      <c r="H589">
        <v>776</v>
      </c>
      <c r="I589" t="s">
        <v>487</v>
      </c>
      <c r="J589">
        <v>776</v>
      </c>
      <c r="K589">
        <v>795</v>
      </c>
      <c r="L589">
        <v>165</v>
      </c>
      <c r="M589" t="s">
        <v>5479</v>
      </c>
      <c r="N589" s="15">
        <v>2</v>
      </c>
      <c r="Q589" s="5" t="s">
        <v>4827</v>
      </c>
      <c r="R589" t="s">
        <v>4828</v>
      </c>
      <c r="V589" s="1" t="str">
        <f>HYPERLINK("http://exon.niaid.nih.gov/transcriptome/T_rubida/S1/links/NR/Triru-contig_475-NR.txt","cobyrinic acid a,c-diamide synthase")</f>
        <v>cobyrinic acid a,c-diamide synthase</v>
      </c>
      <c r="W589" t="str">
        <f>HYPERLINK("http://www.ncbi.nlm.nih.gov/sutils/blink.cgi?pid=163848114","46")</f>
        <v>46</v>
      </c>
      <c r="X589" t="str">
        <f>HYPERLINK("http://www.ncbi.nlm.nih.gov/protein/163848114","gi|163848114")</f>
        <v>gi|163848114</v>
      </c>
      <c r="Y589">
        <v>33.1</v>
      </c>
      <c r="Z589">
        <v>48</v>
      </c>
      <c r="AA589">
        <v>474</v>
      </c>
      <c r="AB589">
        <v>40</v>
      </c>
      <c r="AC589">
        <v>10</v>
      </c>
      <c r="AD589">
        <v>31</v>
      </c>
      <c r="AE589">
        <v>0</v>
      </c>
      <c r="AF589">
        <v>280</v>
      </c>
      <c r="AG589">
        <v>402</v>
      </c>
      <c r="AH589">
        <v>1</v>
      </c>
      <c r="AI589">
        <v>3</v>
      </c>
      <c r="AJ589" t="s">
        <v>11</v>
      </c>
      <c r="AK589">
        <v>2.0830000000000002</v>
      </c>
      <c r="AL589" t="s">
        <v>3691</v>
      </c>
      <c r="AM589" t="s">
        <v>3692</v>
      </c>
      <c r="AN589" t="s">
        <v>3693</v>
      </c>
      <c r="AO589" s="1" t="str">
        <f>HYPERLINK("http://exon.niaid.nih.gov/transcriptome/T_rubida/S1/links/SWISSP/Triru-contig_475-SWISSP.txt","Putative dolichyldiphosphatase")</f>
        <v>Putative dolichyldiphosphatase</v>
      </c>
      <c r="AP589" t="str">
        <f>HYPERLINK("http://www.uniprot.org/uniprot/Q9C2M6","15")</f>
        <v>15</v>
      </c>
      <c r="AQ589" t="s">
        <v>3694</v>
      </c>
      <c r="AR589">
        <v>30.4</v>
      </c>
      <c r="AS589">
        <v>50</v>
      </c>
      <c r="AT589">
        <v>35</v>
      </c>
      <c r="AU589">
        <v>18</v>
      </c>
      <c r="AV589">
        <v>34</v>
      </c>
      <c r="AW589">
        <v>0</v>
      </c>
      <c r="AX589">
        <v>175</v>
      </c>
      <c r="AY589">
        <v>413</v>
      </c>
      <c r="AZ589">
        <v>1</v>
      </c>
      <c r="BA589">
        <v>2</v>
      </c>
      <c r="BB589" t="s">
        <v>11</v>
      </c>
      <c r="BC589">
        <v>6</v>
      </c>
      <c r="BD589" t="s">
        <v>704</v>
      </c>
      <c r="BE589" t="s">
        <v>3061</v>
      </c>
      <c r="BF589" t="s">
        <v>3695</v>
      </c>
      <c r="BG589" t="s">
        <v>3696</v>
      </c>
      <c r="BH589" s="1" t="s">
        <v>57</v>
      </c>
      <c r="BI589" t="s">
        <v>57</v>
      </c>
      <c r="BJ589" s="1" t="str">
        <f>HYPERLINK("http://exon.niaid.nih.gov/transcriptome/T_rubida/S1/links/CDD/Triru-contig_475-CDD.txt","Hmp")</f>
        <v>Hmp</v>
      </c>
      <c r="BK589" t="str">
        <f>HYPERLINK("http://www.ncbi.nlm.nih.gov/Structure/cdd/cddsrv.cgi?uid=COG1017&amp;version=v4.0","0.23")</f>
        <v>0.23</v>
      </c>
      <c r="BL589" t="s">
        <v>3697</v>
      </c>
      <c r="BM589" s="1" t="str">
        <f>HYPERLINK("http://exon.niaid.nih.gov/transcriptome/T_rubida/S1/links/KOG/Triru-contig_475-KOG.txt","60s ribosomal protein L15")</f>
        <v>60s ribosomal protein L15</v>
      </c>
      <c r="BN589" t="str">
        <f>HYPERLINK("http://www.ncbi.nlm.nih.gov/COG/grace/shokog.cgi?KOG1678","0.37")</f>
        <v>0.37</v>
      </c>
      <c r="BO589" t="s">
        <v>1185</v>
      </c>
      <c r="BP589" s="1" t="str">
        <f>HYPERLINK("http://exon.niaid.nih.gov/transcriptome/T_rubida/S1/links/PFAM/Triru-contig_475-PFAM.txt","DUF155")</f>
        <v>DUF155</v>
      </c>
      <c r="BQ589" t="str">
        <f>HYPERLINK("http://pfam.sanger.ac.uk/family?acc=PF02582","0.21")</f>
        <v>0.21</v>
      </c>
      <c r="BR589" s="1" t="str">
        <f>HYPERLINK("http://exon.niaid.nih.gov/transcriptome/T_rubida/S1/links/SMART/Triru-contig_475-SMART.txt","DM6")</f>
        <v>DM6</v>
      </c>
      <c r="BS589" t="str">
        <f>HYPERLINK("http://smart.embl-heidelberg.de/smart/do_annotation.pl?DOMAIN=DM6&amp;BLAST=DUMMY","0.20")</f>
        <v>0.20</v>
      </c>
      <c r="BT589" s="1" t="str">
        <f>HYPERLINK("http://exon.niaid.nih.gov/transcriptome/T_rubida/S1/links/PRK/Triru-contig_475-PRK.txt","aspartate kinase")</f>
        <v>aspartate kinase</v>
      </c>
      <c r="BU589">
        <v>0.8</v>
      </c>
      <c r="BV589" s="1" t="s">
        <v>57</v>
      </c>
      <c r="BW589" t="s">
        <v>57</v>
      </c>
      <c r="BX589" s="1" t="s">
        <v>57</v>
      </c>
      <c r="BY589" t="s">
        <v>57</v>
      </c>
    </row>
    <row r="590" spans="1:77">
      <c r="A590" t="str">
        <f>HYPERLINK("http://exon.niaid.nih.gov/transcriptome/T_rubida/S1/links/Triru/Triru-contig_275.txt","Triru-contig_275")</f>
        <v>Triru-contig_275</v>
      </c>
      <c r="B590">
        <v>1</v>
      </c>
      <c r="C590" t="str">
        <f>HYPERLINK("http://exon.niaid.nih.gov/transcriptome/T_rubida/S1/links/Triru/Triru-5-48-asb-275.txt","Contig-275")</f>
        <v>Contig-275</v>
      </c>
      <c r="D590" t="str">
        <f>HYPERLINK("http://exon.niaid.nih.gov/transcriptome/T_rubida/S1/links/Triru/Triru-5-48-275-CLU.txt","Contig275")</f>
        <v>Contig275</v>
      </c>
      <c r="E590" t="str">
        <f>HYPERLINK("http://exon.niaid.nih.gov/transcriptome/T_rubida/S1/links/Triru/Triru-5-48-275-qual.txt","64.4")</f>
        <v>64.4</v>
      </c>
      <c r="F590" t="s">
        <v>10</v>
      </c>
      <c r="G590">
        <v>71.900000000000006</v>
      </c>
      <c r="H590">
        <v>674</v>
      </c>
      <c r="I590" t="s">
        <v>287</v>
      </c>
      <c r="J590">
        <v>674</v>
      </c>
      <c r="K590">
        <v>693</v>
      </c>
      <c r="L590">
        <v>141</v>
      </c>
      <c r="M590" t="s">
        <v>5626</v>
      </c>
      <c r="N590" s="15">
        <v>3</v>
      </c>
      <c r="O590" s="14" t="str">
        <f>HYPERLINK("http://exon.niaid.nih.gov/transcriptome/T_rubida/S1/links/Sigp/TRIRU-CONTIG_275-SigP.txt","SIG")</f>
        <v>SIG</v>
      </c>
      <c r="Q590" s="5" t="s">
        <v>4827</v>
      </c>
      <c r="R590" t="s">
        <v>4828</v>
      </c>
      <c r="V590" s="1" t="str">
        <f>HYPERLINK("http://exon.niaid.nih.gov/transcriptome/T_rubida/S1/links/NR/Triru-contig_275-NR.txt","conserved Plasmodium protein")</f>
        <v>conserved Plasmodium protein</v>
      </c>
      <c r="W590" t="str">
        <f>HYPERLINK("http://www.ncbi.nlm.nih.gov/sutils/blink.cgi?pid=124802800","46")</f>
        <v>46</v>
      </c>
      <c r="X590" t="str">
        <f>HYPERLINK("http://www.ncbi.nlm.nih.gov/protein/124802800","gi|124802800")</f>
        <v>gi|124802800</v>
      </c>
      <c r="Y590">
        <v>32.700000000000003</v>
      </c>
      <c r="Z590">
        <v>80</v>
      </c>
      <c r="AA590">
        <v>871</v>
      </c>
      <c r="AB590">
        <v>30</v>
      </c>
      <c r="AC590">
        <v>9</v>
      </c>
      <c r="AD590">
        <v>64</v>
      </c>
      <c r="AE590">
        <v>0</v>
      </c>
      <c r="AF590">
        <v>333</v>
      </c>
      <c r="AG590">
        <v>365</v>
      </c>
      <c r="AH590">
        <v>1</v>
      </c>
      <c r="AI590">
        <v>2</v>
      </c>
      <c r="AJ590" t="s">
        <v>11</v>
      </c>
      <c r="AK590">
        <v>5</v>
      </c>
      <c r="AL590" t="s">
        <v>1103</v>
      </c>
      <c r="AM590" t="s">
        <v>2333</v>
      </c>
      <c r="AN590" t="s">
        <v>2334</v>
      </c>
      <c r="AO590" s="1" t="str">
        <f>HYPERLINK("http://exon.niaid.nih.gov/transcriptome/T_rubida/S1/links/SWISSP/Triru-contig_275-SWISSP.txt","Voltage-dependent calcium channel gamma-like subunit")</f>
        <v>Voltage-dependent calcium channel gamma-like subunit</v>
      </c>
      <c r="AP590" t="str">
        <f>HYPERLINK("http://www.uniprot.org/uniprot/Q9JJV3","9.0")</f>
        <v>9.0</v>
      </c>
      <c r="AQ590" t="s">
        <v>2335</v>
      </c>
      <c r="AR590">
        <v>30.8</v>
      </c>
      <c r="AS590">
        <v>44</v>
      </c>
      <c r="AT590">
        <v>35</v>
      </c>
      <c r="AU590">
        <v>21</v>
      </c>
      <c r="AV590">
        <v>29</v>
      </c>
      <c r="AW590">
        <v>1</v>
      </c>
      <c r="AX590">
        <v>31</v>
      </c>
      <c r="AY590">
        <v>499</v>
      </c>
      <c r="AZ590">
        <v>1</v>
      </c>
      <c r="BA590">
        <v>1</v>
      </c>
      <c r="BB590" t="s">
        <v>11</v>
      </c>
      <c r="BC590">
        <v>4.5449999999999999</v>
      </c>
      <c r="BD590" t="s">
        <v>704</v>
      </c>
      <c r="BE590" t="s">
        <v>807</v>
      </c>
      <c r="BF590" t="s">
        <v>2336</v>
      </c>
      <c r="BG590" t="s">
        <v>2337</v>
      </c>
      <c r="BH590" s="1" t="s">
        <v>57</v>
      </c>
      <c r="BI590" t="s">
        <v>57</v>
      </c>
      <c r="BJ590" s="1" t="str">
        <f>HYPERLINK("http://exon.niaid.nih.gov/transcriptome/T_rubida/S1/links/CDD/Triru-contig_275-CDD.txt","ND6")</f>
        <v>ND6</v>
      </c>
      <c r="BK590" t="str">
        <f>HYPERLINK("http://www.ncbi.nlm.nih.gov/Structure/cdd/cddsrv.cgi?uid=MTH00097&amp;version=v4.0","0.21")</f>
        <v>0.21</v>
      </c>
      <c r="BL590" t="s">
        <v>2338</v>
      </c>
      <c r="BM590" s="1" t="str">
        <f>HYPERLINK("http://exon.niaid.nih.gov/transcriptome/T_rubida/S1/links/KOG/Triru-contig_275-KOG.txt","Pantothenate kinase PanK and related proteins")</f>
        <v>Pantothenate kinase PanK and related proteins</v>
      </c>
      <c r="BN590" t="str">
        <f>HYPERLINK("http://www.ncbi.nlm.nih.gov/COG/grace/shokog.cgi?KOG2201","0.93")</f>
        <v>0.93</v>
      </c>
      <c r="BO590" t="s">
        <v>1592</v>
      </c>
      <c r="BP590" s="1" t="str">
        <f>HYPERLINK("http://exon.niaid.nih.gov/transcriptome/T_rubida/S1/links/PFAM/Triru-contig_275-PFAM.txt","BALF1")</f>
        <v>BALF1</v>
      </c>
      <c r="BQ590" t="str">
        <f>HYPERLINK("http://pfam.sanger.ac.uk/family?acc=PF06861","0.063")</f>
        <v>0.063</v>
      </c>
      <c r="BR590" s="1" t="str">
        <f>HYPERLINK("http://exon.niaid.nih.gov/transcriptome/T_rubida/S1/links/SMART/Triru-contig_275-SMART.txt","RPOLCX")</f>
        <v>RPOLCX</v>
      </c>
      <c r="BS590" t="str">
        <f>HYPERLINK("http://smart.embl-heidelberg.de/smart/do_annotation.pl?DOMAIN=RPOLCX&amp;BLAST=DUMMY","0.062")</f>
        <v>0.062</v>
      </c>
      <c r="BT590" s="1" t="str">
        <f>HYPERLINK("http://exon.niaid.nih.gov/transcriptome/T_rubida/S1/links/PRK/Triru-contig_275-PRK.txt","NADH dehydrogenase subunit 6")</f>
        <v>NADH dehydrogenase subunit 6</v>
      </c>
      <c r="BU590">
        <v>0.09</v>
      </c>
      <c r="BV590" s="1" t="s">
        <v>57</v>
      </c>
      <c r="BW590" t="s">
        <v>57</v>
      </c>
      <c r="BX590" s="1" t="s">
        <v>57</v>
      </c>
      <c r="BY590" t="s">
        <v>57</v>
      </c>
    </row>
    <row r="591" spans="1:77">
      <c r="A591" t="str">
        <f>HYPERLINK("http://exon.niaid.nih.gov/transcriptome/T_rubida/S1/links/Triru/Triru-contig_290.txt","Triru-contig_290")</f>
        <v>Triru-contig_290</v>
      </c>
      <c r="B591">
        <v>1</v>
      </c>
      <c r="C591" t="str">
        <f>HYPERLINK("http://exon.niaid.nih.gov/transcriptome/T_rubida/S1/links/Triru/Triru-5-48-asb-290.txt","Contig-290")</f>
        <v>Contig-290</v>
      </c>
      <c r="D591" t="str">
        <f>HYPERLINK("http://exon.niaid.nih.gov/transcriptome/T_rubida/S1/links/Triru/Triru-5-48-290-CLU.txt","Contig290")</f>
        <v>Contig290</v>
      </c>
      <c r="E591" t="str">
        <f>HYPERLINK("http://exon.niaid.nih.gov/transcriptome/T_rubida/S1/links/Triru/Triru-5-48-290-qual.txt","61.7")</f>
        <v>61.7</v>
      </c>
      <c r="F591" t="s">
        <v>10</v>
      </c>
      <c r="G591">
        <v>69.2</v>
      </c>
      <c r="H591">
        <v>706</v>
      </c>
      <c r="I591" t="s">
        <v>302</v>
      </c>
      <c r="J591">
        <v>706</v>
      </c>
      <c r="K591">
        <v>725</v>
      </c>
      <c r="L591">
        <v>162</v>
      </c>
      <c r="M591" t="s">
        <v>5614</v>
      </c>
      <c r="N591" s="15">
        <v>2</v>
      </c>
      <c r="O591" s="14" t="str">
        <f>HYPERLINK("http://exon.niaid.nih.gov/transcriptome/T_rubida/S1/links/Sigp/TRIRU-CONTIG_290-SigP.txt","Cyt")</f>
        <v>Cyt</v>
      </c>
      <c r="Q591" s="5" t="s">
        <v>4827</v>
      </c>
      <c r="R591" t="s">
        <v>4828</v>
      </c>
      <c r="V591" s="1" t="str">
        <f>HYPERLINK("http://exon.niaid.nih.gov/transcriptome/T_rubida/S1/links/NR/Triru-contig_290-NR.txt","unknown")</f>
        <v>unknown</v>
      </c>
      <c r="W591" t="str">
        <f>HYPERLINK("http://www.ncbi.nlm.nih.gov/sutils/blink.cgi?pid=6983948","51")</f>
        <v>51</v>
      </c>
      <c r="X591" t="str">
        <f>HYPERLINK("http://www.ncbi.nlm.nih.gov/protein/6983948","gi|6983948")</f>
        <v>gi|6983948</v>
      </c>
      <c r="Y591">
        <v>32.700000000000003</v>
      </c>
      <c r="Z591">
        <v>36</v>
      </c>
      <c r="AA591">
        <v>105</v>
      </c>
      <c r="AB591">
        <v>40</v>
      </c>
      <c r="AC591">
        <v>35</v>
      </c>
      <c r="AD591">
        <v>25</v>
      </c>
      <c r="AE591">
        <v>0</v>
      </c>
      <c r="AF591">
        <v>36</v>
      </c>
      <c r="AG591">
        <v>103</v>
      </c>
      <c r="AH591">
        <v>1</v>
      </c>
      <c r="AI591">
        <v>1</v>
      </c>
      <c r="AJ591" t="s">
        <v>11</v>
      </c>
      <c r="AK591">
        <v>2.778</v>
      </c>
      <c r="AL591" t="s">
        <v>2435</v>
      </c>
      <c r="AM591" t="s">
        <v>2436</v>
      </c>
      <c r="AN591" t="s">
        <v>2437</v>
      </c>
      <c r="AO591" s="1" t="str">
        <f>HYPERLINK("http://exon.niaid.nih.gov/transcriptome/T_rubida/S1/links/SWISSP/Triru-contig_290-SWISSP.txt","Putative uncharacterized transmembrane protein DDB_G0290641")</f>
        <v>Putative uncharacterized transmembrane protein DDB_G0290641</v>
      </c>
      <c r="AP591" t="str">
        <f>HYPERLINK("http://www.uniprot.org/uniprot/Q54FZ8","37")</f>
        <v>37</v>
      </c>
      <c r="AQ591" t="s">
        <v>2438</v>
      </c>
      <c r="AR591">
        <v>28.9</v>
      </c>
      <c r="AS591">
        <v>33</v>
      </c>
      <c r="AT591">
        <v>38</v>
      </c>
      <c r="AU591">
        <v>1</v>
      </c>
      <c r="AV591">
        <v>24</v>
      </c>
      <c r="AW591">
        <v>0</v>
      </c>
      <c r="AX591">
        <v>3861</v>
      </c>
      <c r="AY591">
        <v>44</v>
      </c>
      <c r="AZ591">
        <v>1</v>
      </c>
      <c r="BA591">
        <v>2</v>
      </c>
      <c r="BB591" t="s">
        <v>11</v>
      </c>
      <c r="BD591" t="s">
        <v>704</v>
      </c>
      <c r="BE591" t="s">
        <v>918</v>
      </c>
      <c r="BF591" t="s">
        <v>2439</v>
      </c>
      <c r="BG591" t="s">
        <v>2440</v>
      </c>
      <c r="BH591" s="1" t="s">
        <v>57</v>
      </c>
      <c r="BI591" t="s">
        <v>57</v>
      </c>
      <c r="BJ591" s="1" t="str">
        <f>HYPERLINK("http://exon.niaid.nih.gov/transcriptome/T_rubida/S1/links/CDD/Triru-contig_290-CDD.txt","Lactococcin_972")</f>
        <v>Lactococcin_972</v>
      </c>
      <c r="BK591" t="str">
        <f>HYPERLINK("http://www.ncbi.nlm.nih.gov/Structure/cdd/cddsrv.cgi?uid=pfam09683&amp;version=v4.0","0.30")</f>
        <v>0.30</v>
      </c>
      <c r="BL591" t="s">
        <v>2441</v>
      </c>
      <c r="BM591" s="1" t="str">
        <f>HYPERLINK("http://exon.niaid.nih.gov/transcriptome/T_rubida/S1/links/KOG/Triru-contig_290-KOG.txt","NADP-dependent flavoprotein reductase")</f>
        <v>NADP-dependent flavoprotein reductase</v>
      </c>
      <c r="BN591" t="str">
        <f>HYPERLINK("http://www.ncbi.nlm.nih.gov/COG/grace/shokog.cgi?KOG1159","2.8")</f>
        <v>2.8</v>
      </c>
      <c r="BO591" t="s">
        <v>1139</v>
      </c>
      <c r="BP591" s="1" t="str">
        <f>HYPERLINK("http://exon.niaid.nih.gov/transcriptome/T_rubida/S1/links/PFAM/Triru-contig_290-PFAM.txt","Lactococcin_972")</f>
        <v>Lactococcin_972</v>
      </c>
      <c r="BQ591" t="str">
        <f>HYPERLINK("http://pfam.sanger.ac.uk/family?acc=PF09683","0.058")</f>
        <v>0.058</v>
      </c>
      <c r="BR591" s="1" t="str">
        <f>HYPERLINK("http://exon.niaid.nih.gov/transcriptome/T_rubida/S1/links/SMART/Triru-contig_290-SMART.txt","btg1")</f>
        <v>btg1</v>
      </c>
      <c r="BS591" t="str">
        <f>HYPERLINK("http://smart.embl-heidelberg.de/smart/do_annotation.pl?DOMAIN=btg1&amp;BLAST=DUMMY","0.32")</f>
        <v>0.32</v>
      </c>
      <c r="BT591" s="1" t="str">
        <f>HYPERLINK("http://exon.niaid.nih.gov/transcriptome/T_rubida/S1/links/PRK/Triru-contig_290-PRK.txt","hypothetical protein")</f>
        <v>hypothetical protein</v>
      </c>
      <c r="BU591">
        <v>0.26</v>
      </c>
      <c r="BV591" s="1" t="s">
        <v>57</v>
      </c>
      <c r="BW591" t="s">
        <v>57</v>
      </c>
      <c r="BX591" s="1" t="s">
        <v>57</v>
      </c>
      <c r="BY591" t="s">
        <v>57</v>
      </c>
    </row>
    <row r="592" spans="1:77">
      <c r="A592" t="str">
        <f>HYPERLINK("http://exon.niaid.nih.gov/transcriptome/T_rubida/S1/links/Triru/Triru-contig_224.txt","Triru-contig_224")</f>
        <v>Triru-contig_224</v>
      </c>
      <c r="B592">
        <v>1</v>
      </c>
      <c r="C592" t="str">
        <f>HYPERLINK("http://exon.niaid.nih.gov/transcriptome/T_rubida/S1/links/Triru/Triru-5-48-asb-224.txt","Contig-224")</f>
        <v>Contig-224</v>
      </c>
      <c r="D592" t="str">
        <f>HYPERLINK("http://exon.niaid.nih.gov/transcriptome/T_rubida/S1/links/Triru/Triru-5-48-224-CLU.txt","Contig224")</f>
        <v>Contig224</v>
      </c>
      <c r="E592" t="str">
        <f>HYPERLINK("http://exon.niaid.nih.gov/transcriptome/T_rubida/S1/links/Triru/Triru-5-48-224-qual.txt","55.9")</f>
        <v>55.9</v>
      </c>
      <c r="F592" t="s">
        <v>10</v>
      </c>
      <c r="G592">
        <v>50.5</v>
      </c>
      <c r="H592">
        <v>187</v>
      </c>
      <c r="I592" t="s">
        <v>236</v>
      </c>
      <c r="J592">
        <v>187</v>
      </c>
      <c r="K592">
        <v>206</v>
      </c>
      <c r="L592">
        <v>111</v>
      </c>
      <c r="M592" t="s">
        <v>5429</v>
      </c>
      <c r="N592" s="15">
        <v>3</v>
      </c>
      <c r="Q592" s="5" t="s">
        <v>4827</v>
      </c>
      <c r="R592" t="s">
        <v>4828</v>
      </c>
      <c r="V592" s="1" t="str">
        <f>HYPERLINK("http://exon.niaid.nih.gov/transcriptome/T_rubida/S1/links/NR/Triru-contig_224-NR.txt","Protein of unknown function DUF2078, membrane")</f>
        <v>Protein of unknown function DUF2078, membrane</v>
      </c>
      <c r="W592" t="str">
        <f>HYPERLINK("http://www.ncbi.nlm.nih.gov/sutils/blink.cgi?pid=312880453","57")</f>
        <v>57</v>
      </c>
      <c r="X592" t="str">
        <f>HYPERLINK("http://www.ncbi.nlm.nih.gov/protein/312880453","gi|312880453")</f>
        <v>gi|312880453</v>
      </c>
      <c r="Y592">
        <v>31.2</v>
      </c>
      <c r="Z592">
        <v>51</v>
      </c>
      <c r="AA592">
        <v>97</v>
      </c>
      <c r="AB592">
        <v>42</v>
      </c>
      <c r="AC592">
        <v>54</v>
      </c>
      <c r="AD592">
        <v>32</v>
      </c>
      <c r="AE592">
        <v>5</v>
      </c>
      <c r="AF592">
        <v>19</v>
      </c>
      <c r="AG592">
        <v>9</v>
      </c>
      <c r="AH592">
        <v>1</v>
      </c>
      <c r="AI592">
        <v>3</v>
      </c>
      <c r="AJ592" t="s">
        <v>11</v>
      </c>
      <c r="AK592">
        <v>1.9610000000000001</v>
      </c>
      <c r="AL592" t="s">
        <v>2013</v>
      </c>
      <c r="AM592" t="s">
        <v>2014</v>
      </c>
      <c r="AN592" t="s">
        <v>2015</v>
      </c>
      <c r="AO592" s="1" t="str">
        <f>HYPERLINK("http://exon.niaid.nih.gov/transcriptome/T_rubida/S1/links/SWISSP/Triru-contig_224-SWISSP.txt","UDP-galactose transporter homolog 1")</f>
        <v>UDP-galactose transporter homolog 1</v>
      </c>
      <c r="AP592" t="str">
        <f>HYPERLINK("http://www.uniprot.org/uniprot/Q755H7","18")</f>
        <v>18</v>
      </c>
      <c r="AQ592" t="s">
        <v>2016</v>
      </c>
      <c r="AR592">
        <v>28.1</v>
      </c>
      <c r="AS592">
        <v>47</v>
      </c>
      <c r="AT592">
        <v>37</v>
      </c>
      <c r="AU592">
        <v>15</v>
      </c>
      <c r="AV592">
        <v>30</v>
      </c>
      <c r="AW592">
        <v>3</v>
      </c>
      <c r="AX592">
        <v>243</v>
      </c>
      <c r="AY592">
        <v>31</v>
      </c>
      <c r="AZ592">
        <v>1</v>
      </c>
      <c r="BA592">
        <v>1</v>
      </c>
      <c r="BB592" t="s">
        <v>11</v>
      </c>
      <c r="BC592">
        <v>2.1280000000000001</v>
      </c>
      <c r="BD592" t="s">
        <v>704</v>
      </c>
      <c r="BE592" t="s">
        <v>2017</v>
      </c>
      <c r="BF592" t="s">
        <v>2018</v>
      </c>
      <c r="BG592" t="s">
        <v>2019</v>
      </c>
      <c r="BH592" s="1" t="s">
        <v>57</v>
      </c>
      <c r="BI592" t="s">
        <v>57</v>
      </c>
      <c r="BJ592" s="1" t="str">
        <f>HYPERLINK("http://exon.niaid.nih.gov/transcriptome/T_rubida/S1/links/CDD/Triru-contig_224-CDD.txt","Se_dep_Molyb_1")</f>
        <v>Se_dep_Molyb_1</v>
      </c>
      <c r="BK592" t="str">
        <f>HYPERLINK("http://www.ncbi.nlm.nih.gov/Structure/cdd/cddsrv.cgi?uid=TIGR03311&amp;version=v4.0","0.070")</f>
        <v>0.070</v>
      </c>
      <c r="BL592" t="s">
        <v>2020</v>
      </c>
      <c r="BM592" s="1" t="str">
        <f>HYPERLINK("http://exon.niaid.nih.gov/transcriptome/T_rubida/S1/links/KOG/Triru-contig_224-KOG.txt","Vesicle coat complex AP-1/AP-2/AP-4, beta subunit")</f>
        <v>Vesicle coat complex AP-1/AP-2/AP-4, beta subunit</v>
      </c>
      <c r="BN592" t="str">
        <f>HYPERLINK("http://www.ncbi.nlm.nih.gov/COG/grace/shokog.cgi?KOG1061","0.40")</f>
        <v>0.40</v>
      </c>
      <c r="BO592" t="s">
        <v>1082</v>
      </c>
      <c r="BP592" s="1" t="str">
        <f>HYPERLINK("http://exon.niaid.nih.gov/transcriptome/T_rubida/S1/links/PFAM/Triru-contig_224-PFAM.txt","YMF19")</f>
        <v>YMF19</v>
      </c>
      <c r="BQ592" t="str">
        <f>HYPERLINK("http://pfam.sanger.ac.uk/family?acc=PF02326","0.056")</f>
        <v>0.056</v>
      </c>
      <c r="BR592" s="1" t="str">
        <f>HYPERLINK("http://exon.niaid.nih.gov/transcriptome/T_rubida/S1/links/SMART/Triru-contig_224-SMART.txt","ZnF_C4")</f>
        <v>ZnF_C4</v>
      </c>
      <c r="BS592" t="str">
        <f>HYPERLINK("http://smart.embl-heidelberg.de/smart/do_annotation.pl?DOMAIN=ZnF_C4&amp;BLAST=DUMMY","0.054")</f>
        <v>0.054</v>
      </c>
      <c r="BT592" s="1" t="str">
        <f>HYPERLINK("http://exon.niaid.nih.gov/transcriptome/T_rubida/S1/links/PRK/Triru-contig_224-PRK.txt","ATP synthase F0 subunit 6")</f>
        <v>ATP synthase F0 subunit 6</v>
      </c>
      <c r="BU592">
        <v>0.18</v>
      </c>
      <c r="BV592" s="1" t="s">
        <v>57</v>
      </c>
      <c r="BW592" t="s">
        <v>57</v>
      </c>
      <c r="BX592" s="1" t="s">
        <v>57</v>
      </c>
      <c r="BY592" t="s">
        <v>57</v>
      </c>
    </row>
    <row r="593" spans="1:77">
      <c r="A593" t="str">
        <f>HYPERLINK("http://exon.niaid.nih.gov/transcriptome/T_rubida/S1/links/Triru/Triru-contig_425.txt","Triru-contig_425")</f>
        <v>Triru-contig_425</v>
      </c>
      <c r="B593">
        <v>1</v>
      </c>
      <c r="C593" t="str">
        <f>HYPERLINK("http://exon.niaid.nih.gov/transcriptome/T_rubida/S1/links/Triru/Triru-5-48-asb-425.txt","Contig-425")</f>
        <v>Contig-425</v>
      </c>
      <c r="D593" t="str">
        <f>HYPERLINK("http://exon.niaid.nih.gov/transcriptome/T_rubida/S1/links/Triru/Triru-5-48-425-CLU.txt","Contig425")</f>
        <v>Contig425</v>
      </c>
      <c r="E593" t="str">
        <f>HYPERLINK("http://exon.niaid.nih.gov/transcriptome/T_rubida/S1/links/Triru/Triru-5-48-425-qual.txt","64.1")</f>
        <v>64.1</v>
      </c>
      <c r="F593" t="s">
        <v>10</v>
      </c>
      <c r="G593">
        <v>78.099999999999994</v>
      </c>
      <c r="H593">
        <v>246</v>
      </c>
      <c r="I593" t="s">
        <v>437</v>
      </c>
      <c r="J593">
        <v>246</v>
      </c>
      <c r="K593">
        <v>265</v>
      </c>
      <c r="L593">
        <v>84</v>
      </c>
      <c r="M593" t="s">
        <v>5632</v>
      </c>
      <c r="N593" s="15">
        <v>2</v>
      </c>
      <c r="Q593" s="5" t="s">
        <v>4827</v>
      </c>
      <c r="R593" t="s">
        <v>4828</v>
      </c>
      <c r="V593" s="1" t="str">
        <f>HYPERLINK("http://exon.niaid.nih.gov/transcriptome/T_rubida/S1/links/NR/Triru-contig_425-NR.txt","hypothetical protein")</f>
        <v>hypothetical protein</v>
      </c>
      <c r="W593" t="str">
        <f>HYPERLINK("http://www.ncbi.nlm.nih.gov/sutils/blink.cgi?pid=82794425","57")</f>
        <v>57</v>
      </c>
      <c r="X593" t="str">
        <f>HYPERLINK("http://www.ncbi.nlm.nih.gov/protein/82794425","gi|82794425")</f>
        <v>gi|82794425</v>
      </c>
      <c r="Y593">
        <v>31.2</v>
      </c>
      <c r="Z593">
        <v>38</v>
      </c>
      <c r="AA593">
        <v>1521</v>
      </c>
      <c r="AB593">
        <v>40</v>
      </c>
      <c r="AC593">
        <v>3</v>
      </c>
      <c r="AD593">
        <v>24</v>
      </c>
      <c r="AE593">
        <v>0</v>
      </c>
      <c r="AF593">
        <v>336</v>
      </c>
      <c r="AG593">
        <v>67</v>
      </c>
      <c r="AH593">
        <v>1</v>
      </c>
      <c r="AI593">
        <v>1</v>
      </c>
      <c r="AJ593" t="s">
        <v>11</v>
      </c>
      <c r="AK593">
        <v>2.6320000000000001</v>
      </c>
      <c r="AL593" t="s">
        <v>2310</v>
      </c>
      <c r="AM593" t="s">
        <v>3356</v>
      </c>
      <c r="AN593" t="s">
        <v>3357</v>
      </c>
      <c r="AO593" s="1" t="str">
        <f>HYPERLINK("http://exon.niaid.nih.gov/transcriptome/T_rubida/S1/links/SWISSP/Triru-contig_425-SWISSP.txt","Selenide, water dikinase")</f>
        <v>Selenide, water dikinase</v>
      </c>
      <c r="AP593" t="str">
        <f>HYPERLINK("http://www.uniprot.org/uniprot/Q24NA9","31")</f>
        <v>31</v>
      </c>
      <c r="AQ593" t="s">
        <v>3358</v>
      </c>
      <c r="AR593">
        <v>27.3</v>
      </c>
      <c r="AS593">
        <v>46</v>
      </c>
      <c r="AT593">
        <v>31</v>
      </c>
      <c r="AU593">
        <v>14</v>
      </c>
      <c r="AV593">
        <v>32</v>
      </c>
      <c r="AW593">
        <v>0</v>
      </c>
      <c r="AX593">
        <v>20</v>
      </c>
      <c r="AY593">
        <v>4</v>
      </c>
      <c r="AZ593">
        <v>1</v>
      </c>
      <c r="BA593">
        <v>1</v>
      </c>
      <c r="BB593" t="s">
        <v>11</v>
      </c>
      <c r="BC593">
        <v>6.5220000000000002</v>
      </c>
      <c r="BD593" t="s">
        <v>704</v>
      </c>
      <c r="BE593" t="s">
        <v>3359</v>
      </c>
      <c r="BF593" t="s">
        <v>3360</v>
      </c>
      <c r="BG593" t="s">
        <v>3361</v>
      </c>
      <c r="BH593" s="1" t="s">
        <v>57</v>
      </c>
      <c r="BI593" t="s">
        <v>57</v>
      </c>
      <c r="BJ593" s="1" t="str">
        <f>HYPERLINK("http://exon.niaid.nih.gov/transcriptome/T_rubida/S1/links/CDD/Triru-contig_425-CDD.txt","ND2")</f>
        <v>ND2</v>
      </c>
      <c r="BK593" t="str">
        <f>HYPERLINK("http://www.ncbi.nlm.nih.gov/Structure/cdd/cddsrv.cgi?uid=MTH00160&amp;version=v4.0","0.14")</f>
        <v>0.14</v>
      </c>
      <c r="BL593" t="s">
        <v>3362</v>
      </c>
      <c r="BM593" s="1" t="str">
        <f>HYPERLINK("http://exon.niaid.nih.gov/transcriptome/T_rubida/S1/links/KOG/Triru-contig_425-KOG.txt","UDP-galactose transporter related protein")</f>
        <v>UDP-galactose transporter related protein</v>
      </c>
      <c r="BN593" t="str">
        <f>HYPERLINK("http://www.ncbi.nlm.nih.gov/COG/grace/shokog.cgi?KOG1581","1.7")</f>
        <v>1.7</v>
      </c>
      <c r="BO593" t="s">
        <v>946</v>
      </c>
      <c r="BP593" s="1" t="str">
        <f>HYPERLINK("http://exon.niaid.nih.gov/transcriptome/T_rubida/S1/links/PFAM/Triru-contig_425-PFAM.txt","DUF1430")</f>
        <v>DUF1430</v>
      </c>
      <c r="BQ593" t="str">
        <f>HYPERLINK("http://pfam.sanger.ac.uk/family?acc=PF07242","0.055")</f>
        <v>0.055</v>
      </c>
      <c r="BR593" s="1" t="str">
        <f>HYPERLINK("http://exon.niaid.nih.gov/transcriptome/T_rubida/S1/links/SMART/Triru-contig_425-SMART.txt","AgrB")</f>
        <v>AgrB</v>
      </c>
      <c r="BS593" t="str">
        <f>HYPERLINK("http://smart.embl-heidelberg.de/smart/do_annotation.pl?DOMAIN=AgrB&amp;BLAST=DUMMY","0.73")</f>
        <v>0.73</v>
      </c>
      <c r="BT593" s="1" t="str">
        <f>HYPERLINK("http://exon.niaid.nih.gov/transcriptome/T_rubida/S1/links/PRK/Triru-contig_425-PRK.txt","NADH dehydrogenase subunit 2")</f>
        <v>NADH dehydrogenase subunit 2</v>
      </c>
      <c r="BU593">
        <v>0.05</v>
      </c>
      <c r="BV593" s="1" t="s">
        <v>57</v>
      </c>
      <c r="BW593" t="s">
        <v>57</v>
      </c>
      <c r="BX593" s="1" t="s">
        <v>57</v>
      </c>
      <c r="BY593" t="s">
        <v>57</v>
      </c>
    </row>
    <row r="594" spans="1:77">
      <c r="A594" t="str">
        <f>HYPERLINK("http://exon.niaid.nih.gov/transcriptome/T_rubida/S1/links/Triru/Triru-contig_363.txt","Triru-contig_363")</f>
        <v>Triru-contig_363</v>
      </c>
      <c r="B594">
        <v>1</v>
      </c>
      <c r="C594" t="str">
        <f>HYPERLINK("http://exon.niaid.nih.gov/transcriptome/T_rubida/S1/links/Triru/Triru-5-48-asb-363.txt","Contig-363")</f>
        <v>Contig-363</v>
      </c>
      <c r="D594" t="str">
        <f>HYPERLINK("http://exon.niaid.nih.gov/transcriptome/T_rubida/S1/links/Triru/Triru-5-48-363-CLU.txt","Contig363")</f>
        <v>Contig363</v>
      </c>
      <c r="E594" t="str">
        <f>HYPERLINK("http://exon.niaid.nih.gov/transcriptome/T_rubida/S1/links/Triru/Triru-5-48-363-qual.txt","57.6")</f>
        <v>57.6</v>
      </c>
      <c r="F594" t="s">
        <v>10</v>
      </c>
      <c r="G594">
        <v>77.5</v>
      </c>
      <c r="H594">
        <v>154</v>
      </c>
      <c r="I594" t="s">
        <v>375</v>
      </c>
      <c r="J594">
        <v>154</v>
      </c>
      <c r="K594">
        <v>173</v>
      </c>
      <c r="L594">
        <v>78</v>
      </c>
      <c r="M594" t="s">
        <v>5663</v>
      </c>
      <c r="N594" s="15">
        <v>1</v>
      </c>
      <c r="Q594" s="5" t="s">
        <v>4827</v>
      </c>
      <c r="R594" t="s">
        <v>4828</v>
      </c>
      <c r="V594" s="1" t="str">
        <f>HYPERLINK("http://exon.niaid.nih.gov/transcriptome/T_rubida/S1/links/NR/Triru-contig_363-NR.txt","hypothetical protein TTHERM_00242160")</f>
        <v>hypothetical protein TTHERM_00242160</v>
      </c>
      <c r="W594" t="str">
        <f>HYPERLINK("http://www.ncbi.nlm.nih.gov/sutils/blink.cgi?pid=118383569","57")</f>
        <v>57</v>
      </c>
      <c r="X594" t="str">
        <f>HYPERLINK("http://www.ncbi.nlm.nih.gov/protein/118383569","gi|118383569")</f>
        <v>gi|118383569</v>
      </c>
      <c r="Y594">
        <v>31.2</v>
      </c>
      <c r="Z594">
        <v>36</v>
      </c>
      <c r="AA594">
        <v>2587</v>
      </c>
      <c r="AB594">
        <v>39</v>
      </c>
      <c r="AC594">
        <v>1</v>
      </c>
      <c r="AD594">
        <v>23</v>
      </c>
      <c r="AE594">
        <v>0</v>
      </c>
      <c r="AF594">
        <v>1038</v>
      </c>
      <c r="AG594">
        <v>16</v>
      </c>
      <c r="AH594">
        <v>1</v>
      </c>
      <c r="AI594">
        <v>1</v>
      </c>
      <c r="AJ594" t="s">
        <v>11</v>
      </c>
      <c r="AK594">
        <v>2.778</v>
      </c>
      <c r="AL594" t="s">
        <v>2366</v>
      </c>
      <c r="AM594" t="s">
        <v>2934</v>
      </c>
      <c r="AN594" t="s">
        <v>1903</v>
      </c>
      <c r="AO594" s="1" t="str">
        <f>HYPERLINK("http://exon.niaid.nih.gov/transcriptome/T_rubida/S1/links/SWISSP/Triru-contig_363-SWISSP.txt","Uncharacterized protein ycgA")</f>
        <v>Uncharacterized protein ycgA</v>
      </c>
      <c r="AP594" t="str">
        <f>HYPERLINK("http://www.uniprot.org/uniprot/P55908","68")</f>
        <v>68</v>
      </c>
      <c r="AQ594" t="s">
        <v>2935</v>
      </c>
      <c r="AR594">
        <v>26.2</v>
      </c>
      <c r="AS594">
        <v>18</v>
      </c>
      <c r="AT594">
        <v>47</v>
      </c>
      <c r="AU594">
        <v>4</v>
      </c>
      <c r="AV594">
        <v>10</v>
      </c>
      <c r="AW594">
        <v>0</v>
      </c>
      <c r="AX594">
        <v>213</v>
      </c>
      <c r="AY594">
        <v>73</v>
      </c>
      <c r="AZ594">
        <v>1</v>
      </c>
      <c r="BA594">
        <v>1</v>
      </c>
      <c r="BB594" t="s">
        <v>11</v>
      </c>
      <c r="BD594" t="s">
        <v>704</v>
      </c>
      <c r="BE594" t="s">
        <v>1525</v>
      </c>
      <c r="BF594" t="s">
        <v>2936</v>
      </c>
      <c r="BG594" t="s">
        <v>2937</v>
      </c>
      <c r="BH594" s="1" t="s">
        <v>57</v>
      </c>
      <c r="BI594" t="s">
        <v>57</v>
      </c>
      <c r="BJ594" s="1" t="str">
        <f>HYPERLINK("http://exon.niaid.nih.gov/transcriptome/T_rubida/S1/links/CDD/Triru-contig_363-CDD.txt","PRK12331")</f>
        <v>PRK12331</v>
      </c>
      <c r="BK594" t="str">
        <f>HYPERLINK("http://www.ncbi.nlm.nih.gov/Structure/cdd/cddsrv.cgi?uid=PRK12331&amp;version=v4.0","2.0")</f>
        <v>2.0</v>
      </c>
      <c r="BL594" t="s">
        <v>2938</v>
      </c>
      <c r="BM594" s="1" t="str">
        <f>HYPERLINK("http://exon.niaid.nih.gov/transcriptome/T_rubida/S1/links/KOG/Triru-contig_363-KOG.txt","Uncharacterized conserved protein")</f>
        <v>Uncharacterized conserved protein</v>
      </c>
      <c r="BN594" t="str">
        <f>HYPERLINK("http://www.ncbi.nlm.nih.gov/COG/grace/shokog.cgi?KOG3098","1.7")</f>
        <v>1.7</v>
      </c>
      <c r="BO594" t="s">
        <v>737</v>
      </c>
      <c r="BP594" s="1" t="str">
        <f>HYPERLINK("http://exon.niaid.nih.gov/transcriptome/T_rubida/S1/links/PFAM/Triru-contig_363-PFAM.txt","RNA_pol_Rpb2_6")</f>
        <v>RNA_pol_Rpb2_6</v>
      </c>
      <c r="BQ594" t="str">
        <f>HYPERLINK("http://pfam.sanger.ac.uk/family?acc=PF00562","2.9")</f>
        <v>2.9</v>
      </c>
      <c r="BR594" s="1" t="str">
        <f>HYPERLINK("http://exon.niaid.nih.gov/transcriptome/T_rubida/S1/links/SMART/Triru-contig_363-SMART.txt","IENR1")</f>
        <v>IENR1</v>
      </c>
      <c r="BS594" t="str">
        <f>HYPERLINK("http://smart.embl-heidelberg.de/smart/do_annotation.pl?DOMAIN=IENR1&amp;BLAST=DUMMY","0.31")</f>
        <v>0.31</v>
      </c>
      <c r="BT594" s="1" t="str">
        <f>HYPERLINK("http://exon.niaid.nih.gov/transcriptome/T_rubida/S1/links/PRK/Triru-contig_363-PRK.txt","oxaloacetate decarboxylase")</f>
        <v>oxaloacetate decarboxylase</v>
      </c>
      <c r="BU594">
        <v>0.73</v>
      </c>
      <c r="BV594" s="1" t="s">
        <v>57</v>
      </c>
      <c r="BW594" t="s">
        <v>57</v>
      </c>
      <c r="BX594" s="1" t="s">
        <v>57</v>
      </c>
      <c r="BY594" t="s">
        <v>57</v>
      </c>
    </row>
    <row r="595" spans="1:77">
      <c r="A595" t="str">
        <f>HYPERLINK("http://exon.niaid.nih.gov/transcriptome/T_rubida/S1/links/Triru/Triru-contig_581.txt","Triru-contig_581")</f>
        <v>Triru-contig_581</v>
      </c>
      <c r="B595">
        <v>1</v>
      </c>
      <c r="C595" t="str">
        <f>HYPERLINK("http://exon.niaid.nih.gov/transcriptome/T_rubida/S1/links/Triru/Triru-5-48-asb-581.txt","Contig-581")</f>
        <v>Contig-581</v>
      </c>
      <c r="D595" t="str">
        <f>HYPERLINK("http://exon.niaid.nih.gov/transcriptome/T_rubida/S1/links/Triru/Triru-5-48-581-CLU.txt","Contig581")</f>
        <v>Contig581</v>
      </c>
      <c r="E595" t="str">
        <f>HYPERLINK("http://exon.niaid.nih.gov/transcriptome/T_rubida/S1/links/Triru/Triru-5-48-581-qual.txt","62.3")</f>
        <v>62.3</v>
      </c>
      <c r="F595" t="s">
        <v>10</v>
      </c>
      <c r="G595">
        <v>75.7</v>
      </c>
      <c r="H595">
        <v>211</v>
      </c>
      <c r="I595" t="s">
        <v>593</v>
      </c>
      <c r="J595">
        <v>211</v>
      </c>
      <c r="K595">
        <v>230</v>
      </c>
      <c r="L595">
        <v>150</v>
      </c>
      <c r="M595" t="s">
        <v>5556</v>
      </c>
      <c r="N595" s="15">
        <v>2</v>
      </c>
      <c r="Q595" s="5" t="s">
        <v>4827</v>
      </c>
      <c r="R595" t="s">
        <v>4828</v>
      </c>
      <c r="V595" s="1" t="str">
        <f>HYPERLINK("http://exon.niaid.nih.gov/transcriptome/T_rubida/S1/links/NR/Triru-contig_581-NR.txt","cytochrome b subunit of the bc complex")</f>
        <v>cytochrome b subunit of the bc complex</v>
      </c>
      <c r="W595" t="str">
        <f>HYPERLINK("http://www.ncbi.nlm.nih.gov/sutils/blink.cgi?pid=170017677","58")</f>
        <v>58</v>
      </c>
      <c r="X595" t="str">
        <f>HYPERLINK("http://www.ncbi.nlm.nih.gov/protein/170017677","gi|170017677")</f>
        <v>gi|170017677</v>
      </c>
      <c r="Y595">
        <v>31.2</v>
      </c>
      <c r="Z595">
        <v>44</v>
      </c>
      <c r="AA595">
        <v>575</v>
      </c>
      <c r="AB595">
        <v>42</v>
      </c>
      <c r="AC595">
        <v>8</v>
      </c>
      <c r="AD595">
        <v>26</v>
      </c>
      <c r="AE595">
        <v>3</v>
      </c>
      <c r="AF595">
        <v>257</v>
      </c>
      <c r="AG595">
        <v>2</v>
      </c>
      <c r="AH595">
        <v>1</v>
      </c>
      <c r="AI595">
        <v>2</v>
      </c>
      <c r="AJ595" t="s">
        <v>11</v>
      </c>
      <c r="AL595" t="s">
        <v>4396</v>
      </c>
      <c r="AM595" t="s">
        <v>4397</v>
      </c>
      <c r="AN595" t="s">
        <v>4398</v>
      </c>
      <c r="AO595" s="1" t="str">
        <f>HYPERLINK("http://exon.niaid.nih.gov/transcriptome/T_rubida/S1/links/SWISSP/Triru-contig_581-SWISSP.txt","UPF0104 membrane protein MJ1595")</f>
        <v>UPF0104 membrane protein MJ1595</v>
      </c>
      <c r="AP595" t="str">
        <f>HYPERLINK("http://www.uniprot.org/uniprot/Q58990","24")</f>
        <v>24</v>
      </c>
      <c r="AQ595" t="s">
        <v>4399</v>
      </c>
      <c r="AR595">
        <v>27.7</v>
      </c>
      <c r="AS595">
        <v>30</v>
      </c>
      <c r="AT595">
        <v>35</v>
      </c>
      <c r="AU595">
        <v>9</v>
      </c>
      <c r="AV595">
        <v>20</v>
      </c>
      <c r="AW595">
        <v>0</v>
      </c>
      <c r="AX595">
        <v>145</v>
      </c>
      <c r="AY595">
        <v>20</v>
      </c>
      <c r="AZ595">
        <v>1</v>
      </c>
      <c r="BA595">
        <v>2</v>
      </c>
      <c r="BB595" t="s">
        <v>11</v>
      </c>
      <c r="BD595" t="s">
        <v>704</v>
      </c>
      <c r="BE595" t="s">
        <v>1588</v>
      </c>
      <c r="BF595" t="s">
        <v>4400</v>
      </c>
      <c r="BG595" t="s">
        <v>4401</v>
      </c>
      <c r="BH595" s="1" t="s">
        <v>57</v>
      </c>
      <c r="BI595" t="s">
        <v>57</v>
      </c>
      <c r="BJ595" s="1" t="str">
        <f>HYPERLINK("http://exon.niaid.nih.gov/transcriptome/T_rubida/S1/links/CDD/Triru-contig_581-CDD.txt","ND5")</f>
        <v>ND5</v>
      </c>
      <c r="BK595" t="str">
        <f>HYPERLINK("http://www.ncbi.nlm.nih.gov/Structure/cdd/cddsrv.cgi?uid=MTH00108&amp;version=v4.0","0.20")</f>
        <v>0.20</v>
      </c>
      <c r="BL595" t="s">
        <v>4402</v>
      </c>
      <c r="BM595" s="1" t="str">
        <f>HYPERLINK("http://exon.niaid.nih.gov/transcriptome/T_rubida/S1/links/KOG/Triru-contig_581-KOG.txt","Ypt/Rab-specific GTPase-activating protein GYP6")</f>
        <v>Ypt/Rab-specific GTPase-activating protein GYP6</v>
      </c>
      <c r="BN595" t="str">
        <f>HYPERLINK("http://www.ncbi.nlm.nih.gov/COG/grace/shokog.cgi?KOG1091","0.64")</f>
        <v>0.64</v>
      </c>
      <c r="BO595" t="s">
        <v>1082</v>
      </c>
      <c r="BP595" s="1" t="str">
        <f>HYPERLINK("http://exon.niaid.nih.gov/transcriptome/T_rubida/S1/links/PFAM/Triru-contig_581-PFAM.txt","DUF2074")</f>
        <v>DUF2074</v>
      </c>
      <c r="BQ595" t="str">
        <f>HYPERLINK("http://pfam.sanger.ac.uk/family?acc=PF09847","0.34")</f>
        <v>0.34</v>
      </c>
      <c r="BR595" s="1" t="str">
        <f>HYPERLINK("http://exon.niaid.nih.gov/transcriptome/T_rubida/S1/links/SMART/Triru-contig_581-SMART.txt","EAL")</f>
        <v>EAL</v>
      </c>
      <c r="BS595" t="str">
        <f>HYPERLINK("http://smart.embl-heidelberg.de/smart/do_annotation.pl?DOMAIN=EAL&amp;BLAST=DUMMY","0.17")</f>
        <v>0.17</v>
      </c>
      <c r="BT595" s="1" t="str">
        <f>HYPERLINK("http://exon.niaid.nih.gov/transcriptome/T_rubida/S1/links/PRK/Triru-contig_581-PRK.txt","NADH dehydrogenase subunit 5")</f>
        <v>NADH dehydrogenase subunit 5</v>
      </c>
      <c r="BU595">
        <v>7.3999999999999996E-2</v>
      </c>
      <c r="BV595" s="1" t="s">
        <v>57</v>
      </c>
      <c r="BW595" t="s">
        <v>57</v>
      </c>
      <c r="BX595" s="1" t="s">
        <v>57</v>
      </c>
      <c r="BY595" t="s">
        <v>57</v>
      </c>
    </row>
    <row r="596" spans="1:77">
      <c r="A596" t="str">
        <f>HYPERLINK("http://exon.niaid.nih.gov/transcriptome/T_rubida/S1/links/Triru/Triru-contig_319.txt","Triru-contig_319")</f>
        <v>Triru-contig_319</v>
      </c>
      <c r="B596">
        <v>1</v>
      </c>
      <c r="C596" t="str">
        <f>HYPERLINK("http://exon.niaid.nih.gov/transcriptome/T_rubida/S1/links/Triru/Triru-5-48-asb-319.txt","Contig-319")</f>
        <v>Contig-319</v>
      </c>
      <c r="D596" t="str">
        <f>HYPERLINK("http://exon.niaid.nih.gov/transcriptome/T_rubida/S1/links/Triru/Triru-5-48-319-CLU.txt","Contig319")</f>
        <v>Contig319</v>
      </c>
      <c r="E596" t="str">
        <f>HYPERLINK("http://exon.niaid.nih.gov/transcriptome/T_rubida/S1/links/Triru/Triru-5-48-319-qual.txt","59.")</f>
        <v>59.</v>
      </c>
      <c r="F596" t="s">
        <v>10</v>
      </c>
      <c r="G596">
        <v>65.8</v>
      </c>
      <c r="H596">
        <v>382</v>
      </c>
      <c r="I596" t="s">
        <v>331</v>
      </c>
      <c r="J596">
        <v>382</v>
      </c>
      <c r="K596">
        <v>401</v>
      </c>
      <c r="L596">
        <v>159</v>
      </c>
      <c r="M596" t="s">
        <v>5578</v>
      </c>
      <c r="N596" s="15">
        <v>1</v>
      </c>
      <c r="Q596" s="5" t="s">
        <v>4827</v>
      </c>
      <c r="R596" t="s">
        <v>4828</v>
      </c>
      <c r="V596" s="1" t="str">
        <f>HYPERLINK("http://exon.niaid.nih.gov/transcriptome/T_rubida/S1/links/NR/Triru-contig_319-NR.txt","mRNA deadenylase")</f>
        <v>mRNA deadenylase</v>
      </c>
      <c r="W596" t="str">
        <f>HYPERLINK("http://www.ncbi.nlm.nih.gov/sutils/blink.cgi?pid=290990271","58")</f>
        <v>58</v>
      </c>
      <c r="X596" t="str">
        <f>HYPERLINK("http://www.ncbi.nlm.nih.gov/protein/290990271","gi|290990271")</f>
        <v>gi|290990271</v>
      </c>
      <c r="Y596">
        <v>31.2</v>
      </c>
      <c r="Z596">
        <v>61</v>
      </c>
      <c r="AA596">
        <v>379</v>
      </c>
      <c r="AB596">
        <v>33</v>
      </c>
      <c r="AC596">
        <v>16</v>
      </c>
      <c r="AD596">
        <v>41</v>
      </c>
      <c r="AE596">
        <v>4</v>
      </c>
      <c r="AF596">
        <v>123</v>
      </c>
      <c r="AG596">
        <v>16</v>
      </c>
      <c r="AH596">
        <v>1</v>
      </c>
      <c r="AI596">
        <v>1</v>
      </c>
      <c r="AJ596" t="s">
        <v>11</v>
      </c>
      <c r="AK596">
        <v>1.639</v>
      </c>
      <c r="AL596" t="s">
        <v>1696</v>
      </c>
      <c r="AM596" t="s">
        <v>2642</v>
      </c>
      <c r="AN596" t="s">
        <v>2643</v>
      </c>
      <c r="AO596" s="1" t="str">
        <f>HYPERLINK("http://exon.niaid.nih.gov/transcriptome/T_rubida/S1/links/SWISSP/Triru-contig_319-SWISSP.txt","Peptidoglycan-recognition protein LA")</f>
        <v>Peptidoglycan-recognition protein LA</v>
      </c>
      <c r="AP596" t="str">
        <f>HYPERLINK("http://www.uniprot.org/uniprot/Q95T64","18")</f>
        <v>18</v>
      </c>
      <c r="AQ596" t="s">
        <v>2644</v>
      </c>
      <c r="AR596">
        <v>28.1</v>
      </c>
      <c r="AS596">
        <v>41</v>
      </c>
      <c r="AT596">
        <v>38</v>
      </c>
      <c r="AU596">
        <v>11</v>
      </c>
      <c r="AV596">
        <v>26</v>
      </c>
      <c r="AW596">
        <v>3</v>
      </c>
      <c r="AX596">
        <v>6</v>
      </c>
      <c r="AY596">
        <v>19</v>
      </c>
      <c r="AZ596">
        <v>1</v>
      </c>
      <c r="BA596">
        <v>1</v>
      </c>
      <c r="BB596" t="s">
        <v>11</v>
      </c>
      <c r="BC596">
        <v>2.4390000000000001</v>
      </c>
      <c r="BD596" t="s">
        <v>704</v>
      </c>
      <c r="BE596" t="s">
        <v>1125</v>
      </c>
      <c r="BF596" t="s">
        <v>2645</v>
      </c>
      <c r="BG596" t="s">
        <v>2646</v>
      </c>
      <c r="BH596" s="1" t="s">
        <v>57</v>
      </c>
      <c r="BI596" t="s">
        <v>57</v>
      </c>
      <c r="BJ596" s="1" t="str">
        <f>HYPERLINK("http://exon.niaid.nih.gov/transcriptome/T_rubida/S1/links/CDD/Triru-contig_319-CDD.txt","PHA02947")</f>
        <v>PHA02947</v>
      </c>
      <c r="BK596" t="str">
        <f>HYPERLINK("http://www.ncbi.nlm.nih.gov/Structure/cdd/cddsrv.cgi?uid=PHA02947&amp;version=v4.0","0.056")</f>
        <v>0.056</v>
      </c>
      <c r="BL596" t="s">
        <v>2647</v>
      </c>
      <c r="BM596" s="1" t="str">
        <f>HYPERLINK("http://exon.niaid.nih.gov/transcriptome/T_rubida/S1/links/KOG/Triru-contig_319-KOG.txt","DNA polymerase epsilon, subunit B")</f>
        <v>DNA polymerase epsilon, subunit B</v>
      </c>
      <c r="BN596" t="str">
        <f>HYPERLINK("http://www.ncbi.nlm.nih.gov/COG/grace/shokog.cgi?KOG3818","0.94")</f>
        <v>0.94</v>
      </c>
      <c r="BO596" t="s">
        <v>785</v>
      </c>
      <c r="BP596" s="1" t="str">
        <f>HYPERLINK("http://exon.niaid.nih.gov/transcriptome/T_rubida/S1/links/PFAM/Triru-contig_319-PFAM.txt","DUF3533")</f>
        <v>DUF3533</v>
      </c>
      <c r="BQ596" t="str">
        <f>HYPERLINK("http://pfam.sanger.ac.uk/family?acc=PF12051","0.13")</f>
        <v>0.13</v>
      </c>
      <c r="BR596" s="1" t="str">
        <f>HYPERLINK("http://exon.niaid.nih.gov/transcriptome/T_rubida/S1/links/SMART/Triru-contig_319-SMART.txt","VWD")</f>
        <v>VWD</v>
      </c>
      <c r="BS596" t="str">
        <f>HYPERLINK("http://smart.embl-heidelberg.de/smart/do_annotation.pl?DOMAIN=VWD&amp;BLAST=DUMMY","0.14")</f>
        <v>0.14</v>
      </c>
      <c r="BT596" s="1" t="str">
        <f>HYPERLINK("http://exon.niaid.nih.gov/transcriptome/T_rubida/S1/links/PRK/Triru-contig_319-PRK.txt","S-S bond formation pathway protein")</f>
        <v>S-S bond formation pathway protein</v>
      </c>
      <c r="BU596">
        <v>2.5999999999999999E-2</v>
      </c>
      <c r="BV596" s="1" t="s">
        <v>57</v>
      </c>
      <c r="BW596" t="s">
        <v>57</v>
      </c>
      <c r="BX596" s="1" t="s">
        <v>57</v>
      </c>
      <c r="BY596" t="s">
        <v>57</v>
      </c>
    </row>
    <row r="597" spans="1:77">
      <c r="A597" t="str">
        <f>HYPERLINK("http://exon.niaid.nih.gov/transcriptome/T_rubida/S1/links/Triru/Triru-contig_249.txt","Triru-contig_249")</f>
        <v>Triru-contig_249</v>
      </c>
      <c r="B597">
        <v>1</v>
      </c>
      <c r="C597" t="str">
        <f>HYPERLINK("http://exon.niaid.nih.gov/transcriptome/T_rubida/S1/links/Triru/Triru-5-48-asb-249.txt","Contig-249")</f>
        <v>Contig-249</v>
      </c>
      <c r="D597" t="str">
        <f>HYPERLINK("http://exon.niaid.nih.gov/transcriptome/T_rubida/S1/links/Triru/Triru-5-48-249-CLU.txt","Contig249")</f>
        <v>Contig249</v>
      </c>
      <c r="E597" t="str">
        <f>HYPERLINK("http://exon.niaid.nih.gov/transcriptome/T_rubida/S1/links/Triru/Triru-5-48-249-qual.txt","61.5")</f>
        <v>61.5</v>
      </c>
      <c r="F597" t="s">
        <v>10</v>
      </c>
      <c r="G597">
        <v>79.3</v>
      </c>
      <c r="H597">
        <v>203</v>
      </c>
      <c r="I597" t="s">
        <v>261</v>
      </c>
      <c r="J597">
        <v>203</v>
      </c>
      <c r="K597">
        <v>222</v>
      </c>
      <c r="L597">
        <v>96</v>
      </c>
      <c r="M597" t="s">
        <v>5594</v>
      </c>
      <c r="N597" s="15">
        <v>1</v>
      </c>
      <c r="Q597" s="5" t="s">
        <v>4827</v>
      </c>
      <c r="R597" t="s">
        <v>4828</v>
      </c>
      <c r="V597" s="1" t="str">
        <f>HYPERLINK("http://exon.niaid.nih.gov/transcriptome/T_rubida/S1/links/NR/Triru-contig_249-NR.txt","hypothetical protein Odosp_0154")</f>
        <v>hypothetical protein Odosp_0154</v>
      </c>
      <c r="W597" t="str">
        <f>HYPERLINK("http://www.ncbi.nlm.nih.gov/sutils/blink.cgi?pid=325278904","58")</f>
        <v>58</v>
      </c>
      <c r="X597" t="str">
        <f>HYPERLINK("http://www.ncbi.nlm.nih.gov/protein/325278904","gi|325278904")</f>
        <v>gi|325278904</v>
      </c>
      <c r="Y597">
        <v>31.2</v>
      </c>
      <c r="Z597">
        <v>28</v>
      </c>
      <c r="AA597">
        <v>339</v>
      </c>
      <c r="AB597">
        <v>44</v>
      </c>
      <c r="AC597">
        <v>9</v>
      </c>
      <c r="AD597">
        <v>16</v>
      </c>
      <c r="AE597">
        <v>2</v>
      </c>
      <c r="AF597">
        <v>213</v>
      </c>
      <c r="AG597">
        <v>64</v>
      </c>
      <c r="AH597">
        <v>1</v>
      </c>
      <c r="AI597">
        <v>1</v>
      </c>
      <c r="AJ597" t="s">
        <v>11</v>
      </c>
      <c r="AL597" t="s">
        <v>2172</v>
      </c>
      <c r="AM597" t="s">
        <v>2173</v>
      </c>
      <c r="AN597" t="s">
        <v>2174</v>
      </c>
      <c r="AO597" s="1" t="str">
        <f>HYPERLINK("http://exon.niaid.nih.gov/transcriptome/T_rubida/S1/links/SWISSP/Triru-contig_249-SWISSP.txt","3-keto-steroid reductase")</f>
        <v>3-keto-steroid reductase</v>
      </c>
      <c r="AP597" t="str">
        <f>HYPERLINK("http://www.uniprot.org/uniprot/Q74ZZ0","18")</f>
        <v>18</v>
      </c>
      <c r="AQ597" t="s">
        <v>2175</v>
      </c>
      <c r="AR597">
        <v>28.1</v>
      </c>
      <c r="AS597">
        <v>22</v>
      </c>
      <c r="AT597">
        <v>47</v>
      </c>
      <c r="AU597">
        <v>7</v>
      </c>
      <c r="AV597">
        <v>12</v>
      </c>
      <c r="AW597">
        <v>0</v>
      </c>
      <c r="AX597">
        <v>228</v>
      </c>
      <c r="AY597">
        <v>64</v>
      </c>
      <c r="AZ597">
        <v>1</v>
      </c>
      <c r="BA597">
        <v>1</v>
      </c>
      <c r="BB597" t="s">
        <v>11</v>
      </c>
      <c r="BD597" t="s">
        <v>704</v>
      </c>
      <c r="BE597" t="s">
        <v>2017</v>
      </c>
      <c r="BF597" t="s">
        <v>2176</v>
      </c>
      <c r="BG597" t="s">
        <v>2177</v>
      </c>
      <c r="BH597" s="1" t="s">
        <v>57</v>
      </c>
      <c r="BI597" t="s">
        <v>57</v>
      </c>
      <c r="BJ597" s="1" t="str">
        <f>HYPERLINK("http://exon.niaid.nih.gov/transcriptome/T_rubida/S1/links/CDD/Triru-contig_249-CDD.txt","ND3")</f>
        <v>ND3</v>
      </c>
      <c r="BK597" t="str">
        <f>HYPERLINK("http://www.ncbi.nlm.nih.gov/Structure/cdd/cddsrv.cgi?uid=MTH00092&amp;version=v4.0","1.4")</f>
        <v>1.4</v>
      </c>
      <c r="BL597" t="s">
        <v>2178</v>
      </c>
      <c r="BM597" s="1" t="str">
        <f>HYPERLINK("http://exon.niaid.nih.gov/transcriptome/T_rubida/S1/links/KOG/Triru-contig_249-KOG.txt","O-acetyltransferase")</f>
        <v>O-acetyltransferase</v>
      </c>
      <c r="BN597" t="str">
        <f>HYPERLINK("http://www.ncbi.nlm.nih.gov/COG/grace/shokog.cgi?KOG1699","2.4")</f>
        <v>2.4</v>
      </c>
      <c r="BO597" t="s">
        <v>750</v>
      </c>
      <c r="BP597" s="1" t="str">
        <f>HYPERLINK("http://exon.niaid.nih.gov/transcriptome/T_rubida/S1/links/PFAM/Triru-contig_249-PFAM.txt","DUF3169")</f>
        <v>DUF3169</v>
      </c>
      <c r="BQ597" t="str">
        <f>HYPERLINK("http://pfam.sanger.ac.uk/family?acc=PF11368","0.38")</f>
        <v>0.38</v>
      </c>
      <c r="BR597" s="1" t="str">
        <f>HYPERLINK("http://exon.niaid.nih.gov/transcriptome/T_rubida/S1/links/SMART/Triru-contig_249-SMART.txt","AgrB")</f>
        <v>AgrB</v>
      </c>
      <c r="BS597" t="str">
        <f>HYPERLINK("http://smart.embl-heidelberg.de/smart/do_annotation.pl?DOMAIN=AgrB&amp;BLAST=DUMMY","0.54")</f>
        <v>0.54</v>
      </c>
      <c r="BT597" s="1" t="str">
        <f>HYPERLINK("http://exon.niaid.nih.gov/transcriptome/T_rubida/S1/links/PRK/Triru-contig_249-PRK.txt","NADH dehydrogenase subunit 3")</f>
        <v>NADH dehydrogenase subunit 3</v>
      </c>
      <c r="BU597">
        <v>0.51</v>
      </c>
      <c r="BV597" s="1" t="s">
        <v>57</v>
      </c>
      <c r="BW597" t="s">
        <v>57</v>
      </c>
      <c r="BX597" s="1" t="s">
        <v>57</v>
      </c>
      <c r="BY597" t="s">
        <v>57</v>
      </c>
    </row>
    <row r="598" spans="1:77">
      <c r="A598" t="str">
        <f>HYPERLINK("http://exon.niaid.nih.gov/transcriptome/T_rubida/S1/links/Triru/Triru-contig_353.txt","Triru-contig_353")</f>
        <v>Triru-contig_353</v>
      </c>
      <c r="B598">
        <v>1</v>
      </c>
      <c r="C598" t="str">
        <f>HYPERLINK("http://exon.niaid.nih.gov/transcriptome/T_rubida/S1/links/Triru/Triru-5-48-asb-353.txt","Contig-353")</f>
        <v>Contig-353</v>
      </c>
      <c r="D598" t="str">
        <f>HYPERLINK("http://exon.niaid.nih.gov/transcriptome/T_rubida/S1/links/Triru/Triru-5-48-353-CLU.txt","Contig353")</f>
        <v>Contig353</v>
      </c>
      <c r="E598" t="str">
        <f>HYPERLINK("http://exon.niaid.nih.gov/transcriptome/T_rubida/S1/links/Triru/Triru-5-48-353-qual.txt","62.")</f>
        <v>62.</v>
      </c>
      <c r="F598" t="s">
        <v>10</v>
      </c>
      <c r="G598">
        <v>63.8</v>
      </c>
      <c r="H598">
        <v>235</v>
      </c>
      <c r="I598" t="s">
        <v>365</v>
      </c>
      <c r="J598">
        <v>235</v>
      </c>
      <c r="K598">
        <v>254</v>
      </c>
      <c r="L598">
        <v>105</v>
      </c>
      <c r="M598" t="s">
        <v>5695</v>
      </c>
      <c r="N598" s="15">
        <v>2</v>
      </c>
      <c r="Q598" s="5" t="s">
        <v>4827</v>
      </c>
      <c r="R598" t="s">
        <v>4828</v>
      </c>
      <c r="V598" s="1" t="str">
        <f>HYPERLINK("http://exon.niaid.nih.gov/transcriptome/T_rubida/S1/links/NR/Triru-contig_353-NR.txt","hypothetical protein, conserved")</f>
        <v>hypothetical protein, conserved</v>
      </c>
      <c r="W598" t="str">
        <f>HYPERLINK("http://www.ncbi.nlm.nih.gov/sutils/blink.cgi?pid=261335085","58")</f>
        <v>58</v>
      </c>
      <c r="X598" t="str">
        <f>HYPERLINK("http://www.ncbi.nlm.nih.gov/protein/261335085","gi|261335085")</f>
        <v>gi|261335085</v>
      </c>
      <c r="Y598">
        <v>31.2</v>
      </c>
      <c r="Z598">
        <v>42</v>
      </c>
      <c r="AA598">
        <v>408</v>
      </c>
      <c r="AB598">
        <v>32</v>
      </c>
      <c r="AC598">
        <v>11</v>
      </c>
      <c r="AD598">
        <v>31</v>
      </c>
      <c r="AE598">
        <v>1</v>
      </c>
      <c r="AF598">
        <v>200</v>
      </c>
      <c r="AG598">
        <v>80</v>
      </c>
      <c r="AH598">
        <v>1</v>
      </c>
      <c r="AI598">
        <v>2</v>
      </c>
      <c r="AJ598" t="s">
        <v>11</v>
      </c>
      <c r="AK598">
        <v>2.3809999999999998</v>
      </c>
      <c r="AL598" t="s">
        <v>1888</v>
      </c>
      <c r="AM598" t="s">
        <v>2875</v>
      </c>
      <c r="AN598" t="s">
        <v>2876</v>
      </c>
      <c r="AO598" s="1" t="str">
        <f>HYPERLINK("http://exon.niaid.nih.gov/transcriptome/T_rubida/S1/links/SWISSP/Triru-contig_353-SWISSP.txt","Uncharacterized protein C18E5.01")</f>
        <v>Uncharacterized protein C18E5.01</v>
      </c>
      <c r="AP598" t="str">
        <f>HYPERLINK("http://www.uniprot.org/uniprot/O59681","14")</f>
        <v>14</v>
      </c>
      <c r="AQ598" t="s">
        <v>2877</v>
      </c>
      <c r="AR598">
        <v>28.5</v>
      </c>
      <c r="AS598">
        <v>31</v>
      </c>
      <c r="AT598">
        <v>40</v>
      </c>
      <c r="AU598">
        <v>9</v>
      </c>
      <c r="AV598">
        <v>19</v>
      </c>
      <c r="AW598">
        <v>3</v>
      </c>
      <c r="AX598">
        <v>115</v>
      </c>
      <c r="AY598">
        <v>71</v>
      </c>
      <c r="AZ598">
        <v>1</v>
      </c>
      <c r="BA598">
        <v>2</v>
      </c>
      <c r="BB598" t="s">
        <v>11</v>
      </c>
      <c r="BC598">
        <v>3.226</v>
      </c>
      <c r="BD598" t="s">
        <v>704</v>
      </c>
      <c r="BE598" t="s">
        <v>950</v>
      </c>
      <c r="BF598" t="s">
        <v>2878</v>
      </c>
      <c r="BG598" t="s">
        <v>2879</v>
      </c>
      <c r="BH598" s="1" t="s">
        <v>57</v>
      </c>
      <c r="BI598" t="s">
        <v>57</v>
      </c>
      <c r="BJ598" s="1" t="str">
        <f>HYPERLINK("http://exon.niaid.nih.gov/transcriptome/T_rubida/S1/links/CDD/Triru-contig_353-CDD.txt","COG5096")</f>
        <v>COG5096</v>
      </c>
      <c r="BK598" t="str">
        <f>HYPERLINK("http://www.ncbi.nlm.nih.gov/Structure/cdd/cddsrv.cgi?uid=COG5096&amp;version=v4.0","2.0")</f>
        <v>2.0</v>
      </c>
      <c r="BL598" t="s">
        <v>2880</v>
      </c>
      <c r="BM598" s="1" t="str">
        <f>HYPERLINK("http://exon.niaid.nih.gov/transcriptome/T_rubida/S1/links/KOG/Triru-contig_353-KOG.txt","Uncharacterized conserved protein")</f>
        <v>Uncharacterized conserved protein</v>
      </c>
      <c r="BN598" t="str">
        <f>HYPERLINK("http://www.ncbi.nlm.nih.gov/COG/grace/shokog.cgi?KOG4524","1.5")</f>
        <v>1.5</v>
      </c>
      <c r="BO598" t="s">
        <v>737</v>
      </c>
      <c r="BP598" s="1" t="str">
        <f>HYPERLINK("http://exon.niaid.nih.gov/transcriptome/T_rubida/S1/links/PFAM/Triru-contig_353-PFAM.txt","Transketolase_N")</f>
        <v>Transketolase_N</v>
      </c>
      <c r="BQ598" t="str">
        <f>HYPERLINK("http://pfam.sanger.ac.uk/family?acc=PF00456","0.60")</f>
        <v>0.60</v>
      </c>
      <c r="BR598" s="1" t="str">
        <f>HYPERLINK("http://exon.niaid.nih.gov/transcriptome/T_rubida/S1/links/SMART/Triru-contig_353-SMART.txt","HTH_LUXR")</f>
        <v>HTH_LUXR</v>
      </c>
      <c r="BS598" t="str">
        <f>HYPERLINK("http://smart.embl-heidelberg.de/smart/do_annotation.pl?DOMAIN=HTH_LUXR&amp;BLAST=DUMMY","0.15")</f>
        <v>0.15</v>
      </c>
      <c r="BT598" s="1" t="str">
        <f>HYPERLINK("http://exon.niaid.nih.gov/transcriptome/T_rubida/S1/links/PRK/Triru-contig_353-PRK.txt","NADH dehydrogenase subunit 2")</f>
        <v>NADH dehydrogenase subunit 2</v>
      </c>
      <c r="BU598">
        <v>1.3</v>
      </c>
      <c r="BV598" s="1" t="s">
        <v>57</v>
      </c>
      <c r="BW598" t="s">
        <v>57</v>
      </c>
      <c r="BX598" s="1" t="s">
        <v>57</v>
      </c>
      <c r="BY598" t="s">
        <v>57</v>
      </c>
    </row>
    <row r="599" spans="1:77">
      <c r="A599" t="str">
        <f>HYPERLINK("http://exon.niaid.nih.gov/transcriptome/T_rubida/S1/links/Triru/Triru-contig_343.txt","Triru-contig_343")</f>
        <v>Triru-contig_343</v>
      </c>
      <c r="B599">
        <v>1</v>
      </c>
      <c r="C599" t="str">
        <f>HYPERLINK("http://exon.niaid.nih.gov/transcriptome/T_rubida/S1/links/Triru/Triru-5-48-asb-343.txt","Contig-343")</f>
        <v>Contig-343</v>
      </c>
      <c r="D599" t="str">
        <f>HYPERLINK("http://exon.niaid.nih.gov/transcriptome/T_rubida/S1/links/Triru/Triru-5-48-343-CLU.txt","Contig343")</f>
        <v>Contig343</v>
      </c>
      <c r="E599" t="str">
        <f>HYPERLINK("http://exon.niaid.nih.gov/transcriptome/T_rubida/S1/links/Triru/Triru-5-48-343-qual.txt","57.5")</f>
        <v>57.5</v>
      </c>
      <c r="F599" t="s">
        <v>10</v>
      </c>
      <c r="G599">
        <v>73.599999999999994</v>
      </c>
      <c r="H599" t="s">
        <v>57</v>
      </c>
      <c r="I599" t="s">
        <v>355</v>
      </c>
      <c r="J599" t="s">
        <v>57</v>
      </c>
      <c r="K599">
        <v>208</v>
      </c>
      <c r="L599">
        <v>99</v>
      </c>
      <c r="M599" t="s">
        <v>5447</v>
      </c>
      <c r="N599" s="15">
        <v>3</v>
      </c>
      <c r="Q599" s="5" t="s">
        <v>4827</v>
      </c>
      <c r="R599" t="s">
        <v>4828</v>
      </c>
      <c r="V599" s="1" t="str">
        <f>HYPERLINK("http://exon.niaid.nih.gov/transcriptome/T_rubida/S1/links/NR/Triru-contig_343-NR.txt","putative LPS biosynthesis related glycosyltransferase")</f>
        <v>putative LPS biosynthesis related glycosyltransferase</v>
      </c>
      <c r="W599" t="str">
        <f>HYPERLINK("http://www.ncbi.nlm.nih.gov/sutils/blink.cgi?pid=60682916","74")</f>
        <v>74</v>
      </c>
      <c r="X599" t="str">
        <f>HYPERLINK("http://www.ncbi.nlm.nih.gov/protein/60682916","gi|60682916")</f>
        <v>gi|60682916</v>
      </c>
      <c r="Y599">
        <v>30.8</v>
      </c>
      <c r="Z599">
        <v>27</v>
      </c>
      <c r="AA599">
        <v>351</v>
      </c>
      <c r="AB599">
        <v>42</v>
      </c>
      <c r="AC599">
        <v>8</v>
      </c>
      <c r="AD599">
        <v>16</v>
      </c>
      <c r="AE599">
        <v>0</v>
      </c>
      <c r="AF599">
        <v>177</v>
      </c>
      <c r="AG599">
        <v>123</v>
      </c>
      <c r="AH599">
        <v>1</v>
      </c>
      <c r="AI599">
        <v>3</v>
      </c>
      <c r="AJ599" t="s">
        <v>11</v>
      </c>
      <c r="AL599" t="s">
        <v>2804</v>
      </c>
      <c r="AM599" t="s">
        <v>2805</v>
      </c>
      <c r="AN599" t="s">
        <v>2806</v>
      </c>
      <c r="AO599" s="1" t="str">
        <f>HYPERLINK("http://exon.niaid.nih.gov/transcriptome/T_rubida/S1/links/SWISSP/Triru-contig_343-SWISSP.txt","Putative ZDHHC-type palmitoyltransferase 8")</f>
        <v>Putative ZDHHC-type palmitoyltransferase 8</v>
      </c>
      <c r="AP599" t="str">
        <f>HYPERLINK("http://www.uniprot.org/uniprot/Q54VH7","52")</f>
        <v>52</v>
      </c>
      <c r="AQ599" t="s">
        <v>2807</v>
      </c>
      <c r="AR599">
        <v>26.6</v>
      </c>
      <c r="AS599">
        <v>16</v>
      </c>
      <c r="AT599">
        <v>58</v>
      </c>
      <c r="AU599">
        <v>5</v>
      </c>
      <c r="AV599">
        <v>7</v>
      </c>
      <c r="AW599">
        <v>0</v>
      </c>
      <c r="AX599">
        <v>352</v>
      </c>
      <c r="AY599">
        <v>71</v>
      </c>
      <c r="AZ599">
        <v>1</v>
      </c>
      <c r="BA599">
        <v>2</v>
      </c>
      <c r="BB599" t="s">
        <v>11</v>
      </c>
      <c r="BD599" t="s">
        <v>704</v>
      </c>
      <c r="BE599" t="s">
        <v>918</v>
      </c>
      <c r="BF599" t="s">
        <v>2808</v>
      </c>
      <c r="BG599" t="s">
        <v>2809</v>
      </c>
      <c r="BH599" s="1" t="s">
        <v>57</v>
      </c>
      <c r="BI599" t="s">
        <v>57</v>
      </c>
      <c r="BJ599" s="1" t="str">
        <f>HYPERLINK("http://exon.niaid.nih.gov/transcriptome/T_rubida/S1/links/CDD/Triru-contig_343-CDD.txt","rcsA")</f>
        <v>rcsA</v>
      </c>
      <c r="BK599" t="str">
        <f>HYPERLINK("http://www.ncbi.nlm.nih.gov/Structure/cdd/cddsrv.cgi?uid=PRK15411&amp;version=v4.0","0.33")</f>
        <v>0.33</v>
      </c>
      <c r="BL599" t="s">
        <v>2810</v>
      </c>
      <c r="BM599" s="1" t="str">
        <f>HYPERLINK("http://exon.niaid.nih.gov/transcriptome/T_rubida/S1/links/KOG/Triru-contig_343-KOG.txt","Signaling protein DOCK180")</f>
        <v>Signaling protein DOCK180</v>
      </c>
      <c r="BN599" t="str">
        <f>HYPERLINK("http://www.ncbi.nlm.nih.gov/COG/grace/shokog.cgi?KOG1998","0.42")</f>
        <v>0.42</v>
      </c>
      <c r="BO599" t="s">
        <v>728</v>
      </c>
      <c r="BP599" s="1" t="str">
        <f>HYPERLINK("http://exon.niaid.nih.gov/transcriptome/T_rubida/S1/links/PFAM/Triru-contig_343-PFAM.txt","7TM_GPCR_Srh")</f>
        <v>7TM_GPCR_Srh</v>
      </c>
      <c r="BQ599" t="str">
        <f>HYPERLINK("http://pfam.sanger.ac.uk/family?acc=PF10318","0.17")</f>
        <v>0.17</v>
      </c>
      <c r="BR599" s="1" t="str">
        <f>HYPERLINK("http://exon.niaid.nih.gov/transcriptome/T_rubida/S1/links/SMART/Triru-contig_343-SMART.txt","MYSc")</f>
        <v>MYSc</v>
      </c>
      <c r="BS599" t="str">
        <f>HYPERLINK("http://smart.embl-heidelberg.de/smart/do_annotation.pl?DOMAIN=MYSc&amp;BLAST=DUMMY","0.17")</f>
        <v>0.17</v>
      </c>
      <c r="BT599" s="1" t="str">
        <f>HYPERLINK("http://exon.niaid.nih.gov/transcriptome/T_rubida/S1/links/PRK/Triru-contig_343-PRK.txt","colanic acid capsular biosynthesis activation protein A")</f>
        <v>colanic acid capsular biosynthesis activation protein A</v>
      </c>
      <c r="BU599">
        <v>0.12</v>
      </c>
      <c r="BV599" s="1" t="s">
        <v>57</v>
      </c>
      <c r="BW599" t="s">
        <v>57</v>
      </c>
      <c r="BX599" s="1" t="s">
        <v>57</v>
      </c>
      <c r="BY599" t="s">
        <v>57</v>
      </c>
    </row>
    <row r="600" spans="1:77">
      <c r="A600" t="str">
        <f>HYPERLINK("http://exon.niaid.nih.gov/transcriptome/T_rubida/S1/links/Triru/Triru-contig_525.txt","Triru-contig_525")</f>
        <v>Triru-contig_525</v>
      </c>
      <c r="B600">
        <v>1</v>
      </c>
      <c r="C600" t="str">
        <f>HYPERLINK("http://exon.niaid.nih.gov/transcriptome/T_rubida/S1/links/Triru/Triru-5-48-asb-525.txt","Contig-525")</f>
        <v>Contig-525</v>
      </c>
      <c r="D600" t="str">
        <f>HYPERLINK("http://exon.niaid.nih.gov/transcriptome/T_rubida/S1/links/Triru/Triru-5-48-525-CLU.txt","Contig525")</f>
        <v>Contig525</v>
      </c>
      <c r="E600" t="str">
        <f>HYPERLINK("http://exon.niaid.nih.gov/transcriptome/T_rubida/S1/links/Triru/Triru-5-48-525-qual.txt","65.5")</f>
        <v>65.5</v>
      </c>
      <c r="F600" t="s">
        <v>10</v>
      </c>
      <c r="G600">
        <v>67.400000000000006</v>
      </c>
      <c r="H600">
        <v>371</v>
      </c>
      <c r="I600" t="s">
        <v>537</v>
      </c>
      <c r="J600">
        <v>371</v>
      </c>
      <c r="K600">
        <v>390</v>
      </c>
      <c r="L600">
        <v>129</v>
      </c>
      <c r="M600" t="s">
        <v>5538</v>
      </c>
      <c r="N600" s="15">
        <v>1</v>
      </c>
      <c r="Q600" s="5" t="s">
        <v>4827</v>
      </c>
      <c r="R600" t="s">
        <v>4828</v>
      </c>
      <c r="V600" s="1" t="str">
        <f>HYPERLINK("http://exon.niaid.nih.gov/transcriptome/T_rubida/S1/links/NR/Triru-contig_525-NR.txt","envelope glycoprotein")</f>
        <v>envelope glycoprotein</v>
      </c>
      <c r="W600" t="str">
        <f>HYPERLINK("http://www.ncbi.nlm.nih.gov/sutils/blink.cgi?pid=223018738","74")</f>
        <v>74</v>
      </c>
      <c r="X600" t="str">
        <f>HYPERLINK("http://www.ncbi.nlm.nih.gov/protein/223018738","gi|223018738")</f>
        <v>gi|223018738</v>
      </c>
      <c r="Y600">
        <v>30.8</v>
      </c>
      <c r="Z600">
        <v>37</v>
      </c>
      <c r="AA600">
        <v>371</v>
      </c>
      <c r="AB600">
        <v>39</v>
      </c>
      <c r="AC600">
        <v>10</v>
      </c>
      <c r="AD600">
        <v>23</v>
      </c>
      <c r="AE600">
        <v>0</v>
      </c>
      <c r="AF600">
        <v>233</v>
      </c>
      <c r="AG600">
        <v>223</v>
      </c>
      <c r="AH600">
        <v>1</v>
      </c>
      <c r="AI600">
        <v>1</v>
      </c>
      <c r="AJ600" t="s">
        <v>11</v>
      </c>
      <c r="AL600" t="s">
        <v>4031</v>
      </c>
      <c r="AM600" t="s">
        <v>4032</v>
      </c>
      <c r="AN600" t="s">
        <v>4033</v>
      </c>
      <c r="AO600" s="1" t="str">
        <f>HYPERLINK("http://exon.niaid.nih.gov/transcriptome/T_rubida/S1/links/SWISSP/Triru-contig_525-SWISSP.txt","Formation of crista junctions protein 1")</f>
        <v>Formation of crista junctions protein 1</v>
      </c>
      <c r="AP600" t="str">
        <f>HYPERLINK("http://www.uniprot.org/uniprot/C4YLH0","14")</f>
        <v>14</v>
      </c>
      <c r="AQ600" t="s">
        <v>4034</v>
      </c>
      <c r="AR600">
        <v>28.5</v>
      </c>
      <c r="AS600">
        <v>34</v>
      </c>
      <c r="AT600">
        <v>40</v>
      </c>
      <c r="AU600">
        <v>6</v>
      </c>
      <c r="AV600">
        <v>21</v>
      </c>
      <c r="AW600">
        <v>0</v>
      </c>
      <c r="AX600">
        <v>214</v>
      </c>
      <c r="AY600">
        <v>229</v>
      </c>
      <c r="AZ600">
        <v>1</v>
      </c>
      <c r="BA600">
        <v>1</v>
      </c>
      <c r="BB600" t="s">
        <v>11</v>
      </c>
      <c r="BD600" t="s">
        <v>704</v>
      </c>
      <c r="BE600" t="s">
        <v>4035</v>
      </c>
      <c r="BF600" t="s">
        <v>4036</v>
      </c>
      <c r="BG600" t="s">
        <v>4037</v>
      </c>
      <c r="BH600" s="1" t="s">
        <v>57</v>
      </c>
      <c r="BI600" t="s">
        <v>57</v>
      </c>
      <c r="BJ600" s="1" t="str">
        <f>HYPERLINK("http://exon.niaid.nih.gov/transcriptome/T_rubida/S1/links/CDD/Triru-contig_525-CDD.txt","DUF1977")</f>
        <v>DUF1977</v>
      </c>
      <c r="BK600" t="str">
        <f>HYPERLINK("http://www.ncbi.nlm.nih.gov/Structure/cdd/cddsrv.cgi?uid=pfam09320&amp;version=v4.0","0.43")</f>
        <v>0.43</v>
      </c>
      <c r="BL600" t="s">
        <v>4038</v>
      </c>
      <c r="BM600" s="1" t="str">
        <f>HYPERLINK("http://exon.niaid.nih.gov/transcriptome/T_rubida/S1/links/KOG/Triru-contig_525-KOG.txt","Predicted integral membrane protein")</f>
        <v>Predicted integral membrane protein</v>
      </c>
      <c r="BN600" t="str">
        <f>HYPERLINK("http://www.ncbi.nlm.nih.gov/COG/grace/shokog.cgi?KOG3912","0.48")</f>
        <v>0.48</v>
      </c>
      <c r="BO600" t="s">
        <v>750</v>
      </c>
      <c r="BP600" s="1" t="str">
        <f>HYPERLINK("http://exon.niaid.nih.gov/transcriptome/T_rubida/S1/links/PFAM/Triru-contig_525-PFAM.txt","DUF1977")</f>
        <v>DUF1977</v>
      </c>
      <c r="BQ600" t="str">
        <f>HYPERLINK("http://pfam.sanger.ac.uk/family?acc=PF09320","0.097")</f>
        <v>0.097</v>
      </c>
      <c r="BR600" s="1" t="str">
        <f>HYPERLINK("http://exon.niaid.nih.gov/transcriptome/T_rubida/S1/links/SMART/Triru-contig_525-SMART.txt","CAP10")</f>
        <v>CAP10</v>
      </c>
      <c r="BS600" t="str">
        <f>HYPERLINK("http://smart.embl-heidelberg.de/smart/do_annotation.pl?DOMAIN=CAP10&amp;BLAST=DUMMY","0.64")</f>
        <v>0.64</v>
      </c>
      <c r="BT600" s="1" t="str">
        <f>HYPERLINK("http://exon.niaid.nih.gov/transcriptome/T_rubida/S1/links/PRK/Triru-contig_525-PRK.txt","cytochrome c oxidase subunit III")</f>
        <v>cytochrome c oxidase subunit III</v>
      </c>
      <c r="BU600">
        <v>0.56999999999999995</v>
      </c>
      <c r="BV600" s="1" t="s">
        <v>57</v>
      </c>
      <c r="BW600" t="s">
        <v>57</v>
      </c>
      <c r="BX600" s="1" t="s">
        <v>57</v>
      </c>
      <c r="BY600" t="s">
        <v>57</v>
      </c>
    </row>
    <row r="601" spans="1:77">
      <c r="A601" t="str">
        <f>HYPERLINK("http://exon.niaid.nih.gov/transcriptome/T_rubida/S1/links/Triru/Triru-contig_209.txt","Triru-contig_209")</f>
        <v>Triru-contig_209</v>
      </c>
      <c r="B601">
        <v>1</v>
      </c>
      <c r="C601" t="str">
        <f>HYPERLINK("http://exon.niaid.nih.gov/transcriptome/T_rubida/S1/links/Triru/Triru-5-48-asb-209.txt","Contig-209")</f>
        <v>Contig-209</v>
      </c>
      <c r="D601" t="str">
        <f>HYPERLINK("http://exon.niaid.nih.gov/transcriptome/T_rubida/S1/links/Triru/Triru-5-48-209-CLU.txt","Contig209")</f>
        <v>Contig209</v>
      </c>
      <c r="E601" t="str">
        <f>HYPERLINK("http://exon.niaid.nih.gov/transcriptome/T_rubida/S1/links/Triru/Triru-5-48-209-qual.txt","48.3")</f>
        <v>48.3</v>
      </c>
      <c r="F601">
        <v>1.5</v>
      </c>
      <c r="G601">
        <v>65</v>
      </c>
      <c r="H601">
        <v>118</v>
      </c>
      <c r="I601" t="s">
        <v>221</v>
      </c>
      <c r="J601">
        <v>118</v>
      </c>
      <c r="K601">
        <v>137</v>
      </c>
      <c r="L601">
        <v>135</v>
      </c>
      <c r="M601" t="s">
        <v>5596</v>
      </c>
      <c r="N601" s="15">
        <v>1</v>
      </c>
      <c r="Q601" s="5" t="s">
        <v>4827</v>
      </c>
      <c r="R601" t="s">
        <v>4828</v>
      </c>
      <c r="V601" s="1" t="str">
        <f>HYPERLINK("http://exon.niaid.nih.gov/transcriptome/T_rubida/S1/links/NR/Triru-contig_209-NR.txt","hypothetical protein OsJ_27994")</f>
        <v>hypothetical protein OsJ_27994</v>
      </c>
      <c r="W601" t="str">
        <f>HYPERLINK("http://www.ncbi.nlm.nih.gov/sutils/blink.cgi?pid=222640891","74")</f>
        <v>74</v>
      </c>
      <c r="X601" t="str">
        <f>HYPERLINK("http://www.ncbi.nlm.nih.gov/protein/222640891","gi|222640891")</f>
        <v>gi|222640891</v>
      </c>
      <c r="Y601">
        <v>30.8</v>
      </c>
      <c r="Z601">
        <v>24</v>
      </c>
      <c r="AA601">
        <v>329</v>
      </c>
      <c r="AB601">
        <v>53</v>
      </c>
      <c r="AC601">
        <v>8</v>
      </c>
      <c r="AD601">
        <v>13</v>
      </c>
      <c r="AE601">
        <v>0</v>
      </c>
      <c r="AF601">
        <v>103</v>
      </c>
      <c r="AG601">
        <v>1</v>
      </c>
      <c r="AH601">
        <v>1</v>
      </c>
      <c r="AI601">
        <v>1</v>
      </c>
      <c r="AJ601" t="s">
        <v>11</v>
      </c>
      <c r="AL601" t="s">
        <v>1924</v>
      </c>
      <c r="AM601" t="s">
        <v>1925</v>
      </c>
      <c r="AN601" t="s">
        <v>1903</v>
      </c>
      <c r="AO601" s="1" t="str">
        <f>HYPERLINK("http://exon.niaid.nih.gov/transcriptome/T_rubida/S1/links/SWISSP/Triru-contig_209-SWISSP.txt","Cleavage and polyadenylation specificity factor subunit 1")</f>
        <v>Cleavage and polyadenylation specificity factor subunit 1</v>
      </c>
      <c r="AP601" t="str">
        <f>HYPERLINK("http://www.uniprot.org/uniprot/Q9FGR0","10")</f>
        <v>10</v>
      </c>
      <c r="AQ601" t="s">
        <v>1926</v>
      </c>
      <c r="AR601">
        <v>28.9</v>
      </c>
      <c r="AS601">
        <v>30</v>
      </c>
      <c r="AT601">
        <v>36</v>
      </c>
      <c r="AU601">
        <v>2</v>
      </c>
      <c r="AV601">
        <v>21</v>
      </c>
      <c r="AW601">
        <v>0</v>
      </c>
      <c r="AX601">
        <v>949</v>
      </c>
      <c r="AY601">
        <v>16</v>
      </c>
      <c r="AZ601">
        <v>1</v>
      </c>
      <c r="BA601">
        <v>1</v>
      </c>
      <c r="BB601" t="s">
        <v>11</v>
      </c>
      <c r="BD601" t="s">
        <v>704</v>
      </c>
      <c r="BE601" t="s">
        <v>906</v>
      </c>
      <c r="BF601" t="s">
        <v>1927</v>
      </c>
      <c r="BG601" t="s">
        <v>1928</v>
      </c>
      <c r="BH601" s="1" t="s">
        <v>57</v>
      </c>
      <c r="BI601" t="s">
        <v>57</v>
      </c>
      <c r="BJ601" s="1" t="str">
        <f>HYPERLINK("http://exon.niaid.nih.gov/transcriptome/T_rubida/S1/links/CDD/Triru-contig_209-CDD.txt","SAPA")</f>
        <v>SAPA</v>
      </c>
      <c r="BK601" t="str">
        <f>HYPERLINK("http://www.ncbi.nlm.nih.gov/Structure/cdd/cddsrv.cgi?uid=smart00162&amp;version=v4.0","0.37")</f>
        <v>0.37</v>
      </c>
      <c r="BL601" t="s">
        <v>1929</v>
      </c>
      <c r="BM601" s="1" t="str">
        <f>HYPERLINK("http://exon.niaid.nih.gov/transcriptome/T_rubida/S1/links/KOG/Triru-contig_209-KOG.txt","K+-dependent Ca2+/Na+ exchanger NCKX1 and related proteins")</f>
        <v>K+-dependent Ca2+/Na+ exchanger NCKX1 and related proteins</v>
      </c>
      <c r="BN601" t="str">
        <f>HYPERLINK("http://www.ncbi.nlm.nih.gov/COG/grace/shokog.cgi?KOG1307","5.4")</f>
        <v>5.4</v>
      </c>
      <c r="BO601" t="s">
        <v>720</v>
      </c>
      <c r="BP601" s="1" t="str">
        <f>HYPERLINK("http://exon.niaid.nih.gov/transcriptome/T_rubida/S1/links/PFAM/Triru-contig_209-PFAM.txt","SapA")</f>
        <v>SapA</v>
      </c>
      <c r="BQ601" t="str">
        <f>HYPERLINK("http://pfam.sanger.ac.uk/family?acc=PF02199","0.56")</f>
        <v>0.56</v>
      </c>
      <c r="BR601" s="1" t="str">
        <f>HYPERLINK("http://exon.niaid.nih.gov/transcriptome/T_rubida/S1/links/SMART/Triru-contig_209-SMART.txt","SAPA")</f>
        <v>SAPA</v>
      </c>
      <c r="BS601" t="str">
        <f>HYPERLINK("http://smart.embl-heidelberg.de/smart/do_annotation.pl?DOMAIN=SAPA&amp;BLAST=DUMMY","0.004")</f>
        <v>0.004</v>
      </c>
      <c r="BT601" s="1" t="str">
        <f>HYPERLINK("http://exon.niaid.nih.gov/transcriptome/T_rubida/S1/links/PRK/Triru-contig_209-PRK.txt","NADH dehydrogenase subunit 4")</f>
        <v>NADH dehydrogenase subunit 4</v>
      </c>
      <c r="BU601">
        <v>0.62</v>
      </c>
      <c r="BV601" s="1" t="s">
        <v>57</v>
      </c>
      <c r="BW601" t="s">
        <v>57</v>
      </c>
      <c r="BX601" s="1" t="s">
        <v>57</v>
      </c>
      <c r="BY601" t="s">
        <v>57</v>
      </c>
    </row>
    <row r="602" spans="1:77">
      <c r="A602" t="str">
        <f>HYPERLINK("http://exon.niaid.nih.gov/transcriptome/T_rubida/S1/links/Triru/Triru-contig_140.txt","Triru-contig_140")</f>
        <v>Triru-contig_140</v>
      </c>
      <c r="B602">
        <v>2</v>
      </c>
      <c r="C602" t="str">
        <f>HYPERLINK("http://exon.niaid.nih.gov/transcriptome/T_rubida/S1/links/Triru/Triru-5-48-asb-140.txt","Contig-140")</f>
        <v>Contig-140</v>
      </c>
      <c r="D602" t="str">
        <f>HYPERLINK("http://exon.niaid.nih.gov/transcriptome/T_rubida/S1/links/Triru/Triru-5-48-140-CLU.txt","Contig140")</f>
        <v>Contig140</v>
      </c>
      <c r="E602" t="str">
        <f>HYPERLINK("http://exon.niaid.nih.gov/transcriptome/T_rubida/S1/links/Triru/Triru-5-48-140-qual.txt","72.4")</f>
        <v>72.4</v>
      </c>
      <c r="F602" t="s">
        <v>10</v>
      </c>
      <c r="G602">
        <v>84.5</v>
      </c>
      <c r="H602">
        <v>155</v>
      </c>
      <c r="I602" t="s">
        <v>152</v>
      </c>
      <c r="J602">
        <v>155</v>
      </c>
      <c r="K602">
        <v>174</v>
      </c>
      <c r="L602">
        <v>105</v>
      </c>
      <c r="M602" t="s">
        <v>5627</v>
      </c>
      <c r="N602" s="15">
        <v>3</v>
      </c>
      <c r="Q602" s="5" t="s">
        <v>4827</v>
      </c>
      <c r="R602" t="s">
        <v>4828</v>
      </c>
      <c r="V602" s="1" t="str">
        <f>HYPERLINK("http://exon.niaid.nih.gov/transcriptome/T_rubida/S1/links/NR/Triru-contig_140-NR.txt","conserved Plasmodium protein, unknown function")</f>
        <v>conserved Plasmodium protein, unknown function</v>
      </c>
      <c r="W602" t="str">
        <f>HYPERLINK("http://www.ncbi.nlm.nih.gov/sutils/blink.cgi?pid=258597704","74")</f>
        <v>74</v>
      </c>
      <c r="X602" t="str">
        <f>HYPERLINK("http://www.ncbi.nlm.nih.gov/protein/258597704","gi|258597704")</f>
        <v>gi|258597704</v>
      </c>
      <c r="Y602">
        <v>30.8</v>
      </c>
      <c r="Z602">
        <v>27</v>
      </c>
      <c r="AA602">
        <v>1016</v>
      </c>
      <c r="AB602">
        <v>42</v>
      </c>
      <c r="AC602">
        <v>3</v>
      </c>
      <c r="AD602">
        <v>16</v>
      </c>
      <c r="AE602">
        <v>0</v>
      </c>
      <c r="AF602">
        <v>829</v>
      </c>
      <c r="AG602">
        <v>66</v>
      </c>
      <c r="AH602">
        <v>1</v>
      </c>
      <c r="AI602">
        <v>3</v>
      </c>
      <c r="AJ602" t="s">
        <v>11</v>
      </c>
      <c r="AL602" t="s">
        <v>1103</v>
      </c>
      <c r="AM602" t="s">
        <v>1536</v>
      </c>
      <c r="AN602" t="s">
        <v>1537</v>
      </c>
      <c r="AO602" s="1" t="str">
        <f>HYPERLINK("http://exon.niaid.nih.gov/transcriptome/T_rubida/S1/links/SWISSP/Triru-contig_140-SWISSP.txt","Protein PIEZO1")</f>
        <v>Protein PIEZO1</v>
      </c>
      <c r="AP602" t="str">
        <f>HYPERLINK("http://www.uniprot.org/uniprot/Q92508","52")</f>
        <v>52</v>
      </c>
      <c r="AQ602" t="s">
        <v>1538</v>
      </c>
      <c r="AR602">
        <v>26.6</v>
      </c>
      <c r="AS602">
        <v>19</v>
      </c>
      <c r="AT602">
        <v>50</v>
      </c>
      <c r="AU602">
        <v>1</v>
      </c>
      <c r="AV602">
        <v>10</v>
      </c>
      <c r="AW602">
        <v>0</v>
      </c>
      <c r="AX602">
        <v>603</v>
      </c>
      <c r="AY602">
        <v>81</v>
      </c>
      <c r="AZ602">
        <v>1</v>
      </c>
      <c r="BA602">
        <v>3</v>
      </c>
      <c r="BB602" t="s">
        <v>11</v>
      </c>
      <c r="BD602" t="s">
        <v>704</v>
      </c>
      <c r="BE602" t="s">
        <v>1233</v>
      </c>
      <c r="BF602" t="s">
        <v>1539</v>
      </c>
      <c r="BG602" t="s">
        <v>1540</v>
      </c>
      <c r="BH602" s="1" t="s">
        <v>57</v>
      </c>
      <c r="BI602" t="s">
        <v>57</v>
      </c>
      <c r="BJ602" s="1" t="str">
        <f>HYPERLINK("http://exon.niaid.nih.gov/transcriptome/T_rubida/S1/links/CDD/Triru-contig_140-CDD.txt","ND5")</f>
        <v>ND5</v>
      </c>
      <c r="BK602" t="str">
        <f>HYPERLINK("http://www.ncbi.nlm.nih.gov/Structure/cdd/cddsrv.cgi?uid=MTH00095&amp;version=v4.0","0.89")</f>
        <v>0.89</v>
      </c>
      <c r="BL602" t="s">
        <v>1541</v>
      </c>
      <c r="BM602" s="1" t="str">
        <f>HYPERLINK("http://exon.niaid.nih.gov/transcriptome/T_rubida/S1/links/KOG/Triru-contig_140-KOG.txt","Nuclear receptors of the nerve growth factor-induced protein B type")</f>
        <v>Nuclear receptors of the nerve growth factor-induced protein B type</v>
      </c>
      <c r="BN602" t="str">
        <f>HYPERLINK("http://www.ncbi.nlm.nih.gov/COG/grace/shokog.cgi?KOG4217","0.65")</f>
        <v>0.65</v>
      </c>
      <c r="BO602" t="s">
        <v>790</v>
      </c>
      <c r="BP602" s="1" t="str">
        <f>HYPERLINK("http://exon.niaid.nih.gov/transcriptome/T_rubida/S1/links/PFAM/Triru-contig_140-PFAM.txt","Baculo_ME53")</f>
        <v>Baculo_ME53</v>
      </c>
      <c r="BQ602" t="str">
        <f>HYPERLINK("http://pfam.sanger.ac.uk/family?acc=PF06061","0.70")</f>
        <v>0.70</v>
      </c>
      <c r="BR602" s="1" t="str">
        <f>HYPERLINK("http://exon.niaid.nih.gov/transcriptome/T_rubida/S1/links/SMART/Triru-contig_140-SMART.txt","HOLI")</f>
        <v>HOLI</v>
      </c>
      <c r="BS602" t="str">
        <f>HYPERLINK("http://smart.embl-heidelberg.de/smart/do_annotation.pl?DOMAIN=HOLI&amp;BLAST=DUMMY","0.31")</f>
        <v>0.31</v>
      </c>
      <c r="BT602" s="1" t="str">
        <f>HYPERLINK("http://exon.niaid.nih.gov/transcriptome/T_rubida/S1/links/PRK/Triru-contig_140-PRK.txt","NADH dehydrogenase subunit 5")</f>
        <v>NADH dehydrogenase subunit 5</v>
      </c>
      <c r="BU602">
        <v>0.32</v>
      </c>
      <c r="BV602" s="1" t="s">
        <v>57</v>
      </c>
      <c r="BW602" t="s">
        <v>57</v>
      </c>
      <c r="BX602" s="1" t="s">
        <v>57</v>
      </c>
      <c r="BY602" t="s">
        <v>57</v>
      </c>
    </row>
    <row r="603" spans="1:77">
      <c r="A603" t="str">
        <f>HYPERLINK("http://exon.niaid.nih.gov/transcriptome/T_rubida/S1/links/Triru/Triru-contig_614.txt","Triru-contig_614")</f>
        <v>Triru-contig_614</v>
      </c>
      <c r="B603">
        <v>1</v>
      </c>
      <c r="C603" t="str">
        <f>HYPERLINK("http://exon.niaid.nih.gov/transcriptome/T_rubida/S1/links/Triru/Triru-5-48-asb-614.txt","Contig-614")</f>
        <v>Contig-614</v>
      </c>
      <c r="D603" t="str">
        <f>HYPERLINK("http://exon.niaid.nih.gov/transcriptome/T_rubida/S1/links/Triru/Triru-5-48-614-CLU.txt","Contig614")</f>
        <v>Contig614</v>
      </c>
      <c r="E603" t="str">
        <f>HYPERLINK("http://exon.niaid.nih.gov/transcriptome/T_rubida/S1/links/Triru/Triru-5-48-614-qual.txt","61.2")</f>
        <v>61.2</v>
      </c>
      <c r="F603" t="s">
        <v>10</v>
      </c>
      <c r="G603">
        <v>71.3</v>
      </c>
      <c r="H603">
        <v>225</v>
      </c>
      <c r="I603" t="s">
        <v>626</v>
      </c>
      <c r="J603">
        <v>225</v>
      </c>
      <c r="K603">
        <v>244</v>
      </c>
      <c r="L603">
        <v>105</v>
      </c>
      <c r="M603" t="s">
        <v>5664</v>
      </c>
      <c r="N603" s="15">
        <v>3</v>
      </c>
      <c r="Q603" s="5" t="s">
        <v>4827</v>
      </c>
      <c r="R603" t="s">
        <v>4828</v>
      </c>
      <c r="V603" s="1" t="str">
        <f>HYPERLINK("http://exon.niaid.nih.gov/transcriptome/T_rubida/S1/links/NR/Triru-contig_614-NR.txt","hypothetical protein TTHERM_00009880")</f>
        <v>hypothetical protein TTHERM_00009880</v>
      </c>
      <c r="W603" t="str">
        <f>HYPERLINK("http://www.ncbi.nlm.nih.gov/sutils/blink.cgi?pid=118349782","74")</f>
        <v>74</v>
      </c>
      <c r="X603" t="str">
        <f>HYPERLINK("http://www.ncbi.nlm.nih.gov/protein/118349782","gi|118349782")</f>
        <v>gi|118349782</v>
      </c>
      <c r="Y603">
        <v>30.8</v>
      </c>
      <c r="Z603">
        <v>33</v>
      </c>
      <c r="AA603">
        <v>2721</v>
      </c>
      <c r="AB603">
        <v>32</v>
      </c>
      <c r="AC603">
        <v>1</v>
      </c>
      <c r="AD603">
        <v>23</v>
      </c>
      <c r="AE603">
        <v>0</v>
      </c>
      <c r="AF603">
        <v>209</v>
      </c>
      <c r="AG603">
        <v>99</v>
      </c>
      <c r="AH603">
        <v>1</v>
      </c>
      <c r="AI603">
        <v>3</v>
      </c>
      <c r="AJ603" t="s">
        <v>11</v>
      </c>
      <c r="AL603" t="s">
        <v>2366</v>
      </c>
      <c r="AM603" t="s">
        <v>4584</v>
      </c>
      <c r="AN603" t="s">
        <v>1903</v>
      </c>
      <c r="AO603" s="1" t="str">
        <f>HYPERLINK("http://exon.niaid.nih.gov/transcriptome/T_rubida/S1/links/SWISSP/Triru-contig_614-SWISSP.txt","Uncharacterized immunity region protein 5")</f>
        <v>Uncharacterized immunity region protein 5</v>
      </c>
      <c r="AP603" t="str">
        <f>HYPERLINK("http://www.uniprot.org/uniprot/P10429","11")</f>
        <v>11</v>
      </c>
      <c r="AQ603" t="s">
        <v>4585</v>
      </c>
      <c r="AR603">
        <v>28.9</v>
      </c>
      <c r="AS603">
        <v>22</v>
      </c>
      <c r="AT603">
        <v>52</v>
      </c>
      <c r="AU603">
        <v>17</v>
      </c>
      <c r="AV603">
        <v>11</v>
      </c>
      <c r="AW603">
        <v>0</v>
      </c>
      <c r="AX603">
        <v>99</v>
      </c>
      <c r="AY603">
        <v>25</v>
      </c>
      <c r="AZ603">
        <v>1</v>
      </c>
      <c r="BA603">
        <v>1</v>
      </c>
      <c r="BB603" t="s">
        <v>11</v>
      </c>
      <c r="BD603" t="s">
        <v>704</v>
      </c>
      <c r="BE603" t="s">
        <v>4586</v>
      </c>
      <c r="BF603" t="s">
        <v>4587</v>
      </c>
      <c r="BG603" t="s">
        <v>4588</v>
      </c>
      <c r="BH603" s="1" t="s">
        <v>57</v>
      </c>
      <c r="BI603" t="s">
        <v>57</v>
      </c>
      <c r="BJ603" s="1" t="str">
        <f>HYPERLINK("http://exon.niaid.nih.gov/transcriptome/T_rubida/S1/links/CDD/Triru-contig_614-CDD.txt","PRK07659")</f>
        <v>PRK07659</v>
      </c>
      <c r="BK603" t="str">
        <f>HYPERLINK("http://www.ncbi.nlm.nih.gov/Structure/cdd/cddsrv.cgi?uid=PRK07659&amp;version=v4.0","0.27")</f>
        <v>0.27</v>
      </c>
      <c r="BL603" t="s">
        <v>4589</v>
      </c>
      <c r="BM603" s="1" t="str">
        <f>HYPERLINK("http://exon.niaid.nih.gov/transcriptome/T_rubida/S1/links/KOG/Triru-contig_614-KOG.txt","Predicted DHHC-type Zn-finger protein")</f>
        <v>Predicted DHHC-type Zn-finger protein</v>
      </c>
      <c r="BN603" t="str">
        <f>HYPERLINK("http://www.ncbi.nlm.nih.gov/COG/grace/shokog.cgi?KOG1315","0.59")</f>
        <v>0.59</v>
      </c>
      <c r="BO603" t="s">
        <v>750</v>
      </c>
      <c r="BP603" s="1" t="str">
        <f>HYPERLINK("http://exon.niaid.nih.gov/transcriptome/T_rubida/S1/links/PFAM/Triru-contig_614-PFAM.txt","Glyco_transf_22")</f>
        <v>Glyco_transf_22</v>
      </c>
      <c r="BQ603" t="str">
        <f>HYPERLINK("http://pfam.sanger.ac.uk/family?acc=PF03901","0.17")</f>
        <v>0.17</v>
      </c>
      <c r="BR603" s="1" t="str">
        <f>HYPERLINK("http://exon.niaid.nih.gov/transcriptome/T_rubida/S1/links/SMART/Triru-contig_614-SMART.txt","NRF")</f>
        <v>NRF</v>
      </c>
      <c r="BS603" t="str">
        <f>HYPERLINK("http://smart.embl-heidelberg.de/smart/do_annotation.pl?DOMAIN=NRF&amp;BLAST=DUMMY","0.017")</f>
        <v>0.017</v>
      </c>
      <c r="BT603" s="1" t="str">
        <f>HYPERLINK("http://exon.niaid.nih.gov/transcriptome/T_rubida/S1/links/PRK/Triru-contig_614-PRK.txt","enoyl-CoA hydratase")</f>
        <v>enoyl-CoA hydratase</v>
      </c>
      <c r="BU603">
        <v>9.6000000000000002E-2</v>
      </c>
      <c r="BV603" s="1" t="s">
        <v>57</v>
      </c>
      <c r="BW603" t="s">
        <v>57</v>
      </c>
      <c r="BX603" s="1" t="s">
        <v>57</v>
      </c>
      <c r="BY603" t="s">
        <v>57</v>
      </c>
    </row>
    <row r="604" spans="1:77">
      <c r="A604" t="str">
        <f>HYPERLINK("http://exon.niaid.nih.gov/transcriptome/T_rubida/S1/links/Triru/Triru-contig_184.txt","Triru-contig_184")</f>
        <v>Triru-contig_184</v>
      </c>
      <c r="B604">
        <v>1</v>
      </c>
      <c r="C604" t="str">
        <f>HYPERLINK("http://exon.niaid.nih.gov/transcriptome/T_rubida/S1/links/Triru/Triru-5-48-asb-184.txt","Contig-184")</f>
        <v>Contig-184</v>
      </c>
      <c r="D604" t="str">
        <f>HYPERLINK("http://exon.niaid.nih.gov/transcriptome/T_rubida/S1/links/Triru/Triru-5-48-184-CLU.txt","Contig184")</f>
        <v>Contig184</v>
      </c>
      <c r="E604" t="str">
        <f>HYPERLINK("http://exon.niaid.nih.gov/transcriptome/T_rubida/S1/links/Triru/Triru-5-48-184-qual.txt","58.")</f>
        <v>58.</v>
      </c>
      <c r="F604" t="s">
        <v>10</v>
      </c>
      <c r="G604">
        <v>67.3</v>
      </c>
      <c r="H604">
        <v>143</v>
      </c>
      <c r="I604" t="s">
        <v>196</v>
      </c>
      <c r="J604">
        <v>143</v>
      </c>
      <c r="K604">
        <v>162</v>
      </c>
      <c r="L604">
        <v>141</v>
      </c>
      <c r="M604" t="s">
        <v>5484</v>
      </c>
      <c r="N604" s="15">
        <v>1</v>
      </c>
      <c r="Q604" s="5" t="s">
        <v>4827</v>
      </c>
      <c r="R604" t="s">
        <v>4828</v>
      </c>
      <c r="V604" s="1" t="str">
        <f>HYPERLINK("http://exon.niaid.nih.gov/transcriptome/T_rubida/S1/links/NR/Triru-contig_184-NR.txt","R-phenyllactate dehydratase small subunit")</f>
        <v>R-phenyllactate dehydratase small subunit</v>
      </c>
      <c r="W604" t="str">
        <f>HYPERLINK("http://www.ncbi.nlm.nih.gov/sutils/blink.cgi?pid=118444181","75")</f>
        <v>75</v>
      </c>
      <c r="X604" t="str">
        <f>HYPERLINK("http://www.ncbi.nlm.nih.gov/protein/118444181","gi|118444181")</f>
        <v>gi|118444181</v>
      </c>
      <c r="Y604">
        <v>30.8</v>
      </c>
      <c r="Z604">
        <v>45</v>
      </c>
      <c r="AA604">
        <v>371</v>
      </c>
      <c r="AB604">
        <v>34</v>
      </c>
      <c r="AC604">
        <v>12</v>
      </c>
      <c r="AD604">
        <v>30</v>
      </c>
      <c r="AE604">
        <v>6</v>
      </c>
      <c r="AF604">
        <v>277</v>
      </c>
      <c r="AG604">
        <v>22</v>
      </c>
      <c r="AH604">
        <v>1</v>
      </c>
      <c r="AI604">
        <v>1</v>
      </c>
      <c r="AJ604" t="s">
        <v>11</v>
      </c>
      <c r="AL604" t="s">
        <v>1776</v>
      </c>
      <c r="AM604" t="s">
        <v>1777</v>
      </c>
      <c r="AN604" t="s">
        <v>1778</v>
      </c>
      <c r="AO604" s="1" t="str">
        <f>HYPERLINK("http://exon.niaid.nih.gov/transcriptome/T_rubida/S1/links/SWISSP/Triru-contig_184-SWISSP.txt","Chondroitin sulfate synthase 2")</f>
        <v>Chondroitin sulfate synthase 2</v>
      </c>
      <c r="AP604" t="str">
        <f>HYPERLINK("http://www.uniprot.org/uniprot/Q6IQX7","18")</f>
        <v>18</v>
      </c>
      <c r="AQ604" t="s">
        <v>1779</v>
      </c>
      <c r="AR604">
        <v>28.1</v>
      </c>
      <c r="AS604">
        <v>32</v>
      </c>
      <c r="AT604">
        <v>39</v>
      </c>
      <c r="AU604">
        <v>4</v>
      </c>
      <c r="AV604">
        <v>20</v>
      </c>
      <c r="AW604">
        <v>0</v>
      </c>
      <c r="AX604">
        <v>579</v>
      </c>
      <c r="AY604">
        <v>31</v>
      </c>
      <c r="AZ604">
        <v>1</v>
      </c>
      <c r="BA604">
        <v>1</v>
      </c>
      <c r="BB604" t="s">
        <v>11</v>
      </c>
      <c r="BD604" t="s">
        <v>704</v>
      </c>
      <c r="BE604" t="s">
        <v>807</v>
      </c>
      <c r="BF604" t="s">
        <v>1780</v>
      </c>
      <c r="BG604" t="s">
        <v>1781</v>
      </c>
      <c r="BH604" s="1" t="s">
        <v>57</v>
      </c>
      <c r="BI604" t="s">
        <v>57</v>
      </c>
      <c r="BJ604" s="1" t="str">
        <f>HYPERLINK("http://exon.niaid.nih.gov/transcriptome/T_rubida/S1/links/CDD/Triru-contig_184-CDD.txt","PRK08576")</f>
        <v>PRK08576</v>
      </c>
      <c r="BK604" t="str">
        <f>HYPERLINK("http://www.ncbi.nlm.nih.gov/Structure/cdd/cddsrv.cgi?uid=PRK08576&amp;version=v4.0","1.7")</f>
        <v>1.7</v>
      </c>
      <c r="BL604" t="s">
        <v>1782</v>
      </c>
      <c r="BM604" s="1" t="str">
        <f>HYPERLINK("http://exon.niaid.nih.gov/transcriptome/T_rubida/S1/links/KOG/Triru-contig_184-KOG.txt","eIF2-interacting protein ABC50 (ABC superfamily)")</f>
        <v>eIF2-interacting protein ABC50 (ABC superfamily)</v>
      </c>
      <c r="BN604" t="str">
        <f>HYPERLINK("http://www.ncbi.nlm.nih.gov/COG/grace/shokog.cgi?KOG0066","5.2")</f>
        <v>5.2</v>
      </c>
      <c r="BO604" t="s">
        <v>1185</v>
      </c>
      <c r="BP604" s="1" t="str">
        <f>HYPERLINK("http://exon.niaid.nih.gov/transcriptome/T_rubida/S1/links/PFAM/Triru-contig_184-PFAM.txt","DUF1836")</f>
        <v>DUF1836</v>
      </c>
      <c r="BQ604" t="str">
        <f>HYPERLINK("http://pfam.sanger.ac.uk/family?acc=PF08876","0.50")</f>
        <v>0.50</v>
      </c>
      <c r="BR604" s="1" t="str">
        <f>HYPERLINK("http://exon.niaid.nih.gov/transcriptome/T_rubida/S1/links/SMART/Triru-contig_184-SMART.txt","DEFSN")</f>
        <v>DEFSN</v>
      </c>
      <c r="BS604" t="str">
        <f>HYPERLINK("http://smart.embl-heidelberg.de/smart/do_annotation.pl?DOMAIN=DEFSN&amp;BLAST=DUMMY","0.14")</f>
        <v>0.14</v>
      </c>
      <c r="BT604" s="1" t="str">
        <f>HYPERLINK("http://exon.niaid.nih.gov/transcriptome/T_rubida/S1/links/PRK/Triru-contig_184-PRK.txt","hypothetical protein")</f>
        <v>hypothetical protein</v>
      </c>
      <c r="BU604">
        <v>0.59</v>
      </c>
      <c r="BV604" s="1" t="s">
        <v>57</v>
      </c>
      <c r="BW604" t="s">
        <v>57</v>
      </c>
      <c r="BX604" s="1" t="s">
        <v>57</v>
      </c>
      <c r="BY604" t="s">
        <v>57</v>
      </c>
    </row>
    <row r="605" spans="1:77">
      <c r="A605" t="str">
        <f>HYPERLINK("http://exon.niaid.nih.gov/transcriptome/T_rubida/S1/links/Triru/Triru-contig_479.txt","Triru-contig_479")</f>
        <v>Triru-contig_479</v>
      </c>
      <c r="B605">
        <v>1</v>
      </c>
      <c r="C605" t="str">
        <f>HYPERLINK("http://exon.niaid.nih.gov/transcriptome/T_rubida/S1/links/Triru/Triru-5-48-asb-479.txt","Contig-479")</f>
        <v>Contig-479</v>
      </c>
      <c r="D605" t="str">
        <f>HYPERLINK("http://exon.niaid.nih.gov/transcriptome/T_rubida/S1/links/Triru/Triru-5-48-479-CLU.txt","Contig479")</f>
        <v>Contig479</v>
      </c>
      <c r="E605" t="str">
        <f>HYPERLINK("http://exon.niaid.nih.gov/transcriptome/T_rubida/S1/links/Triru/Triru-5-48-479-qual.txt","60.7")</f>
        <v>60.7</v>
      </c>
      <c r="F605" t="s">
        <v>10</v>
      </c>
      <c r="G605">
        <v>66.8</v>
      </c>
      <c r="H605">
        <v>330</v>
      </c>
      <c r="I605" t="s">
        <v>491</v>
      </c>
      <c r="J605">
        <v>330</v>
      </c>
      <c r="K605">
        <v>349</v>
      </c>
      <c r="L605">
        <v>111</v>
      </c>
      <c r="M605" t="s">
        <v>5597</v>
      </c>
      <c r="N605" s="15">
        <v>2</v>
      </c>
      <c r="Q605" s="5" t="s">
        <v>4827</v>
      </c>
      <c r="R605" t="s">
        <v>4828</v>
      </c>
      <c r="V605" s="1" t="str">
        <f>HYPERLINK("http://exon.niaid.nih.gov/transcriptome/T_rubida/S1/links/NR/Triru-contig_479-NR.txt","hypothetical protein OsJ_32592")</f>
        <v>hypothetical protein OsJ_32592</v>
      </c>
      <c r="W605" t="str">
        <f>HYPERLINK("http://www.ncbi.nlm.nih.gov/sutils/blink.cgi?pid=222613334","75")</f>
        <v>75</v>
      </c>
      <c r="X605" t="str">
        <f>HYPERLINK("http://www.ncbi.nlm.nih.gov/protein/222613334","gi|222613334")</f>
        <v>gi|222613334</v>
      </c>
      <c r="Y605">
        <v>30.8</v>
      </c>
      <c r="Z605">
        <v>31</v>
      </c>
      <c r="AA605">
        <v>706</v>
      </c>
      <c r="AB605">
        <v>43</v>
      </c>
      <c r="AC605">
        <v>5</v>
      </c>
      <c r="AD605">
        <v>18</v>
      </c>
      <c r="AE605">
        <v>0</v>
      </c>
      <c r="AF605">
        <v>591</v>
      </c>
      <c r="AG605">
        <v>128</v>
      </c>
      <c r="AH605">
        <v>1</v>
      </c>
      <c r="AI605">
        <v>2</v>
      </c>
      <c r="AJ605" t="s">
        <v>11</v>
      </c>
      <c r="AK605">
        <v>3.226</v>
      </c>
      <c r="AL605" t="s">
        <v>1924</v>
      </c>
      <c r="AM605" t="s">
        <v>3719</v>
      </c>
      <c r="AN605" t="s">
        <v>3720</v>
      </c>
      <c r="AO605" s="1" t="str">
        <f>HYPERLINK("http://exon.niaid.nih.gov/transcriptome/T_rubida/S1/links/SWISSP/Triru-contig_479-SWISSP.txt","Olfactory receptor 5K4")</f>
        <v>Olfactory receptor 5K4</v>
      </c>
      <c r="AP605" t="str">
        <f>HYPERLINK("http://www.uniprot.org/uniprot/A6NMS3","23")</f>
        <v>23</v>
      </c>
      <c r="AQ605" t="s">
        <v>3721</v>
      </c>
      <c r="AR605">
        <v>27.7</v>
      </c>
      <c r="AS605">
        <v>25</v>
      </c>
      <c r="AT605">
        <v>42</v>
      </c>
      <c r="AU605">
        <v>8</v>
      </c>
      <c r="AV605">
        <v>15</v>
      </c>
      <c r="AW605">
        <v>0</v>
      </c>
      <c r="AX605">
        <v>73</v>
      </c>
      <c r="AY605">
        <v>199</v>
      </c>
      <c r="AZ605">
        <v>1</v>
      </c>
      <c r="BA605">
        <v>1</v>
      </c>
      <c r="BB605" t="s">
        <v>11</v>
      </c>
      <c r="BD605" t="s">
        <v>704</v>
      </c>
      <c r="BE605" t="s">
        <v>1233</v>
      </c>
      <c r="BF605" t="s">
        <v>3722</v>
      </c>
      <c r="BG605" t="s">
        <v>3723</v>
      </c>
      <c r="BH605" s="1" t="s">
        <v>57</v>
      </c>
      <c r="BI605" t="s">
        <v>57</v>
      </c>
      <c r="BJ605" s="1" t="str">
        <f>HYPERLINK("http://exon.niaid.nih.gov/transcriptome/T_rubida/S1/links/CDD/Triru-contig_479-CDD.txt","CLAG")</f>
        <v>CLAG</v>
      </c>
      <c r="BK605" t="str">
        <f>HYPERLINK("http://www.ncbi.nlm.nih.gov/Structure/cdd/cddsrv.cgi?uid=pfam03805&amp;version=v4.0","0.29")</f>
        <v>0.29</v>
      </c>
      <c r="BL605" t="s">
        <v>3724</v>
      </c>
      <c r="BM605" s="1" t="str">
        <f>HYPERLINK("http://exon.niaid.nih.gov/transcriptome/T_rubida/S1/links/KOG/Triru-contig_479-KOG.txt","Predicted K+/H+-antiporter")</f>
        <v>Predicted K+/H+-antiporter</v>
      </c>
      <c r="BN605" t="str">
        <f>HYPERLINK("http://www.ncbi.nlm.nih.gov/COG/grace/shokog.cgi?KOG1650","0.91")</f>
        <v>0.91</v>
      </c>
      <c r="BO605" t="s">
        <v>849</v>
      </c>
      <c r="BP605" s="1" t="str">
        <f>HYPERLINK("http://exon.niaid.nih.gov/transcriptome/T_rubida/S1/links/PFAM/Triru-contig_479-PFAM.txt","CLAG")</f>
        <v>CLAG</v>
      </c>
      <c r="BQ605" t="str">
        <f>HYPERLINK("http://pfam.sanger.ac.uk/family?acc=PF03805","0.063")</f>
        <v>0.063</v>
      </c>
      <c r="BR605" s="1" t="str">
        <f>HYPERLINK("http://exon.niaid.nih.gov/transcriptome/T_rubida/S1/links/SMART/Triru-contig_479-SMART.txt","TLC")</f>
        <v>TLC</v>
      </c>
      <c r="BS605" t="str">
        <f>HYPERLINK("http://smart.embl-heidelberg.de/smart/do_annotation.pl?DOMAIN=TLC&amp;BLAST=DUMMY","0.32")</f>
        <v>0.32</v>
      </c>
      <c r="BT605" s="1" t="str">
        <f>HYPERLINK("http://exon.niaid.nih.gov/transcriptome/T_rubida/S1/links/PRK/Triru-contig_479-PRK.txt","putative replication initiation protein.")</f>
        <v>putative replication initiation protein.</v>
      </c>
      <c r="BU605">
        <v>0.2</v>
      </c>
      <c r="BV605" s="1" t="s">
        <v>57</v>
      </c>
      <c r="BW605" t="s">
        <v>57</v>
      </c>
      <c r="BX605" s="1" t="s">
        <v>57</v>
      </c>
      <c r="BY605" t="s">
        <v>57</v>
      </c>
    </row>
    <row r="606" spans="1:77">
      <c r="A606" t="str">
        <f>HYPERLINK("http://exon.niaid.nih.gov/transcriptome/T_rubida/S1/links/Triru/Triru-contig_213.txt","Triru-contig_213")</f>
        <v>Triru-contig_213</v>
      </c>
      <c r="B606">
        <v>1</v>
      </c>
      <c r="C606" t="str">
        <f>HYPERLINK("http://exon.niaid.nih.gov/transcriptome/T_rubida/S1/links/Triru/Triru-5-48-asb-213.txt","Contig-213")</f>
        <v>Contig-213</v>
      </c>
      <c r="D606" t="str">
        <f>HYPERLINK("http://exon.niaid.nih.gov/transcriptome/T_rubida/S1/links/Triru/Triru-5-48-213-CLU.txt","Contig213")</f>
        <v>Contig213</v>
      </c>
      <c r="E606" t="str">
        <f>HYPERLINK("http://exon.niaid.nih.gov/transcriptome/T_rubida/S1/links/Triru/Triru-5-48-213-qual.txt","62.4")</f>
        <v>62.4</v>
      </c>
      <c r="F606" t="s">
        <v>10</v>
      </c>
      <c r="G606">
        <v>66.8</v>
      </c>
      <c r="H606">
        <v>183</v>
      </c>
      <c r="I606" t="s">
        <v>225</v>
      </c>
      <c r="J606">
        <v>183</v>
      </c>
      <c r="K606">
        <v>202</v>
      </c>
      <c r="L606">
        <v>108</v>
      </c>
      <c r="M606" t="s">
        <v>5611</v>
      </c>
      <c r="N606" s="15">
        <v>1</v>
      </c>
      <c r="Q606" s="5" t="s">
        <v>4827</v>
      </c>
      <c r="R606" t="s">
        <v>4828</v>
      </c>
      <c r="V606" s="1" t="str">
        <f>HYPERLINK("http://exon.niaid.nih.gov/transcriptome/T_rubida/S1/links/NR/Triru-contig_213-NR.txt","hypothetical protein HPODL_2720")</f>
        <v>hypothetical protein HPODL_2720</v>
      </c>
      <c r="W606" t="str">
        <f>HYPERLINK("http://www.ncbi.nlm.nih.gov/sutils/blink.cgi?pid=320581165","75")</f>
        <v>75</v>
      </c>
      <c r="X606" t="str">
        <f>HYPERLINK("http://www.ncbi.nlm.nih.gov/protein/320581165","gi|320581165")</f>
        <v>gi|320581165</v>
      </c>
      <c r="Y606">
        <v>30.8</v>
      </c>
      <c r="Z606">
        <v>30</v>
      </c>
      <c r="AA606">
        <v>506</v>
      </c>
      <c r="AB606">
        <v>45</v>
      </c>
      <c r="AC606">
        <v>6</v>
      </c>
      <c r="AD606">
        <v>19</v>
      </c>
      <c r="AE606">
        <v>0</v>
      </c>
      <c r="AF606">
        <v>168</v>
      </c>
      <c r="AG606">
        <v>73</v>
      </c>
      <c r="AH606">
        <v>1</v>
      </c>
      <c r="AI606">
        <v>1</v>
      </c>
      <c r="AJ606" t="s">
        <v>11</v>
      </c>
      <c r="AK606">
        <v>3.3330000000000002</v>
      </c>
      <c r="AL606" t="s">
        <v>1945</v>
      </c>
      <c r="AM606" t="s">
        <v>1946</v>
      </c>
      <c r="AN606" t="s">
        <v>1903</v>
      </c>
      <c r="AO606" s="1" t="str">
        <f>HYPERLINK("http://exon.niaid.nih.gov/transcriptome/T_rubida/S1/links/SWISSP/Triru-contig_213-SWISSP.txt","Cytosolic carboxypeptidase 1")</f>
        <v>Cytosolic carboxypeptidase 1</v>
      </c>
      <c r="AP606" t="str">
        <f>HYPERLINK("http://www.uniprot.org/uniprot/A9JRL3","40")</f>
        <v>40</v>
      </c>
      <c r="AQ606" t="s">
        <v>1947</v>
      </c>
      <c r="AR606">
        <v>26.9</v>
      </c>
      <c r="AS606">
        <v>26</v>
      </c>
      <c r="AT606">
        <v>37</v>
      </c>
      <c r="AU606">
        <v>2</v>
      </c>
      <c r="AV606">
        <v>17</v>
      </c>
      <c r="AW606">
        <v>0</v>
      </c>
      <c r="AX606">
        <v>172</v>
      </c>
      <c r="AY606">
        <v>98</v>
      </c>
      <c r="AZ606">
        <v>1</v>
      </c>
      <c r="BA606">
        <v>2</v>
      </c>
      <c r="BB606" t="s">
        <v>11</v>
      </c>
      <c r="BC606">
        <v>3.8460000000000001</v>
      </c>
      <c r="BD606" t="s">
        <v>704</v>
      </c>
      <c r="BE606" t="s">
        <v>1948</v>
      </c>
      <c r="BF606" t="s">
        <v>1949</v>
      </c>
      <c r="BG606" t="s">
        <v>1950</v>
      </c>
      <c r="BH606" s="1" t="s">
        <v>57</v>
      </c>
      <c r="BI606" t="s">
        <v>57</v>
      </c>
      <c r="BJ606" s="1" t="str">
        <f>HYPERLINK("http://exon.niaid.nih.gov/transcriptome/T_rubida/S1/links/CDD/Triru-contig_213-CDD.txt","Peptidases_S8_1")</f>
        <v>Peptidases_S8_1</v>
      </c>
      <c r="BK606" t="str">
        <f>HYPERLINK("http://www.ncbi.nlm.nih.gov/Structure/cdd/cddsrv.cgi?uid=cd04843&amp;version=v4.0","2.8")</f>
        <v>2.8</v>
      </c>
      <c r="BL606" t="s">
        <v>1951</v>
      </c>
      <c r="BM606" s="1" t="str">
        <f>HYPERLINK("http://exon.niaid.nih.gov/transcriptome/T_rubida/S1/links/KOG/Triru-contig_213-KOG.txt","Vesicle coat complex COPI, alpha subunit")</f>
        <v>Vesicle coat complex COPI, alpha subunit</v>
      </c>
      <c r="BN606" t="str">
        <f>HYPERLINK("http://www.ncbi.nlm.nih.gov/COG/grace/shokog.cgi?KOG0292","0.13")</f>
        <v>0.13</v>
      </c>
      <c r="BO606" t="s">
        <v>1082</v>
      </c>
      <c r="BP606" s="1" t="str">
        <f>HYPERLINK("http://exon.niaid.nih.gov/transcriptome/T_rubida/S1/links/PFAM/Triru-contig_213-PFAM.txt","Herpes_UL31")</f>
        <v>Herpes_UL31</v>
      </c>
      <c r="BQ606" t="str">
        <f>HYPERLINK("http://pfam.sanger.ac.uk/family?acc=PF02718","0.79")</f>
        <v>0.79</v>
      </c>
      <c r="BR606" s="1" t="str">
        <f>HYPERLINK("http://exon.niaid.nih.gov/transcriptome/T_rubida/S1/links/SMART/Triru-contig_213-SMART.txt","RPOLD")</f>
        <v>RPOLD</v>
      </c>
      <c r="BS606" t="str">
        <f>HYPERLINK("http://smart.embl-heidelberg.de/smart/do_annotation.pl?DOMAIN=RPOLD&amp;BLAST=DUMMY","0.25")</f>
        <v>0.25</v>
      </c>
      <c r="BT606" s="1" t="str">
        <f>HYPERLINK("http://exon.niaid.nih.gov/transcriptome/T_rubida/S1/links/PRK/Triru-contig_213-PRK.txt","proliferating cell nuclear antigen")</f>
        <v>proliferating cell nuclear antigen</v>
      </c>
      <c r="BU606">
        <v>2.5</v>
      </c>
      <c r="BV606" s="1" t="s">
        <v>57</v>
      </c>
      <c r="BW606" t="s">
        <v>57</v>
      </c>
      <c r="BX606" s="1" t="s">
        <v>57</v>
      </c>
      <c r="BY606" t="s">
        <v>57</v>
      </c>
    </row>
    <row r="607" spans="1:77">
      <c r="A607" t="str">
        <f>HYPERLINK("http://exon.niaid.nih.gov/transcriptome/T_rubida/S1/links/Triru/Triru-contig_293.txt","Triru-contig_293")</f>
        <v>Triru-contig_293</v>
      </c>
      <c r="B607">
        <v>1</v>
      </c>
      <c r="C607" t="str">
        <f>HYPERLINK("http://exon.niaid.nih.gov/transcriptome/T_rubida/S1/links/Triru/Triru-5-48-asb-293.txt","Contig-293")</f>
        <v>Contig-293</v>
      </c>
      <c r="D607" t="str">
        <f>HYPERLINK("http://exon.niaid.nih.gov/transcriptome/T_rubida/S1/links/Triru/Triru-5-48-293-CLU.txt","Contig293")</f>
        <v>Contig293</v>
      </c>
      <c r="E607" t="str">
        <f>HYPERLINK("http://exon.niaid.nih.gov/transcriptome/T_rubida/S1/links/Triru/Triru-5-48-293-qual.txt","41.")</f>
        <v>41.</v>
      </c>
      <c r="F607" t="s">
        <v>10</v>
      </c>
      <c r="G607">
        <v>70.5</v>
      </c>
      <c r="H607">
        <v>829</v>
      </c>
      <c r="I607" t="s">
        <v>305</v>
      </c>
      <c r="J607">
        <v>829</v>
      </c>
      <c r="K607">
        <v>848</v>
      </c>
      <c r="L607">
        <v>165</v>
      </c>
      <c r="M607" t="s">
        <v>5488</v>
      </c>
      <c r="N607" s="15">
        <v>2</v>
      </c>
      <c r="Q607" s="5" t="s">
        <v>4827</v>
      </c>
      <c r="R607" t="s">
        <v>4828</v>
      </c>
      <c r="V607" s="1" t="str">
        <f>HYPERLINK("http://exon.niaid.nih.gov/transcriptome/T_rubida/S1/links/NR/Triru-contig_293-NR.txt","ENSANGP00000021996")</f>
        <v>ENSANGP00000021996</v>
      </c>
      <c r="W607" t="str">
        <f>HYPERLINK("http://www.ncbi.nlm.nih.gov/sutils/blink.cgi?pid=67604583","90")</f>
        <v>90</v>
      </c>
      <c r="X607" t="str">
        <f>HYPERLINK("http://www.ncbi.nlm.nih.gov/protein/67604583","gi|67604583")</f>
        <v>gi|67604583</v>
      </c>
      <c r="Y607">
        <v>32.299999999999997</v>
      </c>
      <c r="Z607">
        <v>52</v>
      </c>
      <c r="AA607">
        <v>1280</v>
      </c>
      <c r="AB607">
        <v>37</v>
      </c>
      <c r="AC607">
        <v>4</v>
      </c>
      <c r="AD607">
        <v>33</v>
      </c>
      <c r="AE607">
        <v>3</v>
      </c>
      <c r="AF607">
        <v>766</v>
      </c>
      <c r="AG607">
        <v>366</v>
      </c>
      <c r="AH607">
        <v>1</v>
      </c>
      <c r="AI607">
        <v>3</v>
      </c>
      <c r="AJ607" t="s">
        <v>11</v>
      </c>
      <c r="AK607">
        <v>1.923</v>
      </c>
      <c r="AL607" t="s">
        <v>2456</v>
      </c>
      <c r="AM607" t="s">
        <v>2457</v>
      </c>
      <c r="AN607" t="s">
        <v>57</v>
      </c>
      <c r="AO607" s="1" t="str">
        <f>HYPERLINK("http://exon.niaid.nih.gov/transcriptome/T_rubida/S1/links/SWISSP/Triru-contig_293-SWISSP.txt","Envelope glycoprotein gp160")</f>
        <v>Envelope glycoprotein gp160</v>
      </c>
      <c r="AP607" t="str">
        <f>HYPERLINK("http://www.uniprot.org/uniprot/Q9WC60","21")</f>
        <v>21</v>
      </c>
      <c r="AQ607" t="s">
        <v>2458</v>
      </c>
      <c r="AR607">
        <v>30</v>
      </c>
      <c r="AS607">
        <v>37</v>
      </c>
      <c r="AT607">
        <v>44</v>
      </c>
      <c r="AU607">
        <v>4</v>
      </c>
      <c r="AV607">
        <v>21</v>
      </c>
      <c r="AW607">
        <v>0</v>
      </c>
      <c r="AX607">
        <v>110</v>
      </c>
      <c r="AY607">
        <v>439</v>
      </c>
      <c r="AZ607">
        <v>1</v>
      </c>
      <c r="BA607">
        <v>1</v>
      </c>
      <c r="BB607" t="s">
        <v>11</v>
      </c>
      <c r="BC607">
        <v>5.4050000000000002</v>
      </c>
      <c r="BD607" t="s">
        <v>704</v>
      </c>
      <c r="BE607" t="s">
        <v>2459</v>
      </c>
      <c r="BF607" t="s">
        <v>2460</v>
      </c>
      <c r="BG607" t="s">
        <v>2461</v>
      </c>
      <c r="BH607" s="1" t="s">
        <v>57</v>
      </c>
      <c r="BI607" t="s">
        <v>57</v>
      </c>
      <c r="BJ607" s="1" t="str">
        <f>HYPERLINK("http://exon.niaid.nih.gov/transcriptome/T_rubida/S1/links/CDD/Triru-contig_293-CDD.txt","PRK05904")</f>
        <v>PRK05904</v>
      </c>
      <c r="BK607" t="str">
        <f>HYPERLINK("http://www.ncbi.nlm.nih.gov/Structure/cdd/cddsrv.cgi?uid=PRK05904&amp;version=v4.0","1.1")</f>
        <v>1.1</v>
      </c>
      <c r="BL607" t="s">
        <v>2462</v>
      </c>
      <c r="BM607" s="1" t="str">
        <f>HYPERLINK("http://exon.niaid.nih.gov/transcriptome/T_rubida/S1/links/KOG/Triru-contig_293-KOG.txt","Transport protein particle (TRAPP) complex subunit")</f>
        <v>Transport protein particle (TRAPP) complex subunit</v>
      </c>
      <c r="BN607" t="str">
        <f>HYPERLINK("http://www.ncbi.nlm.nih.gov/COG/grace/shokog.cgi?KOG3316","2.9")</f>
        <v>2.9</v>
      </c>
      <c r="BO607" t="s">
        <v>1082</v>
      </c>
      <c r="BP607" s="1" t="str">
        <f>HYPERLINK("http://exon.niaid.nih.gov/transcriptome/T_rubida/S1/links/PFAM/Triru-contig_293-PFAM.txt","DUF845")</f>
        <v>DUF845</v>
      </c>
      <c r="BQ607" t="str">
        <f>HYPERLINK("http://pfam.sanger.ac.uk/family?acc=PF05820","0.34")</f>
        <v>0.34</v>
      </c>
      <c r="BR607" s="1" t="str">
        <f>HYPERLINK("http://exon.niaid.nih.gov/transcriptome/T_rubida/S1/links/SMART/Triru-contig_293-SMART.txt","LU")</f>
        <v>LU</v>
      </c>
      <c r="BS607" t="str">
        <f>HYPERLINK("http://smart.embl-heidelberg.de/smart/do_annotation.pl?DOMAIN=LU&amp;BLAST=DUMMY","0.40")</f>
        <v>0.40</v>
      </c>
      <c r="BT607" s="1" t="str">
        <f>HYPERLINK("http://exon.niaid.nih.gov/transcriptome/T_rubida/S1/links/PRK/Triru-contig_293-PRK.txt","coproporphyrinogen III oxidase")</f>
        <v>coproporphyrinogen III oxidase</v>
      </c>
      <c r="BU607">
        <v>0.5</v>
      </c>
      <c r="BV607" s="1" t="s">
        <v>57</v>
      </c>
      <c r="BW607" t="s">
        <v>57</v>
      </c>
      <c r="BX607" s="1" t="s">
        <v>57</v>
      </c>
      <c r="BY607" t="s">
        <v>57</v>
      </c>
    </row>
    <row r="608" spans="1:77">
      <c r="A608" t="str">
        <f>HYPERLINK("http://exon.niaid.nih.gov/transcriptome/T_rubida/S1/links/Triru/Triru-contig_289.txt","Triru-contig_289")</f>
        <v>Triru-contig_289</v>
      </c>
      <c r="B608">
        <v>1</v>
      </c>
      <c r="C608" t="str">
        <f>HYPERLINK("http://exon.niaid.nih.gov/transcriptome/T_rubida/S1/links/Triru/Triru-5-48-asb-289.txt","Contig-289")</f>
        <v>Contig-289</v>
      </c>
      <c r="D608" t="str">
        <f>HYPERLINK("http://exon.niaid.nih.gov/transcriptome/T_rubida/S1/links/Triru/Triru-5-48-289-CLU.txt","Contig289")</f>
        <v>Contig289</v>
      </c>
      <c r="E608" t="str">
        <f>HYPERLINK("http://exon.niaid.nih.gov/transcriptome/T_rubida/S1/links/Triru/Triru-5-48-289-qual.txt","55.5")</f>
        <v>55.5</v>
      </c>
      <c r="F608" t="s">
        <v>10</v>
      </c>
      <c r="G608">
        <v>73.3</v>
      </c>
      <c r="H608">
        <v>203</v>
      </c>
      <c r="I608" t="s">
        <v>301</v>
      </c>
      <c r="J608">
        <v>224</v>
      </c>
      <c r="K608">
        <v>243</v>
      </c>
      <c r="L608">
        <v>75</v>
      </c>
      <c r="M608" t="s">
        <v>5444</v>
      </c>
      <c r="N608" s="15">
        <v>2</v>
      </c>
      <c r="Q608" s="5" t="s">
        <v>4827</v>
      </c>
      <c r="R608" t="s">
        <v>4828</v>
      </c>
      <c r="V608" s="1" t="str">
        <f>HYPERLINK("http://exon.niaid.nih.gov/transcriptome/T_rubida/S1/links/NR/Triru-contig_289-NR.txt","Serine/threonine-protein phosphatase PP-Z2")</f>
        <v>Serine/threonine-protein phosphatase PP-Z2</v>
      </c>
      <c r="W608" t="str">
        <f>HYPERLINK("http://www.ncbi.nlm.nih.gov/sutils/blink.cgi?pid=324522964","97")</f>
        <v>97</v>
      </c>
      <c r="X608" t="str">
        <f>HYPERLINK("http://www.ncbi.nlm.nih.gov/protein/324522964","gi|324522964")</f>
        <v>gi|324522964</v>
      </c>
      <c r="Y608">
        <v>30.4</v>
      </c>
      <c r="Z608">
        <v>21</v>
      </c>
      <c r="AA608">
        <v>273</v>
      </c>
      <c r="AB608">
        <v>45</v>
      </c>
      <c r="AC608">
        <v>8</v>
      </c>
      <c r="AD608">
        <v>12</v>
      </c>
      <c r="AE608">
        <v>0</v>
      </c>
      <c r="AF608">
        <v>238</v>
      </c>
      <c r="AG608">
        <v>2</v>
      </c>
      <c r="AH608">
        <v>1</v>
      </c>
      <c r="AI608">
        <v>2</v>
      </c>
      <c r="AJ608" t="s">
        <v>11</v>
      </c>
      <c r="AL608" t="s">
        <v>1704</v>
      </c>
      <c r="AM608" t="s">
        <v>2428</v>
      </c>
      <c r="AN608" t="s">
        <v>2429</v>
      </c>
      <c r="AO608" s="1" t="str">
        <f>HYPERLINK("http://exon.niaid.nih.gov/transcriptome/T_rubida/S1/links/SWISSP/Triru-contig_289-SWISSP.txt","Probable serine/threonine-protein kinase DDB_G0267514")</f>
        <v>Probable serine/threonine-protein kinase DDB_G0267514</v>
      </c>
      <c r="AP608" t="str">
        <f>HYPERLINK("http://www.uniprot.org/uniprot/Q55GU0","68")</f>
        <v>68</v>
      </c>
      <c r="AQ608" t="s">
        <v>2430</v>
      </c>
      <c r="AR608">
        <v>26.2</v>
      </c>
      <c r="AS608">
        <v>57</v>
      </c>
      <c r="AT608">
        <v>31</v>
      </c>
      <c r="AU608">
        <v>6</v>
      </c>
      <c r="AV608">
        <v>40</v>
      </c>
      <c r="AW608">
        <v>2</v>
      </c>
      <c r="AX608">
        <v>4</v>
      </c>
      <c r="AY608">
        <v>11</v>
      </c>
      <c r="AZ608">
        <v>1</v>
      </c>
      <c r="BA608">
        <v>2</v>
      </c>
      <c r="BB608" t="s">
        <v>11</v>
      </c>
      <c r="BC608">
        <v>5.2629999999999999</v>
      </c>
      <c r="BD608" t="s">
        <v>704</v>
      </c>
      <c r="BE608" t="s">
        <v>918</v>
      </c>
      <c r="BF608" t="s">
        <v>2431</v>
      </c>
      <c r="BG608" t="s">
        <v>2432</v>
      </c>
      <c r="BH608" s="1" t="s">
        <v>57</v>
      </c>
      <c r="BI608" t="s">
        <v>57</v>
      </c>
      <c r="BJ608" s="1" t="str">
        <f>HYPERLINK("http://exon.niaid.nih.gov/transcriptome/T_rubida/S1/links/CDD/Triru-contig_289-CDD.txt","CYTB")</f>
        <v>CYTB</v>
      </c>
      <c r="BK608" t="str">
        <f>HYPERLINK("http://www.ncbi.nlm.nih.gov/Structure/cdd/cddsrv.cgi?uid=MTH00074&amp;version=v4.0","0.30")</f>
        <v>0.30</v>
      </c>
      <c r="BL608" t="s">
        <v>2433</v>
      </c>
      <c r="BM608" s="1" t="str">
        <f>HYPERLINK("http://exon.niaid.nih.gov/transcriptome/T_rubida/S1/links/KOG/Triru-contig_289-KOG.txt","Mannosyltransferase")</f>
        <v>Mannosyltransferase</v>
      </c>
      <c r="BN608" t="str">
        <f>HYPERLINK("http://www.ncbi.nlm.nih.gov/COG/grace/shokog.cgi?KOG2515","0.25")</f>
        <v>0.25</v>
      </c>
      <c r="BO608" t="s">
        <v>2434</v>
      </c>
      <c r="BP608" s="1" t="str">
        <f>HYPERLINK("http://exon.niaid.nih.gov/transcriptome/T_rubida/S1/links/PFAM/Triru-contig_289-PFAM.txt","YMF19")</f>
        <v>YMF19</v>
      </c>
      <c r="BQ608" t="str">
        <f>HYPERLINK("http://pfam.sanger.ac.uk/family?acc=PF02326","0.10")</f>
        <v>0.10</v>
      </c>
      <c r="BR608" s="1" t="str">
        <f>HYPERLINK("http://exon.niaid.nih.gov/transcriptome/T_rubida/S1/links/SMART/Triru-contig_289-SMART.txt","PSN")</f>
        <v>PSN</v>
      </c>
      <c r="BS608" t="str">
        <f>HYPERLINK("http://smart.embl-heidelberg.de/smart/do_annotation.pl?DOMAIN=PSN&amp;BLAST=DUMMY","0.10")</f>
        <v>0.10</v>
      </c>
      <c r="BT608" s="1" t="str">
        <f>HYPERLINK("http://exon.niaid.nih.gov/transcriptome/T_rubida/S1/links/PRK/Triru-contig_289-PRK.txt","cytochrome b")</f>
        <v>cytochrome b</v>
      </c>
      <c r="BU608">
        <v>0.11</v>
      </c>
      <c r="BV608" s="1" t="s">
        <v>57</v>
      </c>
      <c r="BW608" t="s">
        <v>57</v>
      </c>
      <c r="BX608" s="1" t="s">
        <v>57</v>
      </c>
      <c r="BY608" t="s">
        <v>57</v>
      </c>
    </row>
    <row r="609" spans="1:77">
      <c r="A609" t="str">
        <f>HYPERLINK("http://exon.niaid.nih.gov/transcriptome/T_rubida/S1/links/Triru/Triru-contig_493.txt","Triru-contig_493")</f>
        <v>Triru-contig_493</v>
      </c>
      <c r="B609">
        <v>1</v>
      </c>
      <c r="C609" t="str">
        <f>HYPERLINK("http://exon.niaid.nih.gov/transcriptome/T_rubida/S1/links/Triru/Triru-5-48-asb-493.txt","Contig-493")</f>
        <v>Contig-493</v>
      </c>
      <c r="D609" t="str">
        <f>HYPERLINK("http://exon.niaid.nih.gov/transcriptome/T_rubida/S1/links/Triru/Triru-5-48-493-CLU.txt","Contig493")</f>
        <v>Contig493</v>
      </c>
      <c r="E609" t="str">
        <f>HYPERLINK("http://exon.niaid.nih.gov/transcriptome/T_rubida/S1/links/Triru/Triru-5-48-493-qual.txt","64.4")</f>
        <v>64.4</v>
      </c>
      <c r="F609" t="s">
        <v>10</v>
      </c>
      <c r="G609">
        <v>68.3</v>
      </c>
      <c r="H609">
        <v>252</v>
      </c>
      <c r="I609" t="s">
        <v>505</v>
      </c>
      <c r="J609">
        <v>252</v>
      </c>
      <c r="K609">
        <v>271</v>
      </c>
      <c r="L609">
        <v>150</v>
      </c>
      <c r="M609" t="s">
        <v>5671</v>
      </c>
      <c r="N609" s="15">
        <v>1</v>
      </c>
      <c r="Q609" s="5" t="s">
        <v>4827</v>
      </c>
      <c r="R609" t="s">
        <v>4828</v>
      </c>
      <c r="V609" s="1" t="str">
        <f>HYPERLINK("http://exon.niaid.nih.gov/transcriptome/T_rubida/S1/links/NR/Triru-contig_493-NR.txt","Mn2+dependent serine/threonine protein kinase")</f>
        <v>Mn2+dependent serine/threonine protein kinase</v>
      </c>
      <c r="W609" t="str">
        <f>HYPERLINK("http://www.ncbi.nlm.nih.gov/sutils/blink.cgi?pid=289207502","97")</f>
        <v>97</v>
      </c>
      <c r="X609" t="str">
        <f>HYPERLINK("http://www.ncbi.nlm.nih.gov/protein/289207502","gi|289207502")</f>
        <v>gi|289207502</v>
      </c>
      <c r="Y609">
        <v>30.4</v>
      </c>
      <c r="Z609">
        <v>47</v>
      </c>
      <c r="AA609">
        <v>278</v>
      </c>
      <c r="AB609">
        <v>41</v>
      </c>
      <c r="AC609">
        <v>17</v>
      </c>
      <c r="AD609">
        <v>28</v>
      </c>
      <c r="AE609">
        <v>1</v>
      </c>
      <c r="AF609">
        <v>227</v>
      </c>
      <c r="AG609">
        <v>16</v>
      </c>
      <c r="AH609">
        <v>1</v>
      </c>
      <c r="AI609">
        <v>1</v>
      </c>
      <c r="AJ609" t="s">
        <v>11</v>
      </c>
      <c r="AK609">
        <v>2.1280000000000001</v>
      </c>
      <c r="AL609" t="s">
        <v>3819</v>
      </c>
      <c r="AM609" t="s">
        <v>3820</v>
      </c>
      <c r="AN609" t="s">
        <v>3821</v>
      </c>
      <c r="AO609" s="1" t="str">
        <f>HYPERLINK("http://exon.niaid.nih.gov/transcriptome/T_rubida/S1/links/SWISSP/Triru-contig_493-SWISSP.txt","Queuine tRNA-ribosyltransferase subunit QTRTD1")</f>
        <v>Queuine tRNA-ribosyltransferase subunit QTRTD1</v>
      </c>
      <c r="AP609" t="str">
        <f>HYPERLINK("http://www.uniprot.org/uniprot/Q5ZM96","11")</f>
        <v>11</v>
      </c>
      <c r="AQ609" t="s">
        <v>3822</v>
      </c>
      <c r="AR609">
        <v>28.9</v>
      </c>
      <c r="AS609">
        <v>14</v>
      </c>
      <c r="AT609">
        <v>66</v>
      </c>
      <c r="AU609">
        <v>4</v>
      </c>
      <c r="AV609">
        <v>5</v>
      </c>
      <c r="AW609">
        <v>0</v>
      </c>
      <c r="AX609">
        <v>247</v>
      </c>
      <c r="AY609">
        <v>19</v>
      </c>
      <c r="AZ609">
        <v>1</v>
      </c>
      <c r="BA609">
        <v>1</v>
      </c>
      <c r="BB609" t="s">
        <v>11</v>
      </c>
      <c r="BD609" t="s">
        <v>704</v>
      </c>
      <c r="BE609" t="s">
        <v>1196</v>
      </c>
      <c r="BF609" t="s">
        <v>3823</v>
      </c>
      <c r="BG609" t="s">
        <v>3824</v>
      </c>
      <c r="BH609" s="1" t="s">
        <v>57</v>
      </c>
      <c r="BI609" t="s">
        <v>57</v>
      </c>
      <c r="BJ609" s="1" t="str">
        <f>HYPERLINK("http://exon.niaid.nih.gov/transcriptome/T_rubida/S1/links/CDD/Triru-contig_493-CDD.txt","ubiA")</f>
        <v>ubiA</v>
      </c>
      <c r="BK609" t="str">
        <f>HYPERLINK("http://www.ncbi.nlm.nih.gov/Structure/cdd/cddsrv.cgi?uid=PRK12873&amp;version=v4.0","0.018")</f>
        <v>0.018</v>
      </c>
      <c r="BL609" t="s">
        <v>3825</v>
      </c>
      <c r="BM609" s="1" t="str">
        <f>HYPERLINK("http://exon.niaid.nih.gov/transcriptome/T_rubida/S1/links/KOG/Triru-contig_493-KOG.txt","Ubiquitin activating E1 enzyme-like protein")</f>
        <v>Ubiquitin activating E1 enzyme-like protein</v>
      </c>
      <c r="BN609" t="str">
        <f>HYPERLINK("http://www.ncbi.nlm.nih.gov/COG/grace/shokog.cgi?KOG2337","0.15")</f>
        <v>0.15</v>
      </c>
      <c r="BO609" t="s">
        <v>1592</v>
      </c>
      <c r="BP609" s="1" t="str">
        <f>HYPERLINK("http://exon.niaid.nih.gov/transcriptome/T_rubida/S1/links/PFAM/Triru-contig_493-PFAM.txt","GerA")</f>
        <v>GerA</v>
      </c>
      <c r="BQ609" t="str">
        <f>HYPERLINK("http://pfam.sanger.ac.uk/family?acc=PF03323","0.033")</f>
        <v>0.033</v>
      </c>
      <c r="BR609" s="1" t="str">
        <f>HYPERLINK("http://exon.niaid.nih.gov/transcriptome/T_rubida/S1/links/SMART/Triru-contig_493-SMART.txt","DM11")</f>
        <v>DM11</v>
      </c>
      <c r="BS609" t="str">
        <f>HYPERLINK("http://smart.embl-heidelberg.de/smart/do_annotation.pl?DOMAIN=DM11&amp;BLAST=DUMMY","0.037")</f>
        <v>0.037</v>
      </c>
      <c r="BT609" s="1" t="str">
        <f>HYPERLINK("http://exon.niaid.nih.gov/transcriptome/T_rubida/S1/links/PRK/Triru-contig_493-PRK.txt","prenyltransferase")</f>
        <v>prenyltransferase</v>
      </c>
      <c r="BU609">
        <v>6.0000000000000001E-3</v>
      </c>
      <c r="BV609" s="1" t="s">
        <v>57</v>
      </c>
      <c r="BW609" t="s">
        <v>57</v>
      </c>
      <c r="BX609" s="1" t="s">
        <v>57</v>
      </c>
      <c r="BY609" t="s">
        <v>57</v>
      </c>
    </row>
    <row r="610" spans="1:77">
      <c r="A610" t="str">
        <f>HYPERLINK("http://exon.niaid.nih.gov/transcriptome/T_rubida/S1/links/Triru/Triru-contig_243.txt","Triru-contig_243")</f>
        <v>Triru-contig_243</v>
      </c>
      <c r="B610">
        <v>1</v>
      </c>
      <c r="C610" t="str">
        <f>HYPERLINK("http://exon.niaid.nih.gov/transcriptome/T_rubida/S1/links/Triru/Triru-5-48-asb-243.txt","Contig-243")</f>
        <v>Contig-243</v>
      </c>
      <c r="D610" t="str">
        <f>HYPERLINK("http://exon.niaid.nih.gov/transcriptome/T_rubida/S1/links/Triru/Triru-5-48-243-CLU.txt","Contig243")</f>
        <v>Contig243</v>
      </c>
      <c r="E610" t="str">
        <f>HYPERLINK("http://exon.niaid.nih.gov/transcriptome/T_rubida/S1/links/Triru/Triru-5-48-243-qual.txt","64.2")</f>
        <v>64.2</v>
      </c>
      <c r="F610" t="s">
        <v>10</v>
      </c>
      <c r="G610">
        <v>78.099999999999994</v>
      </c>
      <c r="H610">
        <v>246</v>
      </c>
      <c r="I610" t="s">
        <v>255</v>
      </c>
      <c r="J610">
        <v>246</v>
      </c>
      <c r="K610">
        <v>265</v>
      </c>
      <c r="L610">
        <v>69</v>
      </c>
      <c r="M610" t="s">
        <v>5509</v>
      </c>
      <c r="N610" s="15">
        <v>1</v>
      </c>
      <c r="Q610" s="5" t="s">
        <v>4827</v>
      </c>
      <c r="R610" t="s">
        <v>4828</v>
      </c>
      <c r="V610" s="1" t="str">
        <f>HYPERLINK("http://exon.niaid.nih.gov/transcriptome/T_rubida/S1/links/NR/Triru-contig_243-NR.txt","GD11216")</f>
        <v>GD11216</v>
      </c>
      <c r="W610" t="str">
        <f>HYPERLINK("http://www.ncbi.nlm.nih.gov/sutils/blink.cgi?pid=195584030","98")</f>
        <v>98</v>
      </c>
      <c r="X610" t="str">
        <f>HYPERLINK("http://www.ncbi.nlm.nih.gov/protein/195584030","gi|195584030")</f>
        <v>gi|195584030</v>
      </c>
      <c r="Y610">
        <v>30.4</v>
      </c>
      <c r="Z610">
        <v>34</v>
      </c>
      <c r="AA610">
        <v>152</v>
      </c>
      <c r="AB610">
        <v>34</v>
      </c>
      <c r="AC610">
        <v>23</v>
      </c>
      <c r="AD610">
        <v>23</v>
      </c>
      <c r="AE610">
        <v>0</v>
      </c>
      <c r="AF610">
        <v>79</v>
      </c>
      <c r="AG610">
        <v>11</v>
      </c>
      <c r="AH610">
        <v>1</v>
      </c>
      <c r="AI610">
        <v>2</v>
      </c>
      <c r="AJ610" t="s">
        <v>11</v>
      </c>
      <c r="AK610">
        <v>8.8239999999999998</v>
      </c>
      <c r="AL610" t="s">
        <v>2128</v>
      </c>
      <c r="AM610" t="s">
        <v>2129</v>
      </c>
      <c r="AN610" t="s">
        <v>2130</v>
      </c>
      <c r="AO610" s="1" t="str">
        <f>HYPERLINK("http://exon.niaid.nih.gov/transcriptome/T_rubida/S1/links/SWISSP/Triru-contig_243-SWISSP.txt","DNA mismatch repair protein mutL")</f>
        <v>DNA mismatch repair protein mutL</v>
      </c>
      <c r="AP610" t="str">
        <f>HYPERLINK("http://www.uniprot.org/uniprot/C1FNT8","14")</f>
        <v>14</v>
      </c>
      <c r="AQ610" t="s">
        <v>2131</v>
      </c>
      <c r="AR610">
        <v>28.5</v>
      </c>
      <c r="AS610">
        <v>27</v>
      </c>
      <c r="AT610">
        <v>46</v>
      </c>
      <c r="AU610">
        <v>4</v>
      </c>
      <c r="AV610">
        <v>15</v>
      </c>
      <c r="AW610">
        <v>0</v>
      </c>
      <c r="AX610">
        <v>435</v>
      </c>
      <c r="AY610">
        <v>123</v>
      </c>
      <c r="AZ610">
        <v>1</v>
      </c>
      <c r="BA610">
        <v>3</v>
      </c>
      <c r="BB610" t="s">
        <v>11</v>
      </c>
      <c r="BC610">
        <v>3.7040000000000002</v>
      </c>
      <c r="BD610" t="s">
        <v>704</v>
      </c>
      <c r="BE610" t="s">
        <v>2132</v>
      </c>
      <c r="BF610" t="s">
        <v>2133</v>
      </c>
      <c r="BG610" t="s">
        <v>2134</v>
      </c>
      <c r="BH610" s="1" t="s">
        <v>57</v>
      </c>
      <c r="BI610" t="s">
        <v>57</v>
      </c>
      <c r="BJ610" s="1" t="str">
        <f>HYPERLINK("http://exon.niaid.nih.gov/transcriptome/T_rubida/S1/links/CDD/Triru-contig_243-CDD.txt","7TM_GPCR_Sra")</f>
        <v>7TM_GPCR_Sra</v>
      </c>
      <c r="BK610" t="str">
        <f>HYPERLINK("http://www.ncbi.nlm.nih.gov/Structure/cdd/cddsrv.cgi?uid=pfam02117&amp;version=v4.0","0.33")</f>
        <v>0.33</v>
      </c>
      <c r="BL610" t="s">
        <v>2135</v>
      </c>
      <c r="BM610" s="1" t="str">
        <f>HYPERLINK("http://exon.niaid.nih.gov/transcriptome/T_rubida/S1/links/KOG/Triru-contig_243-KOG.txt","Ca2+ release channel (ryanodine receptor)")</f>
        <v>Ca2+ release channel (ryanodine receptor)</v>
      </c>
      <c r="BN610" t="str">
        <f>HYPERLINK("http://www.ncbi.nlm.nih.gov/COG/grace/shokog.cgi?KOG2243","7.2")</f>
        <v>7.2</v>
      </c>
      <c r="BO610" t="s">
        <v>728</v>
      </c>
      <c r="BP610" s="1" t="str">
        <f>HYPERLINK("http://exon.niaid.nih.gov/transcriptome/T_rubida/S1/links/PFAM/Triru-contig_243-PFAM.txt","7TM_GPCR_Sra")</f>
        <v>7TM_GPCR_Sra</v>
      </c>
      <c r="BQ610" t="str">
        <f>HYPERLINK("http://pfam.sanger.ac.uk/family?acc=PF02117","0.070")</f>
        <v>0.070</v>
      </c>
      <c r="BR610" s="1" t="str">
        <f>HYPERLINK("http://exon.niaid.nih.gov/transcriptome/T_rubida/S1/links/SMART/Triru-contig_243-SMART.txt","DAGKa")</f>
        <v>DAGKa</v>
      </c>
      <c r="BS610" t="str">
        <f>HYPERLINK("http://smart.embl-heidelberg.de/smart/do_annotation.pl?DOMAIN=DAGKa&amp;BLAST=DUMMY","0.28")</f>
        <v>0.28</v>
      </c>
      <c r="BT610" s="1" t="str">
        <f>HYPERLINK("http://exon.niaid.nih.gov/transcriptome/T_rubida/S1/links/PRK/Triru-contig_243-PRK.txt","NADH dehydrogenase subunit 4L")</f>
        <v>NADH dehydrogenase subunit 4L</v>
      </c>
      <c r="BU610">
        <v>0.71</v>
      </c>
      <c r="BV610" s="1" t="s">
        <v>57</v>
      </c>
      <c r="BW610" t="s">
        <v>57</v>
      </c>
      <c r="BX610" s="1" t="s">
        <v>57</v>
      </c>
      <c r="BY610" t="s">
        <v>57</v>
      </c>
    </row>
    <row r="611" spans="1:77">
      <c r="A611" t="str">
        <f>HYPERLINK("http://exon.niaid.nih.gov/transcriptome/T_rubida/S1/links/Triru/Triru-contig_519.txt","Triru-contig_519")</f>
        <v>Triru-contig_519</v>
      </c>
      <c r="B611">
        <v>1</v>
      </c>
      <c r="C611" t="str">
        <f>HYPERLINK("http://exon.niaid.nih.gov/transcriptome/T_rubida/S1/links/Triru/Triru-5-48-asb-519.txt","Contig-519")</f>
        <v>Contig-519</v>
      </c>
      <c r="D611" t="str">
        <f>HYPERLINK("http://exon.niaid.nih.gov/transcriptome/T_rubida/S1/links/Triru/Triru-5-48-519-CLU.txt","Contig519")</f>
        <v>Contig519</v>
      </c>
      <c r="E611" t="str">
        <f>HYPERLINK("http://exon.niaid.nih.gov/transcriptome/T_rubida/S1/links/Triru/Triru-5-48-519-qual.txt","64.4")</f>
        <v>64.4</v>
      </c>
      <c r="F611" t="s">
        <v>10</v>
      </c>
      <c r="G611">
        <v>72.2</v>
      </c>
      <c r="H611">
        <v>427</v>
      </c>
      <c r="I611" t="s">
        <v>531</v>
      </c>
      <c r="J611">
        <v>427</v>
      </c>
      <c r="K611">
        <v>446</v>
      </c>
      <c r="L611">
        <v>138</v>
      </c>
      <c r="M611" t="s">
        <v>5636</v>
      </c>
      <c r="N611" s="15">
        <v>1</v>
      </c>
      <c r="Q611" s="5" t="s">
        <v>4827</v>
      </c>
      <c r="R611" t="s">
        <v>4828</v>
      </c>
      <c r="V611" s="1" t="str">
        <f>HYPERLINK("http://exon.niaid.nih.gov/transcriptome/T_rubida/S1/links/NR/Triru-contig_519-NR.txt","PTS system, glucose-like IIB component")</f>
        <v>PTS system, glucose-like IIB component</v>
      </c>
      <c r="W611" t="str">
        <f>HYPERLINK("http://www.ncbi.nlm.nih.gov/sutils/blink.cgi?pid=314965328","98")</f>
        <v>98</v>
      </c>
      <c r="X611" t="str">
        <f>HYPERLINK("http://www.ncbi.nlm.nih.gov/protein/314965328","gi|314965328")</f>
        <v>gi|314965328</v>
      </c>
      <c r="Y611">
        <v>30.4</v>
      </c>
      <c r="Z611">
        <v>40</v>
      </c>
      <c r="AA611">
        <v>508</v>
      </c>
      <c r="AB611">
        <v>40</v>
      </c>
      <c r="AC611">
        <v>8</v>
      </c>
      <c r="AD611">
        <v>27</v>
      </c>
      <c r="AE611">
        <v>0</v>
      </c>
      <c r="AF611">
        <v>360</v>
      </c>
      <c r="AG611">
        <v>30</v>
      </c>
      <c r="AH611">
        <v>1</v>
      </c>
      <c r="AI611">
        <v>3</v>
      </c>
      <c r="AJ611" t="s">
        <v>11</v>
      </c>
      <c r="AK611">
        <v>5</v>
      </c>
      <c r="AL611" t="s">
        <v>3993</v>
      </c>
      <c r="AM611" t="s">
        <v>3994</v>
      </c>
      <c r="AN611" t="s">
        <v>3995</v>
      </c>
      <c r="AO611" s="1" t="str">
        <f>HYPERLINK("http://exon.niaid.nih.gov/transcriptome/T_rubida/S1/links/SWISSP/Triru-contig_519-SWISSP.txt","Alanyl-tRNA synthetase")</f>
        <v>Alanyl-tRNA synthetase</v>
      </c>
      <c r="AP611" t="str">
        <f>HYPERLINK("http://www.uniprot.org/uniprot/Q493M6","36")</f>
        <v>36</v>
      </c>
      <c r="AQ611" t="s">
        <v>3996</v>
      </c>
      <c r="AR611">
        <v>27.3</v>
      </c>
      <c r="AS611">
        <v>35</v>
      </c>
      <c r="AT611">
        <v>33</v>
      </c>
      <c r="AU611">
        <v>4</v>
      </c>
      <c r="AV611">
        <v>24</v>
      </c>
      <c r="AW611">
        <v>5</v>
      </c>
      <c r="AX611">
        <v>450</v>
      </c>
      <c r="AY611">
        <v>256</v>
      </c>
      <c r="AZ611">
        <v>1</v>
      </c>
      <c r="BA611">
        <v>1</v>
      </c>
      <c r="BB611" t="s">
        <v>11</v>
      </c>
      <c r="BD611" t="s">
        <v>704</v>
      </c>
      <c r="BE611" t="s">
        <v>3997</v>
      </c>
      <c r="BF611" t="s">
        <v>3998</v>
      </c>
      <c r="BG611" t="s">
        <v>3999</v>
      </c>
      <c r="BH611" s="1" t="s">
        <v>57</v>
      </c>
      <c r="BI611" t="s">
        <v>57</v>
      </c>
      <c r="BJ611" s="1" t="str">
        <f>HYPERLINK("http://exon.niaid.nih.gov/transcriptome/T_rubida/S1/links/CDD/Triru-contig_519-CDD.txt","PHA02657")</f>
        <v>PHA02657</v>
      </c>
      <c r="BK611" t="str">
        <f>HYPERLINK("http://www.ncbi.nlm.nih.gov/Structure/cdd/cddsrv.cgi?uid=PHA02657&amp;version=v4.0","0.32")</f>
        <v>0.32</v>
      </c>
      <c r="BL611" t="s">
        <v>4000</v>
      </c>
      <c r="BM611" s="1" t="str">
        <f>HYPERLINK("http://exon.niaid.nih.gov/transcriptome/T_rubida/S1/links/KOG/Triru-contig_519-KOG.txt","Concentrative Na+-nucleoside cotransporter CNT1/CNT2")</f>
        <v>Concentrative Na+-nucleoside cotransporter CNT1/CNT2</v>
      </c>
      <c r="BN611" t="str">
        <f>HYPERLINK("http://www.ncbi.nlm.nih.gov/COG/grace/shokog.cgi?KOG3747","2.5")</f>
        <v>2.5</v>
      </c>
      <c r="BO611" t="s">
        <v>4001</v>
      </c>
      <c r="BP611" s="1" t="str">
        <f>HYPERLINK("http://exon.niaid.nih.gov/transcriptome/T_rubida/S1/links/PFAM/Triru-contig_519-PFAM.txt","DUF63")</f>
        <v>DUF63</v>
      </c>
      <c r="BQ611" t="str">
        <f>HYPERLINK("http://pfam.sanger.ac.uk/family?acc=PF01889","0.075")</f>
        <v>0.075</v>
      </c>
      <c r="BR611" s="1" t="str">
        <f>HYPERLINK("http://exon.niaid.nih.gov/transcriptome/T_rubida/S1/links/SMART/Triru-contig_519-SMART.txt","SHR3_chaperone")</f>
        <v>SHR3_chaperone</v>
      </c>
      <c r="BS611" t="str">
        <f>HYPERLINK("http://smart.embl-heidelberg.de/smart/do_annotation.pl?DOMAIN=SHR3_chaperone&amp;BLAST=DUMMY","0.033")</f>
        <v>0.033</v>
      </c>
      <c r="BT611" s="1" t="str">
        <f>HYPERLINK("http://exon.niaid.nih.gov/transcriptome/T_rubida/S1/links/PRK/Triru-contig_519-PRK.txt","hypothetical protein")</f>
        <v>hypothetical protein</v>
      </c>
      <c r="BU611">
        <v>0.15</v>
      </c>
      <c r="BV611" s="1" t="s">
        <v>57</v>
      </c>
      <c r="BW611" t="s">
        <v>57</v>
      </c>
      <c r="BX611" s="1" t="s">
        <v>57</v>
      </c>
      <c r="BY611" t="s">
        <v>57</v>
      </c>
    </row>
    <row r="612" spans="1:77">
      <c r="A612" t="str">
        <f>HYPERLINK("http://exon.niaid.nih.gov/transcriptome/T_rubida/S1/links/Triru/Triru-contig_596.txt","Triru-contig_596")</f>
        <v>Triru-contig_596</v>
      </c>
      <c r="B612">
        <v>1</v>
      </c>
      <c r="C612" t="str">
        <f>HYPERLINK("http://exon.niaid.nih.gov/transcriptome/T_rubida/S1/links/Triru/Triru-5-48-asb-596.txt","Contig-596")</f>
        <v>Contig-596</v>
      </c>
      <c r="D612" t="str">
        <f>HYPERLINK("http://exon.niaid.nih.gov/transcriptome/T_rubida/S1/links/Triru/Triru-5-48-596-CLU.txt","Contig596")</f>
        <v>Contig596</v>
      </c>
      <c r="E612" t="str">
        <f>HYPERLINK("http://exon.niaid.nih.gov/transcriptome/T_rubida/S1/links/Triru/Triru-5-48-596-qual.txt","64.6")</f>
        <v>64.6</v>
      </c>
      <c r="F612" t="s">
        <v>10</v>
      </c>
      <c r="G612">
        <v>71.5</v>
      </c>
      <c r="H612">
        <v>468</v>
      </c>
      <c r="I612" t="s">
        <v>608</v>
      </c>
      <c r="J612">
        <v>468</v>
      </c>
      <c r="K612">
        <v>487</v>
      </c>
      <c r="L612">
        <v>138</v>
      </c>
      <c r="M612" t="s">
        <v>5427</v>
      </c>
      <c r="N612" s="15">
        <v>3</v>
      </c>
      <c r="Q612" s="5" t="s">
        <v>4827</v>
      </c>
      <c r="R612" t="s">
        <v>4828</v>
      </c>
      <c r="V612" s="1" t="str">
        <f>HYPERLINK("http://exon.niaid.nih.gov/transcriptome/T_rubida/S1/links/NR/Triru-contig_596-NR.txt","v-type proton ATPase subunit H-like")</f>
        <v>v-type proton ATPase subunit H-like</v>
      </c>
      <c r="W612" t="str">
        <f>HYPERLINK("http://www.ncbi.nlm.nih.gov/sutils/blink.cgi?pid=328723857","99")</f>
        <v>99</v>
      </c>
      <c r="X612" t="str">
        <f>HYPERLINK("http://www.ncbi.nlm.nih.gov/protein/328723857","gi|328723857")</f>
        <v>gi|328723857</v>
      </c>
      <c r="Y612">
        <v>30.4</v>
      </c>
      <c r="Z612">
        <v>23</v>
      </c>
      <c r="AA612">
        <v>52</v>
      </c>
      <c r="AB612">
        <v>66</v>
      </c>
      <c r="AC612">
        <v>46</v>
      </c>
      <c r="AD612">
        <v>9</v>
      </c>
      <c r="AE612">
        <v>0</v>
      </c>
      <c r="AF612">
        <v>29</v>
      </c>
      <c r="AG612">
        <v>9</v>
      </c>
      <c r="AH612">
        <v>1</v>
      </c>
      <c r="AI612">
        <v>3</v>
      </c>
      <c r="AJ612" t="s">
        <v>11</v>
      </c>
      <c r="AL612" t="s">
        <v>1160</v>
      </c>
      <c r="AM612" t="s">
        <v>4471</v>
      </c>
      <c r="AN612" t="s">
        <v>4472</v>
      </c>
      <c r="AO612" s="1" t="str">
        <f>HYPERLINK("http://exon.niaid.nih.gov/transcriptome/T_rubida/S1/links/SWISSP/Triru-contig_596-SWISSP.txt","Uncharacterized protein T05G5.1")</f>
        <v>Uncharacterized protein T05G5.1</v>
      </c>
      <c r="AP612" t="str">
        <f>HYPERLINK("http://www.uniprot.org/uniprot/P34554","16")</f>
        <v>16</v>
      </c>
      <c r="AQ612" t="s">
        <v>4473</v>
      </c>
      <c r="AR612">
        <v>28.9</v>
      </c>
      <c r="AS612">
        <v>44</v>
      </c>
      <c r="AT612">
        <v>35</v>
      </c>
      <c r="AU612">
        <v>11</v>
      </c>
      <c r="AV612">
        <v>29</v>
      </c>
      <c r="AW612">
        <v>3</v>
      </c>
      <c r="AX612">
        <v>14</v>
      </c>
      <c r="AY612">
        <v>107</v>
      </c>
      <c r="AZ612">
        <v>1</v>
      </c>
      <c r="BA612">
        <v>2</v>
      </c>
      <c r="BB612" t="s">
        <v>11</v>
      </c>
      <c r="BC612">
        <v>2.2730000000000001</v>
      </c>
      <c r="BD612" t="s">
        <v>704</v>
      </c>
      <c r="BE612" t="s">
        <v>1385</v>
      </c>
      <c r="BF612" t="s">
        <v>4474</v>
      </c>
      <c r="BG612" t="s">
        <v>4475</v>
      </c>
      <c r="BH612" s="1" t="s">
        <v>57</v>
      </c>
      <c r="BI612" t="s">
        <v>57</v>
      </c>
      <c r="BJ612" s="1" t="str">
        <f>HYPERLINK("http://exon.niaid.nih.gov/transcriptome/T_rubida/S1/links/CDD/Triru-contig_596-CDD.txt","PHA02657")</f>
        <v>PHA02657</v>
      </c>
      <c r="BK612" t="str">
        <f>HYPERLINK("http://www.ncbi.nlm.nih.gov/Structure/cdd/cddsrv.cgi?uid=PHA02657&amp;version=v4.0","0.39")</f>
        <v>0.39</v>
      </c>
      <c r="BL612" t="s">
        <v>4476</v>
      </c>
      <c r="BM612" s="1" t="str">
        <f>HYPERLINK("http://exon.niaid.nih.gov/transcriptome/T_rubida/S1/links/KOG/Triru-contig_596-KOG.txt","Acetyl-CoA transporter")</f>
        <v>Acetyl-CoA transporter</v>
      </c>
      <c r="BN612" t="str">
        <f>HYPERLINK("http://www.ncbi.nlm.nih.gov/COG/grace/shokog.cgi?KOG3574","1.5")</f>
        <v>1.5</v>
      </c>
      <c r="BO612" t="s">
        <v>849</v>
      </c>
      <c r="BP612" s="1" t="str">
        <f>HYPERLINK("http://exon.niaid.nih.gov/transcriptome/T_rubida/S1/links/PFAM/Triru-contig_596-PFAM.txt","DUF63")</f>
        <v>DUF63</v>
      </c>
      <c r="BQ612" t="str">
        <f>HYPERLINK("http://pfam.sanger.ac.uk/family?acc=PF01889","0.088")</f>
        <v>0.088</v>
      </c>
      <c r="BR612" s="1" t="str">
        <f>HYPERLINK("http://exon.niaid.nih.gov/transcriptome/T_rubida/S1/links/SMART/Triru-contig_596-SMART.txt","SHR3_chaperone")</f>
        <v>SHR3_chaperone</v>
      </c>
      <c r="BS612" t="str">
        <f>HYPERLINK("http://smart.embl-heidelberg.de/smart/do_annotation.pl?DOMAIN=SHR3_chaperone&amp;BLAST=DUMMY","0.037")</f>
        <v>0.037</v>
      </c>
      <c r="BT612" s="1" t="str">
        <f>HYPERLINK("http://exon.niaid.nih.gov/transcriptome/T_rubida/S1/links/PRK/Triru-contig_596-PRK.txt","hypothetical protein")</f>
        <v>hypothetical protein</v>
      </c>
      <c r="BU612">
        <v>0.18</v>
      </c>
      <c r="BV612" s="1" t="s">
        <v>57</v>
      </c>
      <c r="BW612" t="s">
        <v>57</v>
      </c>
      <c r="BX612" s="1" t="s">
        <v>57</v>
      </c>
      <c r="BY612" t="s">
        <v>57</v>
      </c>
    </row>
    <row r="613" spans="1:77">
      <c r="A613" t="str">
        <f>HYPERLINK("http://exon.niaid.nih.gov/transcriptome/T_rubida/S1/links/Triru/Triru-contig_553.txt","Triru-contig_553")</f>
        <v>Triru-contig_553</v>
      </c>
      <c r="B613">
        <v>1</v>
      </c>
      <c r="C613" t="str">
        <f>HYPERLINK("http://exon.niaid.nih.gov/transcriptome/T_rubida/S1/links/Triru/Triru-5-48-asb-553.txt","Contig-553")</f>
        <v>Contig-553</v>
      </c>
      <c r="D613" t="str">
        <f>HYPERLINK("http://exon.niaid.nih.gov/transcriptome/T_rubida/S1/links/Triru/Triru-5-48-553-CLU.txt","Contig553")</f>
        <v>Contig553</v>
      </c>
      <c r="E613" t="str">
        <f>HYPERLINK("http://exon.niaid.nih.gov/transcriptome/T_rubida/S1/links/Triru/Triru-5-48-553-qual.txt","60.3")</f>
        <v>60.3</v>
      </c>
      <c r="F613" t="s">
        <v>10</v>
      </c>
      <c r="G613">
        <v>75.2</v>
      </c>
      <c r="H613">
        <v>295</v>
      </c>
      <c r="I613" t="s">
        <v>565</v>
      </c>
      <c r="J613">
        <v>295</v>
      </c>
      <c r="K613">
        <v>314</v>
      </c>
      <c r="L613">
        <v>207</v>
      </c>
      <c r="M613" t="s">
        <v>5454</v>
      </c>
      <c r="N613" s="15">
        <v>1</v>
      </c>
      <c r="Q613" s="5" t="s">
        <v>4827</v>
      </c>
      <c r="R613" t="s">
        <v>4828</v>
      </c>
      <c r="V613" s="1" t="str">
        <f>HYPERLINK("http://exon.niaid.nih.gov/transcriptome/T_rubida/S1/links/NR/Triru-contig_553-NR.txt","hypothetical protein BRAFLDRAFT_223869")</f>
        <v>hypothetical protein BRAFLDRAFT_223869</v>
      </c>
      <c r="W613" t="str">
        <f>HYPERLINK("http://www.ncbi.nlm.nih.gov/sutils/blink.cgi?pid=260809447","99")</f>
        <v>99</v>
      </c>
      <c r="X613" t="str">
        <f>HYPERLINK("http://www.ncbi.nlm.nih.gov/protein/260809447","gi|260809447")</f>
        <v>gi|260809447</v>
      </c>
      <c r="Y613">
        <v>30.4</v>
      </c>
      <c r="Z613">
        <v>29</v>
      </c>
      <c r="AA613">
        <v>613</v>
      </c>
      <c r="AB613">
        <v>43</v>
      </c>
      <c r="AC613">
        <v>5</v>
      </c>
      <c r="AD613">
        <v>17</v>
      </c>
      <c r="AE613">
        <v>2</v>
      </c>
      <c r="AF613">
        <v>445</v>
      </c>
      <c r="AG613">
        <v>133</v>
      </c>
      <c r="AH613">
        <v>1</v>
      </c>
      <c r="AI613">
        <v>1</v>
      </c>
      <c r="AJ613" t="s">
        <v>11</v>
      </c>
      <c r="AL613" t="s">
        <v>1802</v>
      </c>
      <c r="AM613" t="s">
        <v>4212</v>
      </c>
      <c r="AN613" t="s">
        <v>4213</v>
      </c>
      <c r="AO613" s="1" t="str">
        <f>HYPERLINK("http://exon.niaid.nih.gov/transcriptome/T_rubida/S1/links/SWISSP/Triru-contig_553-SWISSP.txt","Isoleucyl-tRNA synthetase")</f>
        <v>Isoleucyl-tRNA synthetase</v>
      </c>
      <c r="AP613" t="str">
        <f>HYPERLINK("http://www.uniprot.org/uniprot/Q057X9","4.7")</f>
        <v>4.7</v>
      </c>
      <c r="AQ613" t="s">
        <v>4214</v>
      </c>
      <c r="AR613">
        <v>30</v>
      </c>
      <c r="AS613">
        <v>55</v>
      </c>
      <c r="AT613">
        <v>28</v>
      </c>
      <c r="AU613">
        <v>6</v>
      </c>
      <c r="AV613">
        <v>40</v>
      </c>
      <c r="AW613">
        <v>1</v>
      </c>
      <c r="AX613">
        <v>800</v>
      </c>
      <c r="AY613">
        <v>124</v>
      </c>
      <c r="AZ613">
        <v>1</v>
      </c>
      <c r="BA613">
        <v>1</v>
      </c>
      <c r="BB613" t="s">
        <v>11</v>
      </c>
      <c r="BD613" t="s">
        <v>704</v>
      </c>
      <c r="BE613" t="s">
        <v>4215</v>
      </c>
      <c r="BF613" t="s">
        <v>4216</v>
      </c>
      <c r="BG613" t="s">
        <v>4217</v>
      </c>
      <c r="BH613" s="1" t="s">
        <v>57</v>
      </c>
      <c r="BI613" t="s">
        <v>57</v>
      </c>
      <c r="BJ613" s="1" t="str">
        <f>HYPERLINK("http://exon.niaid.nih.gov/transcriptome/T_rubida/S1/links/CDD/Triru-contig_553-CDD.txt","Enhancin")</f>
        <v>Enhancin</v>
      </c>
      <c r="BK613" t="str">
        <f>HYPERLINK("http://www.ncbi.nlm.nih.gov/Structure/cdd/cddsrv.cgi?uid=pfam03272&amp;version=v4.0","0.28")</f>
        <v>0.28</v>
      </c>
      <c r="BL613" t="s">
        <v>4218</v>
      </c>
      <c r="BM613" s="1" t="str">
        <f>HYPERLINK("http://exon.niaid.nih.gov/transcriptome/T_rubida/S1/links/KOG/Triru-contig_553-KOG.txt","Cl- channel CLC-7 and related proteins (CLC superfamily)")</f>
        <v>Cl- channel CLC-7 and related proteins (CLC superfamily)</v>
      </c>
      <c r="BN613" t="str">
        <f>HYPERLINK("http://www.ncbi.nlm.nih.gov/COG/grace/shokog.cgi?KOG0474","1.8")</f>
        <v>1.8</v>
      </c>
      <c r="BO613" t="s">
        <v>849</v>
      </c>
      <c r="BP613" s="1" t="str">
        <f>HYPERLINK("http://exon.niaid.nih.gov/transcriptome/T_rubida/S1/links/PFAM/Triru-contig_553-PFAM.txt","Enhancin")</f>
        <v>Enhancin</v>
      </c>
      <c r="BQ613" t="str">
        <f>HYPERLINK("http://pfam.sanger.ac.uk/family?acc=PF03272","0.059")</f>
        <v>0.059</v>
      </c>
      <c r="BR613" s="1" t="str">
        <f>HYPERLINK("http://exon.niaid.nih.gov/transcriptome/T_rubida/S1/links/SMART/Triru-contig_553-SMART.txt","ZP")</f>
        <v>ZP</v>
      </c>
      <c r="BS613" t="str">
        <f>HYPERLINK("http://smart.embl-heidelberg.de/smart/do_annotation.pl?DOMAIN=ZP&amp;BLAST=DUMMY","0.068")</f>
        <v>0.068</v>
      </c>
      <c r="BT613" s="1" t="str">
        <f>HYPERLINK("http://exon.niaid.nih.gov/transcriptome/T_rubida/S1/links/PRK/Triru-contig_553-PRK.txt","NADH dehydrogenase subunit 2")</f>
        <v>NADH dehydrogenase subunit 2</v>
      </c>
      <c r="BU613">
        <v>0.46</v>
      </c>
      <c r="BV613" s="1" t="s">
        <v>57</v>
      </c>
      <c r="BW613" t="s">
        <v>57</v>
      </c>
      <c r="BX613" s="1" t="s">
        <v>57</v>
      </c>
      <c r="BY613" t="s">
        <v>57</v>
      </c>
    </row>
    <row r="614" spans="1:77">
      <c r="A614" t="str">
        <f>HYPERLINK("http://exon.niaid.nih.gov/transcriptome/T_rubida/S1/links/Triru/Triru-contig_564.txt","Triru-contig_564")</f>
        <v>Triru-contig_564</v>
      </c>
      <c r="B614">
        <v>1</v>
      </c>
      <c r="C614" t="str">
        <f>HYPERLINK("http://exon.niaid.nih.gov/transcriptome/T_rubida/S1/links/Triru/Triru-5-48-asb-564.txt","Contig-564")</f>
        <v>Contig-564</v>
      </c>
      <c r="D614" t="str">
        <f>HYPERLINK("http://exon.niaid.nih.gov/transcriptome/T_rubida/S1/links/Triru/Triru-5-48-564-CLU.txt","Contig564")</f>
        <v>Contig564</v>
      </c>
      <c r="E614" t="str">
        <f>HYPERLINK("http://exon.niaid.nih.gov/transcriptome/T_rubida/S1/links/Triru/Triru-5-48-564-qual.txt","63.8")</f>
        <v>63.8</v>
      </c>
      <c r="F614" t="s">
        <v>10</v>
      </c>
      <c r="G614">
        <v>72.099999999999994</v>
      </c>
      <c r="H614">
        <v>239</v>
      </c>
      <c r="I614" t="s">
        <v>576</v>
      </c>
      <c r="J614">
        <v>239</v>
      </c>
      <c r="K614">
        <v>258</v>
      </c>
      <c r="L614">
        <v>150</v>
      </c>
      <c r="M614" t="s">
        <v>5459</v>
      </c>
      <c r="N614" s="15">
        <v>3</v>
      </c>
      <c r="Q614" s="5" t="s">
        <v>4827</v>
      </c>
      <c r="R614" t="s">
        <v>4828</v>
      </c>
      <c r="V614" s="1" t="str">
        <f>HYPERLINK("http://exon.niaid.nih.gov/transcriptome/T_rubida/S1/links/NR/Triru-contig_564-NR.txt","C. briggsae CBR-APB-3 protein")</f>
        <v>C. briggsae CBR-APB-3 protein</v>
      </c>
      <c r="W614" t="str">
        <f>HYPERLINK("http://www.ncbi.nlm.nih.gov/sutils/blink.cgi?pid=268560270","99")</f>
        <v>99</v>
      </c>
      <c r="X614" t="str">
        <f>HYPERLINK("http://www.ncbi.nlm.nih.gov/protein/268560270","gi|268560270")</f>
        <v>gi|268560270</v>
      </c>
      <c r="Y614">
        <v>30.4</v>
      </c>
      <c r="Z614">
        <v>27</v>
      </c>
      <c r="AA614">
        <v>941</v>
      </c>
      <c r="AB614">
        <v>50</v>
      </c>
      <c r="AC614">
        <v>3</v>
      </c>
      <c r="AD614">
        <v>14</v>
      </c>
      <c r="AE614">
        <v>0</v>
      </c>
      <c r="AF614">
        <v>913</v>
      </c>
      <c r="AG614">
        <v>60</v>
      </c>
      <c r="AH614">
        <v>1</v>
      </c>
      <c r="AI614">
        <v>3</v>
      </c>
      <c r="AJ614" t="s">
        <v>11</v>
      </c>
      <c r="AL614" t="s">
        <v>2088</v>
      </c>
      <c r="AM614" t="s">
        <v>4280</v>
      </c>
      <c r="AN614" t="s">
        <v>4281</v>
      </c>
      <c r="AO614" s="1" t="str">
        <f>HYPERLINK("http://exon.niaid.nih.gov/transcriptome/T_rubida/S1/links/SWISSP/Triru-contig_564-SWISSP.txt","Transcription activator gutR")</f>
        <v>Transcription activator gutR</v>
      </c>
      <c r="AP614" t="str">
        <f>HYPERLINK("http://www.uniprot.org/uniprot/P39143","14")</f>
        <v>14</v>
      </c>
      <c r="AQ614" t="s">
        <v>4282</v>
      </c>
      <c r="AR614">
        <v>28.5</v>
      </c>
      <c r="AS614">
        <v>28</v>
      </c>
      <c r="AT614">
        <v>41</v>
      </c>
      <c r="AU614">
        <v>3</v>
      </c>
      <c r="AV614">
        <v>17</v>
      </c>
      <c r="AW614">
        <v>0</v>
      </c>
      <c r="AX614">
        <v>203</v>
      </c>
      <c r="AY614">
        <v>48</v>
      </c>
      <c r="AZ614">
        <v>1</v>
      </c>
      <c r="BA614">
        <v>3</v>
      </c>
      <c r="BB614" t="s">
        <v>11</v>
      </c>
      <c r="BD614" t="s">
        <v>704</v>
      </c>
      <c r="BE614" t="s">
        <v>1525</v>
      </c>
      <c r="BF614" t="s">
        <v>4283</v>
      </c>
      <c r="BG614" t="s">
        <v>4284</v>
      </c>
      <c r="BH614" s="1" t="s">
        <v>57</v>
      </c>
      <c r="BI614" t="s">
        <v>57</v>
      </c>
      <c r="BJ614" s="1" t="str">
        <f>HYPERLINK("http://exon.niaid.nih.gov/transcriptome/T_rubida/S1/links/CDD/Triru-contig_564-CDD.txt","ndhD")</f>
        <v>ndhD</v>
      </c>
      <c r="BK614" t="str">
        <f>HYPERLINK("http://www.ncbi.nlm.nih.gov/Structure/cdd/cddsrv.cgi?uid=CHL00011&amp;version=v4.0","1.5")</f>
        <v>1.5</v>
      </c>
      <c r="BL614" t="s">
        <v>4285</v>
      </c>
      <c r="BM614" s="1" t="str">
        <f>HYPERLINK("http://exon.niaid.nih.gov/transcriptome/T_rubida/S1/links/KOG/Triru-contig_564-KOG.txt","Glycogen synthase")</f>
        <v>Glycogen synthase</v>
      </c>
      <c r="BN614" t="str">
        <f>HYPERLINK("http://www.ncbi.nlm.nih.gov/COG/grace/shokog.cgi?KOG3742","3.1")</f>
        <v>3.1</v>
      </c>
      <c r="BO614" t="s">
        <v>946</v>
      </c>
      <c r="BP614" s="1" t="str">
        <f>HYPERLINK("http://exon.niaid.nih.gov/transcriptome/T_rubida/S1/links/PFAM/Triru-contig_564-PFAM.txt","YMF19")</f>
        <v>YMF19</v>
      </c>
      <c r="BQ614" t="str">
        <f>HYPERLINK("http://pfam.sanger.ac.uk/family?acc=PF02326","0.46")</f>
        <v>0.46</v>
      </c>
      <c r="BR614" s="1" t="str">
        <f>HYPERLINK("http://exon.niaid.nih.gov/transcriptome/T_rubida/S1/links/SMART/Triru-contig_564-SMART.txt","DED")</f>
        <v>DED</v>
      </c>
      <c r="BS614" t="str">
        <f>HYPERLINK("http://smart.embl-heidelberg.de/smart/do_annotation.pl?DOMAIN=DED&amp;BLAST=DUMMY","0.20")</f>
        <v>0.20</v>
      </c>
      <c r="BT614" s="1" t="str">
        <f>HYPERLINK("http://exon.niaid.nih.gov/transcriptome/T_rubida/S1/links/PRK/Triru-contig_564-PRK.txt","NADH dehydrogenase subunit 4.")</f>
        <v>NADH dehydrogenase subunit 4.</v>
      </c>
      <c r="BU614">
        <v>0.56000000000000005</v>
      </c>
      <c r="BV614" s="1" t="s">
        <v>57</v>
      </c>
      <c r="BW614" t="s">
        <v>57</v>
      </c>
      <c r="BX614" s="1" t="s">
        <v>57</v>
      </c>
      <c r="BY614" t="s">
        <v>57</v>
      </c>
    </row>
    <row r="615" spans="1:77">
      <c r="A615" t="str">
        <f>HYPERLINK("http://exon.niaid.nih.gov/transcriptome/T_rubida/S1/links/Triru/Triru-contig_232.txt","Triru-contig_232")</f>
        <v>Triru-contig_232</v>
      </c>
      <c r="B615">
        <v>1</v>
      </c>
      <c r="C615" t="str">
        <f>HYPERLINK("http://exon.niaid.nih.gov/transcriptome/T_rubida/S1/links/Triru/Triru-5-48-asb-232.txt","Contig-232")</f>
        <v>Contig-232</v>
      </c>
      <c r="D615" t="str">
        <f>HYPERLINK("http://exon.niaid.nih.gov/transcriptome/T_rubida/S1/links/Triru/Triru-5-48-232-CLU.txt","Contig232")</f>
        <v>Contig232</v>
      </c>
      <c r="E615" t="str">
        <f>HYPERLINK("http://exon.niaid.nih.gov/transcriptome/T_rubida/S1/links/Triru/Triru-5-48-232-qual.txt","54.3")</f>
        <v>54.3</v>
      </c>
      <c r="F615" t="s">
        <v>10</v>
      </c>
      <c r="G615">
        <v>69.5</v>
      </c>
      <c r="H615">
        <v>168</v>
      </c>
      <c r="I615" t="s">
        <v>244</v>
      </c>
      <c r="J615">
        <v>168</v>
      </c>
      <c r="K615">
        <v>187</v>
      </c>
      <c r="L615">
        <v>132</v>
      </c>
      <c r="M615" t="s">
        <v>5486</v>
      </c>
      <c r="N615" s="15">
        <v>3</v>
      </c>
      <c r="Q615" s="5" t="s">
        <v>4827</v>
      </c>
      <c r="R615" t="s">
        <v>4828</v>
      </c>
      <c r="V615" s="1" t="str">
        <f>HYPERLINK("http://exon.niaid.nih.gov/transcriptome/T_rubida/S1/links/NR/Triru-contig_232-NR.txt","hypothetical protein CLOSPI_02435")</f>
        <v>hypothetical protein CLOSPI_02435</v>
      </c>
      <c r="W615" t="str">
        <f>HYPERLINK("http://www.ncbi.nlm.nih.gov/sutils/blink.cgi?pid=169351654","99")</f>
        <v>99</v>
      </c>
      <c r="X615" t="str">
        <f>HYPERLINK("http://www.ncbi.nlm.nih.gov/protein/169351654","gi|169351654")</f>
        <v>gi|169351654</v>
      </c>
      <c r="Y615">
        <v>30.4</v>
      </c>
      <c r="Z615">
        <v>21</v>
      </c>
      <c r="AA615">
        <v>444</v>
      </c>
      <c r="AB615">
        <v>54</v>
      </c>
      <c r="AC615">
        <v>5</v>
      </c>
      <c r="AD615">
        <v>10</v>
      </c>
      <c r="AE615">
        <v>0</v>
      </c>
      <c r="AF615">
        <v>417</v>
      </c>
      <c r="AG615">
        <v>76</v>
      </c>
      <c r="AH615">
        <v>1</v>
      </c>
      <c r="AI615">
        <v>1</v>
      </c>
      <c r="AJ615" t="s">
        <v>11</v>
      </c>
      <c r="AL615" t="s">
        <v>2069</v>
      </c>
      <c r="AM615" t="s">
        <v>2070</v>
      </c>
      <c r="AN615" t="s">
        <v>1903</v>
      </c>
      <c r="AO615" s="1" t="str">
        <f>HYPERLINK("http://exon.niaid.nih.gov/transcriptome/T_rubida/S1/links/SWISSP/Triru-contig_232-SWISSP.txt","G8 domain-containing protein DDB_G0288475")</f>
        <v>G8 domain-containing protein DDB_G0288475</v>
      </c>
      <c r="AP615" t="str">
        <f>HYPERLINK("http://www.uniprot.org/uniprot/Q54IW5","39")</f>
        <v>39</v>
      </c>
      <c r="AQ615" t="s">
        <v>2071</v>
      </c>
      <c r="AR615">
        <v>26.9</v>
      </c>
      <c r="AS615">
        <v>39</v>
      </c>
      <c r="AT615">
        <v>27</v>
      </c>
      <c r="AU615">
        <v>4</v>
      </c>
      <c r="AV615">
        <v>29</v>
      </c>
      <c r="AW615">
        <v>0</v>
      </c>
      <c r="AX615">
        <v>1</v>
      </c>
      <c r="AY615">
        <v>12</v>
      </c>
      <c r="AZ615">
        <v>1</v>
      </c>
      <c r="BA615">
        <v>3</v>
      </c>
      <c r="BB615" t="s">
        <v>11</v>
      </c>
      <c r="BD615" t="s">
        <v>704</v>
      </c>
      <c r="BE615" t="s">
        <v>918</v>
      </c>
      <c r="BF615" t="s">
        <v>2072</v>
      </c>
      <c r="BG615" t="s">
        <v>2073</v>
      </c>
      <c r="BH615" s="1" t="s">
        <v>57</v>
      </c>
      <c r="BI615" t="s">
        <v>57</v>
      </c>
      <c r="BJ615" s="1" t="str">
        <f>HYPERLINK("http://exon.niaid.nih.gov/transcriptome/T_rubida/S1/links/CDD/Triru-contig_232-CDD.txt","DUF573")</f>
        <v>DUF573</v>
      </c>
      <c r="BK615" t="str">
        <f>HYPERLINK("http://www.ncbi.nlm.nih.gov/Structure/cdd/cddsrv.cgi?uid=pfam04504&amp;version=v4.0","0.35")</f>
        <v>0.35</v>
      </c>
      <c r="BL615" t="s">
        <v>2074</v>
      </c>
      <c r="BM615" s="1" t="str">
        <f>HYPERLINK("http://exon.niaid.nih.gov/transcriptome/T_rubida/S1/links/KOG/Triru-contig_232-KOG.txt","ATP-dependent RNA helicase")</f>
        <v>ATP-dependent RNA helicase</v>
      </c>
      <c r="BN615" t="str">
        <f>HYPERLINK("http://www.ncbi.nlm.nih.gov/COG/grace/shokog.cgi?KOG0326","2.4")</f>
        <v>2.4</v>
      </c>
      <c r="BO615" t="s">
        <v>1002</v>
      </c>
      <c r="BP615" s="1" t="str">
        <f>HYPERLINK("http://exon.niaid.nih.gov/transcriptome/T_rubida/S1/links/PFAM/Triru-contig_232-PFAM.txt","DUF573")</f>
        <v>DUF573</v>
      </c>
      <c r="BQ615" t="str">
        <f>HYPERLINK("http://pfam.sanger.ac.uk/family?acc=PF04504","0.073")</f>
        <v>0.073</v>
      </c>
      <c r="BR615" s="1" t="str">
        <f>HYPERLINK("http://exon.niaid.nih.gov/transcriptome/T_rubida/S1/links/SMART/Triru-contig_232-SMART.txt","DCX")</f>
        <v>DCX</v>
      </c>
      <c r="BS615" t="str">
        <f>HYPERLINK("http://smart.embl-heidelberg.de/smart/do_annotation.pl?DOMAIN=DCX&amp;BLAST=DUMMY","0.095")</f>
        <v>0.095</v>
      </c>
      <c r="BT615" s="1" t="str">
        <f>HYPERLINK("http://exon.niaid.nih.gov/transcriptome/T_rubida/S1/links/PRK/Triru-contig_232-PRK.txt","putative fimbrial protein StkG")</f>
        <v>putative fimbrial protein StkG</v>
      </c>
      <c r="BU615">
        <v>2.6</v>
      </c>
      <c r="BV615" s="1" t="s">
        <v>57</v>
      </c>
      <c r="BW615" t="s">
        <v>57</v>
      </c>
      <c r="BX615" s="1" t="s">
        <v>57</v>
      </c>
      <c r="BY615" t="s">
        <v>57</v>
      </c>
    </row>
    <row r="616" spans="1:77">
      <c r="A616" t="str">
        <f>HYPERLINK("http://exon.niaid.nih.gov/transcriptome/T_rubida/S1/links/Triru/Triru-contig_206.txt","Triru-contig_206")</f>
        <v>Triru-contig_206</v>
      </c>
      <c r="B616">
        <v>1</v>
      </c>
      <c r="C616" t="str">
        <f>HYPERLINK("http://exon.niaid.nih.gov/transcriptome/T_rubida/S1/links/Triru/Triru-5-48-asb-206.txt","Contig-206")</f>
        <v>Contig-206</v>
      </c>
      <c r="D616" t="str">
        <f>HYPERLINK("http://exon.niaid.nih.gov/transcriptome/T_rubida/S1/links/Triru/Triru-5-48-206-CLU.txt","Contig206")</f>
        <v>Contig206</v>
      </c>
      <c r="E616" t="str">
        <f>HYPERLINK("http://exon.niaid.nih.gov/transcriptome/T_rubida/S1/links/Triru/Triru-5-48-206-qual.txt","44.7")</f>
        <v>44.7</v>
      </c>
      <c r="F616" t="s">
        <v>10</v>
      </c>
      <c r="G616">
        <v>74.5</v>
      </c>
      <c r="H616">
        <v>236</v>
      </c>
      <c r="I616" t="s">
        <v>218</v>
      </c>
      <c r="J616">
        <v>236</v>
      </c>
      <c r="K616">
        <v>255</v>
      </c>
      <c r="L616">
        <v>90</v>
      </c>
      <c r="M616" t="s">
        <v>5547</v>
      </c>
      <c r="N616" s="15">
        <v>2</v>
      </c>
      <c r="Q616" s="5" t="s">
        <v>4827</v>
      </c>
      <c r="R616" t="s">
        <v>4828</v>
      </c>
      <c r="V616" s="1" t="str">
        <f>HYPERLINK("http://exon.niaid.nih.gov/transcriptome/T_rubida/S1/links/NR/Triru-contig_206-NR.txt","hypothetical protein IMG5_152140")</f>
        <v>hypothetical protein IMG5_152140</v>
      </c>
      <c r="W616" t="str">
        <f>HYPERLINK("http://www.ncbi.nlm.nih.gov/sutils/blink.cgi?pid=340502979","99")</f>
        <v>99</v>
      </c>
      <c r="X616" t="str">
        <f>HYPERLINK("http://www.ncbi.nlm.nih.gov/protein/340502979","gi|340502979")</f>
        <v>gi|340502979</v>
      </c>
      <c r="Y616">
        <v>30.4</v>
      </c>
      <c r="Z616">
        <v>47</v>
      </c>
      <c r="AA616">
        <v>195</v>
      </c>
      <c r="AB616">
        <v>38</v>
      </c>
      <c r="AC616">
        <v>25</v>
      </c>
      <c r="AD616">
        <v>34</v>
      </c>
      <c r="AE616">
        <v>0</v>
      </c>
      <c r="AF616">
        <v>18</v>
      </c>
      <c r="AG616">
        <v>11</v>
      </c>
      <c r="AH616">
        <v>1</v>
      </c>
      <c r="AI616">
        <v>2</v>
      </c>
      <c r="AJ616" t="s">
        <v>11</v>
      </c>
      <c r="AK616">
        <v>8.5109999999999992</v>
      </c>
      <c r="AL616" t="s">
        <v>1593</v>
      </c>
      <c r="AM616" t="s">
        <v>1902</v>
      </c>
      <c r="AN616" t="s">
        <v>1903</v>
      </c>
      <c r="AO616" s="1" t="str">
        <f>HYPERLINK("http://exon.niaid.nih.gov/transcriptome/T_rubida/S1/links/SWISSP/Triru-contig_206-SWISSP.txt","Telomerase reverse transcriptase")</f>
        <v>Telomerase reverse transcriptase</v>
      </c>
      <c r="AP616" t="str">
        <f>HYPERLINK("http://www.uniprot.org/uniprot/O00939","88")</f>
        <v>88</v>
      </c>
      <c r="AQ616" t="s">
        <v>1904</v>
      </c>
      <c r="AR616">
        <v>25.8</v>
      </c>
      <c r="AS616">
        <v>25</v>
      </c>
      <c r="AT616">
        <v>46</v>
      </c>
      <c r="AU616">
        <v>3</v>
      </c>
      <c r="AV616">
        <v>14</v>
      </c>
      <c r="AW616">
        <v>0</v>
      </c>
      <c r="AX616">
        <v>244</v>
      </c>
      <c r="AY616">
        <v>145</v>
      </c>
      <c r="AZ616">
        <v>1</v>
      </c>
      <c r="BA616">
        <v>1</v>
      </c>
      <c r="BB616" t="s">
        <v>11</v>
      </c>
      <c r="BC616">
        <v>8</v>
      </c>
      <c r="BD616" t="s">
        <v>704</v>
      </c>
      <c r="BE616" t="s">
        <v>1905</v>
      </c>
      <c r="BF616" t="s">
        <v>1906</v>
      </c>
      <c r="BG616" t="s">
        <v>1907</v>
      </c>
      <c r="BH616" s="1" t="s">
        <v>57</v>
      </c>
      <c r="BI616" t="s">
        <v>57</v>
      </c>
      <c r="BJ616" s="1" t="str">
        <f>HYPERLINK("http://exon.niaid.nih.gov/transcriptome/T_rubida/S1/links/CDD/Triru-contig_206-CDD.txt","PRK04870")</f>
        <v>PRK04870</v>
      </c>
      <c r="BK616" t="str">
        <f>HYPERLINK("http://www.ncbi.nlm.nih.gov/Structure/cdd/cddsrv.cgi?uid=PRK04870&amp;version=v4.0","1.7")</f>
        <v>1.7</v>
      </c>
      <c r="BL616" t="s">
        <v>1908</v>
      </c>
      <c r="BM616" s="1" t="str">
        <f>HYPERLINK("http://exon.niaid.nih.gov/transcriptome/T_rubida/S1/links/KOG/Triru-contig_206-KOG.txt","Ca2+-activated K+ channel Slowpoke, alpha subunit")</f>
        <v>Ca2+-activated K+ channel Slowpoke, alpha subunit</v>
      </c>
      <c r="BN616" t="str">
        <f>HYPERLINK("http://www.ncbi.nlm.nih.gov/COG/grace/shokog.cgi?KOG1420","0.60")</f>
        <v>0.60</v>
      </c>
      <c r="BO616" t="s">
        <v>720</v>
      </c>
      <c r="BP616" s="1" t="str">
        <f>HYPERLINK("http://exon.niaid.nih.gov/transcriptome/T_rubida/S1/links/PFAM/Triru-contig_206-PFAM.txt","YibE_F")</f>
        <v>YibE_F</v>
      </c>
      <c r="BQ616" t="str">
        <f>HYPERLINK("http://pfam.sanger.ac.uk/family?acc=PF07907","0.40")</f>
        <v>0.40</v>
      </c>
      <c r="BR616" s="1" t="str">
        <f>HYPERLINK("http://exon.niaid.nih.gov/transcriptome/T_rubida/S1/links/SMART/Triru-contig_206-SMART.txt","FH2")</f>
        <v>FH2</v>
      </c>
      <c r="BS616" t="str">
        <f>HYPERLINK("http://smart.embl-heidelberg.de/smart/do_annotation.pl?DOMAIN=FH2&amp;BLAST=DUMMY","0.29")</f>
        <v>0.29</v>
      </c>
      <c r="BT616" s="1" t="str">
        <f>HYPERLINK("http://exon.niaid.nih.gov/transcriptome/T_rubida/S1/links/PRK/Triru-contig_206-PRK.txt","histidinol-phosphate aminotransferase")</f>
        <v>histidinol-phosphate aminotransferase</v>
      </c>
      <c r="BU616">
        <v>0.63</v>
      </c>
      <c r="BV616" s="1" t="s">
        <v>57</v>
      </c>
      <c r="BW616" t="s">
        <v>57</v>
      </c>
      <c r="BX616" s="1" t="s">
        <v>57</v>
      </c>
      <c r="BY616" t="s">
        <v>57</v>
      </c>
    </row>
    <row r="617" spans="1:77">
      <c r="A617" t="str">
        <f>HYPERLINK("http://exon.niaid.nih.gov/transcriptome/T_rubida/S1/links/Triru/Triru-contig_273.txt","Triru-contig_273")</f>
        <v>Triru-contig_273</v>
      </c>
      <c r="B617">
        <v>1</v>
      </c>
      <c r="C617" t="str">
        <f>HYPERLINK("http://exon.niaid.nih.gov/transcriptome/T_rubida/S1/links/Triru/Triru-5-48-asb-273.txt","Contig-273")</f>
        <v>Contig-273</v>
      </c>
      <c r="D617" t="str">
        <f>HYPERLINK("http://exon.niaid.nih.gov/transcriptome/T_rubida/S1/links/Triru/Triru-5-48-273-CLU.txt","Contig273")</f>
        <v>Contig273</v>
      </c>
      <c r="E617" t="str">
        <f>HYPERLINK("http://exon.niaid.nih.gov/transcriptome/T_rubida/S1/links/Triru/Triru-5-48-273-qual.txt","67.6")</f>
        <v>67.6</v>
      </c>
      <c r="F617" t="s">
        <v>10</v>
      </c>
      <c r="G617">
        <v>61.7</v>
      </c>
      <c r="H617">
        <v>169</v>
      </c>
      <c r="I617" t="s">
        <v>285</v>
      </c>
      <c r="J617">
        <v>169</v>
      </c>
      <c r="K617">
        <v>188</v>
      </c>
      <c r="L617">
        <v>129</v>
      </c>
      <c r="M617" t="s">
        <v>5699</v>
      </c>
      <c r="N617" s="15">
        <v>2</v>
      </c>
      <c r="Q617" s="5" t="s">
        <v>4827</v>
      </c>
      <c r="R617" t="s">
        <v>4828</v>
      </c>
      <c r="V617" s="1" t="str">
        <f>HYPERLINK("http://exon.niaid.nih.gov/transcriptome/T_rubida/S1/links/NR/Triru-contig_273-NR.txt","HDIG domain-containing protein")</f>
        <v>HDIG domain-containing protein</v>
      </c>
      <c r="W617" t="str">
        <f>HYPERLINK("http://www.ncbi.nlm.nih.gov/sutils/blink.cgi?pid=320156008","99")</f>
        <v>99</v>
      </c>
      <c r="X617" t="str">
        <f>HYPERLINK("http://www.ncbi.nlm.nih.gov/protein/320156008","gi|320156008")</f>
        <v>gi|320156008</v>
      </c>
      <c r="Y617">
        <v>30.4</v>
      </c>
      <c r="Z617">
        <v>21</v>
      </c>
      <c r="AA617">
        <v>422</v>
      </c>
      <c r="AB617">
        <v>50</v>
      </c>
      <c r="AC617">
        <v>5</v>
      </c>
      <c r="AD617">
        <v>11</v>
      </c>
      <c r="AE617">
        <v>0</v>
      </c>
      <c r="AF617">
        <v>326</v>
      </c>
      <c r="AG617">
        <v>88</v>
      </c>
      <c r="AH617">
        <v>1</v>
      </c>
      <c r="AI617">
        <v>1</v>
      </c>
      <c r="AJ617" t="s">
        <v>11</v>
      </c>
      <c r="AL617" t="s">
        <v>2318</v>
      </c>
      <c r="AM617" t="s">
        <v>2319</v>
      </c>
      <c r="AN617" t="s">
        <v>2320</v>
      </c>
      <c r="AO617" s="1" t="str">
        <f>HYPERLINK("http://exon.niaid.nih.gov/transcriptome/T_rubida/S1/links/SWISSP/Triru-contig_273-SWISSP.txt","DNA ligase")</f>
        <v>DNA ligase</v>
      </c>
      <c r="AP617" t="str">
        <f>HYPERLINK("http://www.uniprot.org/uniprot/Q9CKA9","91")</f>
        <v>91</v>
      </c>
      <c r="AQ617" t="s">
        <v>2321</v>
      </c>
      <c r="AR617">
        <v>25.8</v>
      </c>
      <c r="AS617">
        <v>23</v>
      </c>
      <c r="AT617">
        <v>37</v>
      </c>
      <c r="AU617">
        <v>4</v>
      </c>
      <c r="AV617">
        <v>15</v>
      </c>
      <c r="AW617">
        <v>0</v>
      </c>
      <c r="AX617">
        <v>41</v>
      </c>
      <c r="AY617">
        <v>59</v>
      </c>
      <c r="AZ617">
        <v>1</v>
      </c>
      <c r="BA617">
        <v>2</v>
      </c>
      <c r="BB617" t="s">
        <v>11</v>
      </c>
      <c r="BD617" t="s">
        <v>704</v>
      </c>
      <c r="BE617" t="s">
        <v>2322</v>
      </c>
      <c r="BF617" t="s">
        <v>2323</v>
      </c>
      <c r="BG617" t="s">
        <v>2324</v>
      </c>
      <c r="BH617" s="1" t="s">
        <v>57</v>
      </c>
      <c r="BI617" t="s">
        <v>57</v>
      </c>
      <c r="BJ617" s="1" t="str">
        <f>HYPERLINK("http://exon.niaid.nih.gov/transcriptome/T_rubida/S1/links/CDD/Triru-contig_273-CDD.txt","PRK10867")</f>
        <v>PRK10867</v>
      </c>
      <c r="BK617" t="str">
        <f>HYPERLINK("http://www.ncbi.nlm.nih.gov/Structure/cdd/cddsrv.cgi?uid=PRK10867&amp;version=v4.0","4.1")</f>
        <v>4.1</v>
      </c>
      <c r="BL617" t="s">
        <v>2325</v>
      </c>
      <c r="BM617" s="1" t="str">
        <f>HYPERLINK("http://exon.niaid.nih.gov/transcriptome/T_rubida/S1/links/KOG/Triru-contig_273-KOG.txt","Transcription factor CHX10 and related HOX domain proteins")</f>
        <v>Transcription factor CHX10 and related HOX domain proteins</v>
      </c>
      <c r="BN617" t="str">
        <f>HYPERLINK("http://www.ncbi.nlm.nih.gov/COG/grace/shokog.cgi?KOG0494","1.5")</f>
        <v>1.5</v>
      </c>
      <c r="BO617" t="s">
        <v>750</v>
      </c>
      <c r="BP617" s="1" t="str">
        <f>HYPERLINK("http://exon.niaid.nih.gov/transcriptome/T_rubida/S1/links/PFAM/Triru-contig_273-PFAM.txt","Homeobox")</f>
        <v>Homeobox</v>
      </c>
      <c r="BQ617" t="str">
        <f>HYPERLINK("http://pfam.sanger.ac.uk/family?acc=PF00046","0.91")</f>
        <v>0.91</v>
      </c>
      <c r="BR617" s="1" t="str">
        <f>HYPERLINK("http://exon.niaid.nih.gov/transcriptome/T_rubida/S1/links/SMART/Triru-contig_273-SMART.txt","TBOX")</f>
        <v>TBOX</v>
      </c>
      <c r="BS617" t="str">
        <f>HYPERLINK("http://smart.embl-heidelberg.de/smart/do_annotation.pl?DOMAIN=TBOX&amp;BLAST=DUMMY","0.19")</f>
        <v>0.19</v>
      </c>
      <c r="BT617" s="1" t="str">
        <f>HYPERLINK("http://exon.niaid.nih.gov/transcriptome/T_rubida/S1/links/PRK/Triru-contig_273-PRK.txt","signal recognition particle protein")</f>
        <v>signal recognition particle protein</v>
      </c>
      <c r="BU617">
        <v>1.5</v>
      </c>
      <c r="BV617" s="1" t="s">
        <v>57</v>
      </c>
      <c r="BW617" t="s">
        <v>57</v>
      </c>
      <c r="BX617" s="1" t="s">
        <v>57</v>
      </c>
      <c r="BY617" t="s">
        <v>57</v>
      </c>
    </row>
    <row r="618" spans="1:77">
      <c r="A618" t="str">
        <f>HYPERLINK("http://exon.niaid.nih.gov/transcriptome/T_rubida/S1/links/Triru/Triru-contig_99.txt","Triru-contig_99")</f>
        <v>Triru-contig_99</v>
      </c>
      <c r="B618">
        <v>2</v>
      </c>
      <c r="C618" t="str">
        <f>HYPERLINK("http://exon.niaid.nih.gov/transcriptome/T_rubida/S1/links/Triru/Triru-5-48-asb-99.txt","Contig-99")</f>
        <v>Contig-99</v>
      </c>
      <c r="D618" t="str">
        <f>HYPERLINK("http://exon.niaid.nih.gov/transcriptome/T_rubida/S1/links/Triru/Triru-5-48-99-CLU.txt","Contig99")</f>
        <v>Contig99</v>
      </c>
      <c r="E618" t="str">
        <f>HYPERLINK("http://exon.niaid.nih.gov/transcriptome/T_rubida/S1/links/Triru/Triru-5-48-99-qual.txt","75.6")</f>
        <v>75.6</v>
      </c>
      <c r="F618" t="s">
        <v>10</v>
      </c>
      <c r="G618">
        <v>73.8</v>
      </c>
      <c r="H618">
        <v>84</v>
      </c>
      <c r="I618" t="s">
        <v>111</v>
      </c>
      <c r="J618">
        <v>84</v>
      </c>
      <c r="K618">
        <v>103</v>
      </c>
      <c r="L618">
        <v>57</v>
      </c>
      <c r="M618" t="s">
        <v>5344</v>
      </c>
      <c r="N618" s="15">
        <v>2</v>
      </c>
      <c r="Q618" s="5" t="s">
        <v>4827</v>
      </c>
      <c r="R618" t="s">
        <v>4828</v>
      </c>
      <c r="V618" s="1" t="s">
        <v>57</v>
      </c>
      <c r="W618" t="s">
        <v>57</v>
      </c>
      <c r="X618" t="s">
        <v>57</v>
      </c>
      <c r="Y618" t="s">
        <v>57</v>
      </c>
      <c r="Z618" t="s">
        <v>57</v>
      </c>
      <c r="AA618" t="s">
        <v>57</v>
      </c>
      <c r="AB618" t="s">
        <v>57</v>
      </c>
      <c r="AC618" t="s">
        <v>57</v>
      </c>
      <c r="AD618" t="s">
        <v>57</v>
      </c>
      <c r="AE618" t="s">
        <v>57</v>
      </c>
      <c r="AF618" t="s">
        <v>57</v>
      </c>
      <c r="AG618" t="s">
        <v>57</v>
      </c>
      <c r="AH618" t="s">
        <v>57</v>
      </c>
      <c r="AI618" t="s">
        <v>57</v>
      </c>
      <c r="AJ618" t="s">
        <v>57</v>
      </c>
      <c r="AK618" t="s">
        <v>57</v>
      </c>
      <c r="AL618" t="s">
        <v>57</v>
      </c>
      <c r="AM618" t="s">
        <v>57</v>
      </c>
      <c r="AN618" t="s">
        <v>57</v>
      </c>
      <c r="AO618" s="1" t="str">
        <f>HYPERLINK("http://exon.niaid.nih.gov/transcriptome/T_rubida/S1/links/SWISSP/Triru-contig_99-SWISSP.txt","40S ribosomal protein S7")</f>
        <v>40S ribosomal protein S7</v>
      </c>
      <c r="AP618" t="str">
        <f>HYPERLINK("http://www.uniprot.org/uniprot/Q962S0","6.3")</f>
        <v>6.3</v>
      </c>
      <c r="AQ618" t="s">
        <v>1245</v>
      </c>
      <c r="AR618">
        <v>29.6</v>
      </c>
      <c r="AS618">
        <v>12</v>
      </c>
      <c r="AT618">
        <v>84</v>
      </c>
      <c r="AU618">
        <v>7</v>
      </c>
      <c r="AV618">
        <v>2</v>
      </c>
      <c r="AW618">
        <v>0</v>
      </c>
      <c r="AX618">
        <v>178</v>
      </c>
      <c r="AY618">
        <v>7</v>
      </c>
      <c r="AZ618">
        <v>1</v>
      </c>
      <c r="BA618">
        <v>1</v>
      </c>
      <c r="BB618" t="s">
        <v>11</v>
      </c>
      <c r="BD618" t="s">
        <v>704</v>
      </c>
      <c r="BE618" t="s">
        <v>1246</v>
      </c>
      <c r="BF618" t="s">
        <v>1247</v>
      </c>
      <c r="BG618" t="s">
        <v>1248</v>
      </c>
      <c r="BH618" s="1" t="s">
        <v>57</v>
      </c>
      <c r="BI618" t="s">
        <v>57</v>
      </c>
      <c r="BJ618" s="1" t="str">
        <f>HYPERLINK("http://exon.niaid.nih.gov/transcriptome/T_rubida/S1/links/CDD/Triru-contig_99-CDD.txt","RhoGAP")</f>
        <v>RhoGAP</v>
      </c>
      <c r="BK618" t="str">
        <f>HYPERLINK("http://www.ncbi.nlm.nih.gov/Structure/cdd/cddsrv.cgi?uid=pfam00620&amp;version=v4.0","0.71")</f>
        <v>0.71</v>
      </c>
      <c r="BL618" t="s">
        <v>1249</v>
      </c>
      <c r="BM618" s="1" t="str">
        <f>HYPERLINK("http://exon.niaid.nih.gov/transcriptome/T_rubida/S1/links/KOG/Triru-contig_99-KOG.txt","Tumour suppressor protein p122-RhoGAP/DLC1")</f>
        <v>Tumour suppressor protein p122-RhoGAP/DLC1</v>
      </c>
      <c r="BN618" t="str">
        <f>HYPERLINK("http://www.ncbi.nlm.nih.gov/COG/grace/shokog.cgi?KOG2200","6.7")</f>
        <v>6.7</v>
      </c>
      <c r="BO618" t="s">
        <v>728</v>
      </c>
      <c r="BP618" s="1" t="str">
        <f>HYPERLINK("http://exon.niaid.nih.gov/transcriptome/T_rubida/S1/links/PFAM/Triru-contig_99-PFAM.txt","RhoGAP")</f>
        <v>RhoGAP</v>
      </c>
      <c r="BQ618" t="str">
        <f>HYPERLINK("http://pfam.sanger.ac.uk/family?acc=PF00620","0.15")</f>
        <v>0.15</v>
      </c>
      <c r="BR618" s="1" t="str">
        <f>HYPERLINK("http://exon.niaid.nih.gov/transcriptome/T_rubida/S1/links/SMART/Triru-contig_99-SMART.txt","RhoGAP")</f>
        <v>RhoGAP</v>
      </c>
      <c r="BS618" t="str">
        <f>HYPERLINK("http://smart.embl-heidelberg.de/smart/do_annotation.pl?DOMAIN=RhoGAP&amp;BLAST=DUMMY","0.011")</f>
        <v>0.011</v>
      </c>
      <c r="BT618" s="1" t="str">
        <f>HYPERLINK("http://exon.niaid.nih.gov/transcriptome/T_rubida/S1/links/PRK/Triru-contig_99-PRK.txt","hypothetical protein")</f>
        <v>hypothetical protein</v>
      </c>
      <c r="BU618">
        <v>1.9</v>
      </c>
      <c r="BV618" s="1" t="s">
        <v>57</v>
      </c>
      <c r="BW618" t="s">
        <v>57</v>
      </c>
      <c r="BX618" s="1" t="s">
        <v>57</v>
      </c>
      <c r="BY618" t="s">
        <v>57</v>
      </c>
    </row>
    <row r="619" spans="1:77">
      <c r="A619" t="str">
        <f>HYPERLINK("http://exon.niaid.nih.gov/transcriptome/T_rubida/S1/links/Triru/Triru-contig_116.txt","Triru-contig_116")</f>
        <v>Triru-contig_116</v>
      </c>
      <c r="B619">
        <v>2</v>
      </c>
      <c r="C619" t="str">
        <f>HYPERLINK("http://exon.niaid.nih.gov/transcriptome/T_rubida/S1/links/Triru/Triru-5-48-asb-116.txt","Contig-116")</f>
        <v>Contig-116</v>
      </c>
      <c r="D619" t="str">
        <f>HYPERLINK("http://exon.niaid.nih.gov/transcriptome/T_rubida/S1/links/Triru/Triru-5-48-116-CLU.txt","Contig116")</f>
        <v>Contig116</v>
      </c>
      <c r="E619" t="str">
        <f>HYPERLINK("http://exon.niaid.nih.gov/transcriptome/T_rubida/S1/links/Triru/Triru-5-48-116-qual.txt","54.9")</f>
        <v>54.9</v>
      </c>
      <c r="F619" t="s">
        <v>10</v>
      </c>
      <c r="G619">
        <v>73.8</v>
      </c>
      <c r="H619">
        <v>84</v>
      </c>
      <c r="I619" t="s">
        <v>128</v>
      </c>
      <c r="J619">
        <v>87</v>
      </c>
      <c r="K619">
        <v>103</v>
      </c>
      <c r="L619">
        <v>84</v>
      </c>
      <c r="M619" t="s">
        <v>5345</v>
      </c>
      <c r="N619" s="15">
        <v>3</v>
      </c>
      <c r="Q619" s="5" t="s">
        <v>4827</v>
      </c>
      <c r="R619" t="s">
        <v>4828</v>
      </c>
      <c r="V619" s="1" t="s">
        <v>57</v>
      </c>
      <c r="W619" t="s">
        <v>57</v>
      </c>
      <c r="X619" t="s">
        <v>57</v>
      </c>
      <c r="Y619" t="s">
        <v>57</v>
      </c>
      <c r="Z619" t="s">
        <v>57</v>
      </c>
      <c r="AA619" t="s">
        <v>57</v>
      </c>
      <c r="AB619" t="s">
        <v>57</v>
      </c>
      <c r="AC619" t="s">
        <v>57</v>
      </c>
      <c r="AD619" t="s">
        <v>57</v>
      </c>
      <c r="AE619" t="s">
        <v>57</v>
      </c>
      <c r="AF619" t="s">
        <v>57</v>
      </c>
      <c r="AG619" t="s">
        <v>57</v>
      </c>
      <c r="AH619" t="s">
        <v>57</v>
      </c>
      <c r="AI619" t="s">
        <v>57</v>
      </c>
      <c r="AJ619" t="s">
        <v>57</v>
      </c>
      <c r="AK619" t="s">
        <v>57</v>
      </c>
      <c r="AL619" t="s">
        <v>57</v>
      </c>
      <c r="AM619" t="s">
        <v>57</v>
      </c>
      <c r="AN619" t="s">
        <v>57</v>
      </c>
      <c r="AO619" s="1" t="str">
        <f>HYPERLINK("http://exon.niaid.nih.gov/transcriptome/T_rubida/S1/links/SWISSP/Triru-contig_116-SWISSP.txt","Protoheme IX farnesyltransferase, mitochondrial")</f>
        <v>Protoheme IX farnesyltransferase, mitochondrial</v>
      </c>
      <c r="AP619" t="str">
        <f>HYPERLINK("http://www.uniprot.org/uniprot/Q8CFY5","23")</f>
        <v>23</v>
      </c>
      <c r="AQ619" t="s">
        <v>1369</v>
      </c>
      <c r="AR619">
        <v>27.7</v>
      </c>
      <c r="AS619">
        <v>19</v>
      </c>
      <c r="AT619">
        <v>50</v>
      </c>
      <c r="AU619">
        <v>5</v>
      </c>
      <c r="AV619">
        <v>10</v>
      </c>
      <c r="AW619">
        <v>0</v>
      </c>
      <c r="AX619">
        <v>263</v>
      </c>
      <c r="AY619">
        <v>18</v>
      </c>
      <c r="AZ619">
        <v>1</v>
      </c>
      <c r="BA619">
        <v>3</v>
      </c>
      <c r="BB619" t="s">
        <v>11</v>
      </c>
      <c r="BD619" t="s">
        <v>704</v>
      </c>
      <c r="BE619" t="s">
        <v>807</v>
      </c>
      <c r="BF619" t="s">
        <v>1370</v>
      </c>
      <c r="BG619" t="s">
        <v>1371</v>
      </c>
      <c r="BH619" s="1" t="s">
        <v>57</v>
      </c>
      <c r="BI619" t="s">
        <v>57</v>
      </c>
      <c r="BJ619" s="1" t="str">
        <f>HYPERLINK("http://exon.niaid.nih.gov/transcriptome/T_rubida/S1/links/CDD/Triru-contig_116-CDD.txt","pk1")</f>
        <v>pk1</v>
      </c>
      <c r="BK619" t="str">
        <f>HYPERLINK("http://www.ncbi.nlm.nih.gov/Structure/cdd/cddsrv.cgi?uid=PHA03390&amp;version=v4.0","1.5")</f>
        <v>1.5</v>
      </c>
      <c r="BL619" t="s">
        <v>1372</v>
      </c>
      <c r="BM619" s="1" t="str">
        <f>HYPERLINK("http://exon.niaid.nih.gov/transcriptome/T_rubida/S1/links/KOG/Triru-contig_116-KOG.txt","Uncharacterized conserved protein")</f>
        <v>Uncharacterized conserved protein</v>
      </c>
      <c r="BN619" t="str">
        <f>HYPERLINK("http://www.ncbi.nlm.nih.gov/COG/grace/shokog.cgi?KOG3098","3.6")</f>
        <v>3.6</v>
      </c>
      <c r="BO619" t="s">
        <v>737</v>
      </c>
      <c r="BP619" s="1" t="str">
        <f>HYPERLINK("http://exon.niaid.nih.gov/transcriptome/T_rubida/S1/links/PFAM/Triru-contig_116-PFAM.txt","UNC-93")</f>
        <v>UNC-93</v>
      </c>
      <c r="BQ619" t="str">
        <f>HYPERLINK("http://pfam.sanger.ac.uk/family?acc=PF05978","1.0")</f>
        <v>1.0</v>
      </c>
      <c r="BR619" s="1" t="str">
        <f>HYPERLINK("http://exon.niaid.nih.gov/transcriptome/T_rubida/S1/links/SMART/Triru-contig_116-SMART.txt","Mterf")</f>
        <v>Mterf</v>
      </c>
      <c r="BS619" t="str">
        <f>HYPERLINK("http://smart.embl-heidelberg.de/smart/do_annotation.pl?DOMAIN=Mterf&amp;BLAST=DUMMY","3.1")</f>
        <v>3.1</v>
      </c>
      <c r="BT619" s="1" t="str">
        <f>HYPERLINK("http://exon.niaid.nih.gov/transcriptome/T_rubida/S1/links/PRK/Triru-contig_116-PRK.txt","serine/threonine-protein kinase 1")</f>
        <v>serine/threonine-protein kinase 1</v>
      </c>
      <c r="BU619">
        <v>0.54</v>
      </c>
      <c r="BV619" s="1" t="s">
        <v>57</v>
      </c>
      <c r="BW619" t="s">
        <v>57</v>
      </c>
      <c r="BX619" s="1" t="s">
        <v>57</v>
      </c>
      <c r="BY619" t="s">
        <v>57</v>
      </c>
    </row>
    <row r="620" spans="1:77">
      <c r="A620" t="str">
        <f>HYPERLINK("http://exon.niaid.nih.gov/transcriptome/T_rubida/S1/links/Triru/Triru-contig_136.txt","Triru-contig_136")</f>
        <v>Triru-contig_136</v>
      </c>
      <c r="B620">
        <v>2</v>
      </c>
      <c r="C620" t="str">
        <f>HYPERLINK("http://exon.niaid.nih.gov/transcriptome/T_rubida/S1/links/Triru/Triru-5-48-asb-136.txt","Contig-136")</f>
        <v>Contig-136</v>
      </c>
      <c r="D620" t="str">
        <f>HYPERLINK("http://exon.niaid.nih.gov/transcriptome/T_rubida/S1/links/Triru/Triru-5-48-136-CLU.txt","Contig136")</f>
        <v>Contig136</v>
      </c>
      <c r="E620" t="str">
        <f>HYPERLINK("http://exon.niaid.nih.gov/transcriptome/T_rubida/S1/links/Triru/Triru-5-48-136-qual.txt","58.")</f>
        <v>58.</v>
      </c>
      <c r="F620" t="s">
        <v>10</v>
      </c>
      <c r="G620">
        <v>73.599999999999994</v>
      </c>
      <c r="H620">
        <v>72</v>
      </c>
      <c r="I620" t="s">
        <v>148</v>
      </c>
      <c r="J620">
        <v>72</v>
      </c>
      <c r="K620">
        <v>91</v>
      </c>
      <c r="L620">
        <v>78</v>
      </c>
      <c r="M620" t="s">
        <v>5346</v>
      </c>
      <c r="N620" s="15">
        <v>1</v>
      </c>
      <c r="Q620" s="5" t="s">
        <v>4827</v>
      </c>
      <c r="R620" t="s">
        <v>4828</v>
      </c>
      <c r="V620" s="1" t="s">
        <v>57</v>
      </c>
      <c r="W620" t="s">
        <v>57</v>
      </c>
      <c r="X620" t="s">
        <v>57</v>
      </c>
      <c r="Y620" t="s">
        <v>57</v>
      </c>
      <c r="Z620" t="s">
        <v>57</v>
      </c>
      <c r="AA620" t="s">
        <v>57</v>
      </c>
      <c r="AB620" t="s">
        <v>57</v>
      </c>
      <c r="AC620" t="s">
        <v>57</v>
      </c>
      <c r="AD620" t="s">
        <v>57</v>
      </c>
      <c r="AE620" t="s">
        <v>57</v>
      </c>
      <c r="AF620" t="s">
        <v>57</v>
      </c>
      <c r="AG620" t="s">
        <v>57</v>
      </c>
      <c r="AH620" t="s">
        <v>57</v>
      </c>
      <c r="AI620" t="s">
        <v>57</v>
      </c>
      <c r="AJ620" t="s">
        <v>57</v>
      </c>
      <c r="AK620" t="s">
        <v>57</v>
      </c>
      <c r="AL620" t="s">
        <v>57</v>
      </c>
      <c r="AM620" t="s">
        <v>57</v>
      </c>
      <c r="AN620" t="s">
        <v>57</v>
      </c>
      <c r="AO620" s="1" t="s">
        <v>57</v>
      </c>
      <c r="AP620" t="s">
        <v>57</v>
      </c>
      <c r="AQ620" t="s">
        <v>57</v>
      </c>
      <c r="AR620" t="s">
        <v>57</v>
      </c>
      <c r="AS620" t="s">
        <v>57</v>
      </c>
      <c r="AT620" t="s">
        <v>57</v>
      </c>
      <c r="AU620" t="s">
        <v>57</v>
      </c>
      <c r="AV620" t="s">
        <v>57</v>
      </c>
      <c r="AW620" t="s">
        <v>57</v>
      </c>
      <c r="AX620" t="s">
        <v>57</v>
      </c>
      <c r="AY620" t="s">
        <v>57</v>
      </c>
      <c r="AZ620" t="s">
        <v>57</v>
      </c>
      <c r="BA620" t="s">
        <v>57</v>
      </c>
      <c r="BB620" t="s">
        <v>57</v>
      </c>
      <c r="BC620" t="s">
        <v>57</v>
      </c>
      <c r="BD620" t="s">
        <v>57</v>
      </c>
      <c r="BE620" t="s">
        <v>57</v>
      </c>
      <c r="BF620" t="s">
        <v>57</v>
      </c>
      <c r="BG620" t="s">
        <v>57</v>
      </c>
      <c r="BH620" s="1" t="s">
        <v>57</v>
      </c>
      <c r="BI620" t="s">
        <v>57</v>
      </c>
      <c r="BJ620" s="1" t="str">
        <f>HYPERLINK("http://exon.niaid.nih.gov/transcriptome/T_rubida/S1/links/CDD/Triru-contig_136-CDD.txt","PRK13977")</f>
        <v>PRK13977</v>
      </c>
      <c r="BK620" t="str">
        <f>HYPERLINK("http://www.ncbi.nlm.nih.gov/Structure/cdd/cddsrv.cgi?uid=PRK13977&amp;version=v4.0","0.60")</f>
        <v>0.60</v>
      </c>
      <c r="BL620" t="s">
        <v>1513</v>
      </c>
      <c r="BM620" s="1" t="str">
        <f>HYPERLINK("http://exon.niaid.nih.gov/transcriptome/T_rubida/S1/links/KOG/Triru-contig_136-KOG.txt","Neutral trehalase")</f>
        <v>Neutral trehalase</v>
      </c>
      <c r="BN620" t="str">
        <f>HYPERLINK("http://www.ncbi.nlm.nih.gov/COG/grace/shokog.cgi?KOG0602","1.8")</f>
        <v>1.8</v>
      </c>
      <c r="BO620" t="s">
        <v>946</v>
      </c>
      <c r="BP620" s="1" t="str">
        <f>HYPERLINK("http://exon.niaid.nih.gov/transcriptome/T_rubida/S1/links/PFAM/Triru-contig_136-PFAM.txt","Trehalase")</f>
        <v>Trehalase</v>
      </c>
      <c r="BQ620" t="str">
        <f>HYPERLINK("http://pfam.sanger.ac.uk/family?acc=PF01204","0.46")</f>
        <v>0.46</v>
      </c>
      <c r="BR620" s="1" t="str">
        <f>HYPERLINK("http://exon.niaid.nih.gov/transcriptome/T_rubida/S1/links/SMART/Triru-contig_136-SMART.txt","PP2Ac")</f>
        <v>PP2Ac</v>
      </c>
      <c r="BS620" t="str">
        <f>HYPERLINK("http://smart.embl-heidelberg.de/smart/do_annotation.pl?DOMAIN=PP2Ac&amp;BLAST=DUMMY","1.7")</f>
        <v>1.7</v>
      </c>
      <c r="BT620" s="1" t="str">
        <f>HYPERLINK("http://exon.niaid.nih.gov/transcriptome/T_rubida/S1/links/PRK/Triru-contig_136-PRK.txt","myosin-cross-reactive antigen")</f>
        <v>myosin-cross-reactive antigen</v>
      </c>
      <c r="BU620">
        <v>0.22</v>
      </c>
      <c r="BV620" s="1" t="s">
        <v>57</v>
      </c>
      <c r="BW620" t="s">
        <v>57</v>
      </c>
      <c r="BX620" s="1" t="s">
        <v>57</v>
      </c>
      <c r="BY620" t="s">
        <v>57</v>
      </c>
    </row>
    <row r="621" spans="1:77">
      <c r="A621" t="str">
        <f>HYPERLINK("http://exon.niaid.nih.gov/transcriptome/T_rubida/S1/links/Triru/Triru-contig_142.txt","Triru-contig_142")</f>
        <v>Triru-contig_142</v>
      </c>
      <c r="B621">
        <v>2</v>
      </c>
      <c r="C621" t="str">
        <f>HYPERLINK("http://exon.niaid.nih.gov/transcriptome/T_rubida/S1/links/Triru/Triru-5-48-asb-142.txt","Contig-142")</f>
        <v>Contig-142</v>
      </c>
      <c r="D621" t="str">
        <f>HYPERLINK("http://exon.niaid.nih.gov/transcriptome/T_rubida/S1/links/Triru/Triru-5-48-142-CLU.txt","Contig142")</f>
        <v>Contig142</v>
      </c>
      <c r="E621" t="str">
        <f>HYPERLINK("http://exon.niaid.nih.gov/transcriptome/T_rubida/S1/links/Triru/Triru-5-48-142-qual.txt","78.8")</f>
        <v>78.8</v>
      </c>
      <c r="F621" t="s">
        <v>10</v>
      </c>
      <c r="G621">
        <v>76.8</v>
      </c>
      <c r="H621">
        <v>80</v>
      </c>
      <c r="I621" t="s">
        <v>154</v>
      </c>
      <c r="J621">
        <v>86</v>
      </c>
      <c r="K621">
        <v>99</v>
      </c>
      <c r="L621">
        <v>57</v>
      </c>
      <c r="M621" t="s">
        <v>5347</v>
      </c>
      <c r="N621" s="15">
        <v>2</v>
      </c>
      <c r="Q621" s="5" t="s">
        <v>4827</v>
      </c>
      <c r="R621" t="s">
        <v>4828</v>
      </c>
      <c r="V621" s="1" t="s">
        <v>57</v>
      </c>
      <c r="W621" t="s">
        <v>57</v>
      </c>
      <c r="X621" t="s">
        <v>57</v>
      </c>
      <c r="Y621" t="s">
        <v>57</v>
      </c>
      <c r="Z621" t="s">
        <v>57</v>
      </c>
      <c r="AA621" t="s">
        <v>57</v>
      </c>
      <c r="AB621" t="s">
        <v>57</v>
      </c>
      <c r="AC621" t="s">
        <v>57</v>
      </c>
      <c r="AD621" t="s">
        <v>57</v>
      </c>
      <c r="AE621" t="s">
        <v>57</v>
      </c>
      <c r="AF621" t="s">
        <v>57</v>
      </c>
      <c r="AG621" t="s">
        <v>57</v>
      </c>
      <c r="AH621" t="s">
        <v>57</v>
      </c>
      <c r="AI621" t="s">
        <v>57</v>
      </c>
      <c r="AJ621" t="s">
        <v>57</v>
      </c>
      <c r="AK621" t="s">
        <v>57</v>
      </c>
      <c r="AL621" t="s">
        <v>57</v>
      </c>
      <c r="AM621" t="s">
        <v>57</v>
      </c>
      <c r="AN621" t="s">
        <v>57</v>
      </c>
      <c r="AO621" s="1" t="s">
        <v>57</v>
      </c>
      <c r="AP621" t="s">
        <v>57</v>
      </c>
      <c r="AQ621" t="s">
        <v>57</v>
      </c>
      <c r="AR621" t="s">
        <v>57</v>
      </c>
      <c r="AS621" t="s">
        <v>57</v>
      </c>
      <c r="AT621" t="s">
        <v>57</v>
      </c>
      <c r="AU621" t="s">
        <v>57</v>
      </c>
      <c r="AV621" t="s">
        <v>57</v>
      </c>
      <c r="AW621" t="s">
        <v>57</v>
      </c>
      <c r="AX621" t="s">
        <v>57</v>
      </c>
      <c r="AY621" t="s">
        <v>57</v>
      </c>
      <c r="AZ621" t="s">
        <v>57</v>
      </c>
      <c r="BA621" t="s">
        <v>57</v>
      </c>
      <c r="BB621" t="s">
        <v>57</v>
      </c>
      <c r="BC621" t="s">
        <v>57</v>
      </c>
      <c r="BD621" t="s">
        <v>57</v>
      </c>
      <c r="BE621" t="s">
        <v>57</v>
      </c>
      <c r="BF621" t="s">
        <v>57</v>
      </c>
      <c r="BG621" t="s">
        <v>57</v>
      </c>
      <c r="BH621" s="1" t="s">
        <v>57</v>
      </c>
      <c r="BI621" t="s">
        <v>57</v>
      </c>
      <c r="BJ621" s="1" t="s">
        <v>57</v>
      </c>
      <c r="BK621" t="s">
        <v>57</v>
      </c>
      <c r="BL621" t="s">
        <v>57</v>
      </c>
      <c r="BM621" s="1" t="s">
        <v>57</v>
      </c>
      <c r="BN621" t="s">
        <v>57</v>
      </c>
      <c r="BO621" t="s">
        <v>57</v>
      </c>
      <c r="BP621" s="1" t="str">
        <f>HYPERLINK("http://exon.niaid.nih.gov/transcriptome/T_rubida/S1/links/PFAM/Triru-contig_142-PFAM.txt","DUF3766")</f>
        <v>DUF3766</v>
      </c>
      <c r="BQ621" t="str">
        <f>HYPERLINK("http://pfam.sanger.ac.uk/family?acc=PF12611","3.3")</f>
        <v>3.3</v>
      </c>
      <c r="BR621" s="1" t="str">
        <f>HYPERLINK("http://exon.niaid.nih.gov/transcriptome/T_rubida/S1/links/SMART/Triru-contig_142-SMART.txt","TOP1Ac")</f>
        <v>TOP1Ac</v>
      </c>
      <c r="BS621" t="str">
        <f>HYPERLINK("http://smart.embl-heidelberg.de/smart/do_annotation.pl?DOMAIN=TOP1Ac&amp;BLAST=DUMMY","0.58")</f>
        <v>0.58</v>
      </c>
      <c r="BT621" s="1" t="str">
        <f>HYPERLINK("http://exon.niaid.nih.gov/transcriptome/T_rubida/S1/links/PRK/Triru-contig_142-PRK.txt","DNA topoisomerase I")</f>
        <v>DNA topoisomerase I</v>
      </c>
      <c r="BU621">
        <v>4.9000000000000004</v>
      </c>
      <c r="BV621" s="1" t="s">
        <v>57</v>
      </c>
      <c r="BW621" t="s">
        <v>57</v>
      </c>
      <c r="BX621" s="1" t="s">
        <v>57</v>
      </c>
      <c r="BY621" t="s">
        <v>57</v>
      </c>
    </row>
    <row r="622" spans="1:77">
      <c r="A622" t="str">
        <f>HYPERLINK("http://exon.niaid.nih.gov/transcriptome/T_rubida/S1/links/Triru/Triru-contig_143.txt","Triru-contig_143")</f>
        <v>Triru-contig_143</v>
      </c>
      <c r="B622">
        <v>2</v>
      </c>
      <c r="C622" t="str">
        <f>HYPERLINK("http://exon.niaid.nih.gov/transcriptome/T_rubida/S1/links/Triru/Triru-5-48-asb-143.txt","Contig-143")</f>
        <v>Contig-143</v>
      </c>
      <c r="D622" t="str">
        <f>HYPERLINK("http://exon.niaid.nih.gov/transcriptome/T_rubida/S1/links/Triru/Triru-5-48-143-CLU.txt","Contig143")</f>
        <v>Contig143</v>
      </c>
      <c r="E622" t="str">
        <f>HYPERLINK("http://exon.niaid.nih.gov/transcriptome/T_rubida/S1/links/Triru/Triru-5-48-143-qual.txt","55.6")</f>
        <v>55.6</v>
      </c>
      <c r="F622">
        <v>1.2</v>
      </c>
      <c r="G622">
        <v>70.400000000000006</v>
      </c>
      <c r="H622">
        <v>62</v>
      </c>
      <c r="I622" t="s">
        <v>155</v>
      </c>
      <c r="J622">
        <v>62</v>
      </c>
      <c r="K622">
        <v>81</v>
      </c>
      <c r="L622">
        <v>48</v>
      </c>
      <c r="M622" t="s">
        <v>5348</v>
      </c>
      <c r="N622" s="15">
        <v>2</v>
      </c>
      <c r="Q622" s="5" t="s">
        <v>4827</v>
      </c>
      <c r="R622" t="s">
        <v>4828</v>
      </c>
      <c r="V622" s="1" t="s">
        <v>57</v>
      </c>
      <c r="W622" t="s">
        <v>57</v>
      </c>
      <c r="X622" t="s">
        <v>57</v>
      </c>
      <c r="Y622" t="s">
        <v>57</v>
      </c>
      <c r="Z622" t="s">
        <v>57</v>
      </c>
      <c r="AA622" t="s">
        <v>57</v>
      </c>
      <c r="AB622" t="s">
        <v>57</v>
      </c>
      <c r="AC622" t="s">
        <v>57</v>
      </c>
      <c r="AD622" t="s">
        <v>57</v>
      </c>
      <c r="AE622" t="s">
        <v>57</v>
      </c>
      <c r="AF622" t="s">
        <v>57</v>
      </c>
      <c r="AG622" t="s">
        <v>57</v>
      </c>
      <c r="AH622" t="s">
        <v>57</v>
      </c>
      <c r="AI622" t="s">
        <v>57</v>
      </c>
      <c r="AJ622" t="s">
        <v>57</v>
      </c>
      <c r="AK622" t="s">
        <v>57</v>
      </c>
      <c r="AL622" t="s">
        <v>57</v>
      </c>
      <c r="AM622" t="s">
        <v>57</v>
      </c>
      <c r="AN622" t="s">
        <v>57</v>
      </c>
      <c r="AO622" s="1" t="s">
        <v>57</v>
      </c>
      <c r="AP622" t="s">
        <v>57</v>
      </c>
      <c r="AQ622" t="s">
        <v>57</v>
      </c>
      <c r="AR622" t="s">
        <v>57</v>
      </c>
      <c r="AS622" t="s">
        <v>57</v>
      </c>
      <c r="AT622" t="s">
        <v>57</v>
      </c>
      <c r="AU622" t="s">
        <v>57</v>
      </c>
      <c r="AV622" t="s">
        <v>57</v>
      </c>
      <c r="AW622" t="s">
        <v>57</v>
      </c>
      <c r="AX622" t="s">
        <v>57</v>
      </c>
      <c r="AY622" t="s">
        <v>57</v>
      </c>
      <c r="AZ622" t="s">
        <v>57</v>
      </c>
      <c r="BA622" t="s">
        <v>57</v>
      </c>
      <c r="BB622" t="s">
        <v>57</v>
      </c>
      <c r="BC622" t="s">
        <v>57</v>
      </c>
      <c r="BD622" t="s">
        <v>57</v>
      </c>
      <c r="BE622" t="s">
        <v>57</v>
      </c>
      <c r="BF622" t="s">
        <v>57</v>
      </c>
      <c r="BG622" t="s">
        <v>57</v>
      </c>
      <c r="BH622" s="1" t="s">
        <v>57</v>
      </c>
      <c r="BI622" t="s">
        <v>57</v>
      </c>
      <c r="BJ622" s="1" t="str">
        <f>HYPERLINK("http://exon.niaid.nih.gov/transcriptome/T_rubida/S1/links/CDD/Triru-contig_143-CDD.txt","DUF915")</f>
        <v>DUF915</v>
      </c>
      <c r="BK622" t="str">
        <f>HYPERLINK("http://www.ncbi.nlm.nih.gov/Structure/cdd/cddsrv.cgi?uid=pfam06028&amp;version=v4.0","4.3")</f>
        <v>4.3</v>
      </c>
      <c r="BL622" t="s">
        <v>1549</v>
      </c>
      <c r="BM622" s="1" t="s">
        <v>57</v>
      </c>
      <c r="BN622" t="s">
        <v>57</v>
      </c>
      <c r="BO622" t="s">
        <v>57</v>
      </c>
      <c r="BP622" s="1" t="str">
        <f>HYPERLINK("http://exon.niaid.nih.gov/transcriptome/T_rubida/S1/links/PFAM/Triru-contig_143-PFAM.txt","DUF915")</f>
        <v>DUF915</v>
      </c>
      <c r="BQ622" t="str">
        <f>HYPERLINK("http://pfam.sanger.ac.uk/family?acc=PF06028","0.92")</f>
        <v>0.92</v>
      </c>
      <c r="BR622" s="1" t="str">
        <f>HYPERLINK("http://exon.niaid.nih.gov/transcriptome/T_rubida/S1/links/SMART/Triru-contig_143-SMART.txt","INB")</f>
        <v>INB</v>
      </c>
      <c r="BS622" t="str">
        <f>HYPERLINK("http://smart.embl-heidelberg.de/smart/do_annotation.pl?DOMAIN=INB&amp;BLAST=DUMMY","1.1")</f>
        <v>1.1</v>
      </c>
      <c r="BT622" s="1" t="s">
        <v>57</v>
      </c>
      <c r="BU622" t="s">
        <v>57</v>
      </c>
      <c r="BV622" s="1" t="s">
        <v>57</v>
      </c>
      <c r="BW622" t="s">
        <v>57</v>
      </c>
      <c r="BX622" s="1" t="s">
        <v>57</v>
      </c>
      <c r="BY622" t="s">
        <v>57</v>
      </c>
    </row>
    <row r="623" spans="1:77">
      <c r="A623" t="str">
        <f>HYPERLINK("http://exon.niaid.nih.gov/transcriptome/T_rubida/S1/links/Triru/Triru-contig_144.txt","Triru-contig_144")</f>
        <v>Triru-contig_144</v>
      </c>
      <c r="B623">
        <v>2</v>
      </c>
      <c r="C623" t="str">
        <f>HYPERLINK("http://exon.niaid.nih.gov/transcriptome/T_rubida/S1/links/Triru/Triru-5-48-asb-144.txt","Contig-144")</f>
        <v>Contig-144</v>
      </c>
      <c r="D623" t="str">
        <f>HYPERLINK("http://exon.niaid.nih.gov/transcriptome/T_rubida/S1/links/Triru/Triru-5-48-144-CLU.txt","Contig144")</f>
        <v>Contig144</v>
      </c>
      <c r="E623" t="str">
        <f>HYPERLINK("http://exon.niaid.nih.gov/transcriptome/T_rubida/S1/links/Triru/Triru-5-48-144-qual.txt","45.7")</f>
        <v>45.7</v>
      </c>
      <c r="F623" t="s">
        <v>10</v>
      </c>
      <c r="G623">
        <v>66.400000000000006</v>
      </c>
      <c r="H623">
        <v>127</v>
      </c>
      <c r="I623" t="s">
        <v>156</v>
      </c>
      <c r="J623">
        <v>127</v>
      </c>
      <c r="K623">
        <v>146</v>
      </c>
      <c r="L623">
        <v>60</v>
      </c>
      <c r="M623" t="s">
        <v>5349</v>
      </c>
      <c r="N623" s="15">
        <v>2</v>
      </c>
      <c r="Q623" s="5" t="s">
        <v>4827</v>
      </c>
      <c r="R623" t="s">
        <v>4828</v>
      </c>
      <c r="V623" s="1" t="s">
        <v>57</v>
      </c>
      <c r="W623" t="s">
        <v>57</v>
      </c>
      <c r="X623" t="s">
        <v>57</v>
      </c>
      <c r="Y623" t="s">
        <v>57</v>
      </c>
      <c r="Z623" t="s">
        <v>57</v>
      </c>
      <c r="AA623" t="s">
        <v>57</v>
      </c>
      <c r="AB623" t="s">
        <v>57</v>
      </c>
      <c r="AC623" t="s">
        <v>57</v>
      </c>
      <c r="AD623" t="s">
        <v>57</v>
      </c>
      <c r="AE623" t="s">
        <v>57</v>
      </c>
      <c r="AF623" t="s">
        <v>57</v>
      </c>
      <c r="AG623" t="s">
        <v>57</v>
      </c>
      <c r="AH623" t="s">
        <v>57</v>
      </c>
      <c r="AI623" t="s">
        <v>57</v>
      </c>
      <c r="AJ623" t="s">
        <v>57</v>
      </c>
      <c r="AK623" t="s">
        <v>57</v>
      </c>
      <c r="AL623" t="s">
        <v>57</v>
      </c>
      <c r="AM623" t="s">
        <v>57</v>
      </c>
      <c r="AN623" t="s">
        <v>57</v>
      </c>
      <c r="AO623" s="1" t="str">
        <f>HYPERLINK("http://exon.niaid.nih.gov/transcriptome/T_rubida/S1/links/SWISSP/Triru-contig_144-SWISSP.txt","Deubiquitinating protein VCIP135")</f>
        <v>Deubiquitinating protein VCIP135</v>
      </c>
      <c r="AP623" t="str">
        <f>HYPERLINK("http://www.uniprot.org/uniprot/Q8CF97","41")</f>
        <v>41</v>
      </c>
      <c r="AQ623" t="s">
        <v>1550</v>
      </c>
      <c r="AR623">
        <v>26.9</v>
      </c>
      <c r="AS623">
        <v>25</v>
      </c>
      <c r="AT623">
        <v>42</v>
      </c>
      <c r="AU623">
        <v>2</v>
      </c>
      <c r="AV623">
        <v>15</v>
      </c>
      <c r="AW623">
        <v>0</v>
      </c>
      <c r="AX623">
        <v>1028</v>
      </c>
      <c r="AY623">
        <v>5</v>
      </c>
      <c r="AZ623">
        <v>1</v>
      </c>
      <c r="BA623">
        <v>2</v>
      </c>
      <c r="BB623" t="s">
        <v>11</v>
      </c>
      <c r="BC623">
        <v>4</v>
      </c>
      <c r="BD623" t="s">
        <v>704</v>
      </c>
      <c r="BE623" t="s">
        <v>1164</v>
      </c>
      <c r="BF623" t="s">
        <v>1551</v>
      </c>
      <c r="BG623" t="s">
        <v>1552</v>
      </c>
      <c r="BH623" s="1" t="s">
        <v>57</v>
      </c>
      <c r="BI623" t="s">
        <v>57</v>
      </c>
      <c r="BJ623" s="1" t="str">
        <f>HYPERLINK("http://exon.niaid.nih.gov/transcriptome/T_rubida/S1/links/CDD/Triru-contig_144-CDD.txt","ND2")</f>
        <v>ND2</v>
      </c>
      <c r="BK623" t="str">
        <f>HYPERLINK("http://www.ncbi.nlm.nih.gov/Structure/cdd/cddsrv.cgi?uid=MTH00160&amp;version=v4.0","2.0")</f>
        <v>2.0</v>
      </c>
      <c r="BL623" t="s">
        <v>1553</v>
      </c>
      <c r="BM623" s="1" t="str">
        <f>HYPERLINK("http://exon.niaid.nih.gov/transcriptome/T_rubida/S1/links/KOG/Triru-contig_144-KOG.txt","Anaphase-promoting complex (APC), subunit 4")</f>
        <v>Anaphase-promoting complex (APC), subunit 4</v>
      </c>
      <c r="BN623" t="str">
        <f>HYPERLINK("http://www.ncbi.nlm.nih.gov/COG/grace/shokog.cgi?KOG4640","0.95")</f>
        <v>0.95</v>
      </c>
      <c r="BO623" t="s">
        <v>1554</v>
      </c>
      <c r="BP623" s="1" t="str">
        <f>HYPERLINK("http://exon.niaid.nih.gov/transcriptome/T_rubida/S1/links/PFAM/Triru-contig_144-PFAM.txt","OPT")</f>
        <v>OPT</v>
      </c>
      <c r="BQ623" t="str">
        <f>HYPERLINK("http://pfam.sanger.ac.uk/family?acc=PF03169","1.1")</f>
        <v>1.1</v>
      </c>
      <c r="BR623" s="1" t="str">
        <f>HYPERLINK("http://exon.niaid.nih.gov/transcriptome/T_rubida/S1/links/SMART/Triru-contig_144-SMART.txt","AGTRAP")</f>
        <v>AGTRAP</v>
      </c>
      <c r="BS623" t="str">
        <f>HYPERLINK("http://smart.embl-heidelberg.de/smart/do_annotation.pl?DOMAIN=AGTRAP&amp;BLAST=DUMMY","0.86")</f>
        <v>0.86</v>
      </c>
      <c r="BT623" s="1" t="str">
        <f>HYPERLINK("http://exon.niaid.nih.gov/transcriptome/T_rubida/S1/links/PRK/Triru-contig_144-PRK.txt","NADH dehydrogenase subunit 2")</f>
        <v>NADH dehydrogenase subunit 2</v>
      </c>
      <c r="BU623">
        <v>0.73</v>
      </c>
      <c r="BV623" s="1" t="s">
        <v>57</v>
      </c>
      <c r="BW623" t="s">
        <v>57</v>
      </c>
      <c r="BX623" s="1" t="s">
        <v>57</v>
      </c>
      <c r="BY623" t="s">
        <v>57</v>
      </c>
    </row>
    <row r="624" spans="1:77">
      <c r="A624" t="str">
        <f>HYPERLINK("http://exon.niaid.nih.gov/transcriptome/T_rubida/S1/links/Triru/Triru-contig_145.txt","Triru-contig_145")</f>
        <v>Triru-contig_145</v>
      </c>
      <c r="B624">
        <v>2</v>
      </c>
      <c r="C624" t="str">
        <f>HYPERLINK("http://exon.niaid.nih.gov/transcriptome/T_rubida/S1/links/Triru/Triru-5-48-asb-145.txt","Contig-145")</f>
        <v>Contig-145</v>
      </c>
      <c r="D624" t="str">
        <f>HYPERLINK("http://exon.niaid.nih.gov/transcriptome/T_rubida/S1/links/Triru/Triru-5-48-145-CLU.txt","Contig145")</f>
        <v>Contig145</v>
      </c>
      <c r="E624" t="str">
        <f>HYPERLINK("http://exon.niaid.nih.gov/transcriptome/T_rubida/S1/links/Triru/Triru-5-48-145-qual.txt","36.9")</f>
        <v>36.9</v>
      </c>
      <c r="F624" t="s">
        <v>10</v>
      </c>
      <c r="G624">
        <v>80.8</v>
      </c>
      <c r="H624">
        <v>137</v>
      </c>
      <c r="I624" t="s">
        <v>157</v>
      </c>
      <c r="J624">
        <v>156</v>
      </c>
      <c r="K624">
        <v>156</v>
      </c>
      <c r="L624">
        <v>93</v>
      </c>
      <c r="M624" t="s">
        <v>5350</v>
      </c>
      <c r="N624" s="15">
        <v>1</v>
      </c>
      <c r="Q624" s="5" t="s">
        <v>4827</v>
      </c>
      <c r="R624" t="s">
        <v>4828</v>
      </c>
      <c r="V624" s="1" t="s">
        <v>57</v>
      </c>
      <c r="W624" t="s">
        <v>57</v>
      </c>
      <c r="X624" t="s">
        <v>57</v>
      </c>
      <c r="Y624" t="s">
        <v>57</v>
      </c>
      <c r="Z624" t="s">
        <v>57</v>
      </c>
      <c r="AA624" t="s">
        <v>57</v>
      </c>
      <c r="AB624" t="s">
        <v>57</v>
      </c>
      <c r="AC624" t="s">
        <v>57</v>
      </c>
      <c r="AD624" t="s">
        <v>57</v>
      </c>
      <c r="AE624" t="s">
        <v>57</v>
      </c>
      <c r="AF624" t="s">
        <v>57</v>
      </c>
      <c r="AG624" t="s">
        <v>57</v>
      </c>
      <c r="AH624" t="s">
        <v>57</v>
      </c>
      <c r="AI624" t="s">
        <v>57</v>
      </c>
      <c r="AJ624" t="s">
        <v>57</v>
      </c>
      <c r="AK624" t="s">
        <v>57</v>
      </c>
      <c r="AL624" t="s">
        <v>57</v>
      </c>
      <c r="AM624" t="s">
        <v>57</v>
      </c>
      <c r="AN624" t="s">
        <v>57</v>
      </c>
      <c r="AO624" s="1" t="str">
        <f>HYPERLINK("http://exon.niaid.nih.gov/transcriptome/T_rubida/S1/links/SWISSP/Triru-contig_145-SWISSP.txt","UPF0428 protein CXorf56 homolog")</f>
        <v>UPF0428 protein CXorf56 homolog</v>
      </c>
      <c r="AP624" t="str">
        <f>HYPERLINK("http://www.uniprot.org/uniprot/Q66I61","18")</f>
        <v>18</v>
      </c>
      <c r="AQ624" t="s">
        <v>1555</v>
      </c>
      <c r="AR624">
        <v>28.1</v>
      </c>
      <c r="AS624">
        <v>15</v>
      </c>
      <c r="AT624">
        <v>62</v>
      </c>
      <c r="AU624">
        <v>7</v>
      </c>
      <c r="AV624">
        <v>6</v>
      </c>
      <c r="AW624">
        <v>0</v>
      </c>
      <c r="AX624">
        <v>89</v>
      </c>
      <c r="AY624">
        <v>42</v>
      </c>
      <c r="AZ624">
        <v>1</v>
      </c>
      <c r="BA624">
        <v>3</v>
      </c>
      <c r="BB624" t="s">
        <v>11</v>
      </c>
      <c r="BD624" t="s">
        <v>704</v>
      </c>
      <c r="BE624" t="s">
        <v>1556</v>
      </c>
      <c r="BF624" t="s">
        <v>1557</v>
      </c>
      <c r="BG624" t="s">
        <v>1558</v>
      </c>
      <c r="BH624" s="1" t="s">
        <v>57</v>
      </c>
      <c r="BI624" t="s">
        <v>57</v>
      </c>
      <c r="BJ624" s="1" t="str">
        <f>HYPERLINK("http://exon.niaid.nih.gov/transcriptome/T_rubida/S1/links/CDD/Triru-contig_145-CDD.txt","PTZ00384")</f>
        <v>PTZ00384</v>
      </c>
      <c r="BK624" t="str">
        <f>HYPERLINK("http://www.ncbi.nlm.nih.gov/Structure/cdd/cddsrv.cgi?uid=PTZ00384&amp;version=v4.0","2.5")</f>
        <v>2.5</v>
      </c>
      <c r="BL624" t="s">
        <v>1559</v>
      </c>
      <c r="BM624" s="1" t="str">
        <f>HYPERLINK("http://exon.niaid.nih.gov/transcriptome/T_rubida/S1/links/KOG/Triru-contig_145-KOG.txt","Serine/threonine phosphatase 2C containing leucine-rich repeats, similar to SCN circadian oscillatory protein (SCOP)")</f>
        <v>Serine/threonine phosphatase 2C containing leucine-rich repeats, similar to SCN circadian oscillatory protein (SCOP)</v>
      </c>
      <c r="BN624" t="str">
        <f>HYPERLINK("http://www.ncbi.nlm.nih.gov/COG/grace/shokog.cgi?KOG0618","5.1")</f>
        <v>5.1</v>
      </c>
      <c r="BO624" t="s">
        <v>728</v>
      </c>
      <c r="BP624" s="1" t="str">
        <f>HYPERLINK("http://exon.niaid.nih.gov/transcriptome/T_rubida/S1/links/PFAM/Triru-contig_145-PFAM.txt","Baculo_Y142")</f>
        <v>Baculo_Y142</v>
      </c>
      <c r="BQ624" t="str">
        <f>HYPERLINK("http://pfam.sanger.ac.uk/family?acc=PF04913","1.8")</f>
        <v>1.8</v>
      </c>
      <c r="BR624" s="1" t="str">
        <f>HYPERLINK("http://exon.niaid.nih.gov/transcriptome/T_rubida/S1/links/SMART/Triru-contig_145-SMART.txt","NEAT")</f>
        <v>NEAT</v>
      </c>
      <c r="BS624" t="str">
        <f>HYPERLINK("http://smart.embl-heidelberg.de/smart/do_annotation.pl?DOMAIN=NEAT&amp;BLAST=DUMMY","0.079")</f>
        <v>0.079</v>
      </c>
      <c r="BT624" s="1" t="str">
        <f>HYPERLINK("http://exon.niaid.nih.gov/transcriptome/T_rubida/S1/links/PRK/Triru-contig_145-PRK.txt","choline kinase")</f>
        <v>choline kinase</v>
      </c>
      <c r="BU624">
        <v>0.94</v>
      </c>
      <c r="BV624" s="1" t="s">
        <v>57</v>
      </c>
      <c r="BW624" t="s">
        <v>57</v>
      </c>
      <c r="BX624" s="1" t="s">
        <v>57</v>
      </c>
      <c r="BY624" t="s">
        <v>57</v>
      </c>
    </row>
    <row r="625" spans="1:77">
      <c r="A625" t="str">
        <f>HYPERLINK("http://exon.niaid.nih.gov/transcriptome/T_rubida/S1/links/Triru/Triru-contig_146.txt","Triru-contig_146")</f>
        <v>Triru-contig_146</v>
      </c>
      <c r="B625">
        <v>2</v>
      </c>
      <c r="C625" t="str">
        <f>HYPERLINK("http://exon.niaid.nih.gov/transcriptome/T_rubida/S1/links/Triru/Triru-5-48-asb-146.txt","Contig-146")</f>
        <v>Contig-146</v>
      </c>
      <c r="D625" t="str">
        <f>HYPERLINK("http://exon.niaid.nih.gov/transcriptome/T_rubida/S1/links/Triru/Triru-5-48-146-CLU.txt","Contig146")</f>
        <v>Contig146</v>
      </c>
      <c r="E625" t="str">
        <f>HYPERLINK("http://exon.niaid.nih.gov/transcriptome/T_rubida/S1/links/Triru/Triru-5-48-146-qual.txt","62.6")</f>
        <v>62.6</v>
      </c>
      <c r="F625" t="s">
        <v>10</v>
      </c>
      <c r="G625">
        <v>79.3</v>
      </c>
      <c r="H625">
        <v>97</v>
      </c>
      <c r="I625" t="s">
        <v>158</v>
      </c>
      <c r="J625">
        <v>97</v>
      </c>
      <c r="K625">
        <v>116</v>
      </c>
      <c r="L625">
        <v>57</v>
      </c>
      <c r="M625" t="s">
        <v>5351</v>
      </c>
      <c r="N625" s="15">
        <v>2</v>
      </c>
      <c r="Q625" s="5" t="s">
        <v>4827</v>
      </c>
      <c r="R625" t="s">
        <v>4828</v>
      </c>
      <c r="V625" s="1" t="s">
        <v>57</v>
      </c>
      <c r="W625" t="s">
        <v>57</v>
      </c>
      <c r="X625" t="s">
        <v>57</v>
      </c>
      <c r="Y625" t="s">
        <v>57</v>
      </c>
      <c r="Z625" t="s">
        <v>57</v>
      </c>
      <c r="AA625" t="s">
        <v>57</v>
      </c>
      <c r="AB625" t="s">
        <v>57</v>
      </c>
      <c r="AC625" t="s">
        <v>57</v>
      </c>
      <c r="AD625" t="s">
        <v>57</v>
      </c>
      <c r="AE625" t="s">
        <v>57</v>
      </c>
      <c r="AF625" t="s">
        <v>57</v>
      </c>
      <c r="AG625" t="s">
        <v>57</v>
      </c>
      <c r="AH625" t="s">
        <v>57</v>
      </c>
      <c r="AI625" t="s">
        <v>57</v>
      </c>
      <c r="AJ625" t="s">
        <v>57</v>
      </c>
      <c r="AK625" t="s">
        <v>57</v>
      </c>
      <c r="AL625" t="s">
        <v>57</v>
      </c>
      <c r="AM625" t="s">
        <v>57</v>
      </c>
      <c r="AN625" t="s">
        <v>57</v>
      </c>
      <c r="AO625" s="1" t="s">
        <v>57</v>
      </c>
      <c r="AP625" t="s">
        <v>57</v>
      </c>
      <c r="AQ625" t="s">
        <v>57</v>
      </c>
      <c r="AR625" t="s">
        <v>57</v>
      </c>
      <c r="AS625" t="s">
        <v>57</v>
      </c>
      <c r="AT625" t="s">
        <v>57</v>
      </c>
      <c r="AU625" t="s">
        <v>57</v>
      </c>
      <c r="AV625" t="s">
        <v>57</v>
      </c>
      <c r="AW625" t="s">
        <v>57</v>
      </c>
      <c r="AX625" t="s">
        <v>57</v>
      </c>
      <c r="AY625" t="s">
        <v>57</v>
      </c>
      <c r="AZ625" t="s">
        <v>57</v>
      </c>
      <c r="BA625" t="s">
        <v>57</v>
      </c>
      <c r="BB625" t="s">
        <v>57</v>
      </c>
      <c r="BC625" t="s">
        <v>57</v>
      </c>
      <c r="BD625" t="s">
        <v>57</v>
      </c>
      <c r="BE625" t="s">
        <v>57</v>
      </c>
      <c r="BF625" t="s">
        <v>57</v>
      </c>
      <c r="BG625" t="s">
        <v>57</v>
      </c>
      <c r="BH625" s="1" t="s">
        <v>57</v>
      </c>
      <c r="BI625" t="s">
        <v>57</v>
      </c>
      <c r="BJ625" s="1" t="str">
        <f>HYPERLINK("http://exon.niaid.nih.gov/transcriptome/T_rubida/S1/links/CDD/Triru-contig_146-CDD.txt","ND1")</f>
        <v>ND1</v>
      </c>
      <c r="BK625" t="str">
        <f>HYPERLINK("http://www.ncbi.nlm.nih.gov/Structure/cdd/cddsrv.cgi?uid=MTH00058&amp;version=v4.0","1.4")</f>
        <v>1.4</v>
      </c>
      <c r="BL625" t="s">
        <v>1560</v>
      </c>
      <c r="BM625" s="1" t="str">
        <f>HYPERLINK("http://exon.niaid.nih.gov/transcriptome/T_rubida/S1/links/KOG/Triru-contig_146-KOG.txt","Protein required for meiotic chromosome segregation")</f>
        <v>Protein required for meiotic chromosome segregation</v>
      </c>
      <c r="BN625" t="str">
        <f>HYPERLINK("http://www.ncbi.nlm.nih.gov/COG/grace/shokog.cgi?KOG2513","1.9")</f>
        <v>1.9</v>
      </c>
      <c r="BO625" t="s">
        <v>715</v>
      </c>
      <c r="BP625" s="1" t="str">
        <f>HYPERLINK("http://exon.niaid.nih.gov/transcriptome/T_rubida/S1/links/PFAM/Triru-contig_146-PFAM.txt","DUF1746")</f>
        <v>DUF1746</v>
      </c>
      <c r="BQ625" t="str">
        <f>HYPERLINK("http://pfam.sanger.ac.uk/family?acc=PF08508","0.54")</f>
        <v>0.54</v>
      </c>
      <c r="BR625" s="1" t="str">
        <f>HYPERLINK("http://exon.niaid.nih.gov/transcriptome/T_rubida/S1/links/SMART/Triru-contig_146-SMART.txt","Mad3_BUB1_I")</f>
        <v>Mad3_BUB1_I</v>
      </c>
      <c r="BS625" t="str">
        <f>HYPERLINK("http://smart.embl-heidelberg.de/smart/do_annotation.pl?DOMAIN=Mad3_BUB1_I&amp;BLAST=DUMMY","0.63")</f>
        <v>0.63</v>
      </c>
      <c r="BT625" s="1" t="str">
        <f>HYPERLINK("http://exon.niaid.nih.gov/transcriptome/T_rubida/S1/links/PRK/Triru-contig_146-PRK.txt","NADH dehydrogenase subunit 1")</f>
        <v>NADH dehydrogenase subunit 1</v>
      </c>
      <c r="BU625">
        <v>0.5</v>
      </c>
      <c r="BV625" s="1" t="s">
        <v>57</v>
      </c>
      <c r="BW625" t="s">
        <v>57</v>
      </c>
      <c r="BX625" s="1" t="s">
        <v>57</v>
      </c>
      <c r="BY625" t="s">
        <v>57</v>
      </c>
    </row>
    <row r="626" spans="1:77">
      <c r="A626" t="str">
        <f>HYPERLINK("http://exon.niaid.nih.gov/transcriptome/T_rubida/S1/links/Triru/Triru-contig_149.txt","Triru-contig_149")</f>
        <v>Triru-contig_149</v>
      </c>
      <c r="B626">
        <v>2</v>
      </c>
      <c r="C626" t="str">
        <f>HYPERLINK("http://exon.niaid.nih.gov/transcriptome/T_rubida/S1/links/Triru/Triru-5-48-asb-149.txt","Contig-149")</f>
        <v>Contig-149</v>
      </c>
      <c r="D626" t="str">
        <f>HYPERLINK("http://exon.niaid.nih.gov/transcriptome/T_rubida/S1/links/Triru/Triru-5-48-149-CLU.txt","Contig149")</f>
        <v>Contig149</v>
      </c>
      <c r="E626" t="str">
        <f>HYPERLINK("http://exon.niaid.nih.gov/transcriptome/T_rubida/S1/links/Triru/Triru-5-48-149-qual.txt","82.4")</f>
        <v>82.4</v>
      </c>
      <c r="F626" t="s">
        <v>10</v>
      </c>
      <c r="G626">
        <v>66.400000000000006</v>
      </c>
      <c r="H626">
        <v>106</v>
      </c>
      <c r="I626" t="s">
        <v>161</v>
      </c>
      <c r="J626">
        <v>106</v>
      </c>
      <c r="K626">
        <v>125</v>
      </c>
      <c r="L626">
        <v>60</v>
      </c>
      <c r="M626" t="s">
        <v>5352</v>
      </c>
      <c r="N626" s="15">
        <v>1</v>
      </c>
      <c r="Q626" s="5" t="s">
        <v>4827</v>
      </c>
      <c r="R626" t="s">
        <v>4828</v>
      </c>
      <c r="V626" s="1" t="s">
        <v>57</v>
      </c>
      <c r="W626" t="s">
        <v>57</v>
      </c>
      <c r="X626" t="s">
        <v>57</v>
      </c>
      <c r="Y626" t="s">
        <v>57</v>
      </c>
      <c r="Z626" t="s">
        <v>57</v>
      </c>
      <c r="AA626" t="s">
        <v>57</v>
      </c>
      <c r="AB626" t="s">
        <v>57</v>
      </c>
      <c r="AC626" t="s">
        <v>57</v>
      </c>
      <c r="AD626" t="s">
        <v>57</v>
      </c>
      <c r="AE626" t="s">
        <v>57</v>
      </c>
      <c r="AF626" t="s">
        <v>57</v>
      </c>
      <c r="AG626" t="s">
        <v>57</v>
      </c>
      <c r="AH626" t="s">
        <v>57</v>
      </c>
      <c r="AI626" t="s">
        <v>57</v>
      </c>
      <c r="AJ626" t="s">
        <v>57</v>
      </c>
      <c r="AK626" t="s">
        <v>57</v>
      </c>
      <c r="AL626" t="s">
        <v>57</v>
      </c>
      <c r="AM626" t="s">
        <v>57</v>
      </c>
      <c r="AN626" t="s">
        <v>57</v>
      </c>
      <c r="AO626" s="1" t="s">
        <v>57</v>
      </c>
      <c r="AP626" t="s">
        <v>57</v>
      </c>
      <c r="AQ626" t="s">
        <v>57</v>
      </c>
      <c r="AR626" t="s">
        <v>57</v>
      </c>
      <c r="AS626" t="s">
        <v>57</v>
      </c>
      <c r="AT626" t="s">
        <v>57</v>
      </c>
      <c r="AU626" t="s">
        <v>57</v>
      </c>
      <c r="AV626" t="s">
        <v>57</v>
      </c>
      <c r="AW626" t="s">
        <v>57</v>
      </c>
      <c r="AX626" t="s">
        <v>57</v>
      </c>
      <c r="AY626" t="s">
        <v>57</v>
      </c>
      <c r="AZ626" t="s">
        <v>57</v>
      </c>
      <c r="BA626" t="s">
        <v>57</v>
      </c>
      <c r="BB626" t="s">
        <v>57</v>
      </c>
      <c r="BC626" t="s">
        <v>57</v>
      </c>
      <c r="BD626" t="s">
        <v>57</v>
      </c>
      <c r="BE626" t="s">
        <v>57</v>
      </c>
      <c r="BF626" t="s">
        <v>57</v>
      </c>
      <c r="BG626" t="s">
        <v>57</v>
      </c>
      <c r="BH626" s="1" t="s">
        <v>57</v>
      </c>
      <c r="BI626" t="s">
        <v>57</v>
      </c>
      <c r="BJ626" s="1" t="str">
        <f>HYPERLINK("http://exon.niaid.nih.gov/transcriptome/T_rubida/S1/links/CDD/Triru-contig_149-CDD.txt","rps12")</f>
        <v>rps12</v>
      </c>
      <c r="BK626" t="str">
        <f>HYPERLINK("http://www.ncbi.nlm.nih.gov/Structure/cdd/cddsrv.cgi?uid=CHL00051&amp;version=v4.0","4.0")</f>
        <v>4.0</v>
      </c>
      <c r="BL626" t="s">
        <v>1576</v>
      </c>
      <c r="BM626" s="1" t="str">
        <f>HYPERLINK("http://exon.niaid.nih.gov/transcriptome/T_rubida/S1/links/KOG/Triru-contig_149-KOG.txt","Predicted P-loop ATPase fused to an acetyltransferase")</f>
        <v>Predicted P-loop ATPase fused to an acetyltransferase</v>
      </c>
      <c r="BN626" t="str">
        <f>HYPERLINK("http://www.ncbi.nlm.nih.gov/COG/grace/shokog.cgi?KOG2036","3.0")</f>
        <v>3.0</v>
      </c>
      <c r="BO626" t="s">
        <v>750</v>
      </c>
      <c r="BP626" s="1" t="str">
        <f>HYPERLINK("http://exon.niaid.nih.gov/transcriptome/T_rubida/S1/links/PFAM/Triru-contig_149-PFAM.txt","Init_tRNA_PT")</f>
        <v>Init_tRNA_PT</v>
      </c>
      <c r="BQ626" t="str">
        <f>HYPERLINK("http://pfam.sanger.ac.uk/family?acc=PF04179","3.4")</f>
        <v>3.4</v>
      </c>
      <c r="BR626" s="1" t="str">
        <f>HYPERLINK("http://exon.niaid.nih.gov/transcriptome/T_rubida/S1/links/SMART/Triru-contig_149-SMART.txt","HintN")</f>
        <v>HintN</v>
      </c>
      <c r="BS626" t="str">
        <f>HYPERLINK("http://smart.embl-heidelberg.de/smart/do_annotation.pl?DOMAIN=HintN&amp;BLAST=DUMMY","0.13")</f>
        <v>0.13</v>
      </c>
      <c r="BT626" s="1" t="str">
        <f>HYPERLINK("http://exon.niaid.nih.gov/transcriptome/T_rubida/S1/links/PRK/Triru-contig_149-PRK.txt","ribosomal protein S12.")</f>
        <v>ribosomal protein S12.</v>
      </c>
      <c r="BU626">
        <v>1.5</v>
      </c>
      <c r="BV626" s="1" t="s">
        <v>57</v>
      </c>
      <c r="BW626" t="s">
        <v>57</v>
      </c>
      <c r="BX626" s="1" t="s">
        <v>57</v>
      </c>
      <c r="BY626" t="s">
        <v>57</v>
      </c>
    </row>
    <row r="627" spans="1:77">
      <c r="A627" t="str">
        <f>HYPERLINK("http://exon.niaid.nih.gov/transcriptome/T_rubida/S1/links/Triru/Triru-contig_155.txt","Triru-contig_155")</f>
        <v>Triru-contig_155</v>
      </c>
      <c r="B627">
        <v>2</v>
      </c>
      <c r="C627" t="str">
        <f>HYPERLINK("http://exon.niaid.nih.gov/transcriptome/T_rubida/S1/links/Triru/Triru-5-48-asb-155.txt","Contig-155")</f>
        <v>Contig-155</v>
      </c>
      <c r="D627" t="str">
        <f>HYPERLINK("http://exon.niaid.nih.gov/transcriptome/T_rubida/S1/links/Triru/Triru-5-48-155-CLU.txt","Contig155")</f>
        <v>Contig155</v>
      </c>
      <c r="E627" t="str">
        <f>HYPERLINK("http://exon.niaid.nih.gov/transcriptome/T_rubida/S1/links/Triru/Triru-5-48-155-qual.txt","28.2")</f>
        <v>28.2</v>
      </c>
      <c r="F627" t="s">
        <v>10</v>
      </c>
      <c r="G627">
        <v>74.599999999999994</v>
      </c>
      <c r="H627">
        <v>95</v>
      </c>
      <c r="I627" t="s">
        <v>167</v>
      </c>
      <c r="J627">
        <v>95</v>
      </c>
      <c r="K627">
        <v>114</v>
      </c>
      <c r="L627">
        <v>51</v>
      </c>
      <c r="M627" t="s">
        <v>5353</v>
      </c>
      <c r="N627" s="15">
        <v>1</v>
      </c>
      <c r="Q627" s="5" t="s">
        <v>4827</v>
      </c>
      <c r="R627" t="s">
        <v>4828</v>
      </c>
      <c r="V627" s="1" t="s">
        <v>57</v>
      </c>
      <c r="W627" t="s">
        <v>57</v>
      </c>
      <c r="X627" t="s">
        <v>57</v>
      </c>
      <c r="Y627" t="s">
        <v>57</v>
      </c>
      <c r="Z627" t="s">
        <v>57</v>
      </c>
      <c r="AA627" t="s">
        <v>57</v>
      </c>
      <c r="AB627" t="s">
        <v>57</v>
      </c>
      <c r="AC627" t="s">
        <v>57</v>
      </c>
      <c r="AD627" t="s">
        <v>57</v>
      </c>
      <c r="AE627" t="s">
        <v>57</v>
      </c>
      <c r="AF627" t="s">
        <v>57</v>
      </c>
      <c r="AG627" t="s">
        <v>57</v>
      </c>
      <c r="AH627" t="s">
        <v>57</v>
      </c>
      <c r="AI627" t="s">
        <v>57</v>
      </c>
      <c r="AJ627" t="s">
        <v>57</v>
      </c>
      <c r="AK627" t="s">
        <v>57</v>
      </c>
      <c r="AL627" t="s">
        <v>57</v>
      </c>
      <c r="AM627" t="s">
        <v>57</v>
      </c>
      <c r="AN627" t="s">
        <v>57</v>
      </c>
      <c r="AO627" s="1" t="s">
        <v>57</v>
      </c>
      <c r="AP627" t="s">
        <v>57</v>
      </c>
      <c r="AQ627" t="s">
        <v>57</v>
      </c>
      <c r="AR627" t="s">
        <v>57</v>
      </c>
      <c r="AS627" t="s">
        <v>57</v>
      </c>
      <c r="AT627" t="s">
        <v>57</v>
      </c>
      <c r="AU627" t="s">
        <v>57</v>
      </c>
      <c r="AV627" t="s">
        <v>57</v>
      </c>
      <c r="AW627" t="s">
        <v>57</v>
      </c>
      <c r="AX627" t="s">
        <v>57</v>
      </c>
      <c r="AY627" t="s">
        <v>57</v>
      </c>
      <c r="AZ627" t="s">
        <v>57</v>
      </c>
      <c r="BA627" t="s">
        <v>57</v>
      </c>
      <c r="BB627" t="s">
        <v>57</v>
      </c>
      <c r="BC627" t="s">
        <v>57</v>
      </c>
      <c r="BD627" t="s">
        <v>57</v>
      </c>
      <c r="BE627" t="s">
        <v>57</v>
      </c>
      <c r="BF627" t="s">
        <v>57</v>
      </c>
      <c r="BG627" t="s">
        <v>57</v>
      </c>
      <c r="BH627" s="1" t="s">
        <v>57</v>
      </c>
      <c r="BI627" t="s">
        <v>57</v>
      </c>
      <c r="BJ627" s="1" t="str">
        <f>HYPERLINK("http://exon.niaid.nih.gov/transcriptome/T_rubida/S1/links/CDD/Triru-contig_155-CDD.txt","PTZ00134")</f>
        <v>PTZ00134</v>
      </c>
      <c r="BK627" t="str">
        <f>HYPERLINK("http://www.ncbi.nlm.nih.gov/Structure/cdd/cddsrv.cgi?uid=PTZ00134&amp;version=v4.0","1.8")</f>
        <v>1.8</v>
      </c>
      <c r="BL627" t="s">
        <v>1615</v>
      </c>
      <c r="BM627" s="1" t="str">
        <f>HYPERLINK("http://exon.niaid.nih.gov/transcriptome/T_rubida/S1/links/KOG/Triru-contig_155-KOG.txt","40S ribosomal protein S11")</f>
        <v>40S ribosomal protein S11</v>
      </c>
      <c r="BN627" t="str">
        <f>HYPERLINK("http://www.ncbi.nlm.nih.gov/COG/grace/shokog.cgi?KOG1728","5.8")</f>
        <v>5.8</v>
      </c>
      <c r="BO627" t="s">
        <v>1185</v>
      </c>
      <c r="BP627" s="1" t="str">
        <f>HYPERLINK("http://exon.niaid.nih.gov/transcriptome/T_rubida/S1/links/PFAM/Triru-contig_155-PFAM.txt","FPL")</f>
        <v>FPL</v>
      </c>
      <c r="BQ627" t="str">
        <f>HYPERLINK("http://pfam.sanger.ac.uk/family?acc=PF09758","4.2")</f>
        <v>4.2</v>
      </c>
      <c r="BR627" s="1" t="str">
        <f>HYPERLINK("http://exon.niaid.nih.gov/transcriptome/T_rubida/S1/links/SMART/Triru-contig_155-SMART.txt","VPS10")</f>
        <v>VPS10</v>
      </c>
      <c r="BS627" t="str">
        <f>HYPERLINK("http://smart.embl-heidelberg.de/smart/do_annotation.pl?DOMAIN=VPS10&amp;BLAST=DUMMY","0.052")</f>
        <v>0.052</v>
      </c>
      <c r="BT627" s="1" t="str">
        <f>HYPERLINK("http://exon.niaid.nih.gov/transcriptome/T_rubida/S1/links/PRK/Triru-contig_155-PRK.txt","40S ribosomal protein S18")</f>
        <v>40S ribosomal protein S18</v>
      </c>
      <c r="BU627">
        <v>0.67</v>
      </c>
      <c r="BV627" s="1" t="s">
        <v>57</v>
      </c>
      <c r="BW627" t="s">
        <v>57</v>
      </c>
      <c r="BX627" s="1" t="s">
        <v>57</v>
      </c>
      <c r="BY627" t="s">
        <v>57</v>
      </c>
    </row>
    <row r="628" spans="1:77">
      <c r="A628" t="str">
        <f>HYPERLINK("http://exon.niaid.nih.gov/transcriptome/T_rubida/S1/links/Triru/Triru-contig_156.txt","Triru-contig_156")</f>
        <v>Triru-contig_156</v>
      </c>
      <c r="B628">
        <v>2</v>
      </c>
      <c r="C628" t="str">
        <f>HYPERLINK("http://exon.niaid.nih.gov/transcriptome/T_rubida/S1/links/Triru/Triru-5-48-asb-156.txt","Contig-156")</f>
        <v>Contig-156</v>
      </c>
      <c r="D628" t="str">
        <f>HYPERLINK("http://exon.niaid.nih.gov/transcriptome/T_rubida/S1/links/Triru/Triru-5-48-156-CLU.txt","Contig156")</f>
        <v>Contig156</v>
      </c>
      <c r="E628" t="str">
        <f>HYPERLINK("http://exon.niaid.nih.gov/transcriptome/T_rubida/S1/links/Triru/Triru-5-48-156-qual.txt","32.")</f>
        <v>32.</v>
      </c>
      <c r="F628" t="s">
        <v>10</v>
      </c>
      <c r="G628">
        <v>67.2</v>
      </c>
      <c r="H628">
        <v>106</v>
      </c>
      <c r="I628" t="s">
        <v>168</v>
      </c>
      <c r="J628">
        <v>106</v>
      </c>
      <c r="K628">
        <v>125</v>
      </c>
      <c r="L628">
        <v>87</v>
      </c>
      <c r="M628" t="s">
        <v>5354</v>
      </c>
      <c r="N628" s="15">
        <v>2</v>
      </c>
      <c r="Q628" s="5" t="s">
        <v>4827</v>
      </c>
      <c r="R628" t="s">
        <v>4828</v>
      </c>
      <c r="V628" s="1" t="s">
        <v>57</v>
      </c>
      <c r="W628" t="s">
        <v>57</v>
      </c>
      <c r="X628" t="s">
        <v>57</v>
      </c>
      <c r="Y628" t="s">
        <v>57</v>
      </c>
      <c r="Z628" t="s">
        <v>57</v>
      </c>
      <c r="AA628" t="s">
        <v>57</v>
      </c>
      <c r="AB628" t="s">
        <v>57</v>
      </c>
      <c r="AC628" t="s">
        <v>57</v>
      </c>
      <c r="AD628" t="s">
        <v>57</v>
      </c>
      <c r="AE628" t="s">
        <v>57</v>
      </c>
      <c r="AF628" t="s">
        <v>57</v>
      </c>
      <c r="AG628" t="s">
        <v>57</v>
      </c>
      <c r="AH628" t="s">
        <v>57</v>
      </c>
      <c r="AI628" t="s">
        <v>57</v>
      </c>
      <c r="AJ628" t="s">
        <v>57</v>
      </c>
      <c r="AK628" t="s">
        <v>57</v>
      </c>
      <c r="AL628" t="s">
        <v>57</v>
      </c>
      <c r="AM628" t="s">
        <v>57</v>
      </c>
      <c r="AN628" t="s">
        <v>57</v>
      </c>
      <c r="AO628" s="1" t="str">
        <f>HYPERLINK("http://exon.niaid.nih.gov/transcriptome/T_rubida/S1/links/SWISSP/Triru-contig_156-SWISSP.txt","Pre-mRNA-processing ATP-dependent RNA helicase prp11")</f>
        <v>Pre-mRNA-processing ATP-dependent RNA helicase prp11</v>
      </c>
      <c r="AP628" t="str">
        <f>HYPERLINK("http://www.uniprot.org/uniprot/Q9P7C7","69")</f>
        <v>69</v>
      </c>
      <c r="AQ628" t="s">
        <v>1616</v>
      </c>
      <c r="AR628">
        <v>26.2</v>
      </c>
      <c r="AS628">
        <v>22</v>
      </c>
      <c r="AT628">
        <v>52</v>
      </c>
      <c r="AU628">
        <v>2</v>
      </c>
      <c r="AV628">
        <v>11</v>
      </c>
      <c r="AW628">
        <v>0</v>
      </c>
      <c r="AX628">
        <v>153</v>
      </c>
      <c r="AY628">
        <v>25</v>
      </c>
      <c r="AZ628">
        <v>1</v>
      </c>
      <c r="BA628">
        <v>1</v>
      </c>
      <c r="BB628" t="s">
        <v>11</v>
      </c>
      <c r="BC628">
        <v>4.5449999999999999</v>
      </c>
      <c r="BD628" t="s">
        <v>704</v>
      </c>
      <c r="BE628" t="s">
        <v>950</v>
      </c>
      <c r="BF628" t="s">
        <v>1617</v>
      </c>
      <c r="BG628" t="s">
        <v>1618</v>
      </c>
      <c r="BH628" s="1" t="s">
        <v>57</v>
      </c>
      <c r="BI628" t="s">
        <v>57</v>
      </c>
      <c r="BJ628" s="1" t="str">
        <f>HYPERLINK("http://exon.niaid.nih.gov/transcriptome/T_rubida/S1/links/CDD/Triru-contig_156-CDD.txt","ATP6")</f>
        <v>ATP6</v>
      </c>
      <c r="BK628" t="str">
        <f>HYPERLINK("http://www.ncbi.nlm.nih.gov/Structure/cdd/cddsrv.cgi?uid=MTH00173&amp;version=v4.0","4.0")</f>
        <v>4.0</v>
      </c>
      <c r="BL628" t="s">
        <v>1619</v>
      </c>
      <c r="BM628" s="1" t="str">
        <f>HYPERLINK("http://exon.niaid.nih.gov/transcriptome/T_rubida/S1/links/KOG/Triru-contig_156-KOG.txt","N-acetylglucosaminyltransferase complex, subunit PIG-C/GPI2, required for phosphatidylinositol biosynthesis")</f>
        <v>N-acetylglucosaminyltransferase complex, subunit PIG-C/GPI2, required for phosphatidylinositol biosynthesis</v>
      </c>
      <c r="BN628" t="str">
        <f>HYPERLINK("http://www.ncbi.nlm.nih.gov/COG/grace/shokog.cgi?KOG3059","1.2")</f>
        <v>1.2</v>
      </c>
      <c r="BO628" t="s">
        <v>709</v>
      </c>
      <c r="BP628" s="1" t="str">
        <f>HYPERLINK("http://exon.niaid.nih.gov/transcriptome/T_rubida/S1/links/PFAM/Triru-contig_156-PFAM.txt","zf-C3HC4")</f>
        <v>zf-C3HC4</v>
      </c>
      <c r="BQ628" t="str">
        <f>HYPERLINK("http://pfam.sanger.ac.uk/family?acc=PF00097","4.0")</f>
        <v>4.0</v>
      </c>
      <c r="BR628" s="1" t="str">
        <f>HYPERLINK("http://exon.niaid.nih.gov/transcriptome/T_rubida/S1/links/SMART/Triru-contig_156-SMART.txt","RING")</f>
        <v>RING</v>
      </c>
      <c r="BS628" t="str">
        <f>HYPERLINK("http://smart.embl-heidelberg.de/smart/do_annotation.pl?DOMAIN=RING&amp;BLAST=DUMMY","0.60")</f>
        <v>0.60</v>
      </c>
      <c r="BT628" s="1" t="str">
        <f>HYPERLINK("http://exon.niaid.nih.gov/transcriptome/T_rubida/S1/links/PRK/Triru-contig_156-PRK.txt","ATP synthase F0 subunit 6")</f>
        <v>ATP synthase F0 subunit 6</v>
      </c>
      <c r="BU628">
        <v>1.5</v>
      </c>
      <c r="BV628" s="1" t="s">
        <v>57</v>
      </c>
      <c r="BW628" t="s">
        <v>57</v>
      </c>
      <c r="BX628" s="1" t="s">
        <v>57</v>
      </c>
      <c r="BY628" t="s">
        <v>57</v>
      </c>
    </row>
    <row r="629" spans="1:77">
      <c r="A629" t="str">
        <f>HYPERLINK("http://exon.niaid.nih.gov/transcriptome/T_rubida/S1/links/Triru/Triru-contig_161.txt","Triru-contig_161")</f>
        <v>Triru-contig_161</v>
      </c>
      <c r="B629">
        <v>1</v>
      </c>
      <c r="C629" t="str">
        <f>HYPERLINK("http://exon.niaid.nih.gov/transcriptome/T_rubida/S1/links/Triru/Triru-5-48-asb-161.txt","Contig-161")</f>
        <v>Contig-161</v>
      </c>
      <c r="D629" t="str">
        <f>HYPERLINK("http://exon.niaid.nih.gov/transcriptome/T_rubida/S1/links/Triru/Triru-5-48-161-CLU.txt","Contig161")</f>
        <v>Contig161</v>
      </c>
      <c r="E629" t="str">
        <f>HYPERLINK("http://exon.niaid.nih.gov/transcriptome/T_rubida/S1/links/Triru/Triru-5-48-161-qual.txt","42.1")</f>
        <v>42.1</v>
      </c>
      <c r="F629" t="s">
        <v>10</v>
      </c>
      <c r="G629">
        <v>78.7</v>
      </c>
      <c r="H629">
        <v>56</v>
      </c>
      <c r="I629" t="s">
        <v>173</v>
      </c>
      <c r="J629">
        <v>56</v>
      </c>
      <c r="K629">
        <v>75</v>
      </c>
      <c r="L629">
        <v>57</v>
      </c>
      <c r="M629" t="s">
        <v>5355</v>
      </c>
      <c r="N629" s="15">
        <v>1</v>
      </c>
      <c r="Q629" s="5" t="s">
        <v>4827</v>
      </c>
      <c r="R629" t="s">
        <v>4828</v>
      </c>
      <c r="V629" s="1" t="s">
        <v>57</v>
      </c>
      <c r="W629" t="s">
        <v>57</v>
      </c>
      <c r="X629" t="s">
        <v>57</v>
      </c>
      <c r="Y629" t="s">
        <v>57</v>
      </c>
      <c r="Z629" t="s">
        <v>57</v>
      </c>
      <c r="AA629" t="s">
        <v>57</v>
      </c>
      <c r="AB629" t="s">
        <v>57</v>
      </c>
      <c r="AC629" t="s">
        <v>57</v>
      </c>
      <c r="AD629" t="s">
        <v>57</v>
      </c>
      <c r="AE629" t="s">
        <v>57</v>
      </c>
      <c r="AF629" t="s">
        <v>57</v>
      </c>
      <c r="AG629" t="s">
        <v>57</v>
      </c>
      <c r="AH629" t="s">
        <v>57</v>
      </c>
      <c r="AI629" t="s">
        <v>57</v>
      </c>
      <c r="AJ629" t="s">
        <v>57</v>
      </c>
      <c r="AK629" t="s">
        <v>57</v>
      </c>
      <c r="AL629" t="s">
        <v>57</v>
      </c>
      <c r="AM629" t="s">
        <v>57</v>
      </c>
      <c r="AN629" t="s">
        <v>57</v>
      </c>
      <c r="AO629" s="1" t="s">
        <v>57</v>
      </c>
      <c r="AP629" t="s">
        <v>57</v>
      </c>
      <c r="AQ629" t="s">
        <v>57</v>
      </c>
      <c r="AR629" t="s">
        <v>57</v>
      </c>
      <c r="AS629" t="s">
        <v>57</v>
      </c>
      <c r="AT629" t="s">
        <v>57</v>
      </c>
      <c r="AU629" t="s">
        <v>57</v>
      </c>
      <c r="AV629" t="s">
        <v>57</v>
      </c>
      <c r="AW629" t="s">
        <v>57</v>
      </c>
      <c r="AX629" t="s">
        <v>57</v>
      </c>
      <c r="AY629" t="s">
        <v>57</v>
      </c>
      <c r="AZ629" t="s">
        <v>57</v>
      </c>
      <c r="BA629" t="s">
        <v>57</v>
      </c>
      <c r="BB629" t="s">
        <v>57</v>
      </c>
      <c r="BC629" t="s">
        <v>57</v>
      </c>
      <c r="BD629" t="s">
        <v>57</v>
      </c>
      <c r="BE629" t="s">
        <v>57</v>
      </c>
      <c r="BF629" t="s">
        <v>57</v>
      </c>
      <c r="BG629" t="s">
        <v>57</v>
      </c>
      <c r="BH629" s="1" t="s">
        <v>57</v>
      </c>
      <c r="BI629" t="s">
        <v>57</v>
      </c>
      <c r="BJ629" s="1" t="s">
        <v>57</v>
      </c>
      <c r="BK629" t="s">
        <v>57</v>
      </c>
      <c r="BL629" t="s">
        <v>57</v>
      </c>
      <c r="BM629" s="1" t="s">
        <v>57</v>
      </c>
      <c r="BN629" t="s">
        <v>57</v>
      </c>
      <c r="BO629" t="s">
        <v>57</v>
      </c>
      <c r="BP629" s="1" t="str">
        <f>HYPERLINK("http://exon.niaid.nih.gov/transcriptome/T_rubida/S1/links/PFAM/Triru-contig_161-PFAM.txt","VanZ")</f>
        <v>VanZ</v>
      </c>
      <c r="BQ629" t="str">
        <f>HYPERLINK("http://pfam.sanger.ac.uk/family?acc=PF04892","5.0")</f>
        <v>5.0</v>
      </c>
      <c r="BR629" s="1" t="str">
        <f>HYPERLINK("http://exon.niaid.nih.gov/transcriptome/T_rubida/S1/links/SMART/Triru-contig_161-SMART.txt","acidPPc")</f>
        <v>acidPPc</v>
      </c>
      <c r="BS629" t="str">
        <f>HYPERLINK("http://smart.embl-heidelberg.de/smart/do_annotation.pl?DOMAIN=acidPPc&amp;BLAST=DUMMY","5.4")</f>
        <v>5.4</v>
      </c>
      <c r="BT629" s="1" t="s">
        <v>57</v>
      </c>
      <c r="BU629" t="s">
        <v>57</v>
      </c>
      <c r="BV629" s="1" t="s">
        <v>57</v>
      </c>
      <c r="BW629" t="s">
        <v>57</v>
      </c>
      <c r="BX629" s="1" t="s">
        <v>57</v>
      </c>
      <c r="BY629" t="s">
        <v>57</v>
      </c>
    </row>
    <row r="630" spans="1:77">
      <c r="A630" t="str">
        <f>HYPERLINK("http://exon.niaid.nih.gov/transcriptome/T_rubida/S1/links/Triru/Triru-contig_170.txt","Triru-contig_170")</f>
        <v>Triru-contig_170</v>
      </c>
      <c r="B630">
        <v>1</v>
      </c>
      <c r="C630" t="str">
        <f>HYPERLINK("http://exon.niaid.nih.gov/transcriptome/T_rubida/S1/links/Triru/Triru-5-48-asb-170.txt","Contig-170")</f>
        <v>Contig-170</v>
      </c>
      <c r="D630" t="str">
        <f>HYPERLINK("http://exon.niaid.nih.gov/transcriptome/T_rubida/S1/links/Triru/Triru-5-48-170-CLU.txt","Contig170")</f>
        <v>Contig170</v>
      </c>
      <c r="E630" t="str">
        <f>HYPERLINK("http://exon.niaid.nih.gov/transcriptome/T_rubida/S1/links/Triru/Triru-5-48-170-qual.txt","57.3")</f>
        <v>57.3</v>
      </c>
      <c r="F630" t="s">
        <v>10</v>
      </c>
      <c r="G630">
        <v>77.599999999999994</v>
      </c>
      <c r="H630">
        <v>115</v>
      </c>
      <c r="I630" t="s">
        <v>182</v>
      </c>
      <c r="J630">
        <v>115</v>
      </c>
      <c r="K630">
        <v>134</v>
      </c>
      <c r="L630">
        <v>54</v>
      </c>
      <c r="M630" t="s">
        <v>5356</v>
      </c>
      <c r="N630" s="15">
        <v>1</v>
      </c>
      <c r="Q630" s="5" t="s">
        <v>4827</v>
      </c>
      <c r="R630" t="s">
        <v>4828</v>
      </c>
      <c r="V630" s="1" t="s">
        <v>57</v>
      </c>
      <c r="W630" t="s">
        <v>57</v>
      </c>
      <c r="X630" t="s">
        <v>57</v>
      </c>
      <c r="Y630" t="s">
        <v>57</v>
      </c>
      <c r="Z630" t="s">
        <v>57</v>
      </c>
      <c r="AA630" t="s">
        <v>57</v>
      </c>
      <c r="AB630" t="s">
        <v>57</v>
      </c>
      <c r="AC630" t="s">
        <v>57</v>
      </c>
      <c r="AD630" t="s">
        <v>57</v>
      </c>
      <c r="AE630" t="s">
        <v>57</v>
      </c>
      <c r="AF630" t="s">
        <v>57</v>
      </c>
      <c r="AG630" t="s">
        <v>57</v>
      </c>
      <c r="AH630" t="s">
        <v>57</v>
      </c>
      <c r="AI630" t="s">
        <v>57</v>
      </c>
      <c r="AJ630" t="s">
        <v>57</v>
      </c>
      <c r="AK630" t="s">
        <v>57</v>
      </c>
      <c r="AL630" t="s">
        <v>57</v>
      </c>
      <c r="AM630" t="s">
        <v>57</v>
      </c>
      <c r="AN630" t="s">
        <v>57</v>
      </c>
      <c r="AO630" s="1" t="s">
        <v>57</v>
      </c>
      <c r="AP630" t="s">
        <v>57</v>
      </c>
      <c r="AQ630" t="s">
        <v>57</v>
      </c>
      <c r="AR630" t="s">
        <v>57</v>
      </c>
      <c r="AS630" t="s">
        <v>57</v>
      </c>
      <c r="AT630" t="s">
        <v>57</v>
      </c>
      <c r="AU630" t="s">
        <v>57</v>
      </c>
      <c r="AV630" t="s">
        <v>57</v>
      </c>
      <c r="AW630" t="s">
        <v>57</v>
      </c>
      <c r="AX630" t="s">
        <v>57</v>
      </c>
      <c r="AY630" t="s">
        <v>57</v>
      </c>
      <c r="AZ630" t="s">
        <v>57</v>
      </c>
      <c r="BA630" t="s">
        <v>57</v>
      </c>
      <c r="BB630" t="s">
        <v>57</v>
      </c>
      <c r="BC630" t="s">
        <v>57</v>
      </c>
      <c r="BD630" t="s">
        <v>57</v>
      </c>
      <c r="BE630" t="s">
        <v>57</v>
      </c>
      <c r="BF630" t="s">
        <v>57</v>
      </c>
      <c r="BG630" t="s">
        <v>57</v>
      </c>
      <c r="BH630" s="1" t="s">
        <v>57</v>
      </c>
      <c r="BI630" t="s">
        <v>57</v>
      </c>
      <c r="BJ630" s="1" t="str">
        <f>HYPERLINK("http://exon.niaid.nih.gov/transcriptome/T_rubida/S1/links/CDD/Triru-contig_170-CDD.txt","PTZ00228")</f>
        <v>PTZ00228</v>
      </c>
      <c r="BK630" t="str">
        <f>HYPERLINK("http://www.ncbi.nlm.nih.gov/Structure/cdd/cddsrv.cgi?uid=PTZ00228&amp;version=v4.0","0.22")</f>
        <v>0.22</v>
      </c>
      <c r="BL630" t="s">
        <v>1711</v>
      </c>
      <c r="BM630" s="1" t="str">
        <f>HYPERLINK("http://exon.niaid.nih.gov/transcriptome/T_rubida/S1/links/KOG/Triru-contig_170-KOG.txt","Serine/threonine protein kinase")</f>
        <v>Serine/threonine protein kinase</v>
      </c>
      <c r="BN630" t="str">
        <f>HYPERLINK("http://www.ncbi.nlm.nih.gov/COG/grace/shokog.cgi?KOG4279","0.87")</f>
        <v>0.87</v>
      </c>
      <c r="BO630" t="s">
        <v>728</v>
      </c>
      <c r="BP630" s="1" t="str">
        <f>HYPERLINK("http://exon.niaid.nih.gov/transcriptome/T_rubida/S1/links/PFAM/Triru-contig_170-PFAM.txt","DUF862")</f>
        <v>DUF862</v>
      </c>
      <c r="BQ630" t="str">
        <f>HYPERLINK("http://pfam.sanger.ac.uk/family?acc=PF05903","0.15")</f>
        <v>0.15</v>
      </c>
      <c r="BR630" s="1" t="str">
        <f>HYPERLINK("http://exon.niaid.nih.gov/transcriptome/T_rubida/S1/links/SMART/Triru-contig_170-SMART.txt","BCL")</f>
        <v>BCL</v>
      </c>
      <c r="BS630" t="str">
        <f>HYPERLINK("http://smart.embl-heidelberg.de/smart/do_annotation.pl?DOMAIN=BCL&amp;BLAST=DUMMY","0.71")</f>
        <v>0.71</v>
      </c>
      <c r="BT630" s="1" t="str">
        <f>HYPERLINK("http://exon.niaid.nih.gov/transcriptome/T_rubida/S1/links/PRK/Triru-contig_170-PRK.txt","variable surface protein Vir21")</f>
        <v>variable surface protein Vir21</v>
      </c>
      <c r="BU630">
        <v>7.5999999999999998E-2</v>
      </c>
      <c r="BV630" s="1" t="s">
        <v>57</v>
      </c>
      <c r="BW630" t="s">
        <v>57</v>
      </c>
      <c r="BX630" s="1" t="s">
        <v>57</v>
      </c>
      <c r="BY630" t="s">
        <v>57</v>
      </c>
    </row>
    <row r="631" spans="1:77">
      <c r="A631" t="str">
        <f>HYPERLINK("http://exon.niaid.nih.gov/transcriptome/T_rubida/S1/links/Triru/Triru-contig_172.txt","Triru-contig_172")</f>
        <v>Triru-contig_172</v>
      </c>
      <c r="B631">
        <v>1</v>
      </c>
      <c r="C631" t="str">
        <f>HYPERLINK("http://exon.niaid.nih.gov/transcriptome/T_rubida/S1/links/Triru/Triru-5-48-asb-172.txt","Contig-172")</f>
        <v>Contig-172</v>
      </c>
      <c r="D631" t="str">
        <f>HYPERLINK("http://exon.niaid.nih.gov/transcriptome/T_rubida/S1/links/Triru/Triru-5-48-172-CLU.txt","Contig172")</f>
        <v>Contig172</v>
      </c>
      <c r="E631" t="str">
        <f>HYPERLINK("http://exon.niaid.nih.gov/transcriptome/T_rubida/S1/links/Triru/Triru-5-48-172-qual.txt","24.3")</f>
        <v>24.3</v>
      </c>
      <c r="F631" t="s">
        <v>10</v>
      </c>
      <c r="G631">
        <v>70.2</v>
      </c>
      <c r="H631">
        <v>196</v>
      </c>
      <c r="I631" t="s">
        <v>184</v>
      </c>
      <c r="J631">
        <v>196</v>
      </c>
      <c r="K631">
        <v>215</v>
      </c>
      <c r="L631">
        <v>96</v>
      </c>
      <c r="M631" t="s">
        <v>5357</v>
      </c>
      <c r="N631" s="15">
        <v>3</v>
      </c>
      <c r="Q631" s="5" t="s">
        <v>4827</v>
      </c>
      <c r="R631" t="s">
        <v>4828</v>
      </c>
      <c r="V631" s="1" t="s">
        <v>57</v>
      </c>
      <c r="W631" t="s">
        <v>57</v>
      </c>
      <c r="X631" t="s">
        <v>57</v>
      </c>
      <c r="Y631" t="s">
        <v>57</v>
      </c>
      <c r="Z631" t="s">
        <v>57</v>
      </c>
      <c r="AA631" t="s">
        <v>57</v>
      </c>
      <c r="AB631" t="s">
        <v>57</v>
      </c>
      <c r="AC631" t="s">
        <v>57</v>
      </c>
      <c r="AD631" t="s">
        <v>57</v>
      </c>
      <c r="AE631" t="s">
        <v>57</v>
      </c>
      <c r="AF631" t="s">
        <v>57</v>
      </c>
      <c r="AG631" t="s">
        <v>57</v>
      </c>
      <c r="AH631" t="s">
        <v>57</v>
      </c>
      <c r="AI631" t="s">
        <v>57</v>
      </c>
      <c r="AJ631" t="s">
        <v>57</v>
      </c>
      <c r="AK631" t="s">
        <v>57</v>
      </c>
      <c r="AL631" t="s">
        <v>57</v>
      </c>
      <c r="AM631" t="s">
        <v>57</v>
      </c>
      <c r="AN631" t="s">
        <v>57</v>
      </c>
      <c r="AO631" s="1" t="str">
        <f>HYPERLINK("http://exon.niaid.nih.gov/transcriptome/T_rubida/S1/links/SWISSP/Triru-contig_172-SWISSP.txt","Uncharacterized protein R10E11.6")</f>
        <v>Uncharacterized protein R10E11.6</v>
      </c>
      <c r="AP631" t="str">
        <f>HYPERLINK("http://www.uniprot.org/uniprot/P34550","14")</f>
        <v>14</v>
      </c>
      <c r="AQ631" t="s">
        <v>1719</v>
      </c>
      <c r="AR631">
        <v>28.5</v>
      </c>
      <c r="AS631">
        <v>19</v>
      </c>
      <c r="AT631">
        <v>60</v>
      </c>
      <c r="AU631">
        <v>5</v>
      </c>
      <c r="AV631">
        <v>8</v>
      </c>
      <c r="AW631">
        <v>0</v>
      </c>
      <c r="AX631">
        <v>253</v>
      </c>
      <c r="AY631">
        <v>36</v>
      </c>
      <c r="AZ631">
        <v>1</v>
      </c>
      <c r="BA631">
        <v>3</v>
      </c>
      <c r="BB631" t="s">
        <v>11</v>
      </c>
      <c r="BD631" t="s">
        <v>704</v>
      </c>
      <c r="BE631" t="s">
        <v>1385</v>
      </c>
      <c r="BF631" t="s">
        <v>1720</v>
      </c>
      <c r="BG631" t="s">
        <v>1721</v>
      </c>
      <c r="BH631" s="1" t="s">
        <v>57</v>
      </c>
      <c r="BI631" t="s">
        <v>57</v>
      </c>
      <c r="BJ631" s="1" t="str">
        <f>HYPERLINK("http://exon.niaid.nih.gov/transcriptome/T_rubida/S1/links/CDD/Triru-contig_172-CDD.txt","7TM_GPCR_Srj")</f>
        <v>7TM_GPCR_Srj</v>
      </c>
      <c r="BK631" t="str">
        <f>HYPERLINK("http://www.ncbi.nlm.nih.gov/Structure/cdd/cddsrv.cgi?uid=pfam10319&amp;version=v4.0","0.24")</f>
        <v>0.24</v>
      </c>
      <c r="BL631" t="s">
        <v>1722</v>
      </c>
      <c r="BM631" s="1" t="str">
        <f>HYPERLINK("http://exon.niaid.nih.gov/transcriptome/T_rubida/S1/links/KOG/Triru-contig_172-KOG.txt","Uncharacterized conserved protein")</f>
        <v>Uncharacterized conserved protein</v>
      </c>
      <c r="BN631" t="str">
        <f>HYPERLINK("http://www.ncbi.nlm.nih.gov/COG/grace/shokog.cgi?KOG3899","0.36")</f>
        <v>0.36</v>
      </c>
      <c r="BO631" t="s">
        <v>737</v>
      </c>
      <c r="BP631" s="1" t="str">
        <f>HYPERLINK("http://exon.niaid.nih.gov/transcriptome/T_rubida/S1/links/PFAM/Triru-contig_172-PFAM.txt","7TM_GPCR_Srj")</f>
        <v>7TM_GPCR_Srj</v>
      </c>
      <c r="BQ631" t="str">
        <f>HYPERLINK("http://pfam.sanger.ac.uk/family?acc=PF10319","0.050")</f>
        <v>0.050</v>
      </c>
      <c r="BR631" s="1" t="str">
        <f>HYPERLINK("http://exon.niaid.nih.gov/transcriptome/T_rubida/S1/links/SMART/Triru-contig_172-SMART.txt","POLXc")</f>
        <v>POLXc</v>
      </c>
      <c r="BS631" t="str">
        <f>HYPERLINK("http://smart.embl-heidelberg.de/smart/do_annotation.pl?DOMAIN=POLXc&amp;BLAST=DUMMY","0.048")</f>
        <v>0.048</v>
      </c>
      <c r="BT631" s="1" t="str">
        <f>HYPERLINK("http://exon.niaid.nih.gov/transcriptome/T_rubida/S1/links/PRK/Triru-contig_172-PRK.txt","NADH dehydrogenase subunit 2")</f>
        <v>NADH dehydrogenase subunit 2</v>
      </c>
      <c r="BU631">
        <v>0.14000000000000001</v>
      </c>
      <c r="BV631" s="1" t="s">
        <v>57</v>
      </c>
      <c r="BW631" t="s">
        <v>57</v>
      </c>
      <c r="BX631" s="1" t="s">
        <v>57</v>
      </c>
      <c r="BY631" t="s">
        <v>57</v>
      </c>
    </row>
    <row r="632" spans="1:77">
      <c r="A632" t="str">
        <f>HYPERLINK("http://exon.niaid.nih.gov/transcriptome/T_rubida/S1/links/Triru/Triru-contig_177.txt","Triru-contig_177")</f>
        <v>Triru-contig_177</v>
      </c>
      <c r="B632">
        <v>1</v>
      </c>
      <c r="C632" t="str">
        <f>HYPERLINK("http://exon.niaid.nih.gov/transcriptome/T_rubida/S1/links/Triru/Triru-5-48-asb-177.txt","Contig-177")</f>
        <v>Contig-177</v>
      </c>
      <c r="D632" t="str">
        <f>HYPERLINK("http://exon.niaid.nih.gov/transcriptome/T_rubida/S1/links/Triru/Triru-5-48-177-CLU.txt","Contig177")</f>
        <v>Contig177</v>
      </c>
      <c r="E632" t="str">
        <f>HYPERLINK("http://exon.niaid.nih.gov/transcriptome/T_rubida/S1/links/Triru/Triru-5-48-177-qual.txt","51.3")</f>
        <v>51.3</v>
      </c>
      <c r="F632" t="s">
        <v>10</v>
      </c>
      <c r="G632">
        <v>75.3</v>
      </c>
      <c r="H632">
        <v>74</v>
      </c>
      <c r="I632" t="s">
        <v>189</v>
      </c>
      <c r="J632">
        <v>74</v>
      </c>
      <c r="K632">
        <v>93</v>
      </c>
      <c r="L632">
        <v>57</v>
      </c>
      <c r="M632" t="s">
        <v>5358</v>
      </c>
      <c r="N632" s="15">
        <v>1</v>
      </c>
      <c r="Q632" s="5" t="s">
        <v>4827</v>
      </c>
      <c r="R632" t="s">
        <v>4828</v>
      </c>
      <c r="V632" s="1" t="s">
        <v>57</v>
      </c>
      <c r="W632" t="s">
        <v>57</v>
      </c>
      <c r="X632" t="s">
        <v>57</v>
      </c>
      <c r="Y632" t="s">
        <v>57</v>
      </c>
      <c r="Z632" t="s">
        <v>57</v>
      </c>
      <c r="AA632" t="s">
        <v>57</v>
      </c>
      <c r="AB632" t="s">
        <v>57</v>
      </c>
      <c r="AC632" t="s">
        <v>57</v>
      </c>
      <c r="AD632" t="s">
        <v>57</v>
      </c>
      <c r="AE632" t="s">
        <v>57</v>
      </c>
      <c r="AF632" t="s">
        <v>57</v>
      </c>
      <c r="AG632" t="s">
        <v>57</v>
      </c>
      <c r="AH632" t="s">
        <v>57</v>
      </c>
      <c r="AI632" t="s">
        <v>57</v>
      </c>
      <c r="AJ632" t="s">
        <v>57</v>
      </c>
      <c r="AK632" t="s">
        <v>57</v>
      </c>
      <c r="AL632" t="s">
        <v>57</v>
      </c>
      <c r="AM632" t="s">
        <v>57</v>
      </c>
      <c r="AN632" t="s">
        <v>57</v>
      </c>
      <c r="AO632" s="1" t="s">
        <v>57</v>
      </c>
      <c r="AP632" t="s">
        <v>57</v>
      </c>
      <c r="AQ632" t="s">
        <v>57</v>
      </c>
      <c r="AR632" t="s">
        <v>57</v>
      </c>
      <c r="AS632" t="s">
        <v>57</v>
      </c>
      <c r="AT632" t="s">
        <v>57</v>
      </c>
      <c r="AU632" t="s">
        <v>57</v>
      </c>
      <c r="AV632" t="s">
        <v>57</v>
      </c>
      <c r="AW632" t="s">
        <v>57</v>
      </c>
      <c r="AX632" t="s">
        <v>57</v>
      </c>
      <c r="AY632" t="s">
        <v>57</v>
      </c>
      <c r="AZ632" t="s">
        <v>57</v>
      </c>
      <c r="BA632" t="s">
        <v>57</v>
      </c>
      <c r="BB632" t="s">
        <v>57</v>
      </c>
      <c r="BC632" t="s">
        <v>57</v>
      </c>
      <c r="BD632" t="s">
        <v>57</v>
      </c>
      <c r="BE632" t="s">
        <v>57</v>
      </c>
      <c r="BF632" t="s">
        <v>57</v>
      </c>
      <c r="BG632" t="s">
        <v>57</v>
      </c>
      <c r="BH632" s="1" t="s">
        <v>57</v>
      </c>
      <c r="BI632" t="s">
        <v>57</v>
      </c>
      <c r="BJ632" s="1" t="s">
        <v>57</v>
      </c>
      <c r="BK632" t="s">
        <v>57</v>
      </c>
      <c r="BL632" t="s">
        <v>57</v>
      </c>
      <c r="BM632" s="1" t="s">
        <v>57</v>
      </c>
      <c r="BN632" t="s">
        <v>57</v>
      </c>
      <c r="BO632" t="s">
        <v>57</v>
      </c>
      <c r="BP632" s="1" t="str">
        <f>HYPERLINK("http://exon.niaid.nih.gov/transcriptome/T_rubida/S1/links/PFAM/Triru-contig_177-PFAM.txt","UPF0058")</f>
        <v>UPF0058</v>
      </c>
      <c r="BQ632" t="str">
        <f>HYPERLINK("http://pfam.sanger.ac.uk/family?acc=PF01893","2.7")</f>
        <v>2.7</v>
      </c>
      <c r="BR632" s="1" t="str">
        <f>HYPERLINK("http://exon.niaid.nih.gov/transcriptome/T_rubida/S1/links/SMART/Triru-contig_177-SMART.txt","NTR")</f>
        <v>NTR</v>
      </c>
      <c r="BS632" t="str">
        <f>HYPERLINK("http://smart.embl-heidelberg.de/smart/do_annotation.pl?DOMAIN=NTR&amp;BLAST=DUMMY","2.4")</f>
        <v>2.4</v>
      </c>
      <c r="BT632" s="1" t="s">
        <v>57</v>
      </c>
      <c r="BU632" t="s">
        <v>57</v>
      </c>
      <c r="BV632" s="1" t="s">
        <v>57</v>
      </c>
      <c r="BW632" t="s">
        <v>57</v>
      </c>
      <c r="BX632" s="1" t="s">
        <v>57</v>
      </c>
      <c r="BY632" t="s">
        <v>57</v>
      </c>
    </row>
    <row r="633" spans="1:77">
      <c r="A633" t="str">
        <f>HYPERLINK("http://exon.niaid.nih.gov/transcriptome/T_rubida/S1/links/Triru/Triru-contig_179.txt","Triru-contig_179")</f>
        <v>Triru-contig_179</v>
      </c>
      <c r="B633">
        <v>1</v>
      </c>
      <c r="C633" t="str">
        <f>HYPERLINK("http://exon.niaid.nih.gov/transcriptome/T_rubida/S1/links/Triru/Triru-5-48-asb-179.txt","Contig-179")</f>
        <v>Contig-179</v>
      </c>
      <c r="D633" t="str">
        <f>HYPERLINK("http://exon.niaid.nih.gov/transcriptome/T_rubida/S1/links/Triru/Triru-5-48-179-CLU.txt","Contig179")</f>
        <v>Contig179</v>
      </c>
      <c r="E633" t="str">
        <f>HYPERLINK("http://exon.niaid.nih.gov/transcriptome/T_rubida/S1/links/Triru/Triru-5-48-179-qual.txt","47.2")</f>
        <v>47.2</v>
      </c>
      <c r="F633" t="s">
        <v>10</v>
      </c>
      <c r="G633">
        <v>77.099999999999994</v>
      </c>
      <c r="H633">
        <v>90</v>
      </c>
      <c r="I633" t="s">
        <v>191</v>
      </c>
      <c r="J633">
        <v>90</v>
      </c>
      <c r="K633">
        <v>109</v>
      </c>
      <c r="L633">
        <v>81</v>
      </c>
      <c r="M633" t="s">
        <v>5359</v>
      </c>
      <c r="N633" s="15">
        <v>1</v>
      </c>
      <c r="Q633" s="5" t="s">
        <v>4827</v>
      </c>
      <c r="R633" t="s">
        <v>4828</v>
      </c>
      <c r="V633" s="1" t="s">
        <v>57</v>
      </c>
      <c r="W633" t="s">
        <v>57</v>
      </c>
      <c r="X633" t="s">
        <v>57</v>
      </c>
      <c r="Y633" t="s">
        <v>57</v>
      </c>
      <c r="Z633" t="s">
        <v>57</v>
      </c>
      <c r="AA633" t="s">
        <v>57</v>
      </c>
      <c r="AB633" t="s">
        <v>57</v>
      </c>
      <c r="AC633" t="s">
        <v>57</v>
      </c>
      <c r="AD633" t="s">
        <v>57</v>
      </c>
      <c r="AE633" t="s">
        <v>57</v>
      </c>
      <c r="AF633" t="s">
        <v>57</v>
      </c>
      <c r="AG633" t="s">
        <v>57</v>
      </c>
      <c r="AH633" t="s">
        <v>57</v>
      </c>
      <c r="AI633" t="s">
        <v>57</v>
      </c>
      <c r="AJ633" t="s">
        <v>57</v>
      </c>
      <c r="AK633" t="s">
        <v>57</v>
      </c>
      <c r="AL633" t="s">
        <v>57</v>
      </c>
      <c r="AM633" t="s">
        <v>57</v>
      </c>
      <c r="AN633" t="s">
        <v>57</v>
      </c>
      <c r="AO633" s="1" t="s">
        <v>57</v>
      </c>
      <c r="AP633" t="s">
        <v>57</v>
      </c>
      <c r="AQ633" t="s">
        <v>57</v>
      </c>
      <c r="AR633" t="s">
        <v>57</v>
      </c>
      <c r="AS633" t="s">
        <v>57</v>
      </c>
      <c r="AT633" t="s">
        <v>57</v>
      </c>
      <c r="AU633" t="s">
        <v>57</v>
      </c>
      <c r="AV633" t="s">
        <v>57</v>
      </c>
      <c r="AW633" t="s">
        <v>57</v>
      </c>
      <c r="AX633" t="s">
        <v>57</v>
      </c>
      <c r="AY633" t="s">
        <v>57</v>
      </c>
      <c r="AZ633" t="s">
        <v>57</v>
      </c>
      <c r="BA633" t="s">
        <v>57</v>
      </c>
      <c r="BB633" t="s">
        <v>57</v>
      </c>
      <c r="BC633" t="s">
        <v>57</v>
      </c>
      <c r="BD633" t="s">
        <v>57</v>
      </c>
      <c r="BE633" t="s">
        <v>57</v>
      </c>
      <c r="BF633" t="s">
        <v>57</v>
      </c>
      <c r="BG633" t="s">
        <v>57</v>
      </c>
      <c r="BH633" s="1" t="s">
        <v>57</v>
      </c>
      <c r="BI633" t="s">
        <v>57</v>
      </c>
      <c r="BJ633" s="1" t="str">
        <f>HYPERLINK("http://exon.niaid.nih.gov/transcriptome/T_rubida/S1/links/CDD/Triru-contig_179-CDD.txt","UAA")</f>
        <v>UAA</v>
      </c>
      <c r="BK633" t="str">
        <f>HYPERLINK("http://www.ncbi.nlm.nih.gov/Structure/cdd/cddsrv.cgi?uid=pfam08449&amp;version=v4.0","4.1")</f>
        <v>4.1</v>
      </c>
      <c r="BL633" t="s">
        <v>1760</v>
      </c>
      <c r="BM633" s="1" t="str">
        <f>HYPERLINK("http://exon.niaid.nih.gov/transcriptome/T_rubida/S1/links/KOG/Triru-contig_179-KOG.txt","Sodium/hydrogen exchanger protein")</f>
        <v>Sodium/hydrogen exchanger protein</v>
      </c>
      <c r="BN633" t="str">
        <f>HYPERLINK("http://www.ncbi.nlm.nih.gov/COG/grace/shokog.cgi?KOG1965","5.5")</f>
        <v>5.5</v>
      </c>
      <c r="BO633" t="s">
        <v>849</v>
      </c>
      <c r="BP633" s="1" t="str">
        <f>HYPERLINK("http://exon.niaid.nih.gov/transcriptome/T_rubida/S1/links/PFAM/Triru-contig_179-PFAM.txt","UAA")</f>
        <v>UAA</v>
      </c>
      <c r="BQ633" t="str">
        <f>HYPERLINK("http://pfam.sanger.ac.uk/family?acc=PF08449","0.86")</f>
        <v>0.86</v>
      </c>
      <c r="BR633" s="1" t="str">
        <f>HYPERLINK("http://exon.niaid.nih.gov/transcriptome/T_rubida/S1/links/SMART/Triru-contig_179-SMART.txt","DM6")</f>
        <v>DM6</v>
      </c>
      <c r="BS633" t="str">
        <f>HYPERLINK("http://smart.embl-heidelberg.de/smart/do_annotation.pl?DOMAIN=DM6&amp;BLAST=DUMMY","1.1")</f>
        <v>1.1</v>
      </c>
      <c r="BT633" s="1" t="str">
        <f>HYPERLINK("http://exon.niaid.nih.gov/transcriptome/T_rubida/S1/links/PRK/Triru-contig_179-PRK.txt","N-acetylglutamate synthase")</f>
        <v>N-acetylglutamate synthase</v>
      </c>
      <c r="BU633">
        <v>3.7</v>
      </c>
      <c r="BV633" s="1" t="s">
        <v>57</v>
      </c>
      <c r="BW633" t="s">
        <v>57</v>
      </c>
      <c r="BX633" s="1" t="s">
        <v>57</v>
      </c>
      <c r="BY633" t="s">
        <v>57</v>
      </c>
    </row>
    <row r="634" spans="1:77">
      <c r="A634" t="str">
        <f>HYPERLINK("http://exon.niaid.nih.gov/transcriptome/T_rubida/S1/links/Triru/Triru-contig_180.txt","Triru-contig_180")</f>
        <v>Triru-contig_180</v>
      </c>
      <c r="B634">
        <v>1</v>
      </c>
      <c r="C634" t="str">
        <f>HYPERLINK("http://exon.niaid.nih.gov/transcriptome/T_rubida/S1/links/Triru/Triru-5-48-asb-180.txt","Contig-180")</f>
        <v>Contig-180</v>
      </c>
      <c r="D634" t="str">
        <f>HYPERLINK("http://exon.niaid.nih.gov/transcriptome/T_rubida/S1/links/Triru/Triru-5-48-180-CLU.txt","Contig180")</f>
        <v>Contig180</v>
      </c>
      <c r="E634" t="str">
        <f>HYPERLINK("http://exon.niaid.nih.gov/transcriptome/T_rubida/S1/links/Triru/Triru-5-48-180-qual.txt","39.")</f>
        <v>39.</v>
      </c>
      <c r="F634" t="s">
        <v>10</v>
      </c>
      <c r="G634">
        <v>71.8</v>
      </c>
      <c r="H634">
        <v>66</v>
      </c>
      <c r="I634" t="s">
        <v>192</v>
      </c>
      <c r="J634">
        <v>66</v>
      </c>
      <c r="K634">
        <v>85</v>
      </c>
      <c r="L634">
        <v>48</v>
      </c>
      <c r="M634" t="s">
        <v>5360</v>
      </c>
      <c r="N634" s="15">
        <v>1</v>
      </c>
      <c r="Q634" s="5" t="s">
        <v>4827</v>
      </c>
      <c r="R634" t="s">
        <v>4828</v>
      </c>
      <c r="V634" s="1" t="s">
        <v>57</v>
      </c>
      <c r="W634" t="s">
        <v>57</v>
      </c>
      <c r="X634" t="s">
        <v>57</v>
      </c>
      <c r="Y634" t="s">
        <v>57</v>
      </c>
      <c r="Z634" t="s">
        <v>57</v>
      </c>
      <c r="AA634" t="s">
        <v>57</v>
      </c>
      <c r="AB634" t="s">
        <v>57</v>
      </c>
      <c r="AC634" t="s">
        <v>57</v>
      </c>
      <c r="AD634" t="s">
        <v>57</v>
      </c>
      <c r="AE634" t="s">
        <v>57</v>
      </c>
      <c r="AF634" t="s">
        <v>57</v>
      </c>
      <c r="AG634" t="s">
        <v>57</v>
      </c>
      <c r="AH634" t="s">
        <v>57</v>
      </c>
      <c r="AI634" t="s">
        <v>57</v>
      </c>
      <c r="AJ634" t="s">
        <v>57</v>
      </c>
      <c r="AK634" t="s">
        <v>57</v>
      </c>
      <c r="AL634" t="s">
        <v>57</v>
      </c>
      <c r="AM634" t="s">
        <v>57</v>
      </c>
      <c r="AN634" t="s">
        <v>57</v>
      </c>
      <c r="AO634" s="1" t="s">
        <v>57</v>
      </c>
      <c r="AP634" t="s">
        <v>57</v>
      </c>
      <c r="AQ634" t="s">
        <v>57</v>
      </c>
      <c r="AR634" t="s">
        <v>57</v>
      </c>
      <c r="AS634" t="s">
        <v>57</v>
      </c>
      <c r="AT634" t="s">
        <v>57</v>
      </c>
      <c r="AU634" t="s">
        <v>57</v>
      </c>
      <c r="AV634" t="s">
        <v>57</v>
      </c>
      <c r="AW634" t="s">
        <v>57</v>
      </c>
      <c r="AX634" t="s">
        <v>57</v>
      </c>
      <c r="AY634" t="s">
        <v>57</v>
      </c>
      <c r="AZ634" t="s">
        <v>57</v>
      </c>
      <c r="BA634" t="s">
        <v>57</v>
      </c>
      <c r="BB634" t="s">
        <v>57</v>
      </c>
      <c r="BC634" t="s">
        <v>57</v>
      </c>
      <c r="BD634" t="s">
        <v>57</v>
      </c>
      <c r="BE634" t="s">
        <v>57</v>
      </c>
      <c r="BF634" t="s">
        <v>57</v>
      </c>
      <c r="BG634" t="s">
        <v>57</v>
      </c>
      <c r="BH634" s="1" t="s">
        <v>57</v>
      </c>
      <c r="BI634" t="s">
        <v>57</v>
      </c>
      <c r="BJ634" s="1" t="str">
        <f>HYPERLINK("http://exon.niaid.nih.gov/transcriptome/T_rubida/S1/links/CDD/Triru-contig_180-CDD.txt","DUF915")</f>
        <v>DUF915</v>
      </c>
      <c r="BK634" t="str">
        <f>HYPERLINK("http://www.ncbi.nlm.nih.gov/Structure/cdd/cddsrv.cgi?uid=pfam06028&amp;version=v4.0","4.3")</f>
        <v>4.3</v>
      </c>
      <c r="BL634" t="s">
        <v>1549</v>
      </c>
      <c r="BM634" s="1" t="s">
        <v>57</v>
      </c>
      <c r="BN634" t="s">
        <v>57</v>
      </c>
      <c r="BO634" t="s">
        <v>57</v>
      </c>
      <c r="BP634" s="1" t="str">
        <f>HYPERLINK("http://exon.niaid.nih.gov/transcriptome/T_rubida/S1/links/PFAM/Triru-contig_180-PFAM.txt","DUF915")</f>
        <v>DUF915</v>
      </c>
      <c r="BQ634" t="str">
        <f>HYPERLINK("http://pfam.sanger.ac.uk/family?acc=PF06028","0.91")</f>
        <v>0.91</v>
      </c>
      <c r="BR634" s="1" t="str">
        <f>HYPERLINK("http://exon.niaid.nih.gov/transcriptome/T_rubida/S1/links/SMART/Triru-contig_180-SMART.txt","PKS_KS")</f>
        <v>PKS_KS</v>
      </c>
      <c r="BS634" t="str">
        <f>HYPERLINK("http://smart.embl-heidelberg.de/smart/do_annotation.pl?DOMAIN=PKS_KS&amp;BLAST=DUMMY","2.4")</f>
        <v>2.4</v>
      </c>
      <c r="BT634" s="1" t="s">
        <v>57</v>
      </c>
      <c r="BU634" t="s">
        <v>57</v>
      </c>
      <c r="BV634" s="1" t="s">
        <v>57</v>
      </c>
      <c r="BW634" t="s">
        <v>57</v>
      </c>
      <c r="BX634" s="1" t="s">
        <v>57</v>
      </c>
      <c r="BY634" t="s">
        <v>57</v>
      </c>
    </row>
    <row r="635" spans="1:77">
      <c r="A635" t="str">
        <f>HYPERLINK("http://exon.niaid.nih.gov/transcriptome/T_rubida/S1/links/Triru/Triru-contig_182.txt","Triru-contig_182")</f>
        <v>Triru-contig_182</v>
      </c>
      <c r="B635">
        <v>1</v>
      </c>
      <c r="C635" t="str">
        <f>HYPERLINK("http://exon.niaid.nih.gov/transcriptome/T_rubida/S1/links/Triru/Triru-5-48-asb-182.txt","Contig-182")</f>
        <v>Contig-182</v>
      </c>
      <c r="D635" t="str">
        <f>HYPERLINK("http://exon.niaid.nih.gov/transcriptome/T_rubida/S1/links/Triru/Triru-5-48-182-CLU.txt","Contig182")</f>
        <v>Contig182</v>
      </c>
      <c r="E635" t="str">
        <f>HYPERLINK("http://exon.niaid.nih.gov/transcriptome/T_rubida/S1/links/Triru/Triru-5-48-182-qual.txt","38.8")</f>
        <v>38.8</v>
      </c>
      <c r="F635">
        <v>1.4</v>
      </c>
      <c r="G635">
        <v>69.900000000000006</v>
      </c>
      <c r="H635">
        <v>54</v>
      </c>
      <c r="I635" t="s">
        <v>194</v>
      </c>
      <c r="J635">
        <v>54</v>
      </c>
      <c r="K635">
        <v>73</v>
      </c>
      <c r="L635">
        <v>45</v>
      </c>
      <c r="M635" t="s">
        <v>5361</v>
      </c>
      <c r="N635" s="15">
        <v>3</v>
      </c>
      <c r="Q635" s="5" t="s">
        <v>4827</v>
      </c>
      <c r="R635" t="s">
        <v>4828</v>
      </c>
      <c r="V635" s="1" t="s">
        <v>57</v>
      </c>
      <c r="W635" t="s">
        <v>57</v>
      </c>
      <c r="X635" t="s">
        <v>57</v>
      </c>
      <c r="Y635" t="s">
        <v>57</v>
      </c>
      <c r="Z635" t="s">
        <v>57</v>
      </c>
      <c r="AA635" t="s">
        <v>57</v>
      </c>
      <c r="AB635" t="s">
        <v>57</v>
      </c>
      <c r="AC635" t="s">
        <v>57</v>
      </c>
      <c r="AD635" t="s">
        <v>57</v>
      </c>
      <c r="AE635" t="s">
        <v>57</v>
      </c>
      <c r="AF635" t="s">
        <v>57</v>
      </c>
      <c r="AG635" t="s">
        <v>57</v>
      </c>
      <c r="AH635" t="s">
        <v>57</v>
      </c>
      <c r="AI635" t="s">
        <v>57</v>
      </c>
      <c r="AJ635" t="s">
        <v>57</v>
      </c>
      <c r="AK635" t="s">
        <v>57</v>
      </c>
      <c r="AL635" t="s">
        <v>57</v>
      </c>
      <c r="AM635" t="s">
        <v>57</v>
      </c>
      <c r="AN635" t="s">
        <v>57</v>
      </c>
      <c r="AO635" s="1" t="s">
        <v>57</v>
      </c>
      <c r="AP635" t="s">
        <v>57</v>
      </c>
      <c r="AQ635" t="s">
        <v>57</v>
      </c>
      <c r="AR635" t="s">
        <v>57</v>
      </c>
      <c r="AS635" t="s">
        <v>57</v>
      </c>
      <c r="AT635" t="s">
        <v>57</v>
      </c>
      <c r="AU635" t="s">
        <v>57</v>
      </c>
      <c r="AV635" t="s">
        <v>57</v>
      </c>
      <c r="AW635" t="s">
        <v>57</v>
      </c>
      <c r="AX635" t="s">
        <v>57</v>
      </c>
      <c r="AY635" t="s">
        <v>57</v>
      </c>
      <c r="AZ635" t="s">
        <v>57</v>
      </c>
      <c r="BA635" t="s">
        <v>57</v>
      </c>
      <c r="BB635" t="s">
        <v>57</v>
      </c>
      <c r="BC635" t="s">
        <v>57</v>
      </c>
      <c r="BD635" t="s">
        <v>57</v>
      </c>
      <c r="BE635" t="s">
        <v>57</v>
      </c>
      <c r="BF635" t="s">
        <v>57</v>
      </c>
      <c r="BG635" t="s">
        <v>57</v>
      </c>
      <c r="BH635" s="1" t="s">
        <v>57</v>
      </c>
      <c r="BI635" t="s">
        <v>57</v>
      </c>
      <c r="BJ635" s="1" t="str">
        <f>HYPERLINK("http://exon.niaid.nih.gov/transcriptome/T_rubida/S1/links/CDD/Triru-contig_182-CDD.txt","PRK10543")</f>
        <v>PRK10543</v>
      </c>
      <c r="BK635" t="str">
        <f>HYPERLINK("http://www.ncbi.nlm.nih.gov/Structure/cdd/cddsrv.cgi?uid=PRK10543&amp;version=v4.0","3.0")</f>
        <v>3.0</v>
      </c>
      <c r="BL635" t="s">
        <v>1768</v>
      </c>
      <c r="BM635" s="1" t="s">
        <v>57</v>
      </c>
      <c r="BN635" t="s">
        <v>57</v>
      </c>
      <c r="BO635" t="s">
        <v>57</v>
      </c>
      <c r="BP635" s="1" t="str">
        <f>HYPERLINK("http://exon.niaid.nih.gov/transcriptome/T_rubida/S1/links/PFAM/Triru-contig_182-PFAM.txt","Gene66")</f>
        <v>Gene66</v>
      </c>
      <c r="BQ635" t="str">
        <f>HYPERLINK("http://pfam.sanger.ac.uk/family?acc=PF02053","4.0")</f>
        <v>4.0</v>
      </c>
      <c r="BR635" s="1" t="str">
        <f>HYPERLINK("http://exon.niaid.nih.gov/transcriptome/T_rubida/S1/links/SMART/Triru-contig_182-SMART.txt","RhoGAP")</f>
        <v>RhoGAP</v>
      </c>
      <c r="BS635" t="str">
        <f>HYPERLINK("http://smart.embl-heidelberg.de/smart/do_annotation.pl?DOMAIN=RhoGAP&amp;BLAST=DUMMY","3.2")</f>
        <v>3.2</v>
      </c>
      <c r="BT635" s="1" t="str">
        <f>HYPERLINK("http://exon.niaid.nih.gov/transcriptome/T_rubida/S1/links/PRK/Triru-contig_182-PRK.txt","superoxide dismutase")</f>
        <v>superoxide dismutase</v>
      </c>
      <c r="BU635">
        <v>1.1000000000000001</v>
      </c>
      <c r="BV635" s="1" t="s">
        <v>57</v>
      </c>
      <c r="BW635" t="s">
        <v>57</v>
      </c>
      <c r="BX635" s="1" t="s">
        <v>57</v>
      </c>
      <c r="BY635" t="s">
        <v>57</v>
      </c>
    </row>
    <row r="636" spans="1:77">
      <c r="A636" t="str">
        <f>HYPERLINK("http://exon.niaid.nih.gov/transcriptome/T_rubida/S1/links/Triru/Triru-contig_191.txt","Triru-contig_191")</f>
        <v>Triru-contig_191</v>
      </c>
      <c r="B636">
        <v>1</v>
      </c>
      <c r="C636" t="str">
        <f>HYPERLINK("http://exon.niaid.nih.gov/transcriptome/T_rubida/S1/links/Triru/Triru-5-48-asb-191.txt","Contig-191")</f>
        <v>Contig-191</v>
      </c>
      <c r="D636" t="str">
        <f>HYPERLINK("http://exon.niaid.nih.gov/transcriptome/T_rubida/S1/links/Triru/Triru-5-48-191-CLU.txt","Contig191")</f>
        <v>Contig191</v>
      </c>
      <c r="E636" t="str">
        <f>HYPERLINK("http://exon.niaid.nih.gov/transcriptome/T_rubida/S1/links/Triru/Triru-5-48-191-qual.txt","30.4")</f>
        <v>30.4</v>
      </c>
      <c r="F636" t="s">
        <v>10</v>
      </c>
      <c r="G636">
        <v>66.099999999999994</v>
      </c>
      <c r="H636">
        <v>105</v>
      </c>
      <c r="I636" t="s">
        <v>203</v>
      </c>
      <c r="J636">
        <v>105</v>
      </c>
      <c r="K636">
        <v>124</v>
      </c>
      <c r="L636">
        <v>81</v>
      </c>
      <c r="M636" t="s">
        <v>5362</v>
      </c>
      <c r="N636" s="15">
        <v>3</v>
      </c>
      <c r="Q636" s="5" t="s">
        <v>4827</v>
      </c>
      <c r="R636" t="s">
        <v>4828</v>
      </c>
      <c r="V636" s="1" t="s">
        <v>57</v>
      </c>
      <c r="W636" t="s">
        <v>57</v>
      </c>
      <c r="X636" t="s">
        <v>57</v>
      </c>
      <c r="Y636" t="s">
        <v>57</v>
      </c>
      <c r="Z636" t="s">
        <v>57</v>
      </c>
      <c r="AA636" t="s">
        <v>57</v>
      </c>
      <c r="AB636" t="s">
        <v>57</v>
      </c>
      <c r="AC636" t="s">
        <v>57</v>
      </c>
      <c r="AD636" t="s">
        <v>57</v>
      </c>
      <c r="AE636" t="s">
        <v>57</v>
      </c>
      <c r="AF636" t="s">
        <v>57</v>
      </c>
      <c r="AG636" t="s">
        <v>57</v>
      </c>
      <c r="AH636" t="s">
        <v>57</v>
      </c>
      <c r="AI636" t="s">
        <v>57</v>
      </c>
      <c r="AJ636" t="s">
        <v>57</v>
      </c>
      <c r="AK636" t="s">
        <v>57</v>
      </c>
      <c r="AL636" t="s">
        <v>57</v>
      </c>
      <c r="AM636" t="s">
        <v>57</v>
      </c>
      <c r="AN636" t="s">
        <v>57</v>
      </c>
      <c r="AO636" s="1" t="str">
        <f>HYPERLINK("http://exon.niaid.nih.gov/transcriptome/T_rubida/S1/links/SWISSP/Triru-contig_191-SWISSP.txt","T-box transcription factor TBX2b")</f>
        <v>T-box transcription factor TBX2b</v>
      </c>
      <c r="AP636" t="str">
        <f>HYPERLINK("http://www.uniprot.org/uniprot/Q7ZTU9","31")</f>
        <v>31</v>
      </c>
      <c r="AQ636" t="s">
        <v>1826</v>
      </c>
      <c r="AR636">
        <v>27.3</v>
      </c>
      <c r="AS636">
        <v>31</v>
      </c>
      <c r="AT636">
        <v>37</v>
      </c>
      <c r="AU636">
        <v>5</v>
      </c>
      <c r="AV636">
        <v>20</v>
      </c>
      <c r="AW636">
        <v>0</v>
      </c>
      <c r="AX636">
        <v>278</v>
      </c>
      <c r="AY636">
        <v>3</v>
      </c>
      <c r="AZ636">
        <v>1</v>
      </c>
      <c r="BA636">
        <v>3</v>
      </c>
      <c r="BB636" t="s">
        <v>11</v>
      </c>
      <c r="BC636">
        <v>3.226</v>
      </c>
      <c r="BD636" t="s">
        <v>704</v>
      </c>
      <c r="BE636" t="s">
        <v>1556</v>
      </c>
      <c r="BF636" t="s">
        <v>1827</v>
      </c>
      <c r="BG636" t="s">
        <v>1828</v>
      </c>
      <c r="BH636" s="1" t="s">
        <v>57</v>
      </c>
      <c r="BI636" t="s">
        <v>57</v>
      </c>
      <c r="BJ636" s="1" t="str">
        <f>HYPERLINK("http://exon.niaid.nih.gov/transcriptome/T_rubida/S1/links/CDD/Triru-contig_191-CDD.txt","PIG-U")</f>
        <v>PIG-U</v>
      </c>
      <c r="BK636" t="str">
        <f>HYPERLINK("http://www.ncbi.nlm.nih.gov/Structure/cdd/cddsrv.cgi?uid=pfam06728&amp;version=v4.0","1.6")</f>
        <v>1.6</v>
      </c>
      <c r="BL636" t="s">
        <v>1829</v>
      </c>
      <c r="BM636" s="1" t="str">
        <f>HYPERLINK("http://exon.niaid.nih.gov/transcriptome/T_rubida/S1/links/KOG/Triru-contig_191-KOG.txt","Uncharacterized conserved protein")</f>
        <v>Uncharacterized conserved protein</v>
      </c>
      <c r="BN636" t="str">
        <f>HYPERLINK("http://www.ncbi.nlm.nih.gov/COG/grace/shokog.cgi?KOG3098","4.6")</f>
        <v>4.6</v>
      </c>
      <c r="BO636" t="s">
        <v>737</v>
      </c>
      <c r="BP636" s="1" t="str">
        <f>HYPERLINK("http://exon.niaid.nih.gov/transcriptome/T_rubida/S1/links/PFAM/Triru-contig_191-PFAM.txt","PIG-U")</f>
        <v>PIG-U</v>
      </c>
      <c r="BQ636" t="str">
        <f>HYPERLINK("http://pfam.sanger.ac.uk/family?acc=PF06728","0.34")</f>
        <v>0.34</v>
      </c>
      <c r="BR636" s="1" t="str">
        <f>HYPERLINK("http://exon.niaid.nih.gov/transcriptome/T_rubida/S1/links/SMART/Triru-contig_191-SMART.txt","AgrD")</f>
        <v>AgrD</v>
      </c>
      <c r="BS636" t="str">
        <f>HYPERLINK("http://smart.embl-heidelberg.de/smart/do_annotation.pl?DOMAIN=AgrD&amp;BLAST=DUMMY","0.25")</f>
        <v>0.25</v>
      </c>
      <c r="BT636" s="1" t="str">
        <f>HYPERLINK("http://exon.niaid.nih.gov/transcriptome/T_rubida/S1/links/PRK/Triru-contig_191-PRK.txt","membrane protein insertase")</f>
        <v>membrane protein insertase</v>
      </c>
      <c r="BU636">
        <v>0.67</v>
      </c>
      <c r="BV636" s="1" t="s">
        <v>57</v>
      </c>
      <c r="BW636" t="s">
        <v>57</v>
      </c>
      <c r="BX636" s="1" t="s">
        <v>57</v>
      </c>
      <c r="BY636" t="s">
        <v>57</v>
      </c>
    </row>
    <row r="637" spans="1:77">
      <c r="A637" t="str">
        <f>HYPERLINK("http://exon.niaid.nih.gov/transcriptome/T_rubida/S1/links/Triru/Triru-contig_192.txt","Triru-contig_192")</f>
        <v>Triru-contig_192</v>
      </c>
      <c r="B637">
        <v>1</v>
      </c>
      <c r="C637" t="str">
        <f>HYPERLINK("http://exon.niaid.nih.gov/transcriptome/T_rubida/S1/links/Triru/Triru-5-48-asb-192.txt","Contig-192")</f>
        <v>Contig-192</v>
      </c>
      <c r="D637" t="str">
        <f>HYPERLINK("http://exon.niaid.nih.gov/transcriptome/T_rubida/S1/links/Triru/Triru-5-48-192-CLU.txt","Contig192")</f>
        <v>Contig192</v>
      </c>
      <c r="E637" t="str">
        <f>HYPERLINK("http://exon.niaid.nih.gov/transcriptome/T_rubida/S1/links/Triru/Triru-5-48-192-qual.txt","58.")</f>
        <v>58.</v>
      </c>
      <c r="F637" t="s">
        <v>10</v>
      </c>
      <c r="G637">
        <v>62.6</v>
      </c>
      <c r="H637">
        <v>128</v>
      </c>
      <c r="I637" t="s">
        <v>204</v>
      </c>
      <c r="J637">
        <v>128</v>
      </c>
      <c r="K637">
        <v>147</v>
      </c>
      <c r="L637">
        <v>87</v>
      </c>
      <c r="M637" t="s">
        <v>5363</v>
      </c>
      <c r="N637" s="15">
        <v>3</v>
      </c>
      <c r="Q637" s="5" t="s">
        <v>4827</v>
      </c>
      <c r="R637" t="s">
        <v>4828</v>
      </c>
      <c r="V637" s="1" t="s">
        <v>57</v>
      </c>
      <c r="W637" t="s">
        <v>57</v>
      </c>
      <c r="X637" t="s">
        <v>57</v>
      </c>
      <c r="Y637" t="s">
        <v>57</v>
      </c>
      <c r="Z637" t="s">
        <v>57</v>
      </c>
      <c r="AA637" t="s">
        <v>57</v>
      </c>
      <c r="AB637" t="s">
        <v>57</v>
      </c>
      <c r="AC637" t="s">
        <v>57</v>
      </c>
      <c r="AD637" t="s">
        <v>57</v>
      </c>
      <c r="AE637" t="s">
        <v>57</v>
      </c>
      <c r="AF637" t="s">
        <v>57</v>
      </c>
      <c r="AG637" t="s">
        <v>57</v>
      </c>
      <c r="AH637" t="s">
        <v>57</v>
      </c>
      <c r="AI637" t="s">
        <v>57</v>
      </c>
      <c r="AJ637" t="s">
        <v>57</v>
      </c>
      <c r="AK637" t="s">
        <v>57</v>
      </c>
      <c r="AL637" t="s">
        <v>57</v>
      </c>
      <c r="AM637" t="s">
        <v>57</v>
      </c>
      <c r="AN637" t="s">
        <v>57</v>
      </c>
      <c r="AO637" s="1" t="s">
        <v>57</v>
      </c>
      <c r="AP637" t="s">
        <v>57</v>
      </c>
      <c r="AQ637" t="s">
        <v>57</v>
      </c>
      <c r="AR637" t="s">
        <v>57</v>
      </c>
      <c r="AS637" t="s">
        <v>57</v>
      </c>
      <c r="AT637" t="s">
        <v>57</v>
      </c>
      <c r="AU637" t="s">
        <v>57</v>
      </c>
      <c r="AV637" t="s">
        <v>57</v>
      </c>
      <c r="AW637" t="s">
        <v>57</v>
      </c>
      <c r="AX637" t="s">
        <v>57</v>
      </c>
      <c r="AY637" t="s">
        <v>57</v>
      </c>
      <c r="AZ637" t="s">
        <v>57</v>
      </c>
      <c r="BA637" t="s">
        <v>57</v>
      </c>
      <c r="BB637" t="s">
        <v>57</v>
      </c>
      <c r="BC637" t="s">
        <v>57</v>
      </c>
      <c r="BD637" t="s">
        <v>57</v>
      </c>
      <c r="BE637" t="s">
        <v>57</v>
      </c>
      <c r="BF637" t="s">
        <v>57</v>
      </c>
      <c r="BG637" t="s">
        <v>57</v>
      </c>
      <c r="BH637" s="1" t="s">
        <v>57</v>
      </c>
      <c r="BI637" t="s">
        <v>57</v>
      </c>
      <c r="BJ637" s="1" t="str">
        <f>HYPERLINK("http://exon.niaid.nih.gov/transcriptome/T_rubida/S1/links/CDD/Triru-contig_192-CDD.txt","RT_like_1")</f>
        <v>RT_like_1</v>
      </c>
      <c r="BK637" t="str">
        <f>HYPERLINK("http://www.ncbi.nlm.nih.gov/Structure/cdd/cddsrv.cgi?uid=cd01709&amp;version=v4.0","0.79")</f>
        <v>0.79</v>
      </c>
      <c r="BL637" t="s">
        <v>1830</v>
      </c>
      <c r="BM637" s="1" t="str">
        <f>HYPERLINK("http://exon.niaid.nih.gov/transcriptome/T_rubida/S1/links/KOG/Triru-contig_192-KOG.txt","Cl- channel CLC-7 and related proteins (CLC superfamily)")</f>
        <v>Cl- channel CLC-7 and related proteins (CLC superfamily)</v>
      </c>
      <c r="BN637" t="str">
        <f>HYPERLINK("http://www.ncbi.nlm.nih.gov/COG/grace/shokog.cgi?KOG0474","5.6")</f>
        <v>5.6</v>
      </c>
      <c r="BO637" t="s">
        <v>849</v>
      </c>
      <c r="BP637" s="1" t="str">
        <f>HYPERLINK("http://exon.niaid.nih.gov/transcriptome/T_rubida/S1/links/PFAM/Triru-contig_192-PFAM.txt","Avl9")</f>
        <v>Avl9</v>
      </c>
      <c r="BQ637" t="str">
        <f>HYPERLINK("http://pfam.sanger.ac.uk/family?acc=PF09794","3.2")</f>
        <v>3.2</v>
      </c>
      <c r="BR637" s="1" t="str">
        <f>HYPERLINK("http://exon.niaid.nih.gov/transcriptome/T_rubida/S1/links/SMART/Triru-contig_192-SMART.txt","ZnF_DBF")</f>
        <v>ZnF_DBF</v>
      </c>
      <c r="BS637" t="str">
        <f>HYPERLINK("http://smart.embl-heidelberg.de/smart/do_annotation.pl?DOMAIN=ZnF_DBF&amp;BLAST=DUMMY","0.73")</f>
        <v>0.73</v>
      </c>
      <c r="BT637" s="1" t="str">
        <f>HYPERLINK("http://exon.niaid.nih.gov/transcriptome/T_rubida/S1/links/PRK/Triru-contig_192-PRK.txt","putative mechanosensitive channel protein")</f>
        <v>putative mechanosensitive channel protein</v>
      </c>
      <c r="BU637">
        <v>1.7</v>
      </c>
      <c r="BV637" s="1" t="s">
        <v>57</v>
      </c>
      <c r="BW637" t="s">
        <v>57</v>
      </c>
      <c r="BX637" s="1" t="s">
        <v>57</v>
      </c>
      <c r="BY637" t="s">
        <v>57</v>
      </c>
    </row>
    <row r="638" spans="1:77">
      <c r="A638" t="str">
        <f>HYPERLINK("http://exon.niaid.nih.gov/transcriptome/T_rubida/S1/links/Triru/Triru-contig_195.txt","Triru-contig_195")</f>
        <v>Triru-contig_195</v>
      </c>
      <c r="B638">
        <v>1</v>
      </c>
      <c r="C638" t="str">
        <f>HYPERLINK("http://exon.niaid.nih.gov/transcriptome/T_rubida/S1/links/Triru/Triru-5-48-asb-195.txt","Contig-195")</f>
        <v>Contig-195</v>
      </c>
      <c r="D638" t="str">
        <f>HYPERLINK("http://exon.niaid.nih.gov/transcriptome/T_rubida/S1/links/Triru/Triru-5-48-195-CLU.txt","Contig195")</f>
        <v>Contig195</v>
      </c>
      <c r="E638" t="str">
        <f>HYPERLINK("http://exon.niaid.nih.gov/transcriptome/T_rubida/S1/links/Triru/Triru-5-48-195-qual.txt","51.8")</f>
        <v>51.8</v>
      </c>
      <c r="F638" t="s">
        <v>10</v>
      </c>
      <c r="G638">
        <v>69.3</v>
      </c>
      <c r="H638">
        <v>108</v>
      </c>
      <c r="I638" t="s">
        <v>207</v>
      </c>
      <c r="J638">
        <v>108</v>
      </c>
      <c r="K638">
        <v>127</v>
      </c>
      <c r="L638">
        <v>93</v>
      </c>
      <c r="M638" t="s">
        <v>5364</v>
      </c>
      <c r="N638" s="15">
        <v>3</v>
      </c>
      <c r="Q638" s="5" t="s">
        <v>4827</v>
      </c>
      <c r="R638" t="s">
        <v>4828</v>
      </c>
      <c r="V638" s="1" t="s">
        <v>57</v>
      </c>
      <c r="W638" t="s">
        <v>57</v>
      </c>
      <c r="X638" t="s">
        <v>57</v>
      </c>
      <c r="Y638" t="s">
        <v>57</v>
      </c>
      <c r="Z638" t="s">
        <v>57</v>
      </c>
      <c r="AA638" t="s">
        <v>57</v>
      </c>
      <c r="AB638" t="s">
        <v>57</v>
      </c>
      <c r="AC638" t="s">
        <v>57</v>
      </c>
      <c r="AD638" t="s">
        <v>57</v>
      </c>
      <c r="AE638" t="s">
        <v>57</v>
      </c>
      <c r="AF638" t="s">
        <v>57</v>
      </c>
      <c r="AG638" t="s">
        <v>57</v>
      </c>
      <c r="AH638" t="s">
        <v>57</v>
      </c>
      <c r="AI638" t="s">
        <v>57</v>
      </c>
      <c r="AJ638" t="s">
        <v>57</v>
      </c>
      <c r="AK638" t="s">
        <v>57</v>
      </c>
      <c r="AL638" t="s">
        <v>57</v>
      </c>
      <c r="AM638" t="s">
        <v>57</v>
      </c>
      <c r="AN638" t="s">
        <v>57</v>
      </c>
      <c r="AO638" s="1" t="str">
        <f>HYPERLINK("http://exon.niaid.nih.gov/transcriptome/T_rubida/S1/links/SWISSP/Triru-contig_195-SWISSP.txt","Blue-sensitive opsin")</f>
        <v>Blue-sensitive opsin</v>
      </c>
      <c r="AP638" t="str">
        <f>HYPERLINK("http://www.uniprot.org/uniprot/P51472","11")</f>
        <v>11</v>
      </c>
      <c r="AQ638" t="s">
        <v>1845</v>
      </c>
      <c r="AR638">
        <v>28.9</v>
      </c>
      <c r="AS638">
        <v>27</v>
      </c>
      <c r="AT638">
        <v>39</v>
      </c>
      <c r="AU638">
        <v>8</v>
      </c>
      <c r="AV638">
        <v>17</v>
      </c>
      <c r="AW638">
        <v>0</v>
      </c>
      <c r="AX638">
        <v>55</v>
      </c>
      <c r="AY638">
        <v>5</v>
      </c>
      <c r="AZ638">
        <v>1</v>
      </c>
      <c r="BA638">
        <v>2</v>
      </c>
      <c r="BB638" t="s">
        <v>11</v>
      </c>
      <c r="BC638">
        <v>3.7040000000000002</v>
      </c>
      <c r="BD638" t="s">
        <v>704</v>
      </c>
      <c r="BE638" t="s">
        <v>1846</v>
      </c>
      <c r="BF638" t="s">
        <v>1847</v>
      </c>
      <c r="BG638" t="s">
        <v>1848</v>
      </c>
      <c r="BH638" s="1" t="s">
        <v>57</v>
      </c>
      <c r="BI638" t="s">
        <v>57</v>
      </c>
      <c r="BJ638" s="1" t="str">
        <f>HYPERLINK("http://exon.niaid.nih.gov/transcriptome/T_rubida/S1/links/CDD/Triru-contig_195-CDD.txt","YfhO")</f>
        <v>YfhO</v>
      </c>
      <c r="BK638" t="str">
        <f>HYPERLINK("http://www.ncbi.nlm.nih.gov/Structure/cdd/cddsrv.cgi?uid=pfam09586&amp;version=v4.0","2.9")</f>
        <v>2.9</v>
      </c>
      <c r="BL638" t="s">
        <v>1849</v>
      </c>
      <c r="BM638" s="1" t="s">
        <v>57</v>
      </c>
      <c r="BN638" t="s">
        <v>57</v>
      </c>
      <c r="BO638" t="s">
        <v>57</v>
      </c>
      <c r="BP638" s="1" t="str">
        <f>HYPERLINK("http://exon.niaid.nih.gov/transcriptome/T_rubida/S1/links/PFAM/Triru-contig_195-PFAM.txt","YfhO")</f>
        <v>YfhO</v>
      </c>
      <c r="BQ638" t="str">
        <f>HYPERLINK("http://pfam.sanger.ac.uk/family?acc=PF09586","0.61")</f>
        <v>0.61</v>
      </c>
      <c r="BR638" s="1" t="str">
        <f>HYPERLINK("http://exon.niaid.nih.gov/transcriptome/T_rubida/S1/links/SMART/Triru-contig_195-SMART.txt","LCCL")</f>
        <v>LCCL</v>
      </c>
      <c r="BS638" t="str">
        <f>HYPERLINK("http://smart.embl-heidelberg.de/smart/do_annotation.pl?DOMAIN=LCCL&amp;BLAST=DUMMY","1.1")</f>
        <v>1.1</v>
      </c>
      <c r="BT638" s="1" t="str">
        <f>HYPERLINK("http://exon.niaid.nih.gov/transcriptome/T_rubida/S1/links/PRK/Triru-contig_195-PRK.txt","preprotein translocase subunit SecY")</f>
        <v>preprotein translocase subunit SecY</v>
      </c>
      <c r="BU638">
        <v>3.4</v>
      </c>
      <c r="BV638" s="1" t="s">
        <v>57</v>
      </c>
      <c r="BW638" t="s">
        <v>57</v>
      </c>
      <c r="BX638" s="1" t="s">
        <v>57</v>
      </c>
      <c r="BY638" t="s">
        <v>57</v>
      </c>
    </row>
    <row r="639" spans="1:77">
      <c r="A639" t="str">
        <f>HYPERLINK("http://exon.niaid.nih.gov/transcriptome/T_rubida/S1/links/Triru/Triru-contig_196.txt","Triru-contig_196")</f>
        <v>Triru-contig_196</v>
      </c>
      <c r="B639">
        <v>1</v>
      </c>
      <c r="C639" t="str">
        <f>HYPERLINK("http://exon.niaid.nih.gov/transcriptome/T_rubida/S1/links/Triru/Triru-5-48-asb-196.txt","Contig-196")</f>
        <v>Contig-196</v>
      </c>
      <c r="D639" t="str">
        <f>HYPERLINK("http://exon.niaid.nih.gov/transcriptome/T_rubida/S1/links/Triru/Triru-5-48-196-CLU.txt","Contig196")</f>
        <v>Contig196</v>
      </c>
      <c r="E639" t="str">
        <f>HYPERLINK("http://exon.niaid.nih.gov/transcriptome/T_rubida/S1/links/Triru/Triru-5-48-196-qual.txt","46.7")</f>
        <v>46.7</v>
      </c>
      <c r="F639" t="s">
        <v>10</v>
      </c>
      <c r="G639">
        <v>76.5</v>
      </c>
      <c r="H639">
        <v>66</v>
      </c>
      <c r="I639" t="s">
        <v>208</v>
      </c>
      <c r="J639">
        <v>66</v>
      </c>
      <c r="K639">
        <v>85</v>
      </c>
      <c r="L639">
        <v>51</v>
      </c>
      <c r="M639" t="s">
        <v>5365</v>
      </c>
      <c r="N639" s="15">
        <v>2</v>
      </c>
      <c r="Q639" s="5" t="s">
        <v>4827</v>
      </c>
      <c r="R639" t="s">
        <v>4828</v>
      </c>
      <c r="V639" s="1" t="s">
        <v>57</v>
      </c>
      <c r="W639" t="s">
        <v>57</v>
      </c>
      <c r="X639" t="s">
        <v>57</v>
      </c>
      <c r="Y639" t="s">
        <v>57</v>
      </c>
      <c r="Z639" t="s">
        <v>57</v>
      </c>
      <c r="AA639" t="s">
        <v>57</v>
      </c>
      <c r="AB639" t="s">
        <v>57</v>
      </c>
      <c r="AC639" t="s">
        <v>57</v>
      </c>
      <c r="AD639" t="s">
        <v>57</v>
      </c>
      <c r="AE639" t="s">
        <v>57</v>
      </c>
      <c r="AF639" t="s">
        <v>57</v>
      </c>
      <c r="AG639" t="s">
        <v>57</v>
      </c>
      <c r="AH639" t="s">
        <v>57</v>
      </c>
      <c r="AI639" t="s">
        <v>57</v>
      </c>
      <c r="AJ639" t="s">
        <v>57</v>
      </c>
      <c r="AK639" t="s">
        <v>57</v>
      </c>
      <c r="AL639" t="s">
        <v>57</v>
      </c>
      <c r="AM639" t="s">
        <v>57</v>
      </c>
      <c r="AN639" t="s">
        <v>57</v>
      </c>
      <c r="AO639" s="1" t="s">
        <v>57</v>
      </c>
      <c r="AP639" t="s">
        <v>57</v>
      </c>
      <c r="AQ639" t="s">
        <v>57</v>
      </c>
      <c r="AR639" t="s">
        <v>57</v>
      </c>
      <c r="AS639" t="s">
        <v>57</v>
      </c>
      <c r="AT639" t="s">
        <v>57</v>
      </c>
      <c r="AU639" t="s">
        <v>57</v>
      </c>
      <c r="AV639" t="s">
        <v>57</v>
      </c>
      <c r="AW639" t="s">
        <v>57</v>
      </c>
      <c r="AX639" t="s">
        <v>57</v>
      </c>
      <c r="AY639" t="s">
        <v>57</v>
      </c>
      <c r="AZ639" t="s">
        <v>57</v>
      </c>
      <c r="BA639" t="s">
        <v>57</v>
      </c>
      <c r="BB639" t="s">
        <v>57</v>
      </c>
      <c r="BC639" t="s">
        <v>57</v>
      </c>
      <c r="BD639" t="s">
        <v>57</v>
      </c>
      <c r="BE639" t="s">
        <v>57</v>
      </c>
      <c r="BF639" t="s">
        <v>57</v>
      </c>
      <c r="BG639" t="s">
        <v>57</v>
      </c>
      <c r="BH639" s="1" t="s">
        <v>57</v>
      </c>
      <c r="BI639" t="s">
        <v>57</v>
      </c>
      <c r="BJ639" s="1" t="s">
        <v>57</v>
      </c>
      <c r="BK639" t="s">
        <v>57</v>
      </c>
      <c r="BL639" t="s">
        <v>57</v>
      </c>
      <c r="BM639" s="1" t="s">
        <v>57</v>
      </c>
      <c r="BN639" t="s">
        <v>57</v>
      </c>
      <c r="BO639" t="s">
        <v>57</v>
      </c>
      <c r="BP639" s="1" t="str">
        <f>HYPERLINK("http://exon.niaid.nih.gov/transcriptome/T_rubida/S1/links/PFAM/Triru-contig_196-PFAM.txt","CLPTM1")</f>
        <v>CLPTM1</v>
      </c>
      <c r="BQ639" t="str">
        <f>HYPERLINK("http://pfam.sanger.ac.uk/family?acc=PF05602","7.5")</f>
        <v>7.5</v>
      </c>
      <c r="BR639" s="1" t="str">
        <f>HYPERLINK("http://exon.niaid.nih.gov/transcriptome/T_rubida/S1/links/SMART/Triru-contig_196-SMART.txt","RICIN")</f>
        <v>RICIN</v>
      </c>
      <c r="BS639" t="str">
        <f>HYPERLINK("http://smart.embl-heidelberg.de/smart/do_annotation.pl?DOMAIN=RICIN&amp;BLAST=DUMMY","1.5")</f>
        <v>1.5</v>
      </c>
      <c r="BT639" s="1" t="s">
        <v>57</v>
      </c>
      <c r="BU639" t="s">
        <v>57</v>
      </c>
      <c r="BV639" s="1" t="s">
        <v>57</v>
      </c>
      <c r="BW639" t="s">
        <v>57</v>
      </c>
      <c r="BX639" s="1" t="s">
        <v>57</v>
      </c>
      <c r="BY639" t="s">
        <v>57</v>
      </c>
    </row>
    <row r="640" spans="1:77">
      <c r="A640" t="str">
        <f>HYPERLINK("http://exon.niaid.nih.gov/transcriptome/T_rubida/S1/links/Triru/Triru-contig_197.txt","Triru-contig_197")</f>
        <v>Triru-contig_197</v>
      </c>
      <c r="B640">
        <v>1</v>
      </c>
      <c r="C640" t="str">
        <f>HYPERLINK("http://exon.niaid.nih.gov/transcriptome/T_rubida/S1/links/Triru/Triru-5-48-asb-197.txt","Contig-197")</f>
        <v>Contig-197</v>
      </c>
      <c r="D640" t="str">
        <f>HYPERLINK("http://exon.niaid.nih.gov/transcriptome/T_rubida/S1/links/Triru/Triru-5-48-197-CLU.txt","Contig197")</f>
        <v>Contig197</v>
      </c>
      <c r="E640" t="str">
        <f>HYPERLINK("http://exon.niaid.nih.gov/transcriptome/T_rubida/S1/links/Triru/Triru-5-48-197-qual.txt","38.9")</f>
        <v>38.9</v>
      </c>
      <c r="F640">
        <v>2.5</v>
      </c>
      <c r="G640">
        <v>85.2</v>
      </c>
      <c r="H640">
        <v>62</v>
      </c>
      <c r="I640" t="s">
        <v>209</v>
      </c>
      <c r="J640">
        <v>62</v>
      </c>
      <c r="K640">
        <v>81</v>
      </c>
      <c r="L640">
        <v>78</v>
      </c>
      <c r="M640" t="s">
        <v>5366</v>
      </c>
      <c r="N640" s="15">
        <v>1</v>
      </c>
      <c r="Q640" s="5" t="s">
        <v>4827</v>
      </c>
      <c r="R640" t="s">
        <v>4828</v>
      </c>
      <c r="V640" s="1" t="s">
        <v>57</v>
      </c>
      <c r="W640" t="s">
        <v>57</v>
      </c>
      <c r="X640" t="s">
        <v>57</v>
      </c>
      <c r="Y640" t="s">
        <v>57</v>
      </c>
      <c r="Z640" t="s">
        <v>57</v>
      </c>
      <c r="AA640" t="s">
        <v>57</v>
      </c>
      <c r="AB640" t="s">
        <v>57</v>
      </c>
      <c r="AC640" t="s">
        <v>57</v>
      </c>
      <c r="AD640" t="s">
        <v>57</v>
      </c>
      <c r="AE640" t="s">
        <v>57</v>
      </c>
      <c r="AF640" t="s">
        <v>57</v>
      </c>
      <c r="AG640" t="s">
        <v>57</v>
      </c>
      <c r="AH640" t="s">
        <v>57</v>
      </c>
      <c r="AI640" t="s">
        <v>57</v>
      </c>
      <c r="AJ640" t="s">
        <v>57</v>
      </c>
      <c r="AK640" t="s">
        <v>57</v>
      </c>
      <c r="AL640" t="s">
        <v>57</v>
      </c>
      <c r="AM640" t="s">
        <v>57</v>
      </c>
      <c r="AN640" t="s">
        <v>57</v>
      </c>
      <c r="AO640" s="1" t="s">
        <v>57</v>
      </c>
      <c r="AP640" t="s">
        <v>57</v>
      </c>
      <c r="AQ640" t="s">
        <v>57</v>
      </c>
      <c r="AR640" t="s">
        <v>57</v>
      </c>
      <c r="AS640" t="s">
        <v>57</v>
      </c>
      <c r="AT640" t="s">
        <v>57</v>
      </c>
      <c r="AU640" t="s">
        <v>57</v>
      </c>
      <c r="AV640" t="s">
        <v>57</v>
      </c>
      <c r="AW640" t="s">
        <v>57</v>
      </c>
      <c r="AX640" t="s">
        <v>57</v>
      </c>
      <c r="AY640" t="s">
        <v>57</v>
      </c>
      <c r="AZ640" t="s">
        <v>57</v>
      </c>
      <c r="BA640" t="s">
        <v>57</v>
      </c>
      <c r="BB640" t="s">
        <v>57</v>
      </c>
      <c r="BC640" t="s">
        <v>57</v>
      </c>
      <c r="BD640" t="s">
        <v>57</v>
      </c>
      <c r="BE640" t="s">
        <v>57</v>
      </c>
      <c r="BF640" t="s">
        <v>57</v>
      </c>
      <c r="BG640" t="s">
        <v>57</v>
      </c>
      <c r="BH640" s="1" t="s">
        <v>57</v>
      </c>
      <c r="BI640" t="s">
        <v>57</v>
      </c>
      <c r="BJ640" s="1" t="str">
        <f>HYPERLINK("http://exon.niaid.nih.gov/transcriptome/T_rubida/S1/links/CDD/Triru-contig_197-CDD.txt","PigN")</f>
        <v>PigN</v>
      </c>
      <c r="BK640" t="str">
        <f>HYPERLINK("http://www.ncbi.nlm.nih.gov/Structure/cdd/cddsrv.cgi?uid=pfam04987&amp;version=v4.0","1.8")</f>
        <v>1.8</v>
      </c>
      <c r="BL640" t="s">
        <v>1850</v>
      </c>
      <c r="BM640" s="1" t="str">
        <f>HYPERLINK("http://exon.niaid.nih.gov/transcriptome/T_rubida/S1/links/KOG/Triru-contig_197-KOG.txt","AAA+-type ATPase")</f>
        <v>AAA+-type ATPase</v>
      </c>
      <c r="BN640" t="str">
        <f>HYPERLINK("http://www.ncbi.nlm.nih.gov/COG/grace/shokog.cgi?KOG0737","3.0")</f>
        <v>3.0</v>
      </c>
      <c r="BO640" t="s">
        <v>954</v>
      </c>
      <c r="BP640" s="1" t="str">
        <f>HYPERLINK("http://exon.niaid.nih.gov/transcriptome/T_rubida/S1/links/PFAM/Triru-contig_197-PFAM.txt","PigN")</f>
        <v>PigN</v>
      </c>
      <c r="BQ640" t="str">
        <f>HYPERLINK("http://pfam.sanger.ac.uk/family?acc=PF04987","0.37")</f>
        <v>0.37</v>
      </c>
      <c r="BR640" s="1" t="str">
        <f>HYPERLINK("http://exon.niaid.nih.gov/transcriptome/T_rubida/S1/links/SMART/Triru-contig_197-SMART.txt","CARP")</f>
        <v>CARP</v>
      </c>
      <c r="BS640" t="str">
        <f>HYPERLINK("http://smart.embl-heidelberg.de/smart/do_annotation.pl?DOMAIN=CARP&amp;BLAST=DUMMY","4.6")</f>
        <v>4.6</v>
      </c>
      <c r="BT640" s="1" t="str">
        <f>HYPERLINK("http://exon.niaid.nih.gov/transcriptome/T_rubida/S1/links/PRK/Triru-contig_197-PRK.txt","undecaprenyl pyrophosphate phosphatase")</f>
        <v>undecaprenyl pyrophosphate phosphatase</v>
      </c>
      <c r="BU640">
        <v>3</v>
      </c>
      <c r="BV640" s="1" t="s">
        <v>57</v>
      </c>
      <c r="BW640" t="s">
        <v>57</v>
      </c>
      <c r="BX640" s="1" t="s">
        <v>57</v>
      </c>
      <c r="BY640" t="s">
        <v>57</v>
      </c>
    </row>
    <row r="641" spans="1:77">
      <c r="A641" t="str">
        <f>HYPERLINK("http://exon.niaid.nih.gov/transcriptome/T_rubida/S1/links/Triru/Triru-contig_202.txt","Triru-contig_202")</f>
        <v>Triru-contig_202</v>
      </c>
      <c r="B641">
        <v>1</v>
      </c>
      <c r="C641" t="str">
        <f>HYPERLINK("http://exon.niaid.nih.gov/transcriptome/T_rubida/S1/links/Triru/Triru-5-48-asb-202.txt","Contig-202")</f>
        <v>Contig-202</v>
      </c>
      <c r="D641" t="str">
        <f>HYPERLINK("http://exon.niaid.nih.gov/transcriptome/T_rubida/S1/links/Triru/Triru-5-48-202-CLU.txt","Contig202")</f>
        <v>Contig202</v>
      </c>
      <c r="E641" t="str">
        <f>HYPERLINK("http://exon.niaid.nih.gov/transcriptome/T_rubida/S1/links/Triru/Triru-5-48-202-qual.txt","60.4")</f>
        <v>60.4</v>
      </c>
      <c r="F641" t="s">
        <v>10</v>
      </c>
      <c r="G641">
        <v>79.5</v>
      </c>
      <c r="H641">
        <v>127</v>
      </c>
      <c r="I641" t="s">
        <v>214</v>
      </c>
      <c r="J641">
        <v>127</v>
      </c>
      <c r="K641">
        <v>146</v>
      </c>
      <c r="L641">
        <v>81</v>
      </c>
      <c r="M641" t="s">
        <v>5367</v>
      </c>
      <c r="N641" s="15">
        <v>1</v>
      </c>
      <c r="Q641" s="5" t="s">
        <v>4827</v>
      </c>
      <c r="R641" t="s">
        <v>4828</v>
      </c>
      <c r="V641" s="1" t="s">
        <v>57</v>
      </c>
      <c r="W641" t="s">
        <v>57</v>
      </c>
      <c r="X641" t="s">
        <v>57</v>
      </c>
      <c r="Y641" t="s">
        <v>57</v>
      </c>
      <c r="Z641" t="s">
        <v>57</v>
      </c>
      <c r="AA641" t="s">
        <v>57</v>
      </c>
      <c r="AB641" t="s">
        <v>57</v>
      </c>
      <c r="AC641" t="s">
        <v>57</v>
      </c>
      <c r="AD641" t="s">
        <v>57</v>
      </c>
      <c r="AE641" t="s">
        <v>57</v>
      </c>
      <c r="AF641" t="s">
        <v>57</v>
      </c>
      <c r="AG641" t="s">
        <v>57</v>
      </c>
      <c r="AH641" t="s">
        <v>57</v>
      </c>
      <c r="AI641" t="s">
        <v>57</v>
      </c>
      <c r="AJ641" t="s">
        <v>57</v>
      </c>
      <c r="AK641" t="s">
        <v>57</v>
      </c>
      <c r="AL641" t="s">
        <v>57</v>
      </c>
      <c r="AM641" t="s">
        <v>57</v>
      </c>
      <c r="AN641" t="s">
        <v>57</v>
      </c>
      <c r="AO641" s="1" t="s">
        <v>57</v>
      </c>
      <c r="AP641" t="s">
        <v>57</v>
      </c>
      <c r="AQ641" t="s">
        <v>57</v>
      </c>
      <c r="AR641" t="s">
        <v>57</v>
      </c>
      <c r="AS641" t="s">
        <v>57</v>
      </c>
      <c r="AT641" t="s">
        <v>57</v>
      </c>
      <c r="AU641" t="s">
        <v>57</v>
      </c>
      <c r="AV641" t="s">
        <v>57</v>
      </c>
      <c r="AW641" t="s">
        <v>57</v>
      </c>
      <c r="AX641" t="s">
        <v>57</v>
      </c>
      <c r="AY641" t="s">
        <v>57</v>
      </c>
      <c r="AZ641" t="s">
        <v>57</v>
      </c>
      <c r="BA641" t="s">
        <v>57</v>
      </c>
      <c r="BB641" t="s">
        <v>57</v>
      </c>
      <c r="BC641" t="s">
        <v>57</v>
      </c>
      <c r="BD641" t="s">
        <v>57</v>
      </c>
      <c r="BE641" t="s">
        <v>57</v>
      </c>
      <c r="BF641" t="s">
        <v>57</v>
      </c>
      <c r="BG641" t="s">
        <v>57</v>
      </c>
      <c r="BH641" s="1" t="s">
        <v>57</v>
      </c>
      <c r="BI641" t="s">
        <v>57</v>
      </c>
      <c r="BJ641" s="1" t="str">
        <f>HYPERLINK("http://exon.niaid.nih.gov/transcriptome/T_rubida/S1/links/CDD/Triru-contig_202-CDD.txt","TaqI_C")</f>
        <v>TaqI_C</v>
      </c>
      <c r="BK641" t="str">
        <f>HYPERLINK("http://www.ncbi.nlm.nih.gov/Structure/cdd/cddsrv.cgi?uid=pfam12950&amp;version=v4.0","2.9")</f>
        <v>2.9</v>
      </c>
      <c r="BL641" t="s">
        <v>1879</v>
      </c>
      <c r="BM641" s="1" t="str">
        <f>HYPERLINK("http://exon.niaid.nih.gov/transcriptome/T_rubida/S1/links/KOG/Triru-contig_202-KOG.txt","Telomerase catalytic subunit/reverse transcriptase TERT")</f>
        <v>Telomerase catalytic subunit/reverse transcriptase TERT</v>
      </c>
      <c r="BN641" t="str">
        <f>HYPERLINK("http://www.ncbi.nlm.nih.gov/COG/grace/shokog.cgi?KOG1005","5.0")</f>
        <v>5.0</v>
      </c>
      <c r="BO641" t="s">
        <v>1880</v>
      </c>
      <c r="BP641" s="1" t="str">
        <f>HYPERLINK("http://exon.niaid.nih.gov/transcriptome/T_rubida/S1/links/PFAM/Triru-contig_202-PFAM.txt","TaqI_C")</f>
        <v>TaqI_C</v>
      </c>
      <c r="BQ641" t="str">
        <f>HYPERLINK("http://pfam.sanger.ac.uk/family?acc=PF12950","0.63")</f>
        <v>0.63</v>
      </c>
      <c r="BR641" s="1" t="str">
        <f>HYPERLINK("http://exon.niaid.nih.gov/transcriptome/T_rubida/S1/links/SMART/Triru-contig_202-SMART.txt","Citrate_ly_lig")</f>
        <v>Citrate_ly_lig</v>
      </c>
      <c r="BS641" t="str">
        <f>HYPERLINK("http://smart.embl-heidelberg.de/smart/do_annotation.pl?DOMAIN=Citrate_ly_lig&amp;BLAST=DUMMY","0.52")</f>
        <v>0.52</v>
      </c>
      <c r="BT641" s="1" t="str">
        <f>HYPERLINK("http://exon.niaid.nih.gov/transcriptome/T_rubida/S1/links/PRK/Triru-contig_202-PRK.txt","EGF-like protein")</f>
        <v>EGF-like protein</v>
      </c>
      <c r="BU641">
        <v>1.8</v>
      </c>
      <c r="BV641" s="1" t="s">
        <v>57</v>
      </c>
      <c r="BW641" t="s">
        <v>57</v>
      </c>
      <c r="BX641" s="1" t="s">
        <v>57</v>
      </c>
      <c r="BY641" t="s">
        <v>57</v>
      </c>
    </row>
    <row r="642" spans="1:77">
      <c r="A642" t="str">
        <f>HYPERLINK("http://exon.niaid.nih.gov/transcriptome/T_rubida/S1/links/Triru/Triru-contig_211.txt","Triru-contig_211")</f>
        <v>Triru-contig_211</v>
      </c>
      <c r="B642">
        <v>1</v>
      </c>
      <c r="C642" t="str">
        <f>HYPERLINK("http://exon.niaid.nih.gov/transcriptome/T_rubida/S1/links/Triru/Triru-5-48-asb-211.txt","Contig-211")</f>
        <v>Contig-211</v>
      </c>
      <c r="D642" t="str">
        <f>HYPERLINK("http://exon.niaid.nih.gov/transcriptome/T_rubida/S1/links/Triru/Triru-5-48-211-CLU.txt","Contig211")</f>
        <v>Contig211</v>
      </c>
      <c r="E642" t="str">
        <f>HYPERLINK("http://exon.niaid.nih.gov/transcriptome/T_rubida/S1/links/Triru/Triru-5-48-211-qual.txt","42.9")</f>
        <v>42.9</v>
      </c>
      <c r="F642" t="s">
        <v>10</v>
      </c>
      <c r="G642">
        <v>73.5</v>
      </c>
      <c r="H642">
        <v>94</v>
      </c>
      <c r="I642" t="s">
        <v>223</v>
      </c>
      <c r="J642">
        <v>94</v>
      </c>
      <c r="K642">
        <v>113</v>
      </c>
      <c r="L642">
        <v>66</v>
      </c>
      <c r="M642" t="s">
        <v>5368</v>
      </c>
      <c r="N642" s="15">
        <v>1</v>
      </c>
      <c r="Q642" s="5" t="s">
        <v>4827</v>
      </c>
      <c r="R642" t="s">
        <v>4828</v>
      </c>
      <c r="V642" s="1" t="s">
        <v>57</v>
      </c>
      <c r="W642" t="s">
        <v>57</v>
      </c>
      <c r="X642" t="s">
        <v>57</v>
      </c>
      <c r="Y642" t="s">
        <v>57</v>
      </c>
      <c r="Z642" t="s">
        <v>57</v>
      </c>
      <c r="AA642" t="s">
        <v>57</v>
      </c>
      <c r="AB642" t="s">
        <v>57</v>
      </c>
      <c r="AC642" t="s">
        <v>57</v>
      </c>
      <c r="AD642" t="s">
        <v>57</v>
      </c>
      <c r="AE642" t="s">
        <v>57</v>
      </c>
      <c r="AF642" t="s">
        <v>57</v>
      </c>
      <c r="AG642" t="s">
        <v>57</v>
      </c>
      <c r="AH642" t="s">
        <v>57</v>
      </c>
      <c r="AI642" t="s">
        <v>57</v>
      </c>
      <c r="AJ642" t="s">
        <v>57</v>
      </c>
      <c r="AK642" t="s">
        <v>57</v>
      </c>
      <c r="AL642" t="s">
        <v>57</v>
      </c>
      <c r="AM642" t="s">
        <v>57</v>
      </c>
      <c r="AN642" t="s">
        <v>57</v>
      </c>
      <c r="AO642" s="1" t="s">
        <v>57</v>
      </c>
      <c r="AP642" t="s">
        <v>57</v>
      </c>
      <c r="AQ642" t="s">
        <v>57</v>
      </c>
      <c r="AR642" t="s">
        <v>57</v>
      </c>
      <c r="AS642" t="s">
        <v>57</v>
      </c>
      <c r="AT642" t="s">
        <v>57</v>
      </c>
      <c r="AU642" t="s">
        <v>57</v>
      </c>
      <c r="AV642" t="s">
        <v>57</v>
      </c>
      <c r="AW642" t="s">
        <v>57</v>
      </c>
      <c r="AX642" t="s">
        <v>57</v>
      </c>
      <c r="AY642" t="s">
        <v>57</v>
      </c>
      <c r="AZ642" t="s">
        <v>57</v>
      </c>
      <c r="BA642" t="s">
        <v>57</v>
      </c>
      <c r="BB642" t="s">
        <v>57</v>
      </c>
      <c r="BC642" t="s">
        <v>57</v>
      </c>
      <c r="BD642" t="s">
        <v>57</v>
      </c>
      <c r="BE642" t="s">
        <v>57</v>
      </c>
      <c r="BF642" t="s">
        <v>57</v>
      </c>
      <c r="BG642" t="s">
        <v>57</v>
      </c>
      <c r="BH642" s="1" t="s">
        <v>57</v>
      </c>
      <c r="BI642" t="s">
        <v>57</v>
      </c>
      <c r="BJ642" s="1" t="str">
        <f>HYPERLINK("http://exon.niaid.nih.gov/transcriptome/T_rubida/S1/links/CDD/Triru-contig_211-CDD.txt","Det1")</f>
        <v>Det1</v>
      </c>
      <c r="BK642" t="str">
        <f>HYPERLINK("http://www.ncbi.nlm.nih.gov/Structure/cdd/cddsrv.cgi?uid=pfam09737&amp;version=v4.0","5.1")</f>
        <v>5.1</v>
      </c>
      <c r="BL642" t="s">
        <v>1938</v>
      </c>
      <c r="BM642" s="1" t="str">
        <f>HYPERLINK("http://exon.niaid.nih.gov/transcriptome/T_rubida/S1/links/KOG/Triru-contig_211-KOG.txt","Predicted NAD synthase, contains CN hydrolase domain")</f>
        <v>Predicted NAD synthase, contains CN hydrolase domain</v>
      </c>
      <c r="BN642" t="str">
        <f>HYPERLINK("http://www.ncbi.nlm.nih.gov/COG/grace/shokog.cgi?KOG2303","9.5")</f>
        <v>9.5</v>
      </c>
      <c r="BO642" t="s">
        <v>1939</v>
      </c>
      <c r="BP642" s="1" t="str">
        <f>HYPERLINK("http://exon.niaid.nih.gov/transcriptome/T_rubida/S1/links/PFAM/Triru-contig_211-PFAM.txt","Det1")</f>
        <v>Det1</v>
      </c>
      <c r="BQ642" t="str">
        <f>HYPERLINK("http://pfam.sanger.ac.uk/family?acc=PF09737","1.1")</f>
        <v>1.1</v>
      </c>
      <c r="BR642" s="1" t="str">
        <f>HYPERLINK("http://exon.niaid.nih.gov/transcriptome/T_rubida/S1/links/SMART/Triru-contig_211-SMART.txt","PKS_KS")</f>
        <v>PKS_KS</v>
      </c>
      <c r="BS642" t="str">
        <f>HYPERLINK("http://smart.embl-heidelberg.de/smart/do_annotation.pl?DOMAIN=PKS_KS&amp;BLAST=DUMMY","2.3")</f>
        <v>2.3</v>
      </c>
      <c r="BT642" s="1" t="str">
        <f>HYPERLINK("http://exon.niaid.nih.gov/transcriptome/T_rubida/S1/links/PRK/Triru-contig_211-PRK.txt","bicyclomycin/multidrug efflux system")</f>
        <v>bicyclomycin/multidrug efflux system</v>
      </c>
      <c r="BU642">
        <v>5.6</v>
      </c>
      <c r="BV642" s="1" t="s">
        <v>57</v>
      </c>
      <c r="BW642" t="s">
        <v>57</v>
      </c>
      <c r="BX642" s="1" t="s">
        <v>57</v>
      </c>
      <c r="BY642" t="s">
        <v>57</v>
      </c>
    </row>
    <row r="643" spans="1:77">
      <c r="A643" t="str">
        <f>HYPERLINK("http://exon.niaid.nih.gov/transcriptome/T_rubida/S1/links/Triru/Triru-contig_212.txt","Triru-contig_212")</f>
        <v>Triru-contig_212</v>
      </c>
      <c r="B643">
        <v>1</v>
      </c>
      <c r="C643" t="str">
        <f>HYPERLINK("http://exon.niaid.nih.gov/transcriptome/T_rubida/S1/links/Triru/Triru-5-48-asb-212.txt","Contig-212")</f>
        <v>Contig-212</v>
      </c>
      <c r="D643" t="str">
        <f>HYPERLINK("http://exon.niaid.nih.gov/transcriptome/T_rubida/S1/links/Triru/Triru-5-48-212-CLU.txt","Contig212")</f>
        <v>Contig212</v>
      </c>
      <c r="E643" t="str">
        <f>HYPERLINK("http://exon.niaid.nih.gov/transcriptome/T_rubida/S1/links/Triru/Triru-5-48-212-qual.txt","51.5")</f>
        <v>51.5</v>
      </c>
      <c r="F643" t="s">
        <v>10</v>
      </c>
      <c r="G643">
        <v>77.599999999999994</v>
      </c>
      <c r="H643">
        <v>155</v>
      </c>
      <c r="I643" t="s">
        <v>224</v>
      </c>
      <c r="J643">
        <v>155</v>
      </c>
      <c r="K643">
        <v>174</v>
      </c>
      <c r="L643">
        <v>81</v>
      </c>
      <c r="M643" t="s">
        <v>5369</v>
      </c>
      <c r="N643" s="15">
        <v>3</v>
      </c>
      <c r="Q643" s="5" t="s">
        <v>4827</v>
      </c>
      <c r="R643" t="s">
        <v>4828</v>
      </c>
      <c r="V643" s="1" t="s">
        <v>57</v>
      </c>
      <c r="W643" t="s">
        <v>57</v>
      </c>
      <c r="X643" t="s">
        <v>57</v>
      </c>
      <c r="Y643" t="s">
        <v>57</v>
      </c>
      <c r="Z643" t="s">
        <v>57</v>
      </c>
      <c r="AA643" t="s">
        <v>57</v>
      </c>
      <c r="AB643" t="s">
        <v>57</v>
      </c>
      <c r="AC643" t="s">
        <v>57</v>
      </c>
      <c r="AD643" t="s">
        <v>57</v>
      </c>
      <c r="AE643" t="s">
        <v>57</v>
      </c>
      <c r="AF643" t="s">
        <v>57</v>
      </c>
      <c r="AG643" t="s">
        <v>57</v>
      </c>
      <c r="AH643" t="s">
        <v>57</v>
      </c>
      <c r="AI643" t="s">
        <v>57</v>
      </c>
      <c r="AJ643" t="s">
        <v>57</v>
      </c>
      <c r="AK643" t="s">
        <v>57</v>
      </c>
      <c r="AL643" t="s">
        <v>57</v>
      </c>
      <c r="AM643" t="s">
        <v>57</v>
      </c>
      <c r="AN643" t="s">
        <v>57</v>
      </c>
      <c r="AO643" s="1" t="str">
        <f>HYPERLINK("http://exon.niaid.nih.gov/transcriptome/T_rubida/S1/links/SWISSP/Triru-contig_212-SWISSP.txt","Probable branched-chain-amino-acid aminotransferase")</f>
        <v>Probable branched-chain-amino-acid aminotransferase</v>
      </c>
      <c r="AP643" t="str">
        <f>HYPERLINK("http://www.uniprot.org/uniprot/P74921","40")</f>
        <v>40</v>
      </c>
      <c r="AQ643" t="s">
        <v>1940</v>
      </c>
      <c r="AR643">
        <v>26.9</v>
      </c>
      <c r="AS643">
        <v>13</v>
      </c>
      <c r="AT643">
        <v>71</v>
      </c>
      <c r="AU643">
        <v>5</v>
      </c>
      <c r="AV643">
        <v>4</v>
      </c>
      <c r="AW643">
        <v>0</v>
      </c>
      <c r="AX643">
        <v>45</v>
      </c>
      <c r="AY643">
        <v>42</v>
      </c>
      <c r="AZ643">
        <v>1</v>
      </c>
      <c r="BA643">
        <v>3</v>
      </c>
      <c r="BB643" t="s">
        <v>11</v>
      </c>
      <c r="BD643" t="s">
        <v>704</v>
      </c>
      <c r="BE643" t="s">
        <v>1941</v>
      </c>
      <c r="BF643" t="s">
        <v>1942</v>
      </c>
      <c r="BG643" t="s">
        <v>1943</v>
      </c>
      <c r="BH643" s="1" t="s">
        <v>57</v>
      </c>
      <c r="BI643" t="s">
        <v>57</v>
      </c>
      <c r="BJ643" s="1" t="str">
        <f>HYPERLINK("http://exon.niaid.nih.gov/transcriptome/T_rubida/S1/links/CDD/Triru-contig_212-CDD.txt","DUF2768")</f>
        <v>DUF2768</v>
      </c>
      <c r="BK643" t="str">
        <f>HYPERLINK("http://www.ncbi.nlm.nih.gov/Structure/cdd/cddsrv.cgi?uid=pfam10966&amp;version=v4.0","5.6")</f>
        <v>5.6</v>
      </c>
      <c r="BL643" t="s">
        <v>1944</v>
      </c>
      <c r="BM643" s="1" t="s">
        <v>57</v>
      </c>
      <c r="BN643" t="s">
        <v>57</v>
      </c>
      <c r="BO643" t="s">
        <v>57</v>
      </c>
      <c r="BP643" s="1" t="str">
        <f>HYPERLINK("http://exon.niaid.nih.gov/transcriptome/T_rubida/S1/links/PFAM/Triru-contig_212-PFAM.txt","DUF2768")</f>
        <v>DUF2768</v>
      </c>
      <c r="BQ643" t="str">
        <f>HYPERLINK("http://pfam.sanger.ac.uk/family?acc=PF10966","1.2")</f>
        <v>1.2</v>
      </c>
      <c r="BR643" s="1" t="str">
        <f>HYPERLINK("http://exon.niaid.nih.gov/transcriptome/T_rubida/S1/links/SMART/Triru-contig_212-SMART.txt","B561")</f>
        <v>B561</v>
      </c>
      <c r="BS643" t="str">
        <f>HYPERLINK("http://smart.embl-heidelberg.de/smart/do_annotation.pl?DOMAIN=B561&amp;BLAST=DUMMY","1.00")</f>
        <v>1.00</v>
      </c>
      <c r="BT643" s="1" t="str">
        <f>HYPERLINK("http://exon.niaid.nih.gov/transcriptome/T_rubida/S1/links/PRK/Triru-contig_212-PRK.txt","DNA polymerase")</f>
        <v>DNA polymerase</v>
      </c>
      <c r="BU643">
        <v>2.4</v>
      </c>
      <c r="BV643" s="1" t="s">
        <v>57</v>
      </c>
      <c r="BW643" t="s">
        <v>57</v>
      </c>
      <c r="BX643" s="1" t="s">
        <v>57</v>
      </c>
      <c r="BY643" t="s">
        <v>57</v>
      </c>
    </row>
    <row r="644" spans="1:77">
      <c r="A644" t="str">
        <f>HYPERLINK("http://exon.niaid.nih.gov/transcriptome/T_rubida/S1/links/Triru/Triru-contig_217.txt","Triru-contig_217")</f>
        <v>Triru-contig_217</v>
      </c>
      <c r="B644">
        <v>1</v>
      </c>
      <c r="C644" t="str">
        <f>HYPERLINK("http://exon.niaid.nih.gov/transcriptome/T_rubida/S1/links/Triru/Triru-5-48-asb-217.txt","Contig-217")</f>
        <v>Contig-217</v>
      </c>
      <c r="D644" t="str">
        <f>HYPERLINK("http://exon.niaid.nih.gov/transcriptome/T_rubida/S1/links/Triru/Triru-5-48-217-CLU.txt","Contig217")</f>
        <v>Contig217</v>
      </c>
      <c r="E644" t="str">
        <f>HYPERLINK("http://exon.niaid.nih.gov/transcriptome/T_rubida/S1/links/Triru/Triru-5-48-217-qual.txt","47.2")</f>
        <v>47.2</v>
      </c>
      <c r="F644" t="s">
        <v>10</v>
      </c>
      <c r="G644">
        <v>74.8</v>
      </c>
      <c r="H644">
        <v>100</v>
      </c>
      <c r="I644" t="s">
        <v>229</v>
      </c>
      <c r="J644">
        <v>100</v>
      </c>
      <c r="K644">
        <v>119</v>
      </c>
      <c r="L644">
        <v>117</v>
      </c>
      <c r="M644" t="s">
        <v>5370</v>
      </c>
      <c r="N644" s="15">
        <v>1</v>
      </c>
      <c r="Q644" s="5" t="s">
        <v>4827</v>
      </c>
      <c r="R644" t="s">
        <v>4828</v>
      </c>
      <c r="V644" s="1" t="s">
        <v>57</v>
      </c>
      <c r="W644" t="s">
        <v>57</v>
      </c>
      <c r="X644" t="s">
        <v>57</v>
      </c>
      <c r="Y644" t="s">
        <v>57</v>
      </c>
      <c r="Z644" t="s">
        <v>57</v>
      </c>
      <c r="AA644" t="s">
        <v>57</v>
      </c>
      <c r="AB644" t="s">
        <v>57</v>
      </c>
      <c r="AC644" t="s">
        <v>57</v>
      </c>
      <c r="AD644" t="s">
        <v>57</v>
      </c>
      <c r="AE644" t="s">
        <v>57</v>
      </c>
      <c r="AF644" t="s">
        <v>57</v>
      </c>
      <c r="AG644" t="s">
        <v>57</v>
      </c>
      <c r="AH644" t="s">
        <v>57</v>
      </c>
      <c r="AI644" t="s">
        <v>57</v>
      </c>
      <c r="AJ644" t="s">
        <v>57</v>
      </c>
      <c r="AK644" t="s">
        <v>57</v>
      </c>
      <c r="AL644" t="s">
        <v>57</v>
      </c>
      <c r="AM644" t="s">
        <v>57</v>
      </c>
      <c r="AN644" t="s">
        <v>57</v>
      </c>
      <c r="AO644" s="1" t="str">
        <f>HYPERLINK("http://exon.niaid.nih.gov/transcriptome/T_rubida/S1/links/SWISSP/Triru-contig_217-SWISSP.txt","Glycerol-3-phosphate acyltransferase")</f>
        <v>Glycerol-3-phosphate acyltransferase</v>
      </c>
      <c r="AP644" t="str">
        <f>HYPERLINK("http://www.uniprot.org/uniprot/Q46JD9","14")</f>
        <v>14</v>
      </c>
      <c r="AQ644" t="s">
        <v>1972</v>
      </c>
      <c r="AR644">
        <v>28.5</v>
      </c>
      <c r="AS644">
        <v>35</v>
      </c>
      <c r="AT644">
        <v>38</v>
      </c>
      <c r="AU644">
        <v>18</v>
      </c>
      <c r="AV644">
        <v>22</v>
      </c>
      <c r="AW644">
        <v>5</v>
      </c>
      <c r="AX644">
        <v>50</v>
      </c>
      <c r="AY644">
        <v>4</v>
      </c>
      <c r="AZ644">
        <v>1</v>
      </c>
      <c r="BA644">
        <v>1</v>
      </c>
      <c r="BB644" t="s">
        <v>11</v>
      </c>
      <c r="BD644" t="s">
        <v>704</v>
      </c>
      <c r="BE644" t="s">
        <v>1973</v>
      </c>
      <c r="BF644" t="s">
        <v>1974</v>
      </c>
      <c r="BG644" t="s">
        <v>1975</v>
      </c>
      <c r="BH644" s="1" t="s">
        <v>57</v>
      </c>
      <c r="BI644" t="s">
        <v>57</v>
      </c>
      <c r="BJ644" s="1" t="str">
        <f>HYPERLINK("http://exon.niaid.nih.gov/transcriptome/T_rubida/S1/links/CDD/Triru-contig_217-CDD.txt","Tweety_N")</f>
        <v>Tweety_N</v>
      </c>
      <c r="BK644" t="str">
        <f>HYPERLINK("http://www.ncbi.nlm.nih.gov/Structure/cdd/cddsrv.cgi?uid=cd07912&amp;version=v4.0","1.1")</f>
        <v>1.1</v>
      </c>
      <c r="BL644" t="s">
        <v>1976</v>
      </c>
      <c r="BM644" s="1" t="str">
        <f>HYPERLINK("http://exon.niaid.nih.gov/transcriptome/T_rubida/S1/links/KOG/Triru-contig_217-KOG.txt","Predicted acyltransferase")</f>
        <v>Predicted acyltransferase</v>
      </c>
      <c r="BN644" t="str">
        <f>HYPERLINK("http://www.ncbi.nlm.nih.gov/COG/grace/shokog.cgi?KOG4312","0.94")</f>
        <v>0.94</v>
      </c>
      <c r="BO644" t="s">
        <v>750</v>
      </c>
      <c r="BP644" s="1" t="str">
        <f>HYPERLINK("http://exon.niaid.nih.gov/transcriptome/T_rubida/S1/links/PFAM/Triru-contig_217-PFAM.txt","Papilloma_E5A")</f>
        <v>Papilloma_E5A</v>
      </c>
      <c r="BQ644" t="str">
        <f>HYPERLINK("http://pfam.sanger.ac.uk/family?acc=PF05776","0.70")</f>
        <v>0.70</v>
      </c>
      <c r="BR644" s="1" t="str">
        <f>HYPERLINK("http://exon.niaid.nih.gov/transcriptome/T_rubida/S1/links/SMART/Triru-contig_217-SMART.txt","CTLH")</f>
        <v>CTLH</v>
      </c>
      <c r="BS644" t="str">
        <f>HYPERLINK("http://smart.embl-heidelberg.de/smart/do_annotation.pl?DOMAIN=CTLH&amp;BLAST=DUMMY","0.27")</f>
        <v>0.27</v>
      </c>
      <c r="BT644" s="1" t="str">
        <f>HYPERLINK("http://exon.niaid.nih.gov/transcriptome/T_rubida/S1/links/PRK/Triru-contig_217-PRK.txt","xanthine-guanine phosphoribosyltransferase")</f>
        <v>xanthine-guanine phosphoribosyltransferase</v>
      </c>
      <c r="BU644">
        <v>2.7</v>
      </c>
      <c r="BV644" s="1" t="s">
        <v>57</v>
      </c>
      <c r="BW644" t="s">
        <v>57</v>
      </c>
      <c r="BX644" s="1" t="s">
        <v>57</v>
      </c>
      <c r="BY644" t="s">
        <v>57</v>
      </c>
    </row>
    <row r="645" spans="1:77">
      <c r="A645" t="str">
        <f>HYPERLINK("http://exon.niaid.nih.gov/transcriptome/T_rubida/S1/links/Triru/Triru-contig_221.txt","Triru-contig_221")</f>
        <v>Triru-contig_221</v>
      </c>
      <c r="B645">
        <v>1</v>
      </c>
      <c r="C645" t="str">
        <f>HYPERLINK("http://exon.niaid.nih.gov/transcriptome/T_rubida/S1/links/Triru/Triru-5-48-asb-221.txt","Contig-221")</f>
        <v>Contig-221</v>
      </c>
      <c r="D645" t="str">
        <f>HYPERLINK("http://exon.niaid.nih.gov/transcriptome/T_rubida/S1/links/Triru/Triru-5-48-221-CLU.txt","Contig221")</f>
        <v>Contig221</v>
      </c>
      <c r="E645" t="str">
        <f>HYPERLINK("http://exon.niaid.nih.gov/transcriptome/T_rubida/S1/links/Triru/Triru-5-48-221-qual.txt","40.1")</f>
        <v>40.1</v>
      </c>
      <c r="F645" t="s">
        <v>10</v>
      </c>
      <c r="G645">
        <v>74.099999999999994</v>
      </c>
      <c r="H645">
        <v>62</v>
      </c>
      <c r="I645" t="s">
        <v>233</v>
      </c>
      <c r="J645">
        <v>62</v>
      </c>
      <c r="K645">
        <v>81</v>
      </c>
      <c r="L645">
        <v>60</v>
      </c>
      <c r="M645" t="s">
        <v>5371</v>
      </c>
      <c r="N645" s="15">
        <v>3</v>
      </c>
      <c r="Q645" s="5" t="s">
        <v>4827</v>
      </c>
      <c r="R645" t="s">
        <v>4828</v>
      </c>
      <c r="V645" s="1" t="s">
        <v>57</v>
      </c>
      <c r="W645" t="s">
        <v>57</v>
      </c>
      <c r="X645" t="s">
        <v>57</v>
      </c>
      <c r="Y645" t="s">
        <v>57</v>
      </c>
      <c r="Z645" t="s">
        <v>57</v>
      </c>
      <c r="AA645" t="s">
        <v>57</v>
      </c>
      <c r="AB645" t="s">
        <v>57</v>
      </c>
      <c r="AC645" t="s">
        <v>57</v>
      </c>
      <c r="AD645" t="s">
        <v>57</v>
      </c>
      <c r="AE645" t="s">
        <v>57</v>
      </c>
      <c r="AF645" t="s">
        <v>57</v>
      </c>
      <c r="AG645" t="s">
        <v>57</v>
      </c>
      <c r="AH645" t="s">
        <v>57</v>
      </c>
      <c r="AI645" t="s">
        <v>57</v>
      </c>
      <c r="AJ645" t="s">
        <v>57</v>
      </c>
      <c r="AK645" t="s">
        <v>57</v>
      </c>
      <c r="AL645" t="s">
        <v>57</v>
      </c>
      <c r="AM645" t="s">
        <v>57</v>
      </c>
      <c r="AN645" t="s">
        <v>57</v>
      </c>
      <c r="AO645" s="1" t="s">
        <v>57</v>
      </c>
      <c r="AP645" t="s">
        <v>57</v>
      </c>
      <c r="AQ645" t="s">
        <v>57</v>
      </c>
      <c r="AR645" t="s">
        <v>57</v>
      </c>
      <c r="AS645" t="s">
        <v>57</v>
      </c>
      <c r="AT645" t="s">
        <v>57</v>
      </c>
      <c r="AU645" t="s">
        <v>57</v>
      </c>
      <c r="AV645" t="s">
        <v>57</v>
      </c>
      <c r="AW645" t="s">
        <v>57</v>
      </c>
      <c r="AX645" t="s">
        <v>57</v>
      </c>
      <c r="AY645" t="s">
        <v>57</v>
      </c>
      <c r="AZ645" t="s">
        <v>57</v>
      </c>
      <c r="BA645" t="s">
        <v>57</v>
      </c>
      <c r="BB645" t="s">
        <v>57</v>
      </c>
      <c r="BC645" t="s">
        <v>57</v>
      </c>
      <c r="BD645" t="s">
        <v>57</v>
      </c>
      <c r="BE645" t="s">
        <v>57</v>
      </c>
      <c r="BF645" t="s">
        <v>57</v>
      </c>
      <c r="BG645" t="s">
        <v>57</v>
      </c>
      <c r="BH645" s="1" t="s">
        <v>57</v>
      </c>
      <c r="BI645" t="s">
        <v>57</v>
      </c>
      <c r="BJ645" s="1" t="s">
        <v>57</v>
      </c>
      <c r="BK645" t="s">
        <v>57</v>
      </c>
      <c r="BL645" t="s">
        <v>57</v>
      </c>
      <c r="BM645" s="1" t="s">
        <v>57</v>
      </c>
      <c r="BN645" t="s">
        <v>57</v>
      </c>
      <c r="BO645" t="s">
        <v>57</v>
      </c>
      <c r="BP645" s="1" t="str">
        <f>HYPERLINK("http://exon.niaid.nih.gov/transcriptome/T_rubida/S1/links/PFAM/Triru-contig_221-PFAM.txt","PLA1")</f>
        <v>PLA1</v>
      </c>
      <c r="BQ645" t="str">
        <f>HYPERLINK("http://pfam.sanger.ac.uk/family?acc=PF02253","4.8")</f>
        <v>4.8</v>
      </c>
      <c r="BR645" s="1" t="str">
        <f>HYPERLINK("http://exon.niaid.nih.gov/transcriptome/T_rubida/S1/links/SMART/Triru-contig_221-SMART.txt","PGAM")</f>
        <v>PGAM</v>
      </c>
      <c r="BS645" t="str">
        <f>HYPERLINK("http://smart.embl-heidelberg.de/smart/do_annotation.pl?DOMAIN=PGAM&amp;BLAST=DUMMY","1.0")</f>
        <v>1.0</v>
      </c>
      <c r="BT645" s="1" t="s">
        <v>57</v>
      </c>
      <c r="BU645" t="s">
        <v>57</v>
      </c>
      <c r="BV645" s="1" t="s">
        <v>57</v>
      </c>
      <c r="BW645" t="s">
        <v>57</v>
      </c>
      <c r="BX645" s="1" t="s">
        <v>57</v>
      </c>
      <c r="BY645" t="s">
        <v>57</v>
      </c>
    </row>
    <row r="646" spans="1:77">
      <c r="A646" t="str">
        <f>HYPERLINK("http://exon.niaid.nih.gov/transcriptome/T_rubida/S1/links/Triru/Triru-contig_227.txt","Triru-contig_227")</f>
        <v>Triru-contig_227</v>
      </c>
      <c r="B646">
        <v>1</v>
      </c>
      <c r="C646" t="str">
        <f>HYPERLINK("http://exon.niaid.nih.gov/transcriptome/T_rubida/S1/links/Triru/Triru-5-48-asb-227.txt","Contig-227")</f>
        <v>Contig-227</v>
      </c>
      <c r="D646" t="str">
        <f>HYPERLINK("http://exon.niaid.nih.gov/transcriptome/T_rubida/S1/links/Triru/Triru-5-48-227-CLU.txt","Contig227")</f>
        <v>Contig227</v>
      </c>
      <c r="E646" t="str">
        <f>HYPERLINK("http://exon.niaid.nih.gov/transcriptome/T_rubida/S1/links/Triru/Triru-5-48-227-qual.txt","30.6")</f>
        <v>30.6</v>
      </c>
      <c r="F646" t="s">
        <v>10</v>
      </c>
      <c r="G646">
        <v>67.5</v>
      </c>
      <c r="H646">
        <v>101</v>
      </c>
      <c r="I646" t="s">
        <v>239</v>
      </c>
      <c r="J646">
        <v>101</v>
      </c>
      <c r="K646">
        <v>120</v>
      </c>
      <c r="L646">
        <v>87</v>
      </c>
      <c r="M646" t="s">
        <v>5372</v>
      </c>
      <c r="N646" s="15">
        <v>1</v>
      </c>
      <c r="Q646" s="5" t="s">
        <v>4827</v>
      </c>
      <c r="R646" t="s">
        <v>4828</v>
      </c>
      <c r="V646" s="1" t="s">
        <v>57</v>
      </c>
      <c r="W646" t="s">
        <v>57</v>
      </c>
      <c r="X646" t="s">
        <v>57</v>
      </c>
      <c r="Y646" t="s">
        <v>57</v>
      </c>
      <c r="Z646" t="s">
        <v>57</v>
      </c>
      <c r="AA646" t="s">
        <v>57</v>
      </c>
      <c r="AB646" t="s">
        <v>57</v>
      </c>
      <c r="AC646" t="s">
        <v>57</v>
      </c>
      <c r="AD646" t="s">
        <v>57</v>
      </c>
      <c r="AE646" t="s">
        <v>57</v>
      </c>
      <c r="AF646" t="s">
        <v>57</v>
      </c>
      <c r="AG646" t="s">
        <v>57</v>
      </c>
      <c r="AH646" t="s">
        <v>57</v>
      </c>
      <c r="AI646" t="s">
        <v>57</v>
      </c>
      <c r="AJ646" t="s">
        <v>57</v>
      </c>
      <c r="AK646" t="s">
        <v>57</v>
      </c>
      <c r="AL646" t="s">
        <v>57</v>
      </c>
      <c r="AM646" t="s">
        <v>57</v>
      </c>
      <c r="AN646" t="s">
        <v>57</v>
      </c>
      <c r="AO646" s="1" t="str">
        <f>HYPERLINK("http://exon.niaid.nih.gov/transcriptome/T_rubida/S1/links/SWISSP/Triru-contig_227-SWISSP.txt","Sucrose porin")</f>
        <v>Sucrose porin</v>
      </c>
      <c r="AP646" t="str">
        <f>HYPERLINK("http://www.uniprot.org/uniprot/P27218","69")</f>
        <v>69</v>
      </c>
      <c r="AQ646" t="s">
        <v>2037</v>
      </c>
      <c r="AR646">
        <v>26.2</v>
      </c>
      <c r="AS646">
        <v>14</v>
      </c>
      <c r="AT646">
        <v>66</v>
      </c>
      <c r="AU646">
        <v>3</v>
      </c>
      <c r="AV646">
        <v>5</v>
      </c>
      <c r="AW646">
        <v>0</v>
      </c>
      <c r="AX646">
        <v>345</v>
      </c>
      <c r="AY646">
        <v>2</v>
      </c>
      <c r="AZ646">
        <v>1</v>
      </c>
      <c r="BA646">
        <v>2</v>
      </c>
      <c r="BB646" t="s">
        <v>11</v>
      </c>
      <c r="BC646">
        <v>7.1429999999999998</v>
      </c>
      <c r="BD646" t="s">
        <v>704</v>
      </c>
      <c r="BE646" t="s">
        <v>2038</v>
      </c>
      <c r="BF646" t="s">
        <v>2039</v>
      </c>
      <c r="BG646" t="s">
        <v>2040</v>
      </c>
      <c r="BH646" s="1" t="s">
        <v>57</v>
      </c>
      <c r="BI646" t="s">
        <v>57</v>
      </c>
      <c r="BJ646" s="1" t="str">
        <f>HYPERLINK("http://exon.niaid.nih.gov/transcriptome/T_rubida/S1/links/CDD/Triru-contig_227-CDD.txt","purP")</f>
        <v>purP</v>
      </c>
      <c r="BK646" t="str">
        <f>HYPERLINK("http://www.ncbi.nlm.nih.gov/Structure/cdd/cddsrv.cgi?uid=PRK13278&amp;version=v4.0","3.4")</f>
        <v>3.4</v>
      </c>
      <c r="BL646" t="s">
        <v>2041</v>
      </c>
      <c r="BM646" s="1" t="s">
        <v>57</v>
      </c>
      <c r="BN646" t="s">
        <v>57</v>
      </c>
      <c r="BO646" t="s">
        <v>57</v>
      </c>
      <c r="BP646" s="1" t="str">
        <f>HYPERLINK("http://exon.niaid.nih.gov/transcriptome/T_rubida/S1/links/PFAM/Triru-contig_227-PFAM.txt","DUF1297")</f>
        <v>DUF1297</v>
      </c>
      <c r="BQ646" t="str">
        <f>HYPERLINK("http://pfam.sanger.ac.uk/family?acc=PF06973","1.6")</f>
        <v>1.6</v>
      </c>
      <c r="BR646" s="1" t="str">
        <f>HYPERLINK("http://exon.niaid.nih.gov/transcriptome/T_rubida/S1/links/SMART/Triru-contig_227-SMART.txt","CASc")</f>
        <v>CASc</v>
      </c>
      <c r="BS646" t="str">
        <f>HYPERLINK("http://smart.embl-heidelberg.de/smart/do_annotation.pl?DOMAIN=CASc&amp;BLAST=DUMMY","0.50")</f>
        <v>0.50</v>
      </c>
      <c r="BT646" s="1" t="str">
        <f>HYPERLINK("http://exon.niaid.nih.gov/transcriptome/T_rubida/S1/links/PRK/Triru-contig_227-PRK.txt","5-formaminoimidazole-4-carboxamide-1-(beta)-D- ribofuranosyl 5'-monophosphate synthetase")</f>
        <v>5-formaminoimidazole-4-carboxamide-1-(beta)-D- ribofuranosyl 5'-monophosphate synthetase</v>
      </c>
      <c r="BU646">
        <v>1.3</v>
      </c>
      <c r="BV646" s="1" t="s">
        <v>57</v>
      </c>
      <c r="BW646" t="s">
        <v>57</v>
      </c>
      <c r="BX646" s="1" t="s">
        <v>57</v>
      </c>
      <c r="BY646" t="s">
        <v>57</v>
      </c>
    </row>
    <row r="647" spans="1:77">
      <c r="A647" t="str">
        <f>HYPERLINK("http://exon.niaid.nih.gov/transcriptome/T_rubida/S1/links/Triru/Triru-contig_237.txt","Triru-contig_237")</f>
        <v>Triru-contig_237</v>
      </c>
      <c r="B647">
        <v>1</v>
      </c>
      <c r="C647" t="str">
        <f>HYPERLINK("http://exon.niaid.nih.gov/transcriptome/T_rubida/S1/links/Triru/Triru-5-48-asb-237.txt","Contig-237")</f>
        <v>Contig-237</v>
      </c>
      <c r="D647" t="str">
        <f>HYPERLINK("http://exon.niaid.nih.gov/transcriptome/T_rubida/S1/links/Triru/Triru-5-48-237-CLU.txt","Contig237")</f>
        <v>Contig237</v>
      </c>
      <c r="E647" t="str">
        <f>HYPERLINK("http://exon.niaid.nih.gov/transcriptome/T_rubida/S1/links/Triru/Triru-5-48-237-qual.txt","32.8")</f>
        <v>32.8</v>
      </c>
      <c r="F647" t="s">
        <v>10</v>
      </c>
      <c r="G647">
        <v>83.1</v>
      </c>
      <c r="H647">
        <v>70</v>
      </c>
      <c r="I647" t="s">
        <v>249</v>
      </c>
      <c r="J647">
        <v>70</v>
      </c>
      <c r="K647">
        <v>89</v>
      </c>
      <c r="L647">
        <v>42</v>
      </c>
      <c r="M647" t="s">
        <v>5373</v>
      </c>
      <c r="N647" s="15">
        <v>3</v>
      </c>
      <c r="Q647" s="5" t="s">
        <v>4827</v>
      </c>
      <c r="R647" t="s">
        <v>4828</v>
      </c>
      <c r="V647" s="1" t="s">
        <v>57</v>
      </c>
      <c r="W647" t="s">
        <v>57</v>
      </c>
      <c r="X647" t="s">
        <v>57</v>
      </c>
      <c r="Y647" t="s">
        <v>57</v>
      </c>
      <c r="Z647" t="s">
        <v>57</v>
      </c>
      <c r="AA647" t="s">
        <v>57</v>
      </c>
      <c r="AB647" t="s">
        <v>57</v>
      </c>
      <c r="AC647" t="s">
        <v>57</v>
      </c>
      <c r="AD647" t="s">
        <v>57</v>
      </c>
      <c r="AE647" t="s">
        <v>57</v>
      </c>
      <c r="AF647" t="s">
        <v>57</v>
      </c>
      <c r="AG647" t="s">
        <v>57</v>
      </c>
      <c r="AH647" t="s">
        <v>57</v>
      </c>
      <c r="AI647" t="s">
        <v>57</v>
      </c>
      <c r="AJ647" t="s">
        <v>57</v>
      </c>
      <c r="AK647" t="s">
        <v>57</v>
      </c>
      <c r="AL647" t="s">
        <v>57</v>
      </c>
      <c r="AM647" t="s">
        <v>57</v>
      </c>
      <c r="AN647" t="s">
        <v>57</v>
      </c>
      <c r="AO647" s="1" t="s">
        <v>57</v>
      </c>
      <c r="AP647" t="s">
        <v>57</v>
      </c>
      <c r="AQ647" t="s">
        <v>57</v>
      </c>
      <c r="AR647" t="s">
        <v>57</v>
      </c>
      <c r="AS647" t="s">
        <v>57</v>
      </c>
      <c r="AT647" t="s">
        <v>57</v>
      </c>
      <c r="AU647" t="s">
        <v>57</v>
      </c>
      <c r="AV647" t="s">
        <v>57</v>
      </c>
      <c r="AW647" t="s">
        <v>57</v>
      </c>
      <c r="AX647" t="s">
        <v>57</v>
      </c>
      <c r="AY647" t="s">
        <v>57</v>
      </c>
      <c r="AZ647" t="s">
        <v>57</v>
      </c>
      <c r="BA647" t="s">
        <v>57</v>
      </c>
      <c r="BB647" t="s">
        <v>57</v>
      </c>
      <c r="BC647" t="s">
        <v>57</v>
      </c>
      <c r="BD647" t="s">
        <v>57</v>
      </c>
      <c r="BE647" t="s">
        <v>57</v>
      </c>
      <c r="BF647" t="s">
        <v>57</v>
      </c>
      <c r="BG647" t="s">
        <v>57</v>
      </c>
      <c r="BH647" s="1" t="s">
        <v>57</v>
      </c>
      <c r="BI647" t="s">
        <v>57</v>
      </c>
      <c r="BJ647" s="1" t="s">
        <v>57</v>
      </c>
      <c r="BK647" t="s">
        <v>57</v>
      </c>
      <c r="BL647" t="s">
        <v>57</v>
      </c>
      <c r="BM647" s="1" t="s">
        <v>57</v>
      </c>
      <c r="BN647" t="s">
        <v>57</v>
      </c>
      <c r="BO647" t="s">
        <v>57</v>
      </c>
      <c r="BP647" s="1" t="s">
        <v>57</v>
      </c>
      <c r="BQ647" t="s">
        <v>57</v>
      </c>
      <c r="BR647" s="1" t="str">
        <f>HYPERLINK("http://exon.niaid.nih.gov/transcriptome/T_rubida/S1/links/SMART/Triru-contig_237-SMART.txt","ZnF_TAZ")</f>
        <v>ZnF_TAZ</v>
      </c>
      <c r="BS647" t="str">
        <f>HYPERLINK("http://smart.embl-heidelberg.de/smart/do_annotation.pl?DOMAIN=ZnF_TAZ&amp;BLAST=DUMMY","6.0")</f>
        <v>6.0</v>
      </c>
      <c r="BT647" s="1" t="s">
        <v>57</v>
      </c>
      <c r="BU647" t="s">
        <v>57</v>
      </c>
      <c r="BV647" s="1" t="s">
        <v>57</v>
      </c>
      <c r="BW647" t="s">
        <v>57</v>
      </c>
      <c r="BX647" s="1" t="s">
        <v>57</v>
      </c>
      <c r="BY647" t="s">
        <v>57</v>
      </c>
    </row>
    <row r="648" spans="1:77">
      <c r="A648" t="str">
        <f>HYPERLINK("http://exon.niaid.nih.gov/transcriptome/T_rubida/S1/links/Triru/Triru-contig_240.txt","Triru-contig_240")</f>
        <v>Triru-contig_240</v>
      </c>
      <c r="B648">
        <v>1</v>
      </c>
      <c r="C648" t="str">
        <f>HYPERLINK("http://exon.niaid.nih.gov/transcriptome/T_rubida/S1/links/Triru/Triru-5-48-asb-240.txt","Contig-240")</f>
        <v>Contig-240</v>
      </c>
      <c r="D648" t="str">
        <f>HYPERLINK("http://exon.niaid.nih.gov/transcriptome/T_rubida/S1/links/Triru/Triru-5-48-240-CLU.txt","Contig240")</f>
        <v>Contig240</v>
      </c>
      <c r="E648" t="str">
        <f>HYPERLINK("http://exon.niaid.nih.gov/transcriptome/T_rubida/S1/links/Triru/Triru-5-48-240-qual.txt","56.5")</f>
        <v>56.5</v>
      </c>
      <c r="F648" t="s">
        <v>10</v>
      </c>
      <c r="G648">
        <v>71.599999999999994</v>
      </c>
      <c r="H648">
        <v>157</v>
      </c>
      <c r="I648" t="s">
        <v>252</v>
      </c>
      <c r="J648">
        <v>157</v>
      </c>
      <c r="K648">
        <v>176</v>
      </c>
      <c r="L648">
        <v>75</v>
      </c>
      <c r="M648" t="s">
        <v>5374</v>
      </c>
      <c r="N648" s="15">
        <v>2</v>
      </c>
      <c r="Q648" s="5" t="s">
        <v>4827</v>
      </c>
      <c r="R648" t="s">
        <v>4828</v>
      </c>
      <c r="V648" s="1" t="s">
        <v>57</v>
      </c>
      <c r="W648" t="s">
        <v>57</v>
      </c>
      <c r="X648" t="s">
        <v>57</v>
      </c>
      <c r="Y648" t="s">
        <v>57</v>
      </c>
      <c r="Z648" t="s">
        <v>57</v>
      </c>
      <c r="AA648" t="s">
        <v>57</v>
      </c>
      <c r="AB648" t="s">
        <v>57</v>
      </c>
      <c r="AC648" t="s">
        <v>57</v>
      </c>
      <c r="AD648" t="s">
        <v>57</v>
      </c>
      <c r="AE648" t="s">
        <v>57</v>
      </c>
      <c r="AF648" t="s">
        <v>57</v>
      </c>
      <c r="AG648" t="s">
        <v>57</v>
      </c>
      <c r="AH648" t="s">
        <v>57</v>
      </c>
      <c r="AI648" t="s">
        <v>57</v>
      </c>
      <c r="AJ648" t="s">
        <v>57</v>
      </c>
      <c r="AK648" t="s">
        <v>57</v>
      </c>
      <c r="AL648" t="s">
        <v>57</v>
      </c>
      <c r="AM648" t="s">
        <v>57</v>
      </c>
      <c r="AN648" t="s">
        <v>57</v>
      </c>
      <c r="AO648" s="1" t="str">
        <f>HYPERLINK("http://exon.niaid.nih.gov/transcriptome/T_rubida/S1/links/SWISSP/Triru-contig_240-SWISSP.txt","Hyaluronidase PH-20")</f>
        <v>Hyaluronidase PH-20</v>
      </c>
      <c r="AP648" t="str">
        <f>HYPERLINK("http://www.uniprot.org/uniprot/P38566","40")</f>
        <v>40</v>
      </c>
      <c r="AQ648" t="s">
        <v>2115</v>
      </c>
      <c r="AR648">
        <v>26.9</v>
      </c>
      <c r="AS648">
        <v>19</v>
      </c>
      <c r="AT648">
        <v>50</v>
      </c>
      <c r="AU648">
        <v>4</v>
      </c>
      <c r="AV648">
        <v>10</v>
      </c>
      <c r="AW648">
        <v>0</v>
      </c>
      <c r="AX648">
        <v>350</v>
      </c>
      <c r="AY648">
        <v>21</v>
      </c>
      <c r="AZ648">
        <v>1</v>
      </c>
      <c r="BA648">
        <v>3</v>
      </c>
      <c r="BB648" t="s">
        <v>11</v>
      </c>
      <c r="BC648">
        <v>5.2629999999999999</v>
      </c>
      <c r="BD648" t="s">
        <v>704</v>
      </c>
      <c r="BE648" t="s">
        <v>2116</v>
      </c>
      <c r="BF648" t="s">
        <v>2117</v>
      </c>
      <c r="BG648" t="s">
        <v>2118</v>
      </c>
      <c r="BH648" s="1" t="s">
        <v>57</v>
      </c>
      <c r="BI648" t="s">
        <v>57</v>
      </c>
      <c r="BJ648" s="1" t="str">
        <f>HYPERLINK("http://exon.niaid.nih.gov/transcriptome/T_rubida/S1/links/CDD/Triru-contig_240-CDD.txt","fliI")</f>
        <v>fliI</v>
      </c>
      <c r="BK648" t="str">
        <f>HYPERLINK("http://www.ncbi.nlm.nih.gov/Structure/cdd/cddsrv.cgi?uid=PRK08472&amp;version=v4.0","2.7")</f>
        <v>2.7</v>
      </c>
      <c r="BL648" t="s">
        <v>2119</v>
      </c>
      <c r="BM648" s="1" t="str">
        <f>HYPERLINK("http://exon.niaid.nih.gov/transcriptome/T_rubida/S1/links/KOG/Triru-contig_240-KOG.txt","M13 family peptidase")</f>
        <v>M13 family peptidase</v>
      </c>
      <c r="BN648" t="str">
        <f>HYPERLINK("http://www.ncbi.nlm.nih.gov/COG/grace/shokog.cgi?KOG3624","9.0")</f>
        <v>9.0</v>
      </c>
      <c r="BO648" t="s">
        <v>839</v>
      </c>
      <c r="BP648" s="1" t="str">
        <f>HYPERLINK("http://exon.niaid.nih.gov/transcriptome/T_rubida/S1/links/PFAM/Triru-contig_240-PFAM.txt","7TM_GPCR_Srw")</f>
        <v>7TM_GPCR_Srw</v>
      </c>
      <c r="BQ648" t="str">
        <f>HYPERLINK("http://pfam.sanger.ac.uk/family?acc=PF10324","3.4")</f>
        <v>3.4</v>
      </c>
      <c r="BR648" s="1" t="str">
        <f>HYPERLINK("http://exon.niaid.nih.gov/transcriptome/T_rubida/S1/links/SMART/Triru-contig_240-SMART.txt","uDENN")</f>
        <v>uDENN</v>
      </c>
      <c r="BS648" t="str">
        <f>HYPERLINK("http://smart.embl-heidelberg.de/smart/do_annotation.pl?DOMAIN=uDENN&amp;BLAST=DUMMY","0.88")</f>
        <v>0.88</v>
      </c>
      <c r="BT648" s="1" t="str">
        <f>HYPERLINK("http://exon.niaid.nih.gov/transcriptome/T_rubida/S1/links/PRK/Triru-contig_240-PRK.txt","flagellum-specific ATP synthase")</f>
        <v>flagellum-specific ATP synthase</v>
      </c>
      <c r="BU648">
        <v>0.97</v>
      </c>
      <c r="BV648" s="1" t="s">
        <v>57</v>
      </c>
      <c r="BW648" t="s">
        <v>57</v>
      </c>
      <c r="BX648" s="1" t="s">
        <v>57</v>
      </c>
      <c r="BY648" t="s">
        <v>57</v>
      </c>
    </row>
    <row r="649" spans="1:77">
      <c r="A649" t="str">
        <f>HYPERLINK("http://exon.niaid.nih.gov/transcriptome/T_rubida/S1/links/Triru/Triru-contig_242.txt","Triru-contig_242")</f>
        <v>Triru-contig_242</v>
      </c>
      <c r="B649">
        <v>1</v>
      </c>
      <c r="C649" t="str">
        <f>HYPERLINK("http://exon.niaid.nih.gov/transcriptome/T_rubida/S1/links/Triru/Triru-5-48-asb-242.txt","Contig-242")</f>
        <v>Contig-242</v>
      </c>
      <c r="D649" t="str">
        <f>HYPERLINK("http://exon.niaid.nih.gov/transcriptome/T_rubida/S1/links/Triru/Triru-5-48-242-CLU.txt","Contig242")</f>
        <v>Contig242</v>
      </c>
      <c r="E649" t="str">
        <f>HYPERLINK("http://exon.niaid.nih.gov/transcriptome/T_rubida/S1/links/Triru/Triru-5-48-242-qual.txt","59.3")</f>
        <v>59.3</v>
      </c>
      <c r="F649" t="s">
        <v>10</v>
      </c>
      <c r="G649">
        <v>66.2</v>
      </c>
      <c r="H649">
        <v>117</v>
      </c>
      <c r="I649" t="s">
        <v>254</v>
      </c>
      <c r="J649">
        <v>117</v>
      </c>
      <c r="K649">
        <v>136</v>
      </c>
      <c r="L649">
        <v>81</v>
      </c>
      <c r="M649" t="s">
        <v>5375</v>
      </c>
      <c r="N649" s="15">
        <v>2</v>
      </c>
      <c r="Q649" s="5" t="s">
        <v>4827</v>
      </c>
      <c r="R649" t="s">
        <v>4828</v>
      </c>
      <c r="V649" s="1" t="s">
        <v>57</v>
      </c>
      <c r="W649" t="s">
        <v>57</v>
      </c>
      <c r="X649" t="s">
        <v>57</v>
      </c>
      <c r="Y649" t="s">
        <v>57</v>
      </c>
      <c r="Z649" t="s">
        <v>57</v>
      </c>
      <c r="AA649" t="s">
        <v>57</v>
      </c>
      <c r="AB649" t="s">
        <v>57</v>
      </c>
      <c r="AC649" t="s">
        <v>57</v>
      </c>
      <c r="AD649" t="s">
        <v>57</v>
      </c>
      <c r="AE649" t="s">
        <v>57</v>
      </c>
      <c r="AF649" t="s">
        <v>57</v>
      </c>
      <c r="AG649" t="s">
        <v>57</v>
      </c>
      <c r="AH649" t="s">
        <v>57</v>
      </c>
      <c r="AI649" t="s">
        <v>57</v>
      </c>
      <c r="AJ649" t="s">
        <v>57</v>
      </c>
      <c r="AK649" t="s">
        <v>57</v>
      </c>
      <c r="AL649" t="s">
        <v>57</v>
      </c>
      <c r="AM649" t="s">
        <v>57</v>
      </c>
      <c r="AN649" t="s">
        <v>57</v>
      </c>
      <c r="AO649" s="1" t="s">
        <v>57</v>
      </c>
      <c r="AP649" t="s">
        <v>57</v>
      </c>
      <c r="AQ649" t="s">
        <v>57</v>
      </c>
      <c r="AR649" t="s">
        <v>57</v>
      </c>
      <c r="AS649" t="s">
        <v>57</v>
      </c>
      <c r="AT649" t="s">
        <v>57</v>
      </c>
      <c r="AU649" t="s">
        <v>57</v>
      </c>
      <c r="AV649" t="s">
        <v>57</v>
      </c>
      <c r="AW649" t="s">
        <v>57</v>
      </c>
      <c r="AX649" t="s">
        <v>57</v>
      </c>
      <c r="AY649" t="s">
        <v>57</v>
      </c>
      <c r="AZ649" t="s">
        <v>57</v>
      </c>
      <c r="BA649" t="s">
        <v>57</v>
      </c>
      <c r="BB649" t="s">
        <v>57</v>
      </c>
      <c r="BC649" t="s">
        <v>57</v>
      </c>
      <c r="BD649" t="s">
        <v>57</v>
      </c>
      <c r="BE649" t="s">
        <v>57</v>
      </c>
      <c r="BF649" t="s">
        <v>57</v>
      </c>
      <c r="BG649" t="s">
        <v>57</v>
      </c>
      <c r="BH649" s="1" t="s">
        <v>57</v>
      </c>
      <c r="BI649" t="s">
        <v>57</v>
      </c>
      <c r="BJ649" s="1" t="str">
        <f>HYPERLINK("http://exon.niaid.nih.gov/transcriptome/T_rubida/S1/links/CDD/Triru-contig_242-CDD.txt","DSPc")</f>
        <v>DSPc</v>
      </c>
      <c r="BK649" t="str">
        <f>HYPERLINK("http://www.ncbi.nlm.nih.gov/Structure/cdd/cddsrv.cgi?uid=smart00195&amp;version=v4.0","0.067")</f>
        <v>0.067</v>
      </c>
      <c r="BL649" t="s">
        <v>2127</v>
      </c>
      <c r="BM649" s="1" t="str">
        <f>HYPERLINK("http://exon.niaid.nih.gov/transcriptome/T_rubida/S1/links/KOG/Triru-contig_242-KOG.txt","Protein involved in mRNA turnover and stability")</f>
        <v>Protein involved in mRNA turnover and stability</v>
      </c>
      <c r="BN649" t="str">
        <f>HYPERLINK("http://www.ncbi.nlm.nih.gov/COG/grace/shokog.cgi?KOG1609","3.6")</f>
        <v>3.6</v>
      </c>
      <c r="BO649" t="s">
        <v>1002</v>
      </c>
      <c r="BP649" s="1" t="str">
        <f>HYPERLINK("http://exon.niaid.nih.gov/transcriptome/T_rubida/S1/links/PFAM/Triru-contig_242-PFAM.txt","DSPc")</f>
        <v>DSPc</v>
      </c>
      <c r="BQ649" t="str">
        <f>HYPERLINK("http://pfam.sanger.ac.uk/family?acc=PF00782","0.066")</f>
        <v>0.066</v>
      </c>
      <c r="BR649" s="1" t="str">
        <f>HYPERLINK("http://exon.niaid.nih.gov/transcriptome/T_rubida/S1/links/SMART/Triru-contig_242-SMART.txt","DSPc")</f>
        <v>DSPc</v>
      </c>
      <c r="BS649" t="str">
        <f>HYPERLINK("http://smart.embl-heidelberg.de/smart/do_annotation.pl?DOMAIN=DSPc&amp;BLAST=DUMMY","6E-004")</f>
        <v>6E-004</v>
      </c>
      <c r="BT649" s="1" t="str">
        <f>HYPERLINK("http://exon.niaid.nih.gov/transcriptome/T_rubida/S1/links/PRK/Triru-contig_242-PRK.txt","hypothetical protein")</f>
        <v>hypothetical protein</v>
      </c>
      <c r="BU649">
        <v>0.94</v>
      </c>
      <c r="BV649" s="1" t="s">
        <v>57</v>
      </c>
      <c r="BW649" t="s">
        <v>57</v>
      </c>
      <c r="BX649" s="1" t="s">
        <v>57</v>
      </c>
      <c r="BY649" t="s">
        <v>57</v>
      </c>
    </row>
    <row r="650" spans="1:77">
      <c r="A650" t="str">
        <f>HYPERLINK("http://exon.niaid.nih.gov/transcriptome/T_rubida/S1/links/Triru/Triru-contig_250.txt","Triru-contig_250")</f>
        <v>Triru-contig_250</v>
      </c>
      <c r="B650">
        <v>1</v>
      </c>
      <c r="C650" t="str">
        <f>HYPERLINK("http://exon.niaid.nih.gov/transcriptome/T_rubida/S1/links/Triru/Triru-5-48-asb-250.txt","Contig-250")</f>
        <v>Contig-250</v>
      </c>
      <c r="D650" t="str">
        <f>HYPERLINK("http://exon.niaid.nih.gov/transcriptome/T_rubida/S1/links/Triru/Triru-5-48-250-CLU.txt","Contig250")</f>
        <v>Contig250</v>
      </c>
      <c r="E650" t="str">
        <f>HYPERLINK("http://exon.niaid.nih.gov/transcriptome/T_rubida/S1/links/Triru/Triru-5-48-250-qual.txt","38.")</f>
        <v>38.</v>
      </c>
      <c r="F650">
        <v>0.7</v>
      </c>
      <c r="G650">
        <v>62.2</v>
      </c>
      <c r="H650">
        <v>116</v>
      </c>
      <c r="I650" t="s">
        <v>262</v>
      </c>
      <c r="J650">
        <v>116</v>
      </c>
      <c r="K650">
        <v>135</v>
      </c>
      <c r="L650">
        <v>87</v>
      </c>
      <c r="M650" t="s">
        <v>5376</v>
      </c>
      <c r="N650" s="15">
        <v>2</v>
      </c>
      <c r="Q650" s="5" t="s">
        <v>4827</v>
      </c>
      <c r="R650" t="s">
        <v>4828</v>
      </c>
      <c r="V650" s="1" t="s">
        <v>57</v>
      </c>
      <c r="W650" t="s">
        <v>57</v>
      </c>
      <c r="X650" t="s">
        <v>57</v>
      </c>
      <c r="Y650" t="s">
        <v>57</v>
      </c>
      <c r="Z650" t="s">
        <v>57</v>
      </c>
      <c r="AA650" t="s">
        <v>57</v>
      </c>
      <c r="AB650" t="s">
        <v>57</v>
      </c>
      <c r="AC650" t="s">
        <v>57</v>
      </c>
      <c r="AD650" t="s">
        <v>57</v>
      </c>
      <c r="AE650" t="s">
        <v>57</v>
      </c>
      <c r="AF650" t="s">
        <v>57</v>
      </c>
      <c r="AG650" t="s">
        <v>57</v>
      </c>
      <c r="AH650" t="s">
        <v>57</v>
      </c>
      <c r="AI650" t="s">
        <v>57</v>
      </c>
      <c r="AJ650" t="s">
        <v>57</v>
      </c>
      <c r="AK650" t="s">
        <v>57</v>
      </c>
      <c r="AL650" t="s">
        <v>57</v>
      </c>
      <c r="AM650" t="s">
        <v>57</v>
      </c>
      <c r="AN650" t="s">
        <v>57</v>
      </c>
      <c r="AO650" s="1" t="s">
        <v>57</v>
      </c>
      <c r="AP650" t="s">
        <v>57</v>
      </c>
      <c r="AQ650" t="s">
        <v>57</v>
      </c>
      <c r="AR650" t="s">
        <v>57</v>
      </c>
      <c r="AS650" t="s">
        <v>57</v>
      </c>
      <c r="AT650" t="s">
        <v>57</v>
      </c>
      <c r="AU650" t="s">
        <v>57</v>
      </c>
      <c r="AV650" t="s">
        <v>57</v>
      </c>
      <c r="AW650" t="s">
        <v>57</v>
      </c>
      <c r="AX650" t="s">
        <v>57</v>
      </c>
      <c r="AY650" t="s">
        <v>57</v>
      </c>
      <c r="AZ650" t="s">
        <v>57</v>
      </c>
      <c r="BA650" t="s">
        <v>57</v>
      </c>
      <c r="BB650" t="s">
        <v>57</v>
      </c>
      <c r="BC650" t="s">
        <v>57</v>
      </c>
      <c r="BD650" t="s">
        <v>57</v>
      </c>
      <c r="BE650" t="s">
        <v>57</v>
      </c>
      <c r="BF650" t="s">
        <v>57</v>
      </c>
      <c r="BG650" t="s">
        <v>57</v>
      </c>
      <c r="BH650" s="1" t="s">
        <v>57</v>
      </c>
      <c r="BI650" t="s">
        <v>57</v>
      </c>
      <c r="BJ650" s="1" t="str">
        <f>HYPERLINK("http://exon.niaid.nih.gov/transcriptome/T_rubida/S1/links/CDD/Triru-contig_250-CDD.txt","PRK04125")</f>
        <v>PRK04125</v>
      </c>
      <c r="BK650" t="str">
        <f>HYPERLINK("http://www.ncbi.nlm.nih.gov/Structure/cdd/cddsrv.cgi?uid=PRK04125&amp;version=v4.0","1.1")</f>
        <v>1.1</v>
      </c>
      <c r="BL650" t="s">
        <v>2179</v>
      </c>
      <c r="BM650" s="1" t="str">
        <f>HYPERLINK("http://exon.niaid.nih.gov/transcriptome/T_rubida/S1/links/KOG/Triru-contig_250-KOG.txt","RGS-GAIP interacting protein GIPC, contains PDZ domain")</f>
        <v>RGS-GAIP interacting protein GIPC, contains PDZ domain</v>
      </c>
      <c r="BN650" t="str">
        <f>HYPERLINK("http://www.ncbi.nlm.nih.gov/COG/grace/shokog.cgi?KOG3938","9.0")</f>
        <v>9.0</v>
      </c>
      <c r="BO650" t="s">
        <v>2180</v>
      </c>
      <c r="BP650" s="1" t="str">
        <f>HYPERLINK("http://exon.niaid.nih.gov/transcriptome/T_rubida/S1/links/PFAM/Triru-contig_250-PFAM.txt","PARG_cat")</f>
        <v>PARG_cat</v>
      </c>
      <c r="BQ650" t="str">
        <f>HYPERLINK("http://pfam.sanger.ac.uk/family?acc=PF05028","3.9")</f>
        <v>3.9</v>
      </c>
      <c r="BR650" s="1" t="str">
        <f>HYPERLINK("http://exon.niaid.nih.gov/transcriptome/T_rubida/S1/links/SMART/Triru-contig_250-SMART.txt","WNT1")</f>
        <v>WNT1</v>
      </c>
      <c r="BS650" t="str">
        <f>HYPERLINK("http://smart.embl-heidelberg.de/smart/do_annotation.pl?DOMAIN=WNT1&amp;BLAST=DUMMY","2.0")</f>
        <v>2.0</v>
      </c>
      <c r="BT650" s="1" t="str">
        <f>HYPERLINK("http://exon.niaid.nih.gov/transcriptome/T_rubida/S1/links/PRK/Triru-contig_250-PRK.txt","murein hydrolase regulator LrgA")</f>
        <v>murein hydrolase regulator LrgA</v>
      </c>
      <c r="BU650">
        <v>0.38</v>
      </c>
      <c r="BV650" s="1" t="s">
        <v>57</v>
      </c>
      <c r="BW650" t="s">
        <v>57</v>
      </c>
      <c r="BX650" s="1" t="s">
        <v>57</v>
      </c>
      <c r="BY650" t="s">
        <v>57</v>
      </c>
    </row>
    <row r="651" spans="1:77">
      <c r="A651" t="str">
        <f>HYPERLINK("http://exon.niaid.nih.gov/transcriptome/T_rubida/S1/links/Triru/Triru-contig_252.txt","Triru-contig_252")</f>
        <v>Triru-contig_252</v>
      </c>
      <c r="B651">
        <v>1</v>
      </c>
      <c r="C651" t="str">
        <f>HYPERLINK("http://exon.niaid.nih.gov/transcriptome/T_rubida/S1/links/Triru/Triru-5-48-asb-252.txt","Contig-252")</f>
        <v>Contig-252</v>
      </c>
      <c r="D651" t="str">
        <f>HYPERLINK("http://exon.niaid.nih.gov/transcriptome/T_rubida/S1/links/Triru/Triru-5-48-252-CLU.txt","Contig252")</f>
        <v>Contig252</v>
      </c>
      <c r="E651" t="str">
        <f>HYPERLINK("http://exon.niaid.nih.gov/transcriptome/T_rubida/S1/links/Triru/Triru-5-48-252-qual.txt","51.9")</f>
        <v>51.9</v>
      </c>
      <c r="F651" t="s">
        <v>10</v>
      </c>
      <c r="G651">
        <v>75</v>
      </c>
      <c r="H651">
        <v>77</v>
      </c>
      <c r="I651" t="s">
        <v>264</v>
      </c>
      <c r="J651">
        <v>77</v>
      </c>
      <c r="K651">
        <v>96</v>
      </c>
      <c r="L651">
        <v>45</v>
      </c>
      <c r="M651" t="s">
        <v>5377</v>
      </c>
      <c r="N651" s="15">
        <v>2</v>
      </c>
      <c r="Q651" s="5" t="s">
        <v>4827</v>
      </c>
      <c r="R651" t="s">
        <v>4828</v>
      </c>
      <c r="V651" s="1" t="s">
        <v>57</v>
      </c>
      <c r="W651" t="s">
        <v>57</v>
      </c>
      <c r="X651" t="s">
        <v>57</v>
      </c>
      <c r="Y651" t="s">
        <v>57</v>
      </c>
      <c r="Z651" t="s">
        <v>57</v>
      </c>
      <c r="AA651" t="s">
        <v>57</v>
      </c>
      <c r="AB651" t="s">
        <v>57</v>
      </c>
      <c r="AC651" t="s">
        <v>57</v>
      </c>
      <c r="AD651" t="s">
        <v>57</v>
      </c>
      <c r="AE651" t="s">
        <v>57</v>
      </c>
      <c r="AF651" t="s">
        <v>57</v>
      </c>
      <c r="AG651" t="s">
        <v>57</v>
      </c>
      <c r="AH651" t="s">
        <v>57</v>
      </c>
      <c r="AI651" t="s">
        <v>57</v>
      </c>
      <c r="AJ651" t="s">
        <v>57</v>
      </c>
      <c r="AK651" t="s">
        <v>57</v>
      </c>
      <c r="AL651" t="s">
        <v>57</v>
      </c>
      <c r="AM651" t="s">
        <v>57</v>
      </c>
      <c r="AN651" t="s">
        <v>57</v>
      </c>
      <c r="AO651" s="1" t="s">
        <v>57</v>
      </c>
      <c r="AP651" t="s">
        <v>57</v>
      </c>
      <c r="AQ651" t="s">
        <v>57</v>
      </c>
      <c r="AR651" t="s">
        <v>57</v>
      </c>
      <c r="AS651" t="s">
        <v>57</v>
      </c>
      <c r="AT651" t="s">
        <v>57</v>
      </c>
      <c r="AU651" t="s">
        <v>57</v>
      </c>
      <c r="AV651" t="s">
        <v>57</v>
      </c>
      <c r="AW651" t="s">
        <v>57</v>
      </c>
      <c r="AX651" t="s">
        <v>57</v>
      </c>
      <c r="AY651" t="s">
        <v>57</v>
      </c>
      <c r="AZ651" t="s">
        <v>57</v>
      </c>
      <c r="BA651" t="s">
        <v>57</v>
      </c>
      <c r="BB651" t="s">
        <v>57</v>
      </c>
      <c r="BC651" t="s">
        <v>57</v>
      </c>
      <c r="BD651" t="s">
        <v>57</v>
      </c>
      <c r="BE651" t="s">
        <v>57</v>
      </c>
      <c r="BF651" t="s">
        <v>57</v>
      </c>
      <c r="BG651" t="s">
        <v>57</v>
      </c>
      <c r="BH651" s="1" t="s">
        <v>57</v>
      </c>
      <c r="BI651" t="s">
        <v>57</v>
      </c>
      <c r="BJ651" s="1" t="str">
        <f>HYPERLINK("http://exon.niaid.nih.gov/transcriptome/T_rubida/S1/links/CDD/Triru-contig_252-CDD.txt","CH4_NH3mon_ox_C")</f>
        <v>CH4_NH3mon_ox_C</v>
      </c>
      <c r="BK651" t="str">
        <f>HYPERLINK("http://www.ncbi.nlm.nih.gov/Structure/cdd/cddsrv.cgi?uid=TIGR03078&amp;version=v4.0","5.9")</f>
        <v>5.9</v>
      </c>
      <c r="BL651" t="s">
        <v>2188</v>
      </c>
      <c r="BM651" s="1" t="s">
        <v>57</v>
      </c>
      <c r="BN651" t="s">
        <v>57</v>
      </c>
      <c r="BO651" t="s">
        <v>57</v>
      </c>
      <c r="BP651" s="1" t="str">
        <f>HYPERLINK("http://exon.niaid.nih.gov/transcriptome/T_rubida/S1/links/PFAM/Triru-contig_252-PFAM.txt","Cas_Csy2")</f>
        <v>Cas_Csy2</v>
      </c>
      <c r="BQ651" t="str">
        <f>HYPERLINK("http://pfam.sanger.ac.uk/family?acc=PF09614","1.7")</f>
        <v>1.7</v>
      </c>
      <c r="BR651" s="1" t="str">
        <f>HYPERLINK("http://exon.niaid.nih.gov/transcriptome/T_rubida/S1/links/SMART/Triru-contig_252-SMART.txt","STYKc")</f>
        <v>STYKc</v>
      </c>
      <c r="BS651" t="str">
        <f>HYPERLINK("http://smart.embl-heidelberg.de/smart/do_annotation.pl?DOMAIN=STYKc&amp;BLAST=DUMMY","1.0")</f>
        <v>1.0</v>
      </c>
      <c r="BT651" s="1" t="str">
        <f>HYPERLINK("http://exon.niaid.nih.gov/transcriptome/T_rubida/S1/links/PRK/Triru-contig_252-PRK.txt","ribosomal protein L2.")</f>
        <v>ribosomal protein L2.</v>
      </c>
      <c r="BU651">
        <v>3.7</v>
      </c>
      <c r="BV651" s="1" t="s">
        <v>57</v>
      </c>
      <c r="BW651" t="s">
        <v>57</v>
      </c>
      <c r="BX651" s="1" t="s">
        <v>57</v>
      </c>
      <c r="BY651" t="s">
        <v>57</v>
      </c>
    </row>
    <row r="652" spans="1:77">
      <c r="A652" t="str">
        <f>HYPERLINK("http://exon.niaid.nih.gov/transcriptome/T_rubida/S1/links/Triru/Triru-contig_253.txt","Triru-contig_253")</f>
        <v>Triru-contig_253</v>
      </c>
      <c r="B652">
        <v>1</v>
      </c>
      <c r="C652" t="str">
        <f>HYPERLINK("http://exon.niaid.nih.gov/transcriptome/T_rubida/S1/links/Triru/Triru-5-48-asb-253.txt","Contig-253")</f>
        <v>Contig-253</v>
      </c>
      <c r="D652" t="str">
        <f>HYPERLINK("http://exon.niaid.nih.gov/transcriptome/T_rubida/S1/links/Triru/Triru-5-48-253-CLU.txt","Contig253")</f>
        <v>Contig253</v>
      </c>
      <c r="E652" t="str">
        <f>HYPERLINK("http://exon.niaid.nih.gov/transcriptome/T_rubida/S1/links/Triru/Triru-5-48-253-qual.txt","39.3")</f>
        <v>39.3</v>
      </c>
      <c r="F652" t="s">
        <v>10</v>
      </c>
      <c r="G652">
        <v>67.099999999999994</v>
      </c>
      <c r="H652">
        <v>367</v>
      </c>
      <c r="I652" t="s">
        <v>265</v>
      </c>
      <c r="J652">
        <v>367</v>
      </c>
      <c r="K652">
        <v>386</v>
      </c>
      <c r="L652">
        <v>132</v>
      </c>
      <c r="M652" t="s">
        <v>5378</v>
      </c>
      <c r="N652" s="15">
        <v>3</v>
      </c>
      <c r="O652" s="14" t="str">
        <f>HYPERLINK("http://exon.niaid.nih.gov/transcriptome/T_rubida/S1/links/Sigp/TRIRU-CONTIG_253-SigP.txt","Cyt")</f>
        <v>Cyt</v>
      </c>
      <c r="Q652" s="5" t="s">
        <v>4827</v>
      </c>
      <c r="R652" t="s">
        <v>4828</v>
      </c>
      <c r="V652" s="1" t="s">
        <v>57</v>
      </c>
      <c r="W652" t="s">
        <v>57</v>
      </c>
      <c r="X652" t="s">
        <v>57</v>
      </c>
      <c r="Y652" t="s">
        <v>57</v>
      </c>
      <c r="Z652" t="s">
        <v>57</v>
      </c>
      <c r="AA652" t="s">
        <v>57</v>
      </c>
      <c r="AB652" t="s">
        <v>57</v>
      </c>
      <c r="AC652" t="s">
        <v>57</v>
      </c>
      <c r="AD652" t="s">
        <v>57</v>
      </c>
      <c r="AE652" t="s">
        <v>57</v>
      </c>
      <c r="AF652" t="s">
        <v>57</v>
      </c>
      <c r="AG652" t="s">
        <v>57</v>
      </c>
      <c r="AH652" t="s">
        <v>57</v>
      </c>
      <c r="AI652" t="s">
        <v>57</v>
      </c>
      <c r="AJ652" t="s">
        <v>57</v>
      </c>
      <c r="AK652" t="s">
        <v>57</v>
      </c>
      <c r="AL652" t="s">
        <v>57</v>
      </c>
      <c r="AM652" t="s">
        <v>57</v>
      </c>
      <c r="AN652" t="s">
        <v>57</v>
      </c>
      <c r="AO652" s="1" t="str">
        <f>HYPERLINK("http://exon.niaid.nih.gov/transcriptome/T_rubida/S1/links/SWISSP/Triru-contig_253-SWISSP.txt","Multifunctional CCA protein")</f>
        <v>Multifunctional CCA protein</v>
      </c>
      <c r="AP652" t="str">
        <f>HYPERLINK("http://www.uniprot.org/uniprot/Q3K5S5","6.2")</f>
        <v>6.2</v>
      </c>
      <c r="AQ652" t="s">
        <v>2189</v>
      </c>
      <c r="AR652">
        <v>29.6</v>
      </c>
      <c r="AS652">
        <v>20</v>
      </c>
      <c r="AT652">
        <v>57</v>
      </c>
      <c r="AU652">
        <v>5</v>
      </c>
      <c r="AV652">
        <v>9</v>
      </c>
      <c r="AW652">
        <v>0</v>
      </c>
      <c r="AX652">
        <v>334</v>
      </c>
      <c r="AY652">
        <v>291</v>
      </c>
      <c r="AZ652">
        <v>1</v>
      </c>
      <c r="BA652">
        <v>3</v>
      </c>
      <c r="BB652" t="s">
        <v>11</v>
      </c>
      <c r="BD652" t="s">
        <v>704</v>
      </c>
      <c r="BE652" t="s">
        <v>2190</v>
      </c>
      <c r="BF652" t="s">
        <v>2191</v>
      </c>
      <c r="BG652" t="s">
        <v>2192</v>
      </c>
      <c r="BH652" s="1" t="s">
        <v>57</v>
      </c>
      <c r="BI652" t="s">
        <v>57</v>
      </c>
      <c r="BJ652" s="1" t="str">
        <f>HYPERLINK("http://exon.niaid.nih.gov/transcriptome/T_rubida/S1/links/CDD/Triru-contig_253-CDD.txt","7TM_GPCR_Srv")</f>
        <v>7TM_GPCR_Srv</v>
      </c>
      <c r="BK652" t="str">
        <f>HYPERLINK("http://www.ncbi.nlm.nih.gov/Structure/cdd/cddsrv.cgi?uid=pfam10323&amp;version=v4.0","1.1")</f>
        <v>1.1</v>
      </c>
      <c r="BL652" t="s">
        <v>2193</v>
      </c>
      <c r="BM652" s="1" t="str">
        <f>HYPERLINK("http://exon.niaid.nih.gov/transcriptome/T_rubida/S1/links/KOG/Triru-contig_253-KOG.txt","Ubiquitin fusion degradation protein-2")</f>
        <v>Ubiquitin fusion degradation protein-2</v>
      </c>
      <c r="BN652" t="str">
        <f>HYPERLINK("http://www.ncbi.nlm.nih.gov/COG/grace/shokog.cgi?KOG2042","2.4")</f>
        <v>2.4</v>
      </c>
      <c r="BO652" t="s">
        <v>954</v>
      </c>
      <c r="BP652" s="1" t="str">
        <f>HYPERLINK("http://exon.niaid.nih.gov/transcriptome/T_rubida/S1/links/PFAM/Triru-contig_253-PFAM.txt","7TM_GPCR_Srv")</f>
        <v>7TM_GPCR_Srv</v>
      </c>
      <c r="BQ652" t="str">
        <f>HYPERLINK("http://pfam.sanger.ac.uk/family?acc=PF10323","0.26")</f>
        <v>0.26</v>
      </c>
      <c r="BR652" s="1" t="str">
        <f>HYPERLINK("http://exon.niaid.nih.gov/transcriptome/T_rubida/S1/links/SMART/Triru-contig_253-SMART.txt","PI3K_C2")</f>
        <v>PI3K_C2</v>
      </c>
      <c r="BS652" t="str">
        <f>HYPERLINK("http://smart.embl-heidelberg.de/smart/do_annotation.pl?DOMAIN=PI3K_C2&amp;BLAST=DUMMY","0.080")</f>
        <v>0.080</v>
      </c>
      <c r="BT652" s="1" t="str">
        <f>HYPERLINK("http://exon.niaid.nih.gov/transcriptome/T_rubida/S1/links/PRK/Triru-contig_253-PRK.txt","arginine decarboxylase")</f>
        <v>arginine decarboxylase</v>
      </c>
      <c r="BU652">
        <v>0.83</v>
      </c>
      <c r="BV652" s="1" t="s">
        <v>57</v>
      </c>
      <c r="BW652" t="s">
        <v>57</v>
      </c>
      <c r="BX652" s="1" t="s">
        <v>57</v>
      </c>
      <c r="BY652" t="s">
        <v>57</v>
      </c>
    </row>
    <row r="653" spans="1:77">
      <c r="A653" t="str">
        <f>HYPERLINK("http://exon.niaid.nih.gov/transcriptome/T_rubida/S1/links/Triru/Triru-contig_254.txt","Triru-contig_254")</f>
        <v>Triru-contig_254</v>
      </c>
      <c r="B653">
        <v>1</v>
      </c>
      <c r="C653" t="str">
        <f>HYPERLINK("http://exon.niaid.nih.gov/transcriptome/T_rubida/S1/links/Triru/Triru-5-48-asb-254.txt","Contig-254")</f>
        <v>Contig-254</v>
      </c>
      <c r="D653" t="str">
        <f>HYPERLINK("http://exon.niaid.nih.gov/transcriptome/T_rubida/S1/links/Triru/Triru-5-48-254-CLU.txt","Contig254")</f>
        <v>Contig254</v>
      </c>
      <c r="E653" t="str">
        <f>HYPERLINK("http://exon.niaid.nih.gov/transcriptome/T_rubida/S1/links/Triru/Triru-5-48-254-qual.txt","60.7")</f>
        <v>60.7</v>
      </c>
      <c r="F653" t="s">
        <v>10</v>
      </c>
      <c r="G653">
        <v>75</v>
      </c>
      <c r="H653">
        <v>181</v>
      </c>
      <c r="I653" t="s">
        <v>266</v>
      </c>
      <c r="J653">
        <v>181</v>
      </c>
      <c r="K653">
        <v>200</v>
      </c>
      <c r="L653">
        <v>111</v>
      </c>
      <c r="M653" t="s">
        <v>5379</v>
      </c>
      <c r="N653" s="15">
        <v>1</v>
      </c>
      <c r="Q653" s="5" t="s">
        <v>4827</v>
      </c>
      <c r="R653" t="s">
        <v>4828</v>
      </c>
      <c r="V653" s="1" t="s">
        <v>57</v>
      </c>
      <c r="W653" t="s">
        <v>57</v>
      </c>
      <c r="X653" t="s">
        <v>57</v>
      </c>
      <c r="Y653" t="s">
        <v>57</v>
      </c>
      <c r="Z653" t="s">
        <v>57</v>
      </c>
      <c r="AA653" t="s">
        <v>57</v>
      </c>
      <c r="AB653" t="s">
        <v>57</v>
      </c>
      <c r="AC653" t="s">
        <v>57</v>
      </c>
      <c r="AD653" t="s">
        <v>57</v>
      </c>
      <c r="AE653" t="s">
        <v>57</v>
      </c>
      <c r="AF653" t="s">
        <v>57</v>
      </c>
      <c r="AG653" t="s">
        <v>57</v>
      </c>
      <c r="AH653" t="s">
        <v>57</v>
      </c>
      <c r="AI653" t="s">
        <v>57</v>
      </c>
      <c r="AJ653" t="s">
        <v>57</v>
      </c>
      <c r="AK653" t="s">
        <v>57</v>
      </c>
      <c r="AL653" t="s">
        <v>57</v>
      </c>
      <c r="AM653" t="s">
        <v>57</v>
      </c>
      <c r="AN653" t="s">
        <v>57</v>
      </c>
      <c r="AO653" s="1" t="str">
        <f>HYPERLINK("http://exon.niaid.nih.gov/transcriptome/T_rubida/S1/links/SWISSP/Triru-contig_254-SWISSP.txt","Cytadherence high molecular weight protein 2")</f>
        <v>Cytadherence high molecular weight protein 2</v>
      </c>
      <c r="AP653" t="str">
        <f>HYPERLINK("http://www.uniprot.org/uniprot/P47460","53")</f>
        <v>53</v>
      </c>
      <c r="AQ653" t="s">
        <v>2194</v>
      </c>
      <c r="AR653">
        <v>26.6</v>
      </c>
      <c r="AS653">
        <v>30</v>
      </c>
      <c r="AT653">
        <v>45</v>
      </c>
      <c r="AU653">
        <v>2</v>
      </c>
      <c r="AV653">
        <v>18</v>
      </c>
      <c r="AW653">
        <v>0</v>
      </c>
      <c r="AX653">
        <v>997</v>
      </c>
      <c r="AY653">
        <v>64</v>
      </c>
      <c r="AZ653">
        <v>1</v>
      </c>
      <c r="BA653">
        <v>1</v>
      </c>
      <c r="BB653" t="s">
        <v>11</v>
      </c>
      <c r="BC653">
        <v>3.3330000000000002</v>
      </c>
      <c r="BD653" t="s">
        <v>704</v>
      </c>
      <c r="BE653" t="s">
        <v>2195</v>
      </c>
      <c r="BF653" t="s">
        <v>2196</v>
      </c>
      <c r="BG653" t="s">
        <v>2197</v>
      </c>
      <c r="BH653" s="1" t="s">
        <v>57</v>
      </c>
      <c r="BI653" t="s">
        <v>57</v>
      </c>
      <c r="BJ653" s="1" t="str">
        <f>HYPERLINK("http://exon.niaid.nih.gov/transcriptome/T_rubida/S1/links/CDD/Triru-contig_254-CDD.txt","ND2")</f>
        <v>ND2</v>
      </c>
      <c r="BK653" t="str">
        <f>HYPERLINK("http://www.ncbi.nlm.nih.gov/Structure/cdd/cddsrv.cgi?uid=MTH00160&amp;version=v4.0","0.27")</f>
        <v>0.27</v>
      </c>
      <c r="BL653" t="s">
        <v>2198</v>
      </c>
      <c r="BM653" s="1" t="str">
        <f>HYPERLINK("http://exon.niaid.nih.gov/transcriptome/T_rubida/S1/links/KOG/Triru-contig_254-KOG.txt","Predicted membrane proteins, contain hemolysin III domain")</f>
        <v>Predicted membrane proteins, contain hemolysin III domain</v>
      </c>
      <c r="BN653" t="str">
        <f>HYPERLINK("http://www.ncbi.nlm.nih.gov/COG/grace/shokog.cgi?KOG0748","0.79")</f>
        <v>0.79</v>
      </c>
      <c r="BO653" t="s">
        <v>858</v>
      </c>
      <c r="BP653" s="1" t="str">
        <f>HYPERLINK("http://exon.niaid.nih.gov/transcriptome/T_rubida/S1/links/PFAM/Triru-contig_254-PFAM.txt","7TM_GPCR_Srz")</f>
        <v>7TM_GPCR_Srz</v>
      </c>
      <c r="BQ653" t="str">
        <f>HYPERLINK("http://pfam.sanger.ac.uk/family?acc=PF10325","0.088")</f>
        <v>0.088</v>
      </c>
      <c r="BR653" s="1" t="str">
        <f>HYPERLINK("http://exon.niaid.nih.gov/transcriptome/T_rubida/S1/links/SMART/Triru-contig_254-SMART.txt","PSN")</f>
        <v>PSN</v>
      </c>
      <c r="BS653" t="str">
        <f>HYPERLINK("http://smart.embl-heidelberg.de/smart/do_annotation.pl?DOMAIN=PSN&amp;BLAST=DUMMY","0.21")</f>
        <v>0.21</v>
      </c>
      <c r="BT653" s="1" t="str">
        <f>HYPERLINK("http://exon.niaid.nih.gov/transcriptome/T_rubida/S1/links/PRK/Triru-contig_254-PRK.txt","NADH dehydrogenase subunit 2")</f>
        <v>NADH dehydrogenase subunit 2</v>
      </c>
      <c r="BU653">
        <v>9.8000000000000004E-2</v>
      </c>
      <c r="BV653" s="1" t="s">
        <v>57</v>
      </c>
      <c r="BW653" t="s">
        <v>57</v>
      </c>
      <c r="BX653" s="1" t="s">
        <v>57</v>
      </c>
      <c r="BY653" t="s">
        <v>57</v>
      </c>
    </row>
    <row r="654" spans="1:77">
      <c r="A654" t="str">
        <f>HYPERLINK("http://exon.niaid.nih.gov/transcriptome/T_rubida/S1/links/Triru/Triru-contig_255.txt","Triru-contig_255")</f>
        <v>Triru-contig_255</v>
      </c>
      <c r="B654">
        <v>1</v>
      </c>
      <c r="C654" t="str">
        <f>HYPERLINK("http://exon.niaid.nih.gov/transcriptome/T_rubida/S1/links/Triru/Triru-5-48-asb-255.txt","Contig-255")</f>
        <v>Contig-255</v>
      </c>
      <c r="D654" t="str">
        <f>HYPERLINK("http://exon.niaid.nih.gov/transcriptome/T_rubida/S1/links/Triru/Triru-5-48-255-CLU.txt","Contig255")</f>
        <v>Contig255</v>
      </c>
      <c r="E654" t="str">
        <f>HYPERLINK("http://exon.niaid.nih.gov/transcriptome/T_rubida/S1/links/Triru/Triru-5-48-255-qual.txt","54.2")</f>
        <v>54.2</v>
      </c>
      <c r="F654" t="s">
        <v>10</v>
      </c>
      <c r="G654">
        <v>77.900000000000006</v>
      </c>
      <c r="H654">
        <v>76</v>
      </c>
      <c r="I654" t="s">
        <v>267</v>
      </c>
      <c r="J654">
        <v>76</v>
      </c>
      <c r="K654">
        <v>95</v>
      </c>
      <c r="L654">
        <v>93</v>
      </c>
      <c r="M654" t="s">
        <v>5380</v>
      </c>
      <c r="N654" s="15">
        <v>1</v>
      </c>
      <c r="Q654" s="5" t="s">
        <v>4827</v>
      </c>
      <c r="R654" t="s">
        <v>4828</v>
      </c>
      <c r="V654" s="1" t="s">
        <v>57</v>
      </c>
      <c r="W654" t="s">
        <v>57</v>
      </c>
      <c r="X654" t="s">
        <v>57</v>
      </c>
      <c r="Y654" t="s">
        <v>57</v>
      </c>
      <c r="Z654" t="s">
        <v>57</v>
      </c>
      <c r="AA654" t="s">
        <v>57</v>
      </c>
      <c r="AB654" t="s">
        <v>57</v>
      </c>
      <c r="AC654" t="s">
        <v>57</v>
      </c>
      <c r="AD654" t="s">
        <v>57</v>
      </c>
      <c r="AE654" t="s">
        <v>57</v>
      </c>
      <c r="AF654" t="s">
        <v>57</v>
      </c>
      <c r="AG654" t="s">
        <v>57</v>
      </c>
      <c r="AH654" t="s">
        <v>57</v>
      </c>
      <c r="AI654" t="s">
        <v>57</v>
      </c>
      <c r="AJ654" t="s">
        <v>57</v>
      </c>
      <c r="AK654" t="s">
        <v>57</v>
      </c>
      <c r="AL654" t="s">
        <v>57</v>
      </c>
      <c r="AM654" t="s">
        <v>57</v>
      </c>
      <c r="AN654" t="s">
        <v>57</v>
      </c>
      <c r="AO654" s="1" t="s">
        <v>57</v>
      </c>
      <c r="AP654" t="s">
        <v>57</v>
      </c>
      <c r="AQ654" t="s">
        <v>57</v>
      </c>
      <c r="AR654" t="s">
        <v>57</v>
      </c>
      <c r="AS654" t="s">
        <v>57</v>
      </c>
      <c r="AT654" t="s">
        <v>57</v>
      </c>
      <c r="AU654" t="s">
        <v>57</v>
      </c>
      <c r="AV654" t="s">
        <v>57</v>
      </c>
      <c r="AW654" t="s">
        <v>57</v>
      </c>
      <c r="AX654" t="s">
        <v>57</v>
      </c>
      <c r="AY654" t="s">
        <v>57</v>
      </c>
      <c r="AZ654" t="s">
        <v>57</v>
      </c>
      <c r="BA654" t="s">
        <v>57</v>
      </c>
      <c r="BB654" t="s">
        <v>57</v>
      </c>
      <c r="BC654" t="s">
        <v>57</v>
      </c>
      <c r="BD654" t="s">
        <v>57</v>
      </c>
      <c r="BE654" t="s">
        <v>57</v>
      </c>
      <c r="BF654" t="s">
        <v>57</v>
      </c>
      <c r="BG654" t="s">
        <v>57</v>
      </c>
      <c r="BH654" s="1" t="s">
        <v>57</v>
      </c>
      <c r="BI654" t="s">
        <v>57</v>
      </c>
      <c r="BJ654" s="1" t="str">
        <f>HYPERLINK("http://exon.niaid.nih.gov/transcriptome/T_rubida/S1/links/CDD/Triru-contig_255-CDD.txt","PRK07132")</f>
        <v>PRK07132</v>
      </c>
      <c r="BK654" t="str">
        <f>HYPERLINK("http://www.ncbi.nlm.nih.gov/Structure/cdd/cddsrv.cgi?uid=PRK07132&amp;version=v4.0","2.0")</f>
        <v>2.0</v>
      </c>
      <c r="BL654" t="s">
        <v>2199</v>
      </c>
      <c r="BM654" s="1" t="s">
        <v>57</v>
      </c>
      <c r="BN654" t="s">
        <v>57</v>
      </c>
      <c r="BO654" t="s">
        <v>57</v>
      </c>
      <c r="BP654" s="1" t="str">
        <f>HYPERLINK("http://exon.niaid.nih.gov/transcriptome/T_rubida/S1/links/PFAM/Triru-contig_255-PFAM.txt","Mis12")</f>
        <v>Mis12</v>
      </c>
      <c r="BQ654" t="str">
        <f>HYPERLINK("http://pfam.sanger.ac.uk/family?acc=PF05859","5.8")</f>
        <v>5.8</v>
      </c>
      <c r="BR654" s="1" t="str">
        <f>HYPERLINK("http://exon.niaid.nih.gov/transcriptome/T_rubida/S1/links/SMART/Triru-contig_255-SMART.txt","GIYc")</f>
        <v>GIYc</v>
      </c>
      <c r="BS654" t="str">
        <f>HYPERLINK("http://smart.embl-heidelberg.de/smart/do_annotation.pl?DOMAIN=GIYc&amp;BLAST=DUMMY","0.18")</f>
        <v>0.18</v>
      </c>
      <c r="BT654" s="1" t="str">
        <f>HYPERLINK("http://exon.niaid.nih.gov/transcriptome/T_rubida/S1/links/PRK/Triru-contig_255-PRK.txt","DNA polymerase III subunit delta'")</f>
        <v>DNA polymerase III subunit delta'</v>
      </c>
      <c r="BU654">
        <v>0.74</v>
      </c>
      <c r="BV654" s="1" t="s">
        <v>57</v>
      </c>
      <c r="BW654" t="s">
        <v>57</v>
      </c>
      <c r="BX654" s="1" t="s">
        <v>57</v>
      </c>
      <c r="BY654" t="s">
        <v>57</v>
      </c>
    </row>
    <row r="655" spans="1:77">
      <c r="A655" t="str">
        <f>HYPERLINK("http://exon.niaid.nih.gov/transcriptome/T_rubida/S1/links/Triru/Triru-contig_265.txt","Triru-contig_265")</f>
        <v>Triru-contig_265</v>
      </c>
      <c r="B655">
        <v>1</v>
      </c>
      <c r="C655" t="str">
        <f>HYPERLINK("http://exon.niaid.nih.gov/transcriptome/T_rubida/S1/links/Triru/Triru-5-48-asb-265.txt","Contig-265")</f>
        <v>Contig-265</v>
      </c>
      <c r="D655" t="str">
        <f>HYPERLINK("http://exon.niaid.nih.gov/transcriptome/T_rubida/S1/links/Triru/Triru-5-48-265-CLU.txt","Contig265")</f>
        <v>Contig265</v>
      </c>
      <c r="E655" t="str">
        <f>HYPERLINK("http://exon.niaid.nih.gov/transcriptome/T_rubida/S1/links/Triru/Triru-5-48-265-qual.txt","53.1")</f>
        <v>53.1</v>
      </c>
      <c r="F655" t="s">
        <v>10</v>
      </c>
      <c r="G655">
        <v>80.400000000000006</v>
      </c>
      <c r="H655">
        <v>73</v>
      </c>
      <c r="I655" t="s">
        <v>277</v>
      </c>
      <c r="J655">
        <v>73</v>
      </c>
      <c r="K655">
        <v>92</v>
      </c>
      <c r="L655">
        <v>60</v>
      </c>
      <c r="M655" t="s">
        <v>5381</v>
      </c>
      <c r="N655" s="15">
        <v>2</v>
      </c>
      <c r="Q655" s="5" t="s">
        <v>4827</v>
      </c>
      <c r="R655" t="s">
        <v>4828</v>
      </c>
      <c r="V655" s="1" t="s">
        <v>57</v>
      </c>
      <c r="W655" t="s">
        <v>57</v>
      </c>
      <c r="X655" t="s">
        <v>57</v>
      </c>
      <c r="Y655" t="s">
        <v>57</v>
      </c>
      <c r="Z655" t="s">
        <v>57</v>
      </c>
      <c r="AA655" t="s">
        <v>57</v>
      </c>
      <c r="AB655" t="s">
        <v>57</v>
      </c>
      <c r="AC655" t="s">
        <v>57</v>
      </c>
      <c r="AD655" t="s">
        <v>57</v>
      </c>
      <c r="AE655" t="s">
        <v>57</v>
      </c>
      <c r="AF655" t="s">
        <v>57</v>
      </c>
      <c r="AG655" t="s">
        <v>57</v>
      </c>
      <c r="AH655" t="s">
        <v>57</v>
      </c>
      <c r="AI655" t="s">
        <v>57</v>
      </c>
      <c r="AJ655" t="s">
        <v>57</v>
      </c>
      <c r="AK655" t="s">
        <v>57</v>
      </c>
      <c r="AL655" t="s">
        <v>57</v>
      </c>
      <c r="AM655" t="s">
        <v>57</v>
      </c>
      <c r="AN655" t="s">
        <v>57</v>
      </c>
      <c r="AO655" s="1" t="s">
        <v>57</v>
      </c>
      <c r="AP655" t="s">
        <v>57</v>
      </c>
      <c r="AQ655" t="s">
        <v>57</v>
      </c>
      <c r="AR655" t="s">
        <v>57</v>
      </c>
      <c r="AS655" t="s">
        <v>57</v>
      </c>
      <c r="AT655" t="s">
        <v>57</v>
      </c>
      <c r="AU655" t="s">
        <v>57</v>
      </c>
      <c r="AV655" t="s">
        <v>57</v>
      </c>
      <c r="AW655" t="s">
        <v>57</v>
      </c>
      <c r="AX655" t="s">
        <v>57</v>
      </c>
      <c r="AY655" t="s">
        <v>57</v>
      </c>
      <c r="AZ655" t="s">
        <v>57</v>
      </c>
      <c r="BA655" t="s">
        <v>57</v>
      </c>
      <c r="BB655" t="s">
        <v>57</v>
      </c>
      <c r="BC655" t="s">
        <v>57</v>
      </c>
      <c r="BD655" t="s">
        <v>57</v>
      </c>
      <c r="BE655" t="s">
        <v>57</v>
      </c>
      <c r="BF655" t="s">
        <v>57</v>
      </c>
      <c r="BG655" t="s">
        <v>57</v>
      </c>
      <c r="BH655" s="1" t="s">
        <v>57</v>
      </c>
      <c r="BI655" t="s">
        <v>57</v>
      </c>
      <c r="BJ655" s="1" t="str">
        <f>HYPERLINK("http://exon.niaid.nih.gov/transcriptome/T_rubida/S1/links/CDD/Triru-contig_265-CDD.txt","PLN02668")</f>
        <v>PLN02668</v>
      </c>
      <c r="BK655" t="str">
        <f>HYPERLINK("http://www.ncbi.nlm.nih.gov/Structure/cdd/cddsrv.cgi?uid=PLN02668&amp;version=v4.0","3.6")</f>
        <v>3.6</v>
      </c>
      <c r="BL655" t="s">
        <v>2264</v>
      </c>
      <c r="BM655" s="1" t="s">
        <v>57</v>
      </c>
      <c r="BN655" t="s">
        <v>57</v>
      </c>
      <c r="BO655" t="s">
        <v>57</v>
      </c>
      <c r="BP655" s="1" t="str">
        <f>HYPERLINK("http://exon.niaid.nih.gov/transcriptome/T_rubida/S1/links/PFAM/Triru-contig_265-PFAM.txt","Adeno_E1B_55K")</f>
        <v>Adeno_E1B_55K</v>
      </c>
      <c r="BQ655" t="str">
        <f>HYPERLINK("http://pfam.sanger.ac.uk/family?acc=PF01696","3.3")</f>
        <v>3.3</v>
      </c>
      <c r="BR655" s="1" t="str">
        <f>HYPERLINK("http://exon.niaid.nih.gov/transcriptome/T_rubida/S1/links/SMART/Triru-contig_265-SMART.txt","LIGANc")</f>
        <v>LIGANc</v>
      </c>
      <c r="BS655" t="str">
        <f>HYPERLINK("http://smart.embl-heidelberg.de/smart/do_annotation.pl?DOMAIN=LIGANc&amp;BLAST=DUMMY","0.41")</f>
        <v>0.41</v>
      </c>
      <c r="BT655" s="1" t="str">
        <f>HYPERLINK("http://exon.niaid.nih.gov/transcriptome/T_rubida/S1/links/PRK/Triru-contig_265-PRK.txt","indole-3-acetate carboxyl methyltransferase.")</f>
        <v>indole-3-acetate carboxyl methyltransferase.</v>
      </c>
      <c r="BU655">
        <v>1.3</v>
      </c>
      <c r="BV655" s="1" t="s">
        <v>57</v>
      </c>
      <c r="BW655" t="s">
        <v>57</v>
      </c>
      <c r="BX655" s="1" t="s">
        <v>57</v>
      </c>
      <c r="BY655" t="s">
        <v>57</v>
      </c>
    </row>
    <row r="656" spans="1:77">
      <c r="A656" t="str">
        <f>HYPERLINK("http://exon.niaid.nih.gov/transcriptome/T_rubida/S1/links/Triru/Triru-contig_312.txt","Triru-contig_312")</f>
        <v>Triru-contig_312</v>
      </c>
      <c r="B656">
        <v>1</v>
      </c>
      <c r="C656" t="str">
        <f>HYPERLINK("http://exon.niaid.nih.gov/transcriptome/T_rubida/S1/links/Triru/Triru-5-48-asb-312.txt","Contig-312")</f>
        <v>Contig-312</v>
      </c>
      <c r="D656" t="str">
        <f>HYPERLINK("http://exon.niaid.nih.gov/transcriptome/T_rubida/S1/links/Triru/Triru-5-48-312-CLU.txt","Contig312")</f>
        <v>Contig312</v>
      </c>
      <c r="E656" t="str">
        <f>HYPERLINK("http://exon.niaid.nih.gov/transcriptome/T_rubida/S1/links/Triru/Triru-5-48-312-qual.txt","60.7")</f>
        <v>60.7</v>
      </c>
      <c r="F656" t="s">
        <v>10</v>
      </c>
      <c r="G656">
        <v>75.3</v>
      </c>
      <c r="H656">
        <v>135</v>
      </c>
      <c r="I656" t="s">
        <v>324</v>
      </c>
      <c r="J656">
        <v>135</v>
      </c>
      <c r="K656">
        <v>154</v>
      </c>
      <c r="L656">
        <v>105</v>
      </c>
      <c r="M656" t="s">
        <v>5382</v>
      </c>
      <c r="N656" s="15">
        <v>3</v>
      </c>
      <c r="Q656" s="5" t="s">
        <v>4827</v>
      </c>
      <c r="R656" t="s">
        <v>4828</v>
      </c>
      <c r="V656" s="1" t="s">
        <v>57</v>
      </c>
      <c r="W656" t="s">
        <v>57</v>
      </c>
      <c r="X656" t="s">
        <v>57</v>
      </c>
      <c r="Y656" t="s">
        <v>57</v>
      </c>
      <c r="Z656" t="s">
        <v>57</v>
      </c>
      <c r="AA656" t="s">
        <v>57</v>
      </c>
      <c r="AB656" t="s">
        <v>57</v>
      </c>
      <c r="AC656" t="s">
        <v>57</v>
      </c>
      <c r="AD656" t="s">
        <v>57</v>
      </c>
      <c r="AE656" t="s">
        <v>57</v>
      </c>
      <c r="AF656" t="s">
        <v>57</v>
      </c>
      <c r="AG656" t="s">
        <v>57</v>
      </c>
      <c r="AH656" t="s">
        <v>57</v>
      </c>
      <c r="AI656" t="s">
        <v>57</v>
      </c>
      <c r="AJ656" t="s">
        <v>57</v>
      </c>
      <c r="AK656" t="s">
        <v>57</v>
      </c>
      <c r="AL656" t="s">
        <v>57</v>
      </c>
      <c r="AM656" t="s">
        <v>57</v>
      </c>
      <c r="AN656" t="s">
        <v>57</v>
      </c>
      <c r="AO656" s="1" t="str">
        <f>HYPERLINK("http://exon.niaid.nih.gov/transcriptome/T_rubida/S1/links/SWISSP/Triru-contig_312-SWISSP.txt","Ovotransferrin")</f>
        <v>Ovotransferrin</v>
      </c>
      <c r="AP656" t="str">
        <f>HYPERLINK("http://www.uniprot.org/uniprot/P02789","41")</f>
        <v>41</v>
      </c>
      <c r="AQ656" t="s">
        <v>2593</v>
      </c>
      <c r="AR656">
        <v>26.9</v>
      </c>
      <c r="AS656">
        <v>26</v>
      </c>
      <c r="AT656">
        <v>40</v>
      </c>
      <c r="AU656">
        <v>4</v>
      </c>
      <c r="AV656">
        <v>16</v>
      </c>
      <c r="AW656">
        <v>0</v>
      </c>
      <c r="AX656">
        <v>40</v>
      </c>
      <c r="AY656">
        <v>2</v>
      </c>
      <c r="AZ656">
        <v>1</v>
      </c>
      <c r="BA656">
        <v>2</v>
      </c>
      <c r="BB656" t="s">
        <v>11</v>
      </c>
      <c r="BD656" t="s">
        <v>704</v>
      </c>
      <c r="BE656" t="s">
        <v>1196</v>
      </c>
      <c r="BF656" t="s">
        <v>2594</v>
      </c>
      <c r="BG656" t="s">
        <v>2595</v>
      </c>
      <c r="BH656" s="1" t="s">
        <v>57</v>
      </c>
      <c r="BI656" t="s">
        <v>57</v>
      </c>
      <c r="BJ656" s="1" t="str">
        <f>HYPERLINK("http://exon.niaid.nih.gov/transcriptome/T_rubida/S1/links/CDD/Triru-contig_312-CDD.txt","Peptidase_A8")</f>
        <v>Peptidase_A8</v>
      </c>
      <c r="BK656" t="str">
        <f>HYPERLINK("http://www.ncbi.nlm.nih.gov/Structure/cdd/cddsrv.cgi?uid=pfam01252&amp;version=v4.0","2.8")</f>
        <v>2.8</v>
      </c>
      <c r="BL656" t="s">
        <v>2596</v>
      </c>
      <c r="BM656" s="1" t="str">
        <f>HYPERLINK("http://exon.niaid.nih.gov/transcriptome/T_rubida/S1/links/KOG/Triru-contig_312-KOG.txt","Ca2+/Mg2+-permeable cation channels (LTRPC family)")</f>
        <v>Ca2+/Mg2+-permeable cation channels (LTRPC family)</v>
      </c>
      <c r="BN656" t="str">
        <f>HYPERLINK("http://www.ncbi.nlm.nih.gov/COG/grace/shokog.cgi?KOG3614","1.8")</f>
        <v>1.8</v>
      </c>
      <c r="BO656" t="s">
        <v>720</v>
      </c>
      <c r="BP656" s="1" t="str">
        <f>HYPERLINK("http://exon.niaid.nih.gov/transcriptome/T_rubida/S1/links/PFAM/Triru-contig_312-PFAM.txt","Peptidase_A8")</f>
        <v>Peptidase_A8</v>
      </c>
      <c r="BQ656" t="str">
        <f>HYPERLINK("http://pfam.sanger.ac.uk/family?acc=PF01252","0.59")</f>
        <v>0.59</v>
      </c>
      <c r="BR656" s="1" t="str">
        <f>HYPERLINK("http://exon.niaid.nih.gov/transcriptome/T_rubida/S1/links/SMART/Triru-contig_312-SMART.txt","DENN")</f>
        <v>DENN</v>
      </c>
      <c r="BS656" t="str">
        <f>HYPERLINK("http://smart.embl-heidelberg.de/smart/do_annotation.pl?DOMAIN=DENN&amp;BLAST=DUMMY","0.35")</f>
        <v>0.35</v>
      </c>
      <c r="BT656" s="1" t="str">
        <f>HYPERLINK("http://exon.niaid.nih.gov/transcriptome/T_rubida/S1/links/PRK/Triru-contig_312-PRK.txt","NADH dehydrogenase subunit 5")</f>
        <v>NADH dehydrogenase subunit 5</v>
      </c>
      <c r="BU656">
        <v>2.4</v>
      </c>
      <c r="BV656" s="1" t="s">
        <v>57</v>
      </c>
      <c r="BW656" t="s">
        <v>57</v>
      </c>
      <c r="BX656" s="1" t="s">
        <v>57</v>
      </c>
      <c r="BY656" t="s">
        <v>57</v>
      </c>
    </row>
    <row r="657" spans="1:77">
      <c r="A657" t="str">
        <f>HYPERLINK("http://exon.niaid.nih.gov/transcriptome/T_rubida/S1/links/Triru/Triru-contig_322.txt","Triru-contig_322")</f>
        <v>Triru-contig_322</v>
      </c>
      <c r="B657">
        <v>1</v>
      </c>
      <c r="C657" t="str">
        <f>HYPERLINK("http://exon.niaid.nih.gov/transcriptome/T_rubida/S1/links/Triru/Triru-5-48-asb-322.txt","Contig-322")</f>
        <v>Contig-322</v>
      </c>
      <c r="D657" t="str">
        <f>HYPERLINK("http://exon.niaid.nih.gov/transcriptome/T_rubida/S1/links/Triru/Triru-5-48-322-CLU.txt","Contig322")</f>
        <v>Contig322</v>
      </c>
      <c r="E657" t="str">
        <f>HYPERLINK("http://exon.niaid.nih.gov/transcriptome/T_rubida/S1/links/Triru/Triru-5-48-322-qual.txt","60.5")</f>
        <v>60.5</v>
      </c>
      <c r="F657" t="s">
        <v>10</v>
      </c>
      <c r="G657">
        <v>70.3</v>
      </c>
      <c r="H657">
        <v>156</v>
      </c>
      <c r="I657" t="s">
        <v>334</v>
      </c>
      <c r="J657">
        <v>156</v>
      </c>
      <c r="K657">
        <v>175</v>
      </c>
      <c r="L657">
        <v>75</v>
      </c>
      <c r="M657" t="s">
        <v>5383</v>
      </c>
      <c r="N657" s="15">
        <v>1</v>
      </c>
      <c r="Q657" s="5" t="s">
        <v>4827</v>
      </c>
      <c r="R657" t="s">
        <v>4828</v>
      </c>
      <c r="V657" s="1" t="s">
        <v>57</v>
      </c>
      <c r="W657" t="s">
        <v>57</v>
      </c>
      <c r="X657" t="s">
        <v>57</v>
      </c>
      <c r="Y657" t="s">
        <v>57</v>
      </c>
      <c r="Z657" t="s">
        <v>57</v>
      </c>
      <c r="AA657" t="s">
        <v>57</v>
      </c>
      <c r="AB657" t="s">
        <v>57</v>
      </c>
      <c r="AC657" t="s">
        <v>57</v>
      </c>
      <c r="AD657" t="s">
        <v>57</v>
      </c>
      <c r="AE657" t="s">
        <v>57</v>
      </c>
      <c r="AF657" t="s">
        <v>57</v>
      </c>
      <c r="AG657" t="s">
        <v>57</v>
      </c>
      <c r="AH657" t="s">
        <v>57</v>
      </c>
      <c r="AI657" t="s">
        <v>57</v>
      </c>
      <c r="AJ657" t="s">
        <v>57</v>
      </c>
      <c r="AK657" t="s">
        <v>57</v>
      </c>
      <c r="AL657" t="s">
        <v>57</v>
      </c>
      <c r="AM657" t="s">
        <v>57</v>
      </c>
      <c r="AN657" t="s">
        <v>57</v>
      </c>
      <c r="AO657" s="1" t="str">
        <f>HYPERLINK("http://exon.niaid.nih.gov/transcriptome/T_rubida/S1/links/SWISSP/Triru-contig_322-SWISSP.txt","Translation initiation factor IF-2")</f>
        <v>Translation initiation factor IF-2</v>
      </c>
      <c r="AP657" t="str">
        <f>HYPERLINK("http://www.uniprot.org/uniprot/Q4A578","89")</f>
        <v>89</v>
      </c>
      <c r="AQ657" t="s">
        <v>2663</v>
      </c>
      <c r="AR657">
        <v>25.8</v>
      </c>
      <c r="AS657">
        <v>33</v>
      </c>
      <c r="AT657">
        <v>44</v>
      </c>
      <c r="AU657">
        <v>6</v>
      </c>
      <c r="AV657">
        <v>19</v>
      </c>
      <c r="AW657">
        <v>0</v>
      </c>
      <c r="AX657">
        <v>466</v>
      </c>
      <c r="AY657">
        <v>9</v>
      </c>
      <c r="AZ657">
        <v>1</v>
      </c>
      <c r="BA657">
        <v>3</v>
      </c>
      <c r="BB657" t="s">
        <v>11</v>
      </c>
      <c r="BC657">
        <v>6.0609999999999999</v>
      </c>
      <c r="BD657" t="s">
        <v>704</v>
      </c>
      <c r="BE657" t="s">
        <v>2664</v>
      </c>
      <c r="BF657" t="s">
        <v>2665</v>
      </c>
      <c r="BG657" t="s">
        <v>2666</v>
      </c>
      <c r="BH657" s="1" t="s">
        <v>57</v>
      </c>
      <c r="BI657" t="s">
        <v>57</v>
      </c>
      <c r="BJ657" s="1" t="str">
        <f>HYPERLINK("http://exon.niaid.nih.gov/transcriptome/T_rubida/S1/links/CDD/Triru-contig_322-CDD.txt","COG5062")</f>
        <v>COG5062</v>
      </c>
      <c r="BK657" t="str">
        <f>HYPERLINK("http://www.ncbi.nlm.nih.gov/Structure/cdd/cddsrv.cgi?uid=COG5062&amp;version=v4.0","4.0")</f>
        <v>4.0</v>
      </c>
      <c r="BL657" t="s">
        <v>2667</v>
      </c>
      <c r="BM657" s="1" t="str">
        <f>HYPERLINK("http://exon.niaid.nih.gov/transcriptome/T_rubida/S1/links/KOG/Triru-contig_322-KOG.txt","Uncharacterized conserved protein")</f>
        <v>Uncharacterized conserved protein</v>
      </c>
      <c r="BN657" t="str">
        <f>HYPERLINK("http://www.ncbi.nlm.nih.gov/COG/grace/shokog.cgi?KOG2340","8.6")</f>
        <v>8.6</v>
      </c>
      <c r="BO657" t="s">
        <v>737</v>
      </c>
      <c r="BP657" s="1" t="str">
        <f>HYPERLINK("http://exon.niaid.nih.gov/transcriptome/T_rubida/S1/links/PFAM/Triru-contig_322-PFAM.txt","Plant_vir_prot")</f>
        <v>Plant_vir_prot</v>
      </c>
      <c r="BQ657" t="str">
        <f>HYPERLINK("http://pfam.sanger.ac.uk/family?acc=PF01307","1.1")</f>
        <v>1.1</v>
      </c>
      <c r="BR657" s="1" t="str">
        <f>HYPERLINK("http://exon.niaid.nih.gov/transcriptome/T_rubida/S1/links/SMART/Triru-contig_322-SMART.txt","HTH_ICLR")</f>
        <v>HTH_ICLR</v>
      </c>
      <c r="BS657" t="str">
        <f>HYPERLINK("http://smart.embl-heidelberg.de/smart/do_annotation.pl?DOMAIN=HTH_ICLR&amp;BLAST=DUMMY","0.71")</f>
        <v>0.71</v>
      </c>
      <c r="BT657" s="1" t="str">
        <f>HYPERLINK("http://exon.niaid.nih.gov/transcriptome/T_rubida/S1/links/PRK/Triru-contig_322-PRK.txt","aconitate hydratase-like protein")</f>
        <v>aconitate hydratase-like protein</v>
      </c>
      <c r="BU657">
        <v>1.5</v>
      </c>
      <c r="BV657" s="1" t="s">
        <v>57</v>
      </c>
      <c r="BW657" t="s">
        <v>57</v>
      </c>
      <c r="BX657" s="1" t="s">
        <v>57</v>
      </c>
      <c r="BY657" t="s">
        <v>57</v>
      </c>
    </row>
    <row r="658" spans="1:77">
      <c r="A658" t="str">
        <f>HYPERLINK("http://exon.niaid.nih.gov/transcriptome/T_rubida/S1/links/Triru/Triru-contig_337.txt","Triru-contig_337")</f>
        <v>Triru-contig_337</v>
      </c>
      <c r="B658">
        <v>1</v>
      </c>
      <c r="C658" t="str">
        <f>HYPERLINK("http://exon.niaid.nih.gov/transcriptome/T_rubida/S1/links/Triru/Triru-5-48-asb-337.txt","Contig-337")</f>
        <v>Contig-337</v>
      </c>
      <c r="D658" t="str">
        <f>HYPERLINK("http://exon.niaid.nih.gov/transcriptome/T_rubida/S1/links/Triru/Triru-5-48-337-CLU.txt","Contig337")</f>
        <v>Contig337</v>
      </c>
      <c r="E658" t="str">
        <f>HYPERLINK("http://exon.niaid.nih.gov/transcriptome/T_rubida/S1/links/Triru/Triru-5-48-337-qual.txt","50.2")</f>
        <v>50.2</v>
      </c>
      <c r="F658" t="s">
        <v>10</v>
      </c>
      <c r="G658">
        <v>71.900000000000006</v>
      </c>
      <c r="H658">
        <v>141</v>
      </c>
      <c r="I658" t="s">
        <v>349</v>
      </c>
      <c r="J658">
        <v>141</v>
      </c>
      <c r="K658">
        <v>160</v>
      </c>
      <c r="L658">
        <v>63</v>
      </c>
      <c r="M658" t="s">
        <v>5384</v>
      </c>
      <c r="N658" s="15">
        <v>3</v>
      </c>
      <c r="Q658" s="5" t="s">
        <v>4827</v>
      </c>
      <c r="R658" t="s">
        <v>4828</v>
      </c>
      <c r="V658" s="1" t="s">
        <v>57</v>
      </c>
      <c r="W658" t="s">
        <v>57</v>
      </c>
      <c r="X658" t="s">
        <v>57</v>
      </c>
      <c r="Y658" t="s">
        <v>57</v>
      </c>
      <c r="Z658" t="s">
        <v>57</v>
      </c>
      <c r="AA658" t="s">
        <v>57</v>
      </c>
      <c r="AB658" t="s">
        <v>57</v>
      </c>
      <c r="AC658" t="s">
        <v>57</v>
      </c>
      <c r="AD658" t="s">
        <v>57</v>
      </c>
      <c r="AE658" t="s">
        <v>57</v>
      </c>
      <c r="AF658" t="s">
        <v>57</v>
      </c>
      <c r="AG658" t="s">
        <v>57</v>
      </c>
      <c r="AH658" t="s">
        <v>57</v>
      </c>
      <c r="AI658" t="s">
        <v>57</v>
      </c>
      <c r="AJ658" t="s">
        <v>57</v>
      </c>
      <c r="AK658" t="s">
        <v>57</v>
      </c>
      <c r="AL658" t="s">
        <v>57</v>
      </c>
      <c r="AM658" t="s">
        <v>57</v>
      </c>
      <c r="AN658" t="s">
        <v>57</v>
      </c>
      <c r="AO658" s="1" t="str">
        <f>HYPERLINK("http://exon.niaid.nih.gov/transcriptome/T_rubida/S1/links/SWISSP/Triru-contig_337-SWISSP.txt","Putative cytochrome P450 142")</f>
        <v>Putative cytochrome P450 142</v>
      </c>
      <c r="AP658" t="str">
        <f>HYPERLINK("http://www.uniprot.org/uniprot/O53563","69")</f>
        <v>69</v>
      </c>
      <c r="AQ658" t="s">
        <v>2763</v>
      </c>
      <c r="AR658">
        <v>26.2</v>
      </c>
      <c r="AS658">
        <v>41</v>
      </c>
      <c r="AT658">
        <v>35</v>
      </c>
      <c r="AU658">
        <v>11</v>
      </c>
      <c r="AV658">
        <v>27</v>
      </c>
      <c r="AW658">
        <v>5</v>
      </c>
      <c r="AX658">
        <v>292</v>
      </c>
      <c r="AY658">
        <v>15</v>
      </c>
      <c r="AZ658">
        <v>1</v>
      </c>
      <c r="BA658">
        <v>3</v>
      </c>
      <c r="BB658" t="s">
        <v>11</v>
      </c>
      <c r="BC658">
        <v>4.8780000000000001</v>
      </c>
      <c r="BD658" t="s">
        <v>704</v>
      </c>
      <c r="BE658" t="s">
        <v>2764</v>
      </c>
      <c r="BF658" t="s">
        <v>2765</v>
      </c>
      <c r="BG658" t="s">
        <v>2766</v>
      </c>
      <c r="BH658" s="1" t="s">
        <v>57</v>
      </c>
      <c r="BI658" t="s">
        <v>57</v>
      </c>
      <c r="BJ658" s="1" t="str">
        <f>HYPERLINK("http://exon.niaid.nih.gov/transcriptome/T_rubida/S1/links/CDD/Triru-contig_337-CDD.txt","GT8_Glycogenin")</f>
        <v>GT8_Glycogenin</v>
      </c>
      <c r="BK658" t="str">
        <f>HYPERLINK("http://www.ncbi.nlm.nih.gov/Structure/cdd/cddsrv.cgi?uid=cd02537&amp;version=v4.0","0.15")</f>
        <v>0.15</v>
      </c>
      <c r="BL658" t="s">
        <v>2767</v>
      </c>
      <c r="BM658" s="1" t="str">
        <f>HYPERLINK("http://exon.niaid.nih.gov/transcriptome/T_rubida/S1/links/KOG/Triru-contig_337-KOG.txt","Uncharacterized conserved protein")</f>
        <v>Uncharacterized conserved protein</v>
      </c>
      <c r="BN658" t="str">
        <f>HYPERLINK("http://www.ncbi.nlm.nih.gov/COG/grace/shokog.cgi?KOG4740","6.9")</f>
        <v>6.9</v>
      </c>
      <c r="BO658" t="s">
        <v>737</v>
      </c>
      <c r="BP658" s="1" t="str">
        <f>HYPERLINK("http://exon.niaid.nih.gov/transcriptome/T_rubida/S1/links/PFAM/Triru-contig_337-PFAM.txt","RecU")</f>
        <v>RecU</v>
      </c>
      <c r="BQ658" t="str">
        <f>HYPERLINK("http://pfam.sanger.ac.uk/family?acc=PF03838","0.47")</f>
        <v>0.47</v>
      </c>
      <c r="BR658" s="1" t="str">
        <f>HYPERLINK("http://exon.niaid.nih.gov/transcriptome/T_rubida/S1/links/SMART/Triru-contig_337-SMART.txt","ZnF_AN1")</f>
        <v>ZnF_AN1</v>
      </c>
      <c r="BS658" t="str">
        <f>HYPERLINK("http://smart.embl-heidelberg.de/smart/do_annotation.pl?DOMAIN=ZnF_AN1&amp;BLAST=DUMMY","0.12")</f>
        <v>0.12</v>
      </c>
      <c r="BT658" s="1" t="str">
        <f>HYPERLINK("http://exon.niaid.nih.gov/transcriptome/T_rubida/S1/links/PRK/Triru-contig_337-PRK.txt","reticulocyte binding protein 2-like protein")</f>
        <v>reticulocyte binding protein 2-like protein</v>
      </c>
      <c r="BU658">
        <v>0.93</v>
      </c>
      <c r="BV658" s="1" t="s">
        <v>57</v>
      </c>
      <c r="BW658" t="s">
        <v>57</v>
      </c>
      <c r="BX658" s="1" t="s">
        <v>57</v>
      </c>
      <c r="BY658" t="s">
        <v>57</v>
      </c>
    </row>
    <row r="659" spans="1:77">
      <c r="A659" t="str">
        <f>HYPERLINK("http://exon.niaid.nih.gov/transcriptome/T_rubida/S1/links/Triru/Triru-contig_344.txt","Triru-contig_344")</f>
        <v>Triru-contig_344</v>
      </c>
      <c r="B659">
        <v>1</v>
      </c>
      <c r="C659" t="str">
        <f>HYPERLINK("http://exon.niaid.nih.gov/transcriptome/T_rubida/S1/links/Triru/Triru-5-48-asb-344.txt","Contig-344")</f>
        <v>Contig-344</v>
      </c>
      <c r="D659" t="str">
        <f>HYPERLINK("http://exon.niaid.nih.gov/transcriptome/T_rubida/S1/links/Triru/Triru-5-48-344-CLU.txt","Contig344")</f>
        <v>Contig344</v>
      </c>
      <c r="E659" t="str">
        <f>HYPERLINK("http://exon.niaid.nih.gov/transcriptome/T_rubida/S1/links/Triru/Triru-5-48-344-qual.txt","55.4")</f>
        <v>55.4</v>
      </c>
      <c r="F659" t="s">
        <v>10</v>
      </c>
      <c r="G659">
        <v>46.3</v>
      </c>
      <c r="H659" t="s">
        <v>57</v>
      </c>
      <c r="I659" t="s">
        <v>356</v>
      </c>
      <c r="J659" t="s">
        <v>57</v>
      </c>
      <c r="K659">
        <v>177</v>
      </c>
      <c r="L659">
        <v>132</v>
      </c>
      <c r="M659" t="s">
        <v>5385</v>
      </c>
      <c r="N659" s="15">
        <v>3</v>
      </c>
      <c r="Q659" s="5" t="s">
        <v>4827</v>
      </c>
      <c r="R659" t="s">
        <v>4828</v>
      </c>
      <c r="V659" s="1" t="s">
        <v>57</v>
      </c>
      <c r="W659" t="s">
        <v>57</v>
      </c>
      <c r="X659" t="s">
        <v>57</v>
      </c>
      <c r="Y659" t="s">
        <v>57</v>
      </c>
      <c r="Z659" t="s">
        <v>57</v>
      </c>
      <c r="AA659" t="s">
        <v>57</v>
      </c>
      <c r="AB659" t="s">
        <v>57</v>
      </c>
      <c r="AC659" t="s">
        <v>57</v>
      </c>
      <c r="AD659" t="s">
        <v>57</v>
      </c>
      <c r="AE659" t="s">
        <v>57</v>
      </c>
      <c r="AF659" t="s">
        <v>57</v>
      </c>
      <c r="AG659" t="s">
        <v>57</v>
      </c>
      <c r="AH659" t="s">
        <v>57</v>
      </c>
      <c r="AI659" t="s">
        <v>57</v>
      </c>
      <c r="AJ659" t="s">
        <v>57</v>
      </c>
      <c r="AK659" t="s">
        <v>57</v>
      </c>
      <c r="AL659" t="s">
        <v>57</v>
      </c>
      <c r="AM659" t="s">
        <v>57</v>
      </c>
      <c r="AN659" t="s">
        <v>57</v>
      </c>
      <c r="AO659" s="1" t="str">
        <f>HYPERLINK("http://exon.niaid.nih.gov/transcriptome/T_rubida/S1/links/SWISSP/Triru-contig_344-SWISSP.txt","Glucose-1-phosphate adenylyltransferase")</f>
        <v>Glucose-1-phosphate adenylyltransferase</v>
      </c>
      <c r="AP659" t="str">
        <f>HYPERLINK("http://www.uniprot.org/uniprot/A5IKI1","10")</f>
        <v>10</v>
      </c>
      <c r="AQ659" t="s">
        <v>2811</v>
      </c>
      <c r="AR659">
        <v>28.9</v>
      </c>
      <c r="AS659">
        <v>41</v>
      </c>
      <c r="AT659">
        <v>30</v>
      </c>
      <c r="AU659">
        <v>10</v>
      </c>
      <c r="AV659">
        <v>29</v>
      </c>
      <c r="AW659">
        <v>0</v>
      </c>
      <c r="AX659">
        <v>141</v>
      </c>
      <c r="AY659">
        <v>33</v>
      </c>
      <c r="AZ659">
        <v>1</v>
      </c>
      <c r="BA659">
        <v>3</v>
      </c>
      <c r="BB659" t="s">
        <v>11</v>
      </c>
      <c r="BD659" t="s">
        <v>704</v>
      </c>
      <c r="BE659" t="s">
        <v>2812</v>
      </c>
      <c r="BF659" t="s">
        <v>2813</v>
      </c>
      <c r="BG659" t="s">
        <v>2814</v>
      </c>
      <c r="BH659" s="1" t="s">
        <v>57</v>
      </c>
      <c r="BI659" t="s">
        <v>57</v>
      </c>
      <c r="BJ659" s="1" t="str">
        <f>HYPERLINK("http://exon.niaid.nih.gov/transcriptome/T_rubida/S1/links/CDD/Triru-contig_344-CDD.txt","G2F")</f>
        <v>G2F</v>
      </c>
      <c r="BK659" t="str">
        <f>HYPERLINK("http://www.ncbi.nlm.nih.gov/Structure/cdd/cddsrv.cgi?uid=smart00682&amp;version=v4.0","0.50")</f>
        <v>0.50</v>
      </c>
      <c r="BL659" t="s">
        <v>2815</v>
      </c>
      <c r="BM659" s="1" t="str">
        <f>HYPERLINK("http://exon.niaid.nih.gov/transcriptome/T_rubida/S1/links/KOG/Triru-contig_344-KOG.txt","Serine/threonine protein kinase")</f>
        <v>Serine/threonine protein kinase</v>
      </c>
      <c r="BN659" t="str">
        <f>HYPERLINK("http://www.ncbi.nlm.nih.gov/COG/grace/shokog.cgi?KOG4279","0.23")</f>
        <v>0.23</v>
      </c>
      <c r="BO659" t="s">
        <v>728</v>
      </c>
      <c r="BP659" s="1" t="str">
        <f>HYPERLINK("http://exon.niaid.nih.gov/transcriptome/T_rubida/S1/links/PFAM/Triru-contig_344-PFAM.txt","DUF241")</f>
        <v>DUF241</v>
      </c>
      <c r="BQ659" t="str">
        <f>HYPERLINK("http://pfam.sanger.ac.uk/family?acc=PF03087","0.33")</f>
        <v>0.33</v>
      </c>
      <c r="BR659" s="1" t="str">
        <f>HYPERLINK("http://exon.niaid.nih.gov/transcriptome/T_rubida/S1/links/SMART/Triru-contig_344-SMART.txt","G2F")</f>
        <v>G2F</v>
      </c>
      <c r="BS659" t="str">
        <f>HYPERLINK("http://smart.embl-heidelberg.de/smart/do_annotation.pl?DOMAIN=G2F&amp;BLAST=DUMMY","0.005")</f>
        <v>0.005</v>
      </c>
      <c r="BT659" s="1" t="str">
        <f>HYPERLINK("http://exon.niaid.nih.gov/transcriptome/T_rubida/S1/links/PRK/Triru-contig_344-PRK.txt","tRNA-splicing endonuclease subunit alpha")</f>
        <v>tRNA-splicing endonuclease subunit alpha</v>
      </c>
      <c r="BU659">
        <v>0.4</v>
      </c>
      <c r="BV659" s="1" t="s">
        <v>57</v>
      </c>
      <c r="BW659" t="s">
        <v>57</v>
      </c>
      <c r="BX659" s="1" t="s">
        <v>57</v>
      </c>
      <c r="BY659" t="s">
        <v>57</v>
      </c>
    </row>
    <row r="660" spans="1:77">
      <c r="A660" t="str">
        <f>HYPERLINK("http://exon.niaid.nih.gov/transcriptome/T_rubida/S1/links/Triru/Triru-contig_356.txt","Triru-contig_356")</f>
        <v>Triru-contig_356</v>
      </c>
      <c r="B660">
        <v>1</v>
      </c>
      <c r="C660" t="str">
        <f>HYPERLINK("http://exon.niaid.nih.gov/transcriptome/T_rubida/S1/links/Triru/Triru-5-48-asb-356.txt","Contig-356")</f>
        <v>Contig-356</v>
      </c>
      <c r="D660" t="str">
        <f>HYPERLINK("http://exon.niaid.nih.gov/transcriptome/T_rubida/S1/links/Triru/Triru-5-48-356-CLU.txt","Contig356")</f>
        <v>Contig356</v>
      </c>
      <c r="E660" t="str">
        <f>HYPERLINK("http://exon.niaid.nih.gov/transcriptome/T_rubida/S1/links/Triru/Triru-5-48-356-qual.txt","44.")</f>
        <v>44.</v>
      </c>
      <c r="F660">
        <v>1.3</v>
      </c>
      <c r="G660">
        <v>78.900000000000006</v>
      </c>
      <c r="H660">
        <v>57</v>
      </c>
      <c r="I660" t="s">
        <v>368</v>
      </c>
      <c r="J660">
        <v>57</v>
      </c>
      <c r="K660">
        <v>76</v>
      </c>
      <c r="L660">
        <v>69</v>
      </c>
      <c r="M660" t="s">
        <v>5386</v>
      </c>
      <c r="N660" s="15">
        <v>3</v>
      </c>
      <c r="Q660" s="5" t="s">
        <v>4827</v>
      </c>
      <c r="R660" t="s">
        <v>4828</v>
      </c>
      <c r="V660" s="1" t="s">
        <v>57</v>
      </c>
      <c r="W660" t="s">
        <v>57</v>
      </c>
      <c r="X660" t="s">
        <v>57</v>
      </c>
      <c r="Y660" t="s">
        <v>57</v>
      </c>
      <c r="Z660" t="s">
        <v>57</v>
      </c>
      <c r="AA660" t="s">
        <v>57</v>
      </c>
      <c r="AB660" t="s">
        <v>57</v>
      </c>
      <c r="AC660" t="s">
        <v>57</v>
      </c>
      <c r="AD660" t="s">
        <v>57</v>
      </c>
      <c r="AE660" t="s">
        <v>57</v>
      </c>
      <c r="AF660" t="s">
        <v>57</v>
      </c>
      <c r="AG660" t="s">
        <v>57</v>
      </c>
      <c r="AH660" t="s">
        <v>57</v>
      </c>
      <c r="AI660" t="s">
        <v>57</v>
      </c>
      <c r="AJ660" t="s">
        <v>57</v>
      </c>
      <c r="AK660" t="s">
        <v>57</v>
      </c>
      <c r="AL660" t="s">
        <v>57</v>
      </c>
      <c r="AM660" t="s">
        <v>57</v>
      </c>
      <c r="AN660" t="s">
        <v>57</v>
      </c>
      <c r="AO660" s="1" t="s">
        <v>57</v>
      </c>
      <c r="AP660" t="s">
        <v>57</v>
      </c>
      <c r="AQ660" t="s">
        <v>57</v>
      </c>
      <c r="AR660" t="s">
        <v>57</v>
      </c>
      <c r="AS660" t="s">
        <v>57</v>
      </c>
      <c r="AT660" t="s">
        <v>57</v>
      </c>
      <c r="AU660" t="s">
        <v>57</v>
      </c>
      <c r="AV660" t="s">
        <v>57</v>
      </c>
      <c r="AW660" t="s">
        <v>57</v>
      </c>
      <c r="AX660" t="s">
        <v>57</v>
      </c>
      <c r="AY660" t="s">
        <v>57</v>
      </c>
      <c r="AZ660" t="s">
        <v>57</v>
      </c>
      <c r="BA660" t="s">
        <v>57</v>
      </c>
      <c r="BB660" t="s">
        <v>57</v>
      </c>
      <c r="BC660" t="s">
        <v>57</v>
      </c>
      <c r="BD660" t="s">
        <v>57</v>
      </c>
      <c r="BE660" t="s">
        <v>57</v>
      </c>
      <c r="BF660" t="s">
        <v>57</v>
      </c>
      <c r="BG660" t="s">
        <v>57</v>
      </c>
      <c r="BH660" s="1" t="s">
        <v>57</v>
      </c>
      <c r="BI660" t="s">
        <v>57</v>
      </c>
      <c r="BJ660" s="1" t="s">
        <v>57</v>
      </c>
      <c r="BK660" t="s">
        <v>57</v>
      </c>
      <c r="BL660" t="s">
        <v>57</v>
      </c>
      <c r="BM660" s="1" t="s">
        <v>57</v>
      </c>
      <c r="BN660" t="s">
        <v>57</v>
      </c>
      <c r="BO660" t="s">
        <v>57</v>
      </c>
      <c r="BP660" s="1" t="s">
        <v>57</v>
      </c>
      <c r="BQ660" t="s">
        <v>57</v>
      </c>
      <c r="BR660" s="1" t="str">
        <f>HYPERLINK("http://exon.niaid.nih.gov/transcriptome/T_rubida/S1/links/SMART/Triru-contig_356-SMART.txt","Sema")</f>
        <v>Sema</v>
      </c>
      <c r="BS660" t="str">
        <f>HYPERLINK("http://smart.embl-heidelberg.de/smart/do_annotation.pl?DOMAIN=Sema&amp;BLAST=DUMMY","3.4")</f>
        <v>3.4</v>
      </c>
      <c r="BT660" s="1" t="s">
        <v>57</v>
      </c>
      <c r="BU660" t="s">
        <v>57</v>
      </c>
      <c r="BV660" s="1" t="s">
        <v>57</v>
      </c>
      <c r="BW660" t="s">
        <v>57</v>
      </c>
      <c r="BX660" s="1" t="s">
        <v>57</v>
      </c>
      <c r="BY660" t="s">
        <v>57</v>
      </c>
    </row>
    <row r="661" spans="1:77">
      <c r="A661" t="str">
        <f>HYPERLINK("http://exon.niaid.nih.gov/transcriptome/T_rubida/S1/links/Triru/Triru-contig_359.txt","Triru-contig_359")</f>
        <v>Triru-contig_359</v>
      </c>
      <c r="B661">
        <v>1</v>
      </c>
      <c r="C661" t="str">
        <f>HYPERLINK("http://exon.niaid.nih.gov/transcriptome/T_rubida/S1/links/Triru/Triru-5-48-asb-359.txt","Contig-359")</f>
        <v>Contig-359</v>
      </c>
      <c r="D661" t="str">
        <f>HYPERLINK("http://exon.niaid.nih.gov/transcriptome/T_rubida/S1/links/Triru/Triru-5-48-359-CLU.txt","Contig359")</f>
        <v>Contig359</v>
      </c>
      <c r="E661" t="str">
        <f>HYPERLINK("http://exon.niaid.nih.gov/transcriptome/T_rubida/S1/links/Triru/Triru-5-48-359-qual.txt","60.3")</f>
        <v>60.3</v>
      </c>
      <c r="F661" t="s">
        <v>10</v>
      </c>
      <c r="G661">
        <v>71.7</v>
      </c>
      <c r="H661">
        <v>172</v>
      </c>
      <c r="I661" t="s">
        <v>371</v>
      </c>
      <c r="J661">
        <v>172</v>
      </c>
      <c r="K661">
        <v>191</v>
      </c>
      <c r="L661">
        <v>135</v>
      </c>
      <c r="M661" t="s">
        <v>5387</v>
      </c>
      <c r="N661" s="15">
        <v>3</v>
      </c>
      <c r="Q661" s="5" t="s">
        <v>4827</v>
      </c>
      <c r="R661" t="s">
        <v>4828</v>
      </c>
      <c r="V661" s="1" t="s">
        <v>57</v>
      </c>
      <c r="W661" t="s">
        <v>57</v>
      </c>
      <c r="X661" t="s">
        <v>57</v>
      </c>
      <c r="Y661" t="s">
        <v>57</v>
      </c>
      <c r="Z661" t="s">
        <v>57</v>
      </c>
      <c r="AA661" t="s">
        <v>57</v>
      </c>
      <c r="AB661" t="s">
        <v>57</v>
      </c>
      <c r="AC661" t="s">
        <v>57</v>
      </c>
      <c r="AD661" t="s">
        <v>57</v>
      </c>
      <c r="AE661" t="s">
        <v>57</v>
      </c>
      <c r="AF661" t="s">
        <v>57</v>
      </c>
      <c r="AG661" t="s">
        <v>57</v>
      </c>
      <c r="AH661" t="s">
        <v>57</v>
      </c>
      <c r="AI661" t="s">
        <v>57</v>
      </c>
      <c r="AJ661" t="s">
        <v>57</v>
      </c>
      <c r="AK661" t="s">
        <v>57</v>
      </c>
      <c r="AL661" t="s">
        <v>57</v>
      </c>
      <c r="AM661" t="s">
        <v>57</v>
      </c>
      <c r="AN661" t="s">
        <v>57</v>
      </c>
      <c r="AO661" s="1" t="str">
        <f>HYPERLINK("http://exon.niaid.nih.gov/transcriptome/T_rubida/S1/links/SWISSP/Triru-contig_359-SWISSP.txt","Major core protein P4a")</f>
        <v>Major core protein P4a</v>
      </c>
      <c r="AP661" t="str">
        <f>HYPERLINK("http://www.uniprot.org/uniprot/Q9J559","8.2")</f>
        <v>8.2</v>
      </c>
      <c r="AQ661" t="s">
        <v>2908</v>
      </c>
      <c r="AR661">
        <v>29.3</v>
      </c>
      <c r="AS661">
        <v>55</v>
      </c>
      <c r="AT661">
        <v>23</v>
      </c>
      <c r="AU661">
        <v>6</v>
      </c>
      <c r="AV661">
        <v>43</v>
      </c>
      <c r="AW661">
        <v>2</v>
      </c>
      <c r="AX661">
        <v>371</v>
      </c>
      <c r="AY661">
        <v>9</v>
      </c>
      <c r="AZ661">
        <v>1</v>
      </c>
      <c r="BA661">
        <v>3</v>
      </c>
      <c r="BB661" t="s">
        <v>11</v>
      </c>
      <c r="BC661">
        <v>1.8180000000000001</v>
      </c>
      <c r="BD661" t="s">
        <v>704</v>
      </c>
      <c r="BE661" t="s">
        <v>2729</v>
      </c>
      <c r="BF661" t="s">
        <v>2909</v>
      </c>
      <c r="BG661" t="s">
        <v>2910</v>
      </c>
      <c r="BH661" s="1" t="s">
        <v>57</v>
      </c>
      <c r="BI661" t="s">
        <v>57</v>
      </c>
      <c r="BJ661" s="1" t="str">
        <f>HYPERLINK("http://exon.niaid.nih.gov/transcriptome/T_rubida/S1/links/CDD/Triru-contig_359-CDD.txt","Otopetrin")</f>
        <v>Otopetrin</v>
      </c>
      <c r="BK661" t="str">
        <f>HYPERLINK("http://www.ncbi.nlm.nih.gov/Structure/cdd/cddsrv.cgi?uid=pfam03189&amp;version=v4.0","0.76")</f>
        <v>0.76</v>
      </c>
      <c r="BL661" t="s">
        <v>2911</v>
      </c>
      <c r="BM661" s="1" t="str">
        <f>HYPERLINK("http://exon.niaid.nih.gov/transcriptome/T_rubida/S1/links/KOG/Triru-contig_359-KOG.txt","DNA polymerase zeta, catalytic subunit")</f>
        <v>DNA polymerase zeta, catalytic subunit</v>
      </c>
      <c r="BN661" t="str">
        <f>HYPERLINK("http://www.ncbi.nlm.nih.gov/COG/grace/shokog.cgi?KOG0968","3.1")</f>
        <v>3.1</v>
      </c>
      <c r="BO661" t="s">
        <v>785</v>
      </c>
      <c r="BP661" s="1" t="str">
        <f>HYPERLINK("http://exon.niaid.nih.gov/transcriptome/T_rubida/S1/links/PFAM/Triru-contig_359-PFAM.txt","Otopetrin")</f>
        <v>Otopetrin</v>
      </c>
      <c r="BQ661" t="str">
        <f>HYPERLINK("http://pfam.sanger.ac.uk/family?acc=PF03189","0.16")</f>
        <v>0.16</v>
      </c>
      <c r="BR661" s="1" t="str">
        <f>HYPERLINK("http://exon.niaid.nih.gov/transcriptome/T_rubida/S1/links/SMART/Triru-contig_359-SMART.txt","CLECT")</f>
        <v>CLECT</v>
      </c>
      <c r="BS661" t="str">
        <f>HYPERLINK("http://smart.embl-heidelberg.de/smart/do_annotation.pl?DOMAIN=CLECT&amp;BLAST=DUMMY","0.36")</f>
        <v>0.36</v>
      </c>
      <c r="BT661" s="1" t="str">
        <f>HYPERLINK("http://exon.niaid.nih.gov/transcriptome/T_rubida/S1/links/PRK/Triru-contig_359-PRK.txt","inosine-5'-monophosphate dehydrogenase")</f>
        <v>inosine-5'-monophosphate dehydrogenase</v>
      </c>
      <c r="BU661">
        <v>2.1</v>
      </c>
      <c r="BV661" s="1" t="s">
        <v>57</v>
      </c>
      <c r="BW661" t="s">
        <v>57</v>
      </c>
      <c r="BX661" s="1" t="s">
        <v>57</v>
      </c>
      <c r="BY661" t="s">
        <v>57</v>
      </c>
    </row>
    <row r="662" spans="1:77">
      <c r="A662" t="str">
        <f>HYPERLINK("http://exon.niaid.nih.gov/transcriptome/T_rubida/S1/links/Triru/Triru-contig_375.txt","Triru-contig_375")</f>
        <v>Triru-contig_375</v>
      </c>
      <c r="B662">
        <v>1</v>
      </c>
      <c r="C662" t="str">
        <f>HYPERLINK("http://exon.niaid.nih.gov/transcriptome/T_rubida/S1/links/Triru/Triru-5-48-asb-375.txt","Contig-375")</f>
        <v>Contig-375</v>
      </c>
      <c r="D662" t="str">
        <f>HYPERLINK("http://exon.niaid.nih.gov/transcriptome/T_rubida/S1/links/Triru/Triru-5-48-375-CLU.txt","Contig375")</f>
        <v>Contig375</v>
      </c>
      <c r="E662" t="str">
        <f>HYPERLINK("http://exon.niaid.nih.gov/transcriptome/T_rubida/S1/links/Triru/Triru-5-48-375-qual.txt","52.1")</f>
        <v>52.1</v>
      </c>
      <c r="F662" t="s">
        <v>10</v>
      </c>
      <c r="G662">
        <v>76.5</v>
      </c>
      <c r="H662">
        <v>134</v>
      </c>
      <c r="I662" t="s">
        <v>387</v>
      </c>
      <c r="J662">
        <v>134</v>
      </c>
      <c r="K662">
        <v>153</v>
      </c>
      <c r="L662">
        <v>87</v>
      </c>
      <c r="M662" t="s">
        <v>5388</v>
      </c>
      <c r="N662" s="15">
        <v>1</v>
      </c>
      <c r="Q662" s="5" t="s">
        <v>4827</v>
      </c>
      <c r="R662" t="s">
        <v>4828</v>
      </c>
      <c r="V662" s="1" t="s">
        <v>57</v>
      </c>
      <c r="W662" t="s">
        <v>57</v>
      </c>
      <c r="X662" t="s">
        <v>57</v>
      </c>
      <c r="Y662" t="s">
        <v>57</v>
      </c>
      <c r="Z662" t="s">
        <v>57</v>
      </c>
      <c r="AA662" t="s">
        <v>57</v>
      </c>
      <c r="AB662" t="s">
        <v>57</v>
      </c>
      <c r="AC662" t="s">
        <v>57</v>
      </c>
      <c r="AD662" t="s">
        <v>57</v>
      </c>
      <c r="AE662" t="s">
        <v>57</v>
      </c>
      <c r="AF662" t="s">
        <v>57</v>
      </c>
      <c r="AG662" t="s">
        <v>57</v>
      </c>
      <c r="AH662" t="s">
        <v>57</v>
      </c>
      <c r="AI662" t="s">
        <v>57</v>
      </c>
      <c r="AJ662" t="s">
        <v>57</v>
      </c>
      <c r="AK662" t="s">
        <v>57</v>
      </c>
      <c r="AL662" t="s">
        <v>57</v>
      </c>
      <c r="AM662" t="s">
        <v>57</v>
      </c>
      <c r="AN662" t="s">
        <v>57</v>
      </c>
      <c r="AO662" s="1" t="str">
        <f>HYPERLINK("http://exon.niaid.nih.gov/transcriptome/T_rubida/S1/links/SWISSP/Triru-contig_375-SWISSP.txt","UPF0042 nucleotide-binding protein Emin_0125")</f>
        <v>UPF0042 nucleotide-binding protein Emin_0125</v>
      </c>
      <c r="AP662" t="str">
        <f>HYPERLINK("http://www.uniprot.org/uniprot/B2KAZ5","14")</f>
        <v>14</v>
      </c>
      <c r="AQ662" t="s">
        <v>3017</v>
      </c>
      <c r="AR662">
        <v>28.5</v>
      </c>
      <c r="AS662">
        <v>23</v>
      </c>
      <c r="AT662">
        <v>41</v>
      </c>
      <c r="AU662">
        <v>8</v>
      </c>
      <c r="AV662">
        <v>14</v>
      </c>
      <c r="AW662">
        <v>0</v>
      </c>
      <c r="AX662">
        <v>145</v>
      </c>
      <c r="AY662">
        <v>16</v>
      </c>
      <c r="AZ662">
        <v>1</v>
      </c>
      <c r="BA662">
        <v>1</v>
      </c>
      <c r="BB662" t="s">
        <v>11</v>
      </c>
      <c r="BD662" t="s">
        <v>704</v>
      </c>
      <c r="BE662" t="s">
        <v>3018</v>
      </c>
      <c r="BF662" t="s">
        <v>3019</v>
      </c>
      <c r="BG662" t="s">
        <v>3020</v>
      </c>
      <c r="BH662" s="1" t="s">
        <v>57</v>
      </c>
      <c r="BI662" t="s">
        <v>57</v>
      </c>
      <c r="BJ662" s="1" t="str">
        <f>HYPERLINK("http://exon.niaid.nih.gov/transcriptome/T_rubida/S1/links/CDD/Triru-contig_375-CDD.txt","PI-PLCc_beta1")</f>
        <v>PI-PLCc_beta1</v>
      </c>
      <c r="BK662" t="str">
        <f>HYPERLINK("http://www.ncbi.nlm.nih.gov/Structure/cdd/cddsrv.cgi?uid=cd08623&amp;version=v4.0","0.66")</f>
        <v>0.66</v>
      </c>
      <c r="BL662" t="s">
        <v>3021</v>
      </c>
      <c r="BM662" s="1" t="str">
        <f>HYPERLINK("http://exon.niaid.nih.gov/transcriptome/T_rubida/S1/links/KOG/Triru-contig_375-KOG.txt","P-type ATPase")</f>
        <v>P-type ATPase</v>
      </c>
      <c r="BN662" t="str">
        <f>HYPERLINK("http://www.ncbi.nlm.nih.gov/COG/grace/shokog.cgi?KOG0206","1.4")</f>
        <v>1.4</v>
      </c>
      <c r="BO662" t="s">
        <v>750</v>
      </c>
      <c r="BP662" s="1" t="str">
        <f>HYPERLINK("http://exon.niaid.nih.gov/transcriptome/T_rubida/S1/links/PFAM/Triru-contig_375-PFAM.txt","EcsB")</f>
        <v>EcsB</v>
      </c>
      <c r="BQ662" t="str">
        <f>HYPERLINK("http://pfam.sanger.ac.uk/family?acc=PF05975","0.36")</f>
        <v>0.36</v>
      </c>
      <c r="BR662" s="1" t="str">
        <f>HYPERLINK("http://exon.niaid.nih.gov/transcriptome/T_rubida/S1/links/SMART/Triru-contig_375-SMART.txt","PI3Kc")</f>
        <v>PI3Kc</v>
      </c>
      <c r="BS662" t="str">
        <f>HYPERLINK("http://smart.embl-heidelberg.de/smart/do_annotation.pl?DOMAIN=PI3Kc&amp;BLAST=DUMMY","0.31")</f>
        <v>0.31</v>
      </c>
      <c r="BT662" s="1" t="str">
        <f>HYPERLINK("http://exon.niaid.nih.gov/transcriptome/T_rubida/S1/links/PRK/Triru-contig_375-PRK.txt","preprotein translocase subunit SecA")</f>
        <v>preprotein translocase subunit SecA</v>
      </c>
      <c r="BU662">
        <v>0.82</v>
      </c>
      <c r="BV662" s="1" t="s">
        <v>57</v>
      </c>
      <c r="BW662" t="s">
        <v>57</v>
      </c>
      <c r="BX662" s="1" t="s">
        <v>57</v>
      </c>
      <c r="BY662" t="s">
        <v>57</v>
      </c>
    </row>
    <row r="663" spans="1:77">
      <c r="A663" t="str">
        <f>HYPERLINK("http://exon.niaid.nih.gov/transcriptome/T_rubida/S1/links/Triru/Triru-contig_410.txt","Triru-contig_410")</f>
        <v>Triru-contig_410</v>
      </c>
      <c r="B663">
        <v>1</v>
      </c>
      <c r="C663" t="str">
        <f>HYPERLINK("http://exon.niaid.nih.gov/transcriptome/T_rubida/S1/links/Triru/Triru-5-48-asb-410.txt","Contig-410")</f>
        <v>Contig-410</v>
      </c>
      <c r="D663" t="str">
        <f>HYPERLINK("http://exon.niaid.nih.gov/transcriptome/T_rubida/S1/links/Triru/Triru-5-48-410-CLU.txt","Contig410")</f>
        <v>Contig410</v>
      </c>
      <c r="E663" t="str">
        <f>HYPERLINK("http://exon.niaid.nih.gov/transcriptome/T_rubida/S1/links/Triru/Triru-5-48-410-qual.txt","58.5")</f>
        <v>58.5</v>
      </c>
      <c r="F663" t="s">
        <v>10</v>
      </c>
      <c r="G663">
        <v>64</v>
      </c>
      <c r="H663">
        <v>337</v>
      </c>
      <c r="I663" t="s">
        <v>422</v>
      </c>
      <c r="J663">
        <v>337</v>
      </c>
      <c r="K663">
        <v>356</v>
      </c>
      <c r="L663">
        <v>159</v>
      </c>
      <c r="M663" t="s">
        <v>5389</v>
      </c>
      <c r="N663" s="15">
        <v>3</v>
      </c>
      <c r="Q663" s="5" t="s">
        <v>4827</v>
      </c>
      <c r="R663" t="s">
        <v>4828</v>
      </c>
      <c r="V663" s="1" t="s">
        <v>57</v>
      </c>
      <c r="W663" t="s">
        <v>57</v>
      </c>
      <c r="X663" t="s">
        <v>57</v>
      </c>
      <c r="Y663" t="s">
        <v>57</v>
      </c>
      <c r="Z663" t="s">
        <v>57</v>
      </c>
      <c r="AA663" t="s">
        <v>57</v>
      </c>
      <c r="AB663" t="s">
        <v>57</v>
      </c>
      <c r="AC663" t="s">
        <v>57</v>
      </c>
      <c r="AD663" t="s">
        <v>57</v>
      </c>
      <c r="AE663" t="s">
        <v>57</v>
      </c>
      <c r="AF663" t="s">
        <v>57</v>
      </c>
      <c r="AG663" t="s">
        <v>57</v>
      </c>
      <c r="AH663" t="s">
        <v>57</v>
      </c>
      <c r="AI663" t="s">
        <v>57</v>
      </c>
      <c r="AJ663" t="s">
        <v>57</v>
      </c>
      <c r="AK663" t="s">
        <v>57</v>
      </c>
      <c r="AL663" t="s">
        <v>57</v>
      </c>
      <c r="AM663" t="s">
        <v>57</v>
      </c>
      <c r="AN663" t="s">
        <v>57</v>
      </c>
      <c r="AO663" s="1" t="str">
        <f>HYPERLINK("http://exon.niaid.nih.gov/transcriptome/T_rubida/S1/links/SWISSP/Triru-contig_410-SWISSP.txt","Switch-activating protein 1")</f>
        <v>Switch-activating protein 1</v>
      </c>
      <c r="AP663" t="str">
        <f>HYPERLINK("http://www.uniprot.org/uniprot/P40847","8.2")</f>
        <v>8.2</v>
      </c>
      <c r="AQ663" t="s">
        <v>3263</v>
      </c>
      <c r="AR663">
        <v>29.3</v>
      </c>
      <c r="AS663">
        <v>52</v>
      </c>
      <c r="AT663">
        <v>43</v>
      </c>
      <c r="AU663">
        <v>21</v>
      </c>
      <c r="AV663">
        <v>30</v>
      </c>
      <c r="AW663">
        <v>4</v>
      </c>
      <c r="AX663">
        <v>8</v>
      </c>
      <c r="AY663">
        <v>127</v>
      </c>
      <c r="AZ663">
        <v>1</v>
      </c>
      <c r="BA663">
        <v>1</v>
      </c>
      <c r="BB663" t="s">
        <v>11</v>
      </c>
      <c r="BC663">
        <v>3.8460000000000001</v>
      </c>
      <c r="BD663" t="s">
        <v>704</v>
      </c>
      <c r="BE663" t="s">
        <v>950</v>
      </c>
      <c r="BF663" t="s">
        <v>3264</v>
      </c>
      <c r="BG663" t="s">
        <v>3265</v>
      </c>
      <c r="BH663" s="1" t="s">
        <v>57</v>
      </c>
      <c r="BI663" t="s">
        <v>57</v>
      </c>
      <c r="BJ663" s="1" t="str">
        <f>HYPERLINK("http://exon.niaid.nih.gov/transcriptome/T_rubida/S1/links/CDD/Triru-contig_410-CDD.txt","ND4")</f>
        <v>ND4</v>
      </c>
      <c r="BK663" t="str">
        <f>HYPERLINK("http://www.ncbi.nlm.nih.gov/Structure/cdd/cddsrv.cgi?uid=MTH00163&amp;version=v4.0","0.60")</f>
        <v>0.60</v>
      </c>
      <c r="BL663" t="s">
        <v>3266</v>
      </c>
      <c r="BM663" s="1" t="str">
        <f>HYPERLINK("http://exon.niaid.nih.gov/transcriptome/T_rubida/S1/links/KOG/Triru-contig_410-KOG.txt","mRNA cleavage and polyadenylation factor II complex, subunit PTA1")</f>
        <v>mRNA cleavage and polyadenylation factor II complex, subunit PTA1</v>
      </c>
      <c r="BN663" t="str">
        <f>HYPERLINK("http://www.ncbi.nlm.nih.gov/COG/grace/shokog.cgi?KOG1895","2.1")</f>
        <v>2.1</v>
      </c>
      <c r="BO663" t="s">
        <v>1002</v>
      </c>
      <c r="BP663" s="1" t="str">
        <f>HYPERLINK("http://exon.niaid.nih.gov/transcriptome/T_rubida/S1/links/PFAM/Triru-contig_410-PFAM.txt","Strumpellin")</f>
        <v>Strumpellin</v>
      </c>
      <c r="BQ663" t="str">
        <f>HYPERLINK("http://pfam.sanger.ac.uk/family?acc=PF10266","0.98")</f>
        <v>0.98</v>
      </c>
      <c r="BR663" s="1" t="str">
        <f>HYPERLINK("http://exon.niaid.nih.gov/transcriptome/T_rubida/S1/links/SMART/Triru-contig_410-SMART.txt","PLCXc")</f>
        <v>PLCXc</v>
      </c>
      <c r="BS663" t="str">
        <f>HYPERLINK("http://smart.embl-heidelberg.de/smart/do_annotation.pl?DOMAIN=PLCXc&amp;BLAST=DUMMY","0.66")</f>
        <v>0.66</v>
      </c>
      <c r="BT663" s="1" t="str">
        <f>HYPERLINK("http://exon.niaid.nih.gov/transcriptome/T_rubida/S1/links/PRK/Triru-contig_410-PRK.txt","NADH dehydrogenase subunit 4")</f>
        <v>NADH dehydrogenase subunit 4</v>
      </c>
      <c r="BU663">
        <v>0.27</v>
      </c>
      <c r="BV663" s="1" t="s">
        <v>57</v>
      </c>
      <c r="BW663" t="s">
        <v>57</v>
      </c>
      <c r="BX663" s="1" t="s">
        <v>57</v>
      </c>
      <c r="BY663" t="s">
        <v>57</v>
      </c>
    </row>
    <row r="664" spans="1:77">
      <c r="A664" t="str">
        <f>HYPERLINK("http://exon.niaid.nih.gov/transcriptome/T_rubida/S1/links/Triru/Triru-contig_423.txt","Triru-contig_423")</f>
        <v>Triru-contig_423</v>
      </c>
      <c r="B664">
        <v>1</v>
      </c>
      <c r="C664" t="str">
        <f>HYPERLINK("http://exon.niaid.nih.gov/transcriptome/T_rubida/S1/links/Triru/Triru-5-48-asb-423.txt","Contig-423")</f>
        <v>Contig-423</v>
      </c>
      <c r="D664" t="str">
        <f>HYPERLINK("http://exon.niaid.nih.gov/transcriptome/T_rubida/S1/links/Triru/Triru-5-48-423-CLU.txt","Contig423")</f>
        <v>Contig423</v>
      </c>
      <c r="E664" t="str">
        <f>HYPERLINK("http://exon.niaid.nih.gov/transcriptome/T_rubida/S1/links/Triru/Triru-5-48-423-qual.txt","50.6")</f>
        <v>50.6</v>
      </c>
      <c r="F664" t="s">
        <v>10</v>
      </c>
      <c r="G664">
        <v>77.7</v>
      </c>
      <c r="H664">
        <v>187</v>
      </c>
      <c r="I664" t="s">
        <v>435</v>
      </c>
      <c r="J664">
        <v>187</v>
      </c>
      <c r="K664">
        <v>206</v>
      </c>
      <c r="L664">
        <v>87</v>
      </c>
      <c r="M664" t="s">
        <v>5390</v>
      </c>
      <c r="N664" s="15">
        <v>1</v>
      </c>
      <c r="Q664" s="5" t="s">
        <v>4827</v>
      </c>
      <c r="R664" t="s">
        <v>4828</v>
      </c>
      <c r="V664" s="1" t="s">
        <v>57</v>
      </c>
      <c r="W664" t="s">
        <v>57</v>
      </c>
      <c r="X664" t="s">
        <v>57</v>
      </c>
      <c r="Y664" t="s">
        <v>57</v>
      </c>
      <c r="Z664" t="s">
        <v>57</v>
      </c>
      <c r="AA664" t="s">
        <v>57</v>
      </c>
      <c r="AB664" t="s">
        <v>57</v>
      </c>
      <c r="AC664" t="s">
        <v>57</v>
      </c>
      <c r="AD664" t="s">
        <v>57</v>
      </c>
      <c r="AE664" t="s">
        <v>57</v>
      </c>
      <c r="AF664" t="s">
        <v>57</v>
      </c>
      <c r="AG664" t="s">
        <v>57</v>
      </c>
      <c r="AH664" t="s">
        <v>57</v>
      </c>
      <c r="AI664" t="s">
        <v>57</v>
      </c>
      <c r="AJ664" t="s">
        <v>57</v>
      </c>
      <c r="AK664" t="s">
        <v>57</v>
      </c>
      <c r="AL664" t="s">
        <v>57</v>
      </c>
      <c r="AM664" t="s">
        <v>57</v>
      </c>
      <c r="AN664" t="s">
        <v>57</v>
      </c>
      <c r="AO664" s="1" t="str">
        <f>HYPERLINK("http://exon.niaid.nih.gov/transcriptome/T_rubida/S1/links/SWISSP/Triru-contig_423-SWISSP.txt","MATH and LRR domain-containing protein PFE0570w")</f>
        <v>MATH and LRR domain-containing protein PFE0570w</v>
      </c>
      <c r="AP664" t="str">
        <f>HYPERLINK("http://www.uniprot.org/uniprot/Q8I3Z1","52")</f>
        <v>52</v>
      </c>
      <c r="AQ664" t="s">
        <v>1449</v>
      </c>
      <c r="AR664">
        <v>26.6</v>
      </c>
      <c r="AS664">
        <v>33</v>
      </c>
      <c r="AT664">
        <v>32</v>
      </c>
      <c r="AV664">
        <v>23</v>
      </c>
      <c r="AW664">
        <v>0</v>
      </c>
      <c r="AX664">
        <v>3667</v>
      </c>
      <c r="AY664">
        <v>56</v>
      </c>
      <c r="AZ664">
        <v>1</v>
      </c>
      <c r="BA664">
        <v>2</v>
      </c>
      <c r="BB664" t="s">
        <v>11</v>
      </c>
      <c r="BC664">
        <v>3.03</v>
      </c>
      <c r="BD664" t="s">
        <v>704</v>
      </c>
      <c r="BE664" t="s">
        <v>1356</v>
      </c>
      <c r="BF664" t="s">
        <v>3346</v>
      </c>
      <c r="BG664" t="s">
        <v>3347</v>
      </c>
      <c r="BH664" s="1" t="s">
        <v>57</v>
      </c>
      <c r="BI664" t="s">
        <v>57</v>
      </c>
      <c r="BJ664" s="1" t="str">
        <f>HYPERLINK("http://exon.niaid.nih.gov/transcriptome/T_rubida/S1/links/CDD/Triru-contig_423-CDD.txt","ND2")</f>
        <v>ND2</v>
      </c>
      <c r="BK664" t="str">
        <f>HYPERLINK("http://www.ncbi.nlm.nih.gov/Structure/cdd/cddsrv.cgi?uid=MTH00091&amp;version=v4.0","3E-004")</f>
        <v>3E-004</v>
      </c>
      <c r="BL664" t="s">
        <v>3348</v>
      </c>
      <c r="BM664" s="1" t="str">
        <f>HYPERLINK("http://exon.niaid.nih.gov/transcriptome/T_rubida/S1/links/KOG/Triru-contig_423-KOG.txt","Amino acid transporters")</f>
        <v>Amino acid transporters</v>
      </c>
      <c r="BN664" t="str">
        <f>HYPERLINK("http://www.ncbi.nlm.nih.gov/COG/grace/shokog.cgi?KOG1303","0.051")</f>
        <v>0.051</v>
      </c>
      <c r="BO664" t="s">
        <v>839</v>
      </c>
      <c r="BP664" s="1" t="str">
        <f>HYPERLINK("http://exon.niaid.nih.gov/transcriptome/T_rubida/S1/links/PFAM/Triru-contig_423-PFAM.txt","7TM_GPCR_Srz")</f>
        <v>7TM_GPCR_Srz</v>
      </c>
      <c r="BQ664" t="str">
        <f>HYPERLINK("http://pfam.sanger.ac.uk/family?acc=PF10325","0.001")</f>
        <v>0.001</v>
      </c>
      <c r="BR664" s="1" t="str">
        <f>HYPERLINK("http://exon.niaid.nih.gov/transcriptome/T_rubida/S1/links/SMART/Triru-contig_423-SMART.txt","AgrB")</f>
        <v>AgrB</v>
      </c>
      <c r="BS664" t="str">
        <f>HYPERLINK("http://smart.embl-heidelberg.de/smart/do_annotation.pl?DOMAIN=AgrB&amp;BLAST=DUMMY","0.002")</f>
        <v>0.002</v>
      </c>
      <c r="BT664" s="1" t="str">
        <f>HYPERLINK("http://exon.niaid.nih.gov/transcriptome/T_rubida/S1/links/PRK/Triru-contig_423-PRK.txt","NADH dehydrogenase subunit 2")</f>
        <v>NADH dehydrogenase subunit 2</v>
      </c>
      <c r="BU664" s="2">
        <v>1E-4</v>
      </c>
      <c r="BV664" s="1" t="s">
        <v>57</v>
      </c>
      <c r="BW664" t="s">
        <v>57</v>
      </c>
      <c r="BX664" s="1" t="s">
        <v>57</v>
      </c>
      <c r="BY664" t="s">
        <v>57</v>
      </c>
    </row>
    <row r="665" spans="1:77">
      <c r="A665" t="str">
        <f>HYPERLINK("http://exon.niaid.nih.gov/transcriptome/T_rubida/S1/links/Triru/Triru-contig_432.txt","Triru-contig_432")</f>
        <v>Triru-contig_432</v>
      </c>
      <c r="B665">
        <v>1</v>
      </c>
      <c r="C665" t="str">
        <f>HYPERLINK("http://exon.niaid.nih.gov/transcriptome/T_rubida/S1/links/Triru/Triru-5-48-asb-432.txt","Contig-432")</f>
        <v>Contig-432</v>
      </c>
      <c r="D665" t="str">
        <f>HYPERLINK("http://exon.niaid.nih.gov/transcriptome/T_rubida/S1/links/Triru/Triru-5-48-432-CLU.txt","Contig432")</f>
        <v>Contig432</v>
      </c>
      <c r="E665" t="str">
        <f>HYPERLINK("http://exon.niaid.nih.gov/transcriptome/T_rubida/S1/links/Triru/Triru-5-48-432-qual.txt","48.8")</f>
        <v>48.8</v>
      </c>
      <c r="F665">
        <v>1</v>
      </c>
      <c r="G665">
        <v>70.5</v>
      </c>
      <c r="H665" t="s">
        <v>57</v>
      </c>
      <c r="I665" t="s">
        <v>444</v>
      </c>
      <c r="J665" t="s">
        <v>57</v>
      </c>
      <c r="K665">
        <v>105</v>
      </c>
      <c r="L665">
        <v>63</v>
      </c>
      <c r="M665" t="s">
        <v>5391</v>
      </c>
      <c r="N665" s="15">
        <v>2</v>
      </c>
      <c r="Q665" s="5" t="s">
        <v>4827</v>
      </c>
      <c r="R665" t="s">
        <v>4828</v>
      </c>
      <c r="V665" s="1" t="s">
        <v>57</v>
      </c>
      <c r="W665" t="s">
        <v>57</v>
      </c>
      <c r="X665" t="s">
        <v>57</v>
      </c>
      <c r="Y665" t="s">
        <v>57</v>
      </c>
      <c r="Z665" t="s">
        <v>57</v>
      </c>
      <c r="AA665" t="s">
        <v>57</v>
      </c>
      <c r="AB665" t="s">
        <v>57</v>
      </c>
      <c r="AC665" t="s">
        <v>57</v>
      </c>
      <c r="AD665" t="s">
        <v>57</v>
      </c>
      <c r="AE665" t="s">
        <v>57</v>
      </c>
      <c r="AF665" t="s">
        <v>57</v>
      </c>
      <c r="AG665" t="s">
        <v>57</v>
      </c>
      <c r="AH665" t="s">
        <v>57</v>
      </c>
      <c r="AI665" t="s">
        <v>57</v>
      </c>
      <c r="AJ665" t="s">
        <v>57</v>
      </c>
      <c r="AK665" t="s">
        <v>57</v>
      </c>
      <c r="AL665" t="s">
        <v>57</v>
      </c>
      <c r="AM665" t="s">
        <v>57</v>
      </c>
      <c r="AN665" t="s">
        <v>57</v>
      </c>
      <c r="AO665" s="1" t="s">
        <v>57</v>
      </c>
      <c r="AP665" t="s">
        <v>57</v>
      </c>
      <c r="AQ665" t="s">
        <v>57</v>
      </c>
      <c r="AR665" t="s">
        <v>57</v>
      </c>
      <c r="AS665" t="s">
        <v>57</v>
      </c>
      <c r="AT665" t="s">
        <v>57</v>
      </c>
      <c r="AU665" t="s">
        <v>57</v>
      </c>
      <c r="AV665" t="s">
        <v>57</v>
      </c>
      <c r="AW665" t="s">
        <v>57</v>
      </c>
      <c r="AX665" t="s">
        <v>57</v>
      </c>
      <c r="AY665" t="s">
        <v>57</v>
      </c>
      <c r="AZ665" t="s">
        <v>57</v>
      </c>
      <c r="BA665" t="s">
        <v>57</v>
      </c>
      <c r="BB665" t="s">
        <v>57</v>
      </c>
      <c r="BC665" t="s">
        <v>57</v>
      </c>
      <c r="BD665" t="s">
        <v>57</v>
      </c>
      <c r="BE665" t="s">
        <v>57</v>
      </c>
      <c r="BF665" t="s">
        <v>57</v>
      </c>
      <c r="BG665" t="s">
        <v>57</v>
      </c>
      <c r="BH665" s="1" t="s">
        <v>57</v>
      </c>
      <c r="BI665" t="s">
        <v>57</v>
      </c>
      <c r="BJ665" s="1" t="str">
        <f>HYPERLINK("http://exon.niaid.nih.gov/transcriptome/T_rubida/S1/links/CDD/Triru-contig_432-CDD.txt","VI_chp_6")</f>
        <v>VI_chp_6</v>
      </c>
      <c r="BK665" t="str">
        <f>HYPERLINK("http://www.ncbi.nlm.nih.gov/Structure/cdd/cddsrv.cgi?uid=TIGR03359&amp;version=v4.0","0.81")</f>
        <v>0.81</v>
      </c>
      <c r="BL665" t="s">
        <v>3407</v>
      </c>
      <c r="BM665" s="1" t="str">
        <f>HYPERLINK("http://exon.niaid.nih.gov/transcriptome/T_rubida/S1/links/KOG/Triru-contig_432-KOG.txt","Hydroxymethylglutaryl-CoA lyase")</f>
        <v>Hydroxymethylglutaryl-CoA lyase</v>
      </c>
      <c r="BN665" t="str">
        <f>HYPERLINK("http://www.ncbi.nlm.nih.gov/COG/grace/shokog.cgi?KOG2368","6.7")</f>
        <v>6.7</v>
      </c>
      <c r="BO665" t="s">
        <v>3408</v>
      </c>
      <c r="BP665" s="1" t="str">
        <f>HYPERLINK("http://exon.niaid.nih.gov/transcriptome/T_rubida/S1/links/PFAM/Triru-contig_432-PFAM.txt","DUF879")</f>
        <v>DUF879</v>
      </c>
      <c r="BQ665" t="str">
        <f>HYPERLINK("http://pfam.sanger.ac.uk/family?acc=PF05947","0.25")</f>
        <v>0.25</v>
      </c>
      <c r="BR665" s="1" t="str">
        <f>HYPERLINK("http://exon.niaid.nih.gov/transcriptome/T_rubida/S1/links/SMART/Triru-contig_432-SMART.txt","G_alpha")</f>
        <v>G_alpha</v>
      </c>
      <c r="BS665" t="str">
        <f>HYPERLINK("http://smart.embl-heidelberg.de/smart/do_annotation.pl?DOMAIN=G_alpha&amp;BLAST=DUMMY","0.78")</f>
        <v>0.78</v>
      </c>
      <c r="BT665" s="1" t="str">
        <f>HYPERLINK("http://exon.niaid.nih.gov/transcriptome/T_rubida/S1/links/PRK/Triru-contig_432-PRK.txt","2-oxoglutarate ferredoxin oxidoreductase subunit alpha")</f>
        <v>2-oxoglutarate ferredoxin oxidoreductase subunit alpha</v>
      </c>
      <c r="BU665">
        <v>2.2000000000000002</v>
      </c>
      <c r="BV665" s="1" t="s">
        <v>57</v>
      </c>
      <c r="BW665" t="s">
        <v>57</v>
      </c>
      <c r="BX665" s="1" t="s">
        <v>57</v>
      </c>
      <c r="BY665" t="s">
        <v>57</v>
      </c>
    </row>
    <row r="666" spans="1:77">
      <c r="A666" t="str">
        <f>HYPERLINK("http://exon.niaid.nih.gov/transcriptome/T_rubida/S1/links/Triru/Triru-contig_464.txt","Triru-contig_464")</f>
        <v>Triru-contig_464</v>
      </c>
      <c r="B666">
        <v>1</v>
      </c>
      <c r="C666" t="str">
        <f>HYPERLINK("http://exon.niaid.nih.gov/transcriptome/T_rubida/S1/links/Triru/Triru-5-48-asb-464.txt","Contig-464")</f>
        <v>Contig-464</v>
      </c>
      <c r="D666" t="str">
        <f>HYPERLINK("http://exon.niaid.nih.gov/transcriptome/T_rubida/S1/links/Triru/Triru-5-48-464-CLU.txt","Contig464")</f>
        <v>Contig464</v>
      </c>
      <c r="E666" t="str">
        <f>HYPERLINK("http://exon.niaid.nih.gov/transcriptome/T_rubida/S1/links/Triru/Triru-5-48-464-qual.txt","46.9")</f>
        <v>46.9</v>
      </c>
      <c r="F666" t="s">
        <v>10</v>
      </c>
      <c r="G666">
        <v>79.3</v>
      </c>
      <c r="H666">
        <v>97</v>
      </c>
      <c r="I666" t="s">
        <v>476</v>
      </c>
      <c r="J666">
        <v>97</v>
      </c>
      <c r="K666">
        <v>116</v>
      </c>
      <c r="L666">
        <v>78</v>
      </c>
      <c r="M666" t="s">
        <v>5392</v>
      </c>
      <c r="N666" s="15">
        <v>1</v>
      </c>
      <c r="Q666" s="5" t="s">
        <v>4827</v>
      </c>
      <c r="R666" t="s">
        <v>4828</v>
      </c>
      <c r="V666" s="1" t="s">
        <v>57</v>
      </c>
      <c r="W666" t="s">
        <v>57</v>
      </c>
      <c r="X666" t="s">
        <v>57</v>
      </c>
      <c r="Y666" t="s">
        <v>57</v>
      </c>
      <c r="Z666" t="s">
        <v>57</v>
      </c>
      <c r="AA666" t="s">
        <v>57</v>
      </c>
      <c r="AB666" t="s">
        <v>57</v>
      </c>
      <c r="AC666" t="s">
        <v>57</v>
      </c>
      <c r="AD666" t="s">
        <v>57</v>
      </c>
      <c r="AE666" t="s">
        <v>57</v>
      </c>
      <c r="AF666" t="s">
        <v>57</v>
      </c>
      <c r="AG666" t="s">
        <v>57</v>
      </c>
      <c r="AH666" t="s">
        <v>57</v>
      </c>
      <c r="AI666" t="s">
        <v>57</v>
      </c>
      <c r="AJ666" t="s">
        <v>57</v>
      </c>
      <c r="AK666" t="s">
        <v>57</v>
      </c>
      <c r="AL666" t="s">
        <v>57</v>
      </c>
      <c r="AM666" t="s">
        <v>57</v>
      </c>
      <c r="AN666" t="s">
        <v>57</v>
      </c>
      <c r="AO666" s="1" t="s">
        <v>57</v>
      </c>
      <c r="AP666" t="s">
        <v>57</v>
      </c>
      <c r="AQ666" t="s">
        <v>57</v>
      </c>
      <c r="AR666" t="s">
        <v>57</v>
      </c>
      <c r="AS666" t="s">
        <v>57</v>
      </c>
      <c r="AT666" t="s">
        <v>57</v>
      </c>
      <c r="AU666" t="s">
        <v>57</v>
      </c>
      <c r="AV666" t="s">
        <v>57</v>
      </c>
      <c r="AW666" t="s">
        <v>57</v>
      </c>
      <c r="AX666" t="s">
        <v>57</v>
      </c>
      <c r="AY666" t="s">
        <v>57</v>
      </c>
      <c r="AZ666" t="s">
        <v>57</v>
      </c>
      <c r="BA666" t="s">
        <v>57</v>
      </c>
      <c r="BB666" t="s">
        <v>57</v>
      </c>
      <c r="BC666" t="s">
        <v>57</v>
      </c>
      <c r="BD666" t="s">
        <v>57</v>
      </c>
      <c r="BE666" t="s">
        <v>57</v>
      </c>
      <c r="BF666" t="s">
        <v>57</v>
      </c>
      <c r="BG666" t="s">
        <v>57</v>
      </c>
      <c r="BH666" s="1" t="s">
        <v>57</v>
      </c>
      <c r="BI666" t="s">
        <v>57</v>
      </c>
      <c r="BJ666" s="1" t="str">
        <f>HYPERLINK("http://exon.niaid.nih.gov/transcriptome/T_rubida/S1/links/CDD/Triru-contig_464-CDD.txt","polC")</f>
        <v>polC</v>
      </c>
      <c r="BK666" t="str">
        <f>HYPERLINK("http://www.ncbi.nlm.nih.gov/Structure/cdd/cddsrv.cgi?uid=PRK00448&amp;version=v4.0","2.1")</f>
        <v>2.1</v>
      </c>
      <c r="BL666" t="s">
        <v>3624</v>
      </c>
      <c r="BM666" s="1" t="str">
        <f>HYPERLINK("http://exon.niaid.nih.gov/transcriptome/T_rubida/S1/links/KOG/Triru-contig_464-KOG.txt","Voltage-gated shaker-like K+ channel KCNA")</f>
        <v>Voltage-gated shaker-like K+ channel KCNA</v>
      </c>
      <c r="BN666" t="str">
        <f>HYPERLINK("http://www.ncbi.nlm.nih.gov/COG/grace/shokog.cgi?KOG1545","6.7")</f>
        <v>6.7</v>
      </c>
      <c r="BO666" t="s">
        <v>849</v>
      </c>
      <c r="BP666" s="1" t="str">
        <f>HYPERLINK("http://exon.niaid.nih.gov/transcriptome/T_rubida/S1/links/PFAM/Triru-contig_464-PFAM.txt","DUF2834")</f>
        <v>DUF2834</v>
      </c>
      <c r="BQ666" t="str">
        <f>HYPERLINK("http://pfam.sanger.ac.uk/family?acc=PF11196","4.1")</f>
        <v>4.1</v>
      </c>
      <c r="BR666" s="1" t="str">
        <f>HYPERLINK("http://exon.niaid.nih.gov/transcriptome/T_rubida/S1/links/SMART/Triru-contig_464-SMART.txt","TIR")</f>
        <v>TIR</v>
      </c>
      <c r="BS666" t="str">
        <f>HYPERLINK("http://smart.embl-heidelberg.de/smart/do_annotation.pl?DOMAIN=TIR&amp;BLAST=DUMMY","2.8")</f>
        <v>2.8</v>
      </c>
      <c r="BT666" s="1" t="str">
        <f>HYPERLINK("http://exon.niaid.nih.gov/transcriptome/T_rubida/S1/links/PRK/Triru-contig_464-PRK.txt","DNA polymerase III PolC")</f>
        <v>DNA polymerase III PolC</v>
      </c>
      <c r="BU666">
        <v>0.76</v>
      </c>
      <c r="BV666" s="1" t="s">
        <v>57</v>
      </c>
      <c r="BW666" t="s">
        <v>57</v>
      </c>
      <c r="BX666" s="1" t="s">
        <v>57</v>
      </c>
      <c r="BY666" t="s">
        <v>57</v>
      </c>
    </row>
    <row r="667" spans="1:77">
      <c r="A667" t="str">
        <f>HYPERLINK("http://exon.niaid.nih.gov/transcriptome/T_rubida/S1/links/Triru/Triru-contig_535.txt","Triru-contig_535")</f>
        <v>Triru-contig_535</v>
      </c>
      <c r="B667">
        <v>1</v>
      </c>
      <c r="C667" t="str">
        <f>HYPERLINK("http://exon.niaid.nih.gov/transcriptome/T_rubida/S1/links/Triru/Triru-5-48-asb-535.txt","Contig-535")</f>
        <v>Contig-535</v>
      </c>
      <c r="D667" t="str">
        <f>HYPERLINK("http://exon.niaid.nih.gov/transcriptome/T_rubida/S1/links/Triru/Triru-5-48-535-CLU.txt","Contig535")</f>
        <v>Contig535</v>
      </c>
      <c r="E667" t="str">
        <f>HYPERLINK("http://exon.niaid.nih.gov/transcriptome/T_rubida/S1/links/Triru/Triru-5-48-535-qual.txt","41.5")</f>
        <v>41.5</v>
      </c>
      <c r="F667" t="s">
        <v>10</v>
      </c>
      <c r="G667">
        <v>65.900000000000006</v>
      </c>
      <c r="H667">
        <v>107</v>
      </c>
      <c r="I667" t="s">
        <v>547</v>
      </c>
      <c r="J667">
        <v>107</v>
      </c>
      <c r="K667">
        <v>126</v>
      </c>
      <c r="L667">
        <v>75</v>
      </c>
      <c r="M667" t="s">
        <v>5393</v>
      </c>
      <c r="N667" s="15">
        <v>3</v>
      </c>
      <c r="Q667" s="5" t="s">
        <v>4827</v>
      </c>
      <c r="R667" t="s">
        <v>4828</v>
      </c>
      <c r="V667" s="1" t="s">
        <v>57</v>
      </c>
      <c r="W667" t="s">
        <v>57</v>
      </c>
      <c r="X667" t="s">
        <v>57</v>
      </c>
      <c r="Y667" t="s">
        <v>57</v>
      </c>
      <c r="Z667" t="s">
        <v>57</v>
      </c>
      <c r="AA667" t="s">
        <v>57</v>
      </c>
      <c r="AB667" t="s">
        <v>57</v>
      </c>
      <c r="AC667" t="s">
        <v>57</v>
      </c>
      <c r="AD667" t="s">
        <v>57</v>
      </c>
      <c r="AE667" t="s">
        <v>57</v>
      </c>
      <c r="AF667" t="s">
        <v>57</v>
      </c>
      <c r="AG667" t="s">
        <v>57</v>
      </c>
      <c r="AH667" t="s">
        <v>57</v>
      </c>
      <c r="AI667" t="s">
        <v>57</v>
      </c>
      <c r="AJ667" t="s">
        <v>57</v>
      </c>
      <c r="AK667" t="s">
        <v>57</v>
      </c>
      <c r="AL667" t="s">
        <v>57</v>
      </c>
      <c r="AM667" t="s">
        <v>57</v>
      </c>
      <c r="AN667" t="s">
        <v>57</v>
      </c>
      <c r="AO667" s="1" t="s">
        <v>57</v>
      </c>
      <c r="AP667" t="s">
        <v>57</v>
      </c>
      <c r="AQ667" t="s">
        <v>57</v>
      </c>
      <c r="AR667" t="s">
        <v>57</v>
      </c>
      <c r="AS667" t="s">
        <v>57</v>
      </c>
      <c r="AT667" t="s">
        <v>57</v>
      </c>
      <c r="AU667" t="s">
        <v>57</v>
      </c>
      <c r="AV667" t="s">
        <v>57</v>
      </c>
      <c r="AW667" t="s">
        <v>57</v>
      </c>
      <c r="AX667" t="s">
        <v>57</v>
      </c>
      <c r="AY667" t="s">
        <v>57</v>
      </c>
      <c r="AZ667" t="s">
        <v>57</v>
      </c>
      <c r="BA667" t="s">
        <v>57</v>
      </c>
      <c r="BB667" t="s">
        <v>57</v>
      </c>
      <c r="BC667" t="s">
        <v>57</v>
      </c>
      <c r="BD667" t="s">
        <v>57</v>
      </c>
      <c r="BE667" t="s">
        <v>57</v>
      </c>
      <c r="BF667" t="s">
        <v>57</v>
      </c>
      <c r="BG667" t="s">
        <v>57</v>
      </c>
      <c r="BH667" s="1" t="s">
        <v>57</v>
      </c>
      <c r="BI667" t="s">
        <v>57</v>
      </c>
      <c r="BJ667" s="1" t="str">
        <f>HYPERLINK("http://exon.niaid.nih.gov/transcriptome/T_rubida/S1/links/CDD/Triru-contig_535-CDD.txt","STKc_GRK4")</f>
        <v>STKc_GRK4</v>
      </c>
      <c r="BK667" t="str">
        <f>HYPERLINK("http://www.ncbi.nlm.nih.gov/Structure/cdd/cddsrv.cgi?uid=cd05631&amp;version=v4.0","2.2")</f>
        <v>2.2</v>
      </c>
      <c r="BL667" t="s">
        <v>4100</v>
      </c>
      <c r="BM667" s="1" t="str">
        <f>HYPERLINK("http://exon.niaid.nih.gov/transcriptome/T_rubida/S1/links/KOG/Triru-contig_535-KOG.txt","Pyrophosphate-dependent phosphofructo-1-kinase")</f>
        <v>Pyrophosphate-dependent phosphofructo-1-kinase</v>
      </c>
      <c r="BN667" t="str">
        <f>HYPERLINK("http://www.ncbi.nlm.nih.gov/COG/grace/shokog.cgi?KOG2440","5.6")</f>
        <v>5.6</v>
      </c>
      <c r="BO667" t="s">
        <v>946</v>
      </c>
      <c r="BP667" s="1" t="str">
        <f>HYPERLINK("http://exon.niaid.nih.gov/transcriptome/T_rubida/S1/links/PFAM/Triru-contig_535-PFAM.txt","PCIF1_WW")</f>
        <v>PCIF1_WW</v>
      </c>
      <c r="BQ667" t="str">
        <f>HYPERLINK("http://pfam.sanger.ac.uk/family?acc=PF12237","1.9")</f>
        <v>1.9</v>
      </c>
      <c r="BR667" s="1" t="str">
        <f>HYPERLINK("http://exon.niaid.nih.gov/transcriptome/T_rubida/S1/links/SMART/Triru-contig_535-SMART.txt","G_alpha")</f>
        <v>G_alpha</v>
      </c>
      <c r="BS667" t="str">
        <f>HYPERLINK("http://smart.embl-heidelberg.de/smart/do_annotation.pl?DOMAIN=G_alpha&amp;BLAST=DUMMY","0.39")</f>
        <v>0.39</v>
      </c>
      <c r="BT667" s="1" t="str">
        <f>HYPERLINK("http://exon.niaid.nih.gov/transcriptome/T_rubida/S1/links/PRK/Triru-contig_535-PRK.txt","short chain dehydrogenase")</f>
        <v>short chain dehydrogenase</v>
      </c>
      <c r="BU667">
        <v>3.1</v>
      </c>
      <c r="BV667" s="1" t="s">
        <v>57</v>
      </c>
      <c r="BW667" t="s">
        <v>57</v>
      </c>
      <c r="BX667" s="1" t="s">
        <v>57</v>
      </c>
      <c r="BY667" t="s">
        <v>57</v>
      </c>
    </row>
    <row r="668" spans="1:77">
      <c r="A668" t="str">
        <f>HYPERLINK("http://exon.niaid.nih.gov/transcriptome/T_rubida/S1/links/Triru/Triru-contig_560.txt","Triru-contig_560")</f>
        <v>Triru-contig_560</v>
      </c>
      <c r="B668">
        <v>1</v>
      </c>
      <c r="C668" t="str">
        <f>HYPERLINK("http://exon.niaid.nih.gov/transcriptome/T_rubida/S1/links/Triru/Triru-5-48-asb-560.txt","Contig-560")</f>
        <v>Contig-560</v>
      </c>
      <c r="D668" t="str">
        <f>HYPERLINK("http://exon.niaid.nih.gov/transcriptome/T_rubida/S1/links/Triru/Triru-5-48-560-CLU.txt","Contig560")</f>
        <v>Contig560</v>
      </c>
      <c r="E668" t="str">
        <f>HYPERLINK("http://exon.niaid.nih.gov/transcriptome/T_rubida/S1/links/Triru/Triru-5-48-560-qual.txt","47.1")</f>
        <v>47.1</v>
      </c>
      <c r="F668" t="s">
        <v>10</v>
      </c>
      <c r="G668">
        <v>67.400000000000006</v>
      </c>
      <c r="H668">
        <v>122</v>
      </c>
      <c r="I668" t="s">
        <v>572</v>
      </c>
      <c r="J668">
        <v>122</v>
      </c>
      <c r="K668">
        <v>141</v>
      </c>
      <c r="L668">
        <v>138</v>
      </c>
      <c r="M668" t="s">
        <v>5394</v>
      </c>
      <c r="N668" s="15">
        <v>1</v>
      </c>
      <c r="Q668" s="5" t="s">
        <v>4827</v>
      </c>
      <c r="R668" t="s">
        <v>4828</v>
      </c>
      <c r="V668" s="1" t="s">
        <v>57</v>
      </c>
      <c r="W668" t="s">
        <v>57</v>
      </c>
      <c r="X668" t="s">
        <v>57</v>
      </c>
      <c r="Y668" t="s">
        <v>57</v>
      </c>
      <c r="Z668" t="s">
        <v>57</v>
      </c>
      <c r="AA668" t="s">
        <v>57</v>
      </c>
      <c r="AB668" t="s">
        <v>57</v>
      </c>
      <c r="AC668" t="s">
        <v>57</v>
      </c>
      <c r="AD668" t="s">
        <v>57</v>
      </c>
      <c r="AE668" t="s">
        <v>57</v>
      </c>
      <c r="AF668" t="s">
        <v>57</v>
      </c>
      <c r="AG668" t="s">
        <v>57</v>
      </c>
      <c r="AH668" t="s">
        <v>57</v>
      </c>
      <c r="AI668" t="s">
        <v>57</v>
      </c>
      <c r="AJ668" t="s">
        <v>57</v>
      </c>
      <c r="AK668" t="s">
        <v>57</v>
      </c>
      <c r="AL668" t="s">
        <v>57</v>
      </c>
      <c r="AM668" t="s">
        <v>57</v>
      </c>
      <c r="AN668" t="s">
        <v>57</v>
      </c>
      <c r="AO668" s="1" t="str">
        <f>HYPERLINK("http://exon.niaid.nih.gov/transcriptome/T_rubida/S1/links/SWISSP/Triru-contig_560-SWISSP.txt","Serine/threonine-protein kinase sck1")</f>
        <v>Serine/threonine-protein kinase sck1</v>
      </c>
      <c r="AP668" t="str">
        <f>HYPERLINK("http://www.uniprot.org/uniprot/P50530","23")</f>
        <v>23</v>
      </c>
      <c r="AQ668" t="s">
        <v>4257</v>
      </c>
      <c r="AR668">
        <v>27.7</v>
      </c>
      <c r="AS668">
        <v>27</v>
      </c>
      <c r="AT668">
        <v>39</v>
      </c>
      <c r="AU668">
        <v>4</v>
      </c>
      <c r="AV668">
        <v>17</v>
      </c>
      <c r="AW668">
        <v>0</v>
      </c>
      <c r="AX668">
        <v>146</v>
      </c>
      <c r="AY668">
        <v>19</v>
      </c>
      <c r="AZ668">
        <v>1</v>
      </c>
      <c r="BA668">
        <v>1</v>
      </c>
      <c r="BB668" t="s">
        <v>11</v>
      </c>
      <c r="BD668" t="s">
        <v>704</v>
      </c>
      <c r="BE668" t="s">
        <v>950</v>
      </c>
      <c r="BF668" t="s">
        <v>4258</v>
      </c>
      <c r="BG668" t="s">
        <v>4259</v>
      </c>
      <c r="BH668" s="1" t="s">
        <v>57</v>
      </c>
      <c r="BI668" t="s">
        <v>57</v>
      </c>
      <c r="BJ668" s="1" t="str">
        <f>HYPERLINK("http://exon.niaid.nih.gov/transcriptome/T_rubida/S1/links/CDD/Triru-contig_560-CDD.txt","ACTIN")</f>
        <v>ACTIN</v>
      </c>
      <c r="BK668" t="str">
        <f>HYPERLINK("http://www.ncbi.nlm.nih.gov/Structure/cdd/cddsrv.cgi?uid=smart00268&amp;version=v4.0","1.9")</f>
        <v>1.9</v>
      </c>
      <c r="BL668" t="s">
        <v>4260</v>
      </c>
      <c r="BM668" s="1" t="str">
        <f>HYPERLINK("http://exon.niaid.nih.gov/transcriptome/T_rubida/S1/links/KOG/Triru-contig_560-KOG.txt","UDP-N-acetylglucosamine pyrophosphorylase")</f>
        <v>UDP-N-acetylglucosamine pyrophosphorylase</v>
      </c>
      <c r="BN668" t="str">
        <f>HYPERLINK("http://www.ncbi.nlm.nih.gov/COG/grace/shokog.cgi?KOG2388","4.4")</f>
        <v>4.4</v>
      </c>
      <c r="BO668" t="s">
        <v>760</v>
      </c>
      <c r="BP668" s="1" t="str">
        <f>HYPERLINK("http://exon.niaid.nih.gov/transcriptome/T_rubida/S1/links/PFAM/Triru-contig_560-PFAM.txt","DUF3447")</f>
        <v>DUF3447</v>
      </c>
      <c r="BQ668" t="str">
        <f>HYPERLINK("http://pfam.sanger.ac.uk/family?acc=PF11929","0.57")</f>
        <v>0.57</v>
      </c>
      <c r="BR668" s="1" t="str">
        <f>HYPERLINK("http://exon.niaid.nih.gov/transcriptome/T_rubida/S1/links/SMART/Triru-contig_560-SMART.txt","ACTIN")</f>
        <v>ACTIN</v>
      </c>
      <c r="BS668" t="str">
        <f>HYPERLINK("http://smart.embl-heidelberg.de/smart/do_annotation.pl?DOMAIN=ACTIN&amp;BLAST=DUMMY","0.018")</f>
        <v>0.018</v>
      </c>
      <c r="BT668" s="1" t="str">
        <f>HYPERLINK("http://exon.niaid.nih.gov/transcriptome/T_rubida/S1/links/PRK/Triru-contig_560-PRK.txt","NADH dehydrogenase subunit 2.")</f>
        <v>NADH dehydrogenase subunit 2.</v>
      </c>
      <c r="BU668">
        <v>0.82</v>
      </c>
      <c r="BV668" s="1" t="s">
        <v>57</v>
      </c>
      <c r="BW668" t="s">
        <v>57</v>
      </c>
      <c r="BX668" s="1" t="s">
        <v>57</v>
      </c>
      <c r="BY668" t="s">
        <v>57</v>
      </c>
    </row>
    <row r="669" spans="1:77">
      <c r="A669" t="str">
        <f>HYPERLINK("http://exon.niaid.nih.gov/transcriptome/T_rubida/S1/links/Triru/Triru-contig_585.txt","Triru-contig_585")</f>
        <v>Triru-contig_585</v>
      </c>
      <c r="B669">
        <v>1</v>
      </c>
      <c r="C669" t="str">
        <f>HYPERLINK("http://exon.niaid.nih.gov/transcriptome/T_rubida/S1/links/Triru/Triru-5-48-asb-585.txt","Contig-585")</f>
        <v>Contig-585</v>
      </c>
      <c r="D669" t="str">
        <f>HYPERLINK("http://exon.niaid.nih.gov/transcriptome/T_rubida/S1/links/Triru/Triru-5-48-585-CLU.txt","Contig585")</f>
        <v>Contig585</v>
      </c>
      <c r="E669" t="str">
        <f>HYPERLINK("http://exon.niaid.nih.gov/transcriptome/T_rubida/S1/links/Triru/Triru-5-48-585-qual.txt","53.4")</f>
        <v>53.4</v>
      </c>
      <c r="F669" t="s">
        <v>10</v>
      </c>
      <c r="G669">
        <v>73.400000000000006</v>
      </c>
      <c r="H669">
        <v>109</v>
      </c>
      <c r="I669" t="s">
        <v>597</v>
      </c>
      <c r="J669">
        <v>109</v>
      </c>
      <c r="K669">
        <v>128</v>
      </c>
      <c r="L669">
        <v>81</v>
      </c>
      <c r="M669" t="s">
        <v>5395</v>
      </c>
      <c r="N669" s="15">
        <v>3</v>
      </c>
      <c r="Q669" s="5" t="s">
        <v>4827</v>
      </c>
      <c r="R669" t="s">
        <v>4828</v>
      </c>
      <c r="V669" s="1" t="s">
        <v>57</v>
      </c>
      <c r="W669" t="s">
        <v>57</v>
      </c>
      <c r="X669" t="s">
        <v>57</v>
      </c>
      <c r="Y669" t="s">
        <v>57</v>
      </c>
      <c r="Z669" t="s">
        <v>57</v>
      </c>
      <c r="AA669" t="s">
        <v>57</v>
      </c>
      <c r="AB669" t="s">
        <v>57</v>
      </c>
      <c r="AC669" t="s">
        <v>57</v>
      </c>
      <c r="AD669" t="s">
        <v>57</v>
      </c>
      <c r="AE669" t="s">
        <v>57</v>
      </c>
      <c r="AF669" t="s">
        <v>57</v>
      </c>
      <c r="AG669" t="s">
        <v>57</v>
      </c>
      <c r="AH669" t="s">
        <v>57</v>
      </c>
      <c r="AI669" t="s">
        <v>57</v>
      </c>
      <c r="AJ669" t="s">
        <v>57</v>
      </c>
      <c r="AK669" t="s">
        <v>57</v>
      </c>
      <c r="AL669" t="s">
        <v>57</v>
      </c>
      <c r="AM669" t="s">
        <v>57</v>
      </c>
      <c r="AN669" t="s">
        <v>57</v>
      </c>
      <c r="AO669" s="1" t="s">
        <v>57</v>
      </c>
      <c r="AP669" t="s">
        <v>57</v>
      </c>
      <c r="AQ669" t="s">
        <v>57</v>
      </c>
      <c r="AR669" t="s">
        <v>57</v>
      </c>
      <c r="AS669" t="s">
        <v>57</v>
      </c>
      <c r="AT669" t="s">
        <v>57</v>
      </c>
      <c r="AU669" t="s">
        <v>57</v>
      </c>
      <c r="AV669" t="s">
        <v>57</v>
      </c>
      <c r="AW669" t="s">
        <v>57</v>
      </c>
      <c r="AX669" t="s">
        <v>57</v>
      </c>
      <c r="AY669" t="s">
        <v>57</v>
      </c>
      <c r="AZ669" t="s">
        <v>57</v>
      </c>
      <c r="BA669" t="s">
        <v>57</v>
      </c>
      <c r="BB669" t="s">
        <v>57</v>
      </c>
      <c r="BC669" t="s">
        <v>57</v>
      </c>
      <c r="BD669" t="s">
        <v>57</v>
      </c>
      <c r="BE669" t="s">
        <v>57</v>
      </c>
      <c r="BF669" t="s">
        <v>57</v>
      </c>
      <c r="BG669" t="s">
        <v>57</v>
      </c>
      <c r="BH669" s="1" t="s">
        <v>57</v>
      </c>
      <c r="BI669" t="s">
        <v>57</v>
      </c>
      <c r="BJ669" s="1" t="str">
        <f>HYPERLINK("http://exon.niaid.nih.gov/transcriptome/T_rubida/S1/links/CDD/Triru-contig_585-CDD.txt","DUF287")</f>
        <v>DUF287</v>
      </c>
      <c r="BK669" t="str">
        <f>HYPERLINK("http://www.ncbi.nlm.nih.gov/Structure/cdd/cddsrv.cgi?uid=pfam03384&amp;version=v4.0","8.7")</f>
        <v>8.7</v>
      </c>
      <c r="BL669" t="s">
        <v>4423</v>
      </c>
      <c r="BM669" s="1" t="str">
        <f>HYPERLINK("http://exon.niaid.nih.gov/transcriptome/T_rubida/S1/links/KOG/Triru-contig_585-KOG.txt","Uncharacterized protein SFI1 involved in G(2)-M transition")</f>
        <v>Uncharacterized protein SFI1 involved in G(2)-M transition</v>
      </c>
      <c r="BN669" t="str">
        <f>HYPERLINK("http://www.ncbi.nlm.nih.gov/COG/grace/shokog.cgi?KOG4775","0.94")</f>
        <v>0.94</v>
      </c>
      <c r="BO669" t="s">
        <v>715</v>
      </c>
      <c r="BP669" s="1" t="str">
        <f>HYPERLINK("http://exon.niaid.nih.gov/transcriptome/T_rubida/S1/links/PFAM/Triru-contig_585-PFAM.txt","DUF287")</f>
        <v>DUF287</v>
      </c>
      <c r="BQ669" t="str">
        <f>HYPERLINK("http://pfam.sanger.ac.uk/family?acc=PF03384","1.8")</f>
        <v>1.8</v>
      </c>
      <c r="BR669" s="1" t="str">
        <f>HYPERLINK("http://exon.niaid.nih.gov/transcriptome/T_rubida/S1/links/SMART/Triru-contig_585-SMART.txt","Sema")</f>
        <v>Sema</v>
      </c>
      <c r="BS669" t="str">
        <f>HYPERLINK("http://smart.embl-heidelberg.de/smart/do_annotation.pl?DOMAIN=Sema&amp;BLAST=DUMMY","1.0")</f>
        <v>1.0</v>
      </c>
      <c r="BT669" s="1" t="str">
        <f>HYPERLINK("http://exon.niaid.nih.gov/transcriptome/T_rubida/S1/links/PRK/Triru-contig_585-PRK.txt","ankyrin-like protein")</f>
        <v>ankyrin-like protein</v>
      </c>
      <c r="BU669">
        <v>3.3</v>
      </c>
      <c r="BV669" s="1" t="s">
        <v>57</v>
      </c>
      <c r="BW669" t="s">
        <v>57</v>
      </c>
      <c r="BX669" s="1" t="s">
        <v>57</v>
      </c>
      <c r="BY669" t="s">
        <v>57</v>
      </c>
    </row>
    <row r="670" spans="1:77">
      <c r="A670" t="str">
        <f>HYPERLINK("http://exon.niaid.nih.gov/transcriptome/T_rubida/S1/links/Triru/Triru-contig_589.txt","Triru-contig_589")</f>
        <v>Triru-contig_589</v>
      </c>
      <c r="B670">
        <v>1</v>
      </c>
      <c r="C670" t="str">
        <f>HYPERLINK("http://exon.niaid.nih.gov/transcriptome/T_rubida/S1/links/Triru/Triru-5-48-asb-589.txt","Contig-589")</f>
        <v>Contig-589</v>
      </c>
      <c r="D670" t="str">
        <f>HYPERLINK("http://exon.niaid.nih.gov/transcriptome/T_rubida/S1/links/Triru/Triru-5-48-589-CLU.txt","Contig589")</f>
        <v>Contig589</v>
      </c>
      <c r="E670" t="str">
        <f>HYPERLINK("http://exon.niaid.nih.gov/transcriptome/T_rubida/S1/links/Triru/Triru-5-48-589-qual.txt","49.9")</f>
        <v>49.9</v>
      </c>
      <c r="F670" t="s">
        <v>10</v>
      </c>
      <c r="G670">
        <v>76.099999999999994</v>
      </c>
      <c r="H670">
        <v>52</v>
      </c>
      <c r="I670" t="s">
        <v>601</v>
      </c>
      <c r="J670">
        <v>52</v>
      </c>
      <c r="K670">
        <v>71</v>
      </c>
      <c r="L670">
        <v>42</v>
      </c>
      <c r="M670" t="s">
        <v>5396</v>
      </c>
      <c r="N670" s="15">
        <v>1</v>
      </c>
      <c r="Q670" s="5" t="s">
        <v>4827</v>
      </c>
      <c r="R670" t="s">
        <v>4828</v>
      </c>
      <c r="V670" s="1" t="s">
        <v>57</v>
      </c>
      <c r="W670" t="s">
        <v>57</v>
      </c>
      <c r="X670" t="s">
        <v>57</v>
      </c>
      <c r="Y670" t="s">
        <v>57</v>
      </c>
      <c r="Z670" t="s">
        <v>57</v>
      </c>
      <c r="AA670" t="s">
        <v>57</v>
      </c>
      <c r="AB670" t="s">
        <v>57</v>
      </c>
      <c r="AC670" t="s">
        <v>57</v>
      </c>
      <c r="AD670" t="s">
        <v>57</v>
      </c>
      <c r="AE670" t="s">
        <v>57</v>
      </c>
      <c r="AF670" t="s">
        <v>57</v>
      </c>
      <c r="AG670" t="s">
        <v>57</v>
      </c>
      <c r="AH670" t="s">
        <v>57</v>
      </c>
      <c r="AI670" t="s">
        <v>57</v>
      </c>
      <c r="AJ670" t="s">
        <v>57</v>
      </c>
      <c r="AK670" t="s">
        <v>57</v>
      </c>
      <c r="AL670" t="s">
        <v>57</v>
      </c>
      <c r="AM670" t="s">
        <v>57</v>
      </c>
      <c r="AN670" t="s">
        <v>57</v>
      </c>
      <c r="AO670" s="1" t="s">
        <v>57</v>
      </c>
      <c r="AP670" t="s">
        <v>57</v>
      </c>
      <c r="AQ670" t="s">
        <v>57</v>
      </c>
      <c r="AR670" t="s">
        <v>57</v>
      </c>
      <c r="AS670" t="s">
        <v>57</v>
      </c>
      <c r="AT670" t="s">
        <v>57</v>
      </c>
      <c r="AU670" t="s">
        <v>57</v>
      </c>
      <c r="AV670" t="s">
        <v>57</v>
      </c>
      <c r="AW670" t="s">
        <v>57</v>
      </c>
      <c r="AX670" t="s">
        <v>57</v>
      </c>
      <c r="AY670" t="s">
        <v>57</v>
      </c>
      <c r="AZ670" t="s">
        <v>57</v>
      </c>
      <c r="BA670" t="s">
        <v>57</v>
      </c>
      <c r="BB670" t="s">
        <v>57</v>
      </c>
      <c r="BC670" t="s">
        <v>57</v>
      </c>
      <c r="BD670" t="s">
        <v>57</v>
      </c>
      <c r="BE670" t="s">
        <v>57</v>
      </c>
      <c r="BF670" t="s">
        <v>57</v>
      </c>
      <c r="BG670" t="s">
        <v>57</v>
      </c>
      <c r="BH670" s="1" t="s">
        <v>57</v>
      </c>
      <c r="BI670" t="s">
        <v>57</v>
      </c>
      <c r="BJ670" s="1" t="str">
        <f>HYPERLINK("http://exon.niaid.nih.gov/transcriptome/T_rubida/S1/links/CDD/Triru-contig_589-CDD.txt","DUF420")</f>
        <v>DUF420</v>
      </c>
      <c r="BK670" t="str">
        <f>HYPERLINK("http://www.ncbi.nlm.nih.gov/Structure/cdd/cddsrv.cgi?uid=pfam04238&amp;version=v4.0","9.7")</f>
        <v>9.7</v>
      </c>
      <c r="BL670" t="s">
        <v>4437</v>
      </c>
      <c r="BM670" s="1" t="s">
        <v>57</v>
      </c>
      <c r="BN670" t="s">
        <v>57</v>
      </c>
      <c r="BO670" t="s">
        <v>57</v>
      </c>
      <c r="BP670" s="1" t="str">
        <f>HYPERLINK("http://exon.niaid.nih.gov/transcriptome/T_rubida/S1/links/PFAM/Triru-contig_589-PFAM.txt","DUF420")</f>
        <v>DUF420</v>
      </c>
      <c r="BQ670" t="str">
        <f>HYPERLINK("http://pfam.sanger.ac.uk/family?acc=PF04238","2.1")</f>
        <v>2.1</v>
      </c>
      <c r="BR670" s="1" t="str">
        <f>HYPERLINK("http://exon.niaid.nih.gov/transcriptome/T_rubida/S1/links/SMART/Triru-contig_589-SMART.txt","TOP2c")</f>
        <v>TOP2c</v>
      </c>
      <c r="BS670" t="str">
        <f>HYPERLINK("http://smart.embl-heidelberg.de/smart/do_annotation.pl?DOMAIN=TOP2c&amp;BLAST=DUMMY","0.94")</f>
        <v>0.94</v>
      </c>
      <c r="BT670" s="1" t="s">
        <v>57</v>
      </c>
      <c r="BU670" t="s">
        <v>57</v>
      </c>
      <c r="BV670" s="1" t="s">
        <v>57</v>
      </c>
      <c r="BW670" t="s">
        <v>57</v>
      </c>
      <c r="BX670" s="1" t="s">
        <v>57</v>
      </c>
      <c r="BY670" t="s">
        <v>57</v>
      </c>
    </row>
    <row r="671" spans="1:77">
      <c r="A671" t="str">
        <f>HYPERLINK("http://exon.niaid.nih.gov/transcriptome/T_rubida/S1/links/Triru/Triru-contig_592.txt","Triru-contig_592")</f>
        <v>Triru-contig_592</v>
      </c>
      <c r="B671">
        <v>1</v>
      </c>
      <c r="C671" t="str">
        <f>HYPERLINK("http://exon.niaid.nih.gov/transcriptome/T_rubida/S1/links/Triru/Triru-5-48-asb-592.txt","Contig-592")</f>
        <v>Contig-592</v>
      </c>
      <c r="D671" t="str">
        <f>HYPERLINK("http://exon.niaid.nih.gov/transcriptome/T_rubida/S1/links/Triru/Triru-5-48-592-CLU.txt","Contig592")</f>
        <v>Contig592</v>
      </c>
      <c r="E671" t="str">
        <f>HYPERLINK("http://exon.niaid.nih.gov/transcriptome/T_rubida/S1/links/Triru/Triru-5-48-592-qual.txt","52.2")</f>
        <v>52.2</v>
      </c>
      <c r="F671" t="s">
        <v>10</v>
      </c>
      <c r="G671">
        <v>72.2</v>
      </c>
      <c r="H671">
        <v>78</v>
      </c>
      <c r="I671" t="s">
        <v>604</v>
      </c>
      <c r="J671">
        <v>78</v>
      </c>
      <c r="K671">
        <v>97</v>
      </c>
      <c r="L671">
        <v>75</v>
      </c>
      <c r="M671" t="s">
        <v>5397</v>
      </c>
      <c r="N671" s="15">
        <v>2</v>
      </c>
      <c r="Q671" s="5" t="s">
        <v>4827</v>
      </c>
      <c r="R671" t="s">
        <v>4828</v>
      </c>
      <c r="V671" s="1" t="s">
        <v>57</v>
      </c>
      <c r="W671" t="s">
        <v>57</v>
      </c>
      <c r="X671" t="s">
        <v>57</v>
      </c>
      <c r="Y671" t="s">
        <v>57</v>
      </c>
      <c r="Z671" t="s">
        <v>57</v>
      </c>
      <c r="AA671" t="s">
        <v>57</v>
      </c>
      <c r="AB671" t="s">
        <v>57</v>
      </c>
      <c r="AC671" t="s">
        <v>57</v>
      </c>
      <c r="AD671" t="s">
        <v>57</v>
      </c>
      <c r="AE671" t="s">
        <v>57</v>
      </c>
      <c r="AF671" t="s">
        <v>57</v>
      </c>
      <c r="AG671" t="s">
        <v>57</v>
      </c>
      <c r="AH671" t="s">
        <v>57</v>
      </c>
      <c r="AI671" t="s">
        <v>57</v>
      </c>
      <c r="AJ671" t="s">
        <v>57</v>
      </c>
      <c r="AK671" t="s">
        <v>57</v>
      </c>
      <c r="AL671" t="s">
        <v>57</v>
      </c>
      <c r="AM671" t="s">
        <v>57</v>
      </c>
      <c r="AN671" t="s">
        <v>57</v>
      </c>
      <c r="AO671" s="1" t="s">
        <v>57</v>
      </c>
      <c r="AP671" t="s">
        <v>57</v>
      </c>
      <c r="AQ671" t="s">
        <v>57</v>
      </c>
      <c r="AR671" t="s">
        <v>57</v>
      </c>
      <c r="AS671" t="s">
        <v>57</v>
      </c>
      <c r="AT671" t="s">
        <v>57</v>
      </c>
      <c r="AU671" t="s">
        <v>57</v>
      </c>
      <c r="AV671" t="s">
        <v>57</v>
      </c>
      <c r="AW671" t="s">
        <v>57</v>
      </c>
      <c r="AX671" t="s">
        <v>57</v>
      </c>
      <c r="AY671" t="s">
        <v>57</v>
      </c>
      <c r="AZ671" t="s">
        <v>57</v>
      </c>
      <c r="BA671" t="s">
        <v>57</v>
      </c>
      <c r="BB671" t="s">
        <v>57</v>
      </c>
      <c r="BC671" t="s">
        <v>57</v>
      </c>
      <c r="BD671" t="s">
        <v>57</v>
      </c>
      <c r="BE671" t="s">
        <v>57</v>
      </c>
      <c r="BF671" t="s">
        <v>57</v>
      </c>
      <c r="BG671" t="s">
        <v>57</v>
      </c>
      <c r="BH671" s="1" t="s">
        <v>57</v>
      </c>
      <c r="BI671" t="s">
        <v>57</v>
      </c>
      <c r="BJ671" s="1" t="str">
        <f>HYPERLINK("http://exon.niaid.nih.gov/transcriptome/T_rubida/S1/links/CDD/Triru-contig_592-CDD.txt","Reticulon")</f>
        <v>Reticulon</v>
      </c>
      <c r="BK671" t="str">
        <f>HYPERLINK("http://www.ncbi.nlm.nih.gov/Structure/cdd/cddsrv.cgi?uid=pfam02453&amp;version=v4.0","3.7")</f>
        <v>3.7</v>
      </c>
      <c r="BL671" t="s">
        <v>4451</v>
      </c>
      <c r="BM671" s="1" t="s">
        <v>57</v>
      </c>
      <c r="BN671" t="s">
        <v>57</v>
      </c>
      <c r="BO671" t="s">
        <v>57</v>
      </c>
      <c r="BP671" s="1" t="str">
        <f>HYPERLINK("http://exon.niaid.nih.gov/transcriptome/T_rubida/S1/links/PFAM/Triru-contig_592-PFAM.txt","Reticulon")</f>
        <v>Reticulon</v>
      </c>
      <c r="BQ671" t="str">
        <f>HYPERLINK("http://pfam.sanger.ac.uk/family?acc=PF02453","0.81")</f>
        <v>0.81</v>
      </c>
      <c r="BR671" s="1" t="str">
        <f>HYPERLINK("http://exon.niaid.nih.gov/transcriptome/T_rubida/S1/links/SMART/Triru-contig_592-SMART.txt","RPOLA_N")</f>
        <v>RPOLA_N</v>
      </c>
      <c r="BS671" t="str">
        <f>HYPERLINK("http://smart.embl-heidelberg.de/smart/do_annotation.pl?DOMAIN=RPOLA_N&amp;BLAST=DUMMY","2.1")</f>
        <v>2.1</v>
      </c>
      <c r="BT671" s="1" t="str">
        <f>HYPERLINK("http://exon.niaid.nih.gov/transcriptome/T_rubida/S1/links/PRK/Triru-contig_592-PRK.txt","prenyltransferase")</f>
        <v>prenyltransferase</v>
      </c>
      <c r="BU671">
        <v>4.7</v>
      </c>
      <c r="BV671" s="1" t="s">
        <v>57</v>
      </c>
      <c r="BW671" t="s">
        <v>57</v>
      </c>
      <c r="BX671" s="1" t="s">
        <v>57</v>
      </c>
      <c r="BY671" t="s">
        <v>57</v>
      </c>
    </row>
    <row r="672" spans="1:77">
      <c r="A672" t="str">
        <f>HYPERLINK("http://exon.niaid.nih.gov/transcriptome/T_rubida/S1/links/Triru/Triru-contig_594.txt","Triru-contig_594")</f>
        <v>Triru-contig_594</v>
      </c>
      <c r="B672">
        <v>1</v>
      </c>
      <c r="C672" t="str">
        <f>HYPERLINK("http://exon.niaid.nih.gov/transcriptome/T_rubida/S1/links/Triru/Triru-5-48-asb-594.txt","Contig-594")</f>
        <v>Contig-594</v>
      </c>
      <c r="D672" t="str">
        <f>HYPERLINK("http://exon.niaid.nih.gov/transcriptome/T_rubida/S1/links/Triru/Triru-5-48-594-CLU.txt","Contig594")</f>
        <v>Contig594</v>
      </c>
      <c r="E672" t="str">
        <f>HYPERLINK("http://exon.niaid.nih.gov/transcriptome/T_rubida/S1/links/Triru/Triru-5-48-594-qual.txt","17.5")</f>
        <v>17.5</v>
      </c>
      <c r="F672" t="s">
        <v>10</v>
      </c>
      <c r="G672">
        <v>69.400000000000006</v>
      </c>
      <c r="H672">
        <v>190</v>
      </c>
      <c r="I672" t="s">
        <v>606</v>
      </c>
      <c r="J672">
        <v>190</v>
      </c>
      <c r="K672">
        <v>209</v>
      </c>
      <c r="L672">
        <v>72</v>
      </c>
      <c r="M672" t="s">
        <v>5398</v>
      </c>
      <c r="N672" s="15">
        <v>3</v>
      </c>
      <c r="Q672" s="5" t="s">
        <v>4827</v>
      </c>
      <c r="R672" t="s">
        <v>4828</v>
      </c>
      <c r="V672" s="1" t="s">
        <v>57</v>
      </c>
      <c r="W672" t="s">
        <v>57</v>
      </c>
      <c r="X672" t="s">
        <v>57</v>
      </c>
      <c r="Y672" t="s">
        <v>57</v>
      </c>
      <c r="Z672" t="s">
        <v>57</v>
      </c>
      <c r="AA672" t="s">
        <v>57</v>
      </c>
      <c r="AB672" t="s">
        <v>57</v>
      </c>
      <c r="AC672" t="s">
        <v>57</v>
      </c>
      <c r="AD672" t="s">
        <v>57</v>
      </c>
      <c r="AE672" t="s">
        <v>57</v>
      </c>
      <c r="AF672" t="s">
        <v>57</v>
      </c>
      <c r="AG672" t="s">
        <v>57</v>
      </c>
      <c r="AH672" t="s">
        <v>57</v>
      </c>
      <c r="AI672" t="s">
        <v>57</v>
      </c>
      <c r="AJ672" t="s">
        <v>57</v>
      </c>
      <c r="AK672" t="s">
        <v>57</v>
      </c>
      <c r="AL672" t="s">
        <v>57</v>
      </c>
      <c r="AM672" t="s">
        <v>57</v>
      </c>
      <c r="AN672" t="s">
        <v>57</v>
      </c>
      <c r="AO672" s="1" t="str">
        <f>HYPERLINK("http://exon.niaid.nih.gov/transcriptome/T_rubida/S1/links/SWISSP/Triru-contig_594-SWISSP.txt","Basement membrane-specific heparan sulfate proteoglycan core protein")</f>
        <v>Basement membrane-specific heparan sulfate proteoglycan core protein</v>
      </c>
      <c r="AP672" t="str">
        <f>HYPERLINK("http://www.uniprot.org/uniprot/Q05793","14")</f>
        <v>14</v>
      </c>
      <c r="AQ672" t="s">
        <v>4460</v>
      </c>
      <c r="AR672">
        <v>28.5</v>
      </c>
      <c r="AS672">
        <v>22</v>
      </c>
      <c r="AT672">
        <v>47</v>
      </c>
      <c r="AU672">
        <v>1</v>
      </c>
      <c r="AV672">
        <v>12</v>
      </c>
      <c r="AW672">
        <v>0</v>
      </c>
      <c r="AX672">
        <v>372</v>
      </c>
      <c r="AY672">
        <v>104</v>
      </c>
      <c r="AZ672">
        <v>1</v>
      </c>
      <c r="BA672">
        <v>2</v>
      </c>
      <c r="BB672" t="s">
        <v>11</v>
      </c>
      <c r="BC672">
        <v>4.5449999999999999</v>
      </c>
      <c r="BD672" t="s">
        <v>704</v>
      </c>
      <c r="BE672" t="s">
        <v>807</v>
      </c>
      <c r="BF672" t="s">
        <v>4461</v>
      </c>
      <c r="BG672" t="s">
        <v>4462</v>
      </c>
      <c r="BH672" s="1" t="s">
        <v>57</v>
      </c>
      <c r="BI672" t="s">
        <v>57</v>
      </c>
      <c r="BJ672" s="1" t="str">
        <f>HYPERLINK("http://exon.niaid.nih.gov/transcriptome/T_rubida/S1/links/CDD/Triru-contig_594-CDD.txt","lanti_perm_MutE")</f>
        <v>lanti_perm_MutE</v>
      </c>
      <c r="BK672" t="str">
        <f>HYPERLINK("http://www.ncbi.nlm.nih.gov/Structure/cdd/cddsrv.cgi?uid=TIGR03732&amp;version=v4.0","1.6")</f>
        <v>1.6</v>
      </c>
      <c r="BL672" t="s">
        <v>4463</v>
      </c>
      <c r="BM672" s="1" t="str">
        <f>HYPERLINK("http://exon.niaid.nih.gov/transcriptome/T_rubida/S1/links/KOG/Triru-contig_594-KOG.txt","60s ribosomal protein L24")</f>
        <v>60s ribosomal protein L24</v>
      </c>
      <c r="BN672" t="str">
        <f>HYPERLINK("http://www.ncbi.nlm.nih.gov/COG/grace/shokog.cgi?KOG1722","7.8")</f>
        <v>7.8</v>
      </c>
      <c r="BO672" t="s">
        <v>1185</v>
      </c>
      <c r="BP672" s="1" t="str">
        <f>HYPERLINK("http://exon.niaid.nih.gov/transcriptome/T_rubida/S1/links/PFAM/Triru-contig_594-PFAM.txt","DUF3402")</f>
        <v>DUF3402</v>
      </c>
      <c r="BQ672" t="str">
        <f>HYPERLINK("http://pfam.sanger.ac.uk/family?acc=PF11882","0.55")</f>
        <v>0.55</v>
      </c>
      <c r="BR672" s="1" t="str">
        <f>HYPERLINK("http://exon.niaid.nih.gov/transcriptome/T_rubida/S1/links/SMART/Triru-contig_594-SMART.txt","Alpha-mann_mid")</f>
        <v>Alpha-mann_mid</v>
      </c>
      <c r="BS672" t="str">
        <f>HYPERLINK("http://smart.embl-heidelberg.de/smart/do_annotation.pl?DOMAIN=Alpha-mann_mid&amp;BLAST=DUMMY","0.21")</f>
        <v>0.21</v>
      </c>
      <c r="BT672" s="1" t="str">
        <f>HYPERLINK("http://exon.niaid.nih.gov/transcriptome/T_rubida/S1/links/PRK/Triru-contig_594-PRK.txt","glycolate oxidase.")</f>
        <v>glycolate oxidase.</v>
      </c>
      <c r="BU672">
        <v>2.1</v>
      </c>
      <c r="BV672" s="1" t="s">
        <v>57</v>
      </c>
      <c r="BW672" t="s">
        <v>57</v>
      </c>
      <c r="BX672" s="1" t="s">
        <v>57</v>
      </c>
      <c r="BY672" t="s">
        <v>57</v>
      </c>
    </row>
    <row r="673" spans="1:77">
      <c r="A673" t="str">
        <f>HYPERLINK("http://exon.niaid.nih.gov/transcriptome/T_rubida/S1/links/Triru/Triru-contig_598.txt","Triru-contig_598")</f>
        <v>Triru-contig_598</v>
      </c>
      <c r="B673">
        <v>1</v>
      </c>
      <c r="C673" t="str">
        <f>HYPERLINK("http://exon.niaid.nih.gov/transcriptome/T_rubida/S1/links/Triru/Triru-5-48-asb-598.txt","Contig-598")</f>
        <v>Contig-598</v>
      </c>
      <c r="D673" t="str">
        <f>HYPERLINK("http://exon.niaid.nih.gov/transcriptome/T_rubida/S1/links/Triru/Triru-5-48-598-CLU.txt","Contig598")</f>
        <v>Contig598</v>
      </c>
      <c r="E673" t="str">
        <f>HYPERLINK("http://exon.niaid.nih.gov/transcriptome/T_rubida/S1/links/Triru/Triru-5-48-598-qual.txt","24.")</f>
        <v>24.</v>
      </c>
      <c r="F673" t="s">
        <v>10</v>
      </c>
      <c r="G673">
        <v>68.5</v>
      </c>
      <c r="H673">
        <v>105</v>
      </c>
      <c r="I673" t="s">
        <v>610</v>
      </c>
      <c r="J673">
        <v>105</v>
      </c>
      <c r="K673">
        <v>124</v>
      </c>
      <c r="L673">
        <v>81</v>
      </c>
      <c r="M673" t="s">
        <v>5399</v>
      </c>
      <c r="N673" s="15">
        <v>2</v>
      </c>
      <c r="Q673" s="5" t="s">
        <v>4827</v>
      </c>
      <c r="R673" t="s">
        <v>4828</v>
      </c>
      <c r="V673" s="1" t="s">
        <v>57</v>
      </c>
      <c r="W673" t="s">
        <v>57</v>
      </c>
      <c r="X673" t="s">
        <v>57</v>
      </c>
      <c r="Y673" t="s">
        <v>57</v>
      </c>
      <c r="Z673" t="s">
        <v>57</v>
      </c>
      <c r="AA673" t="s">
        <v>57</v>
      </c>
      <c r="AB673" t="s">
        <v>57</v>
      </c>
      <c r="AC673" t="s">
        <v>57</v>
      </c>
      <c r="AD673" t="s">
        <v>57</v>
      </c>
      <c r="AE673" t="s">
        <v>57</v>
      </c>
      <c r="AF673" t="s">
        <v>57</v>
      </c>
      <c r="AG673" t="s">
        <v>57</v>
      </c>
      <c r="AH673" t="s">
        <v>57</v>
      </c>
      <c r="AI673" t="s">
        <v>57</v>
      </c>
      <c r="AJ673" t="s">
        <v>57</v>
      </c>
      <c r="AK673" t="s">
        <v>57</v>
      </c>
      <c r="AL673" t="s">
        <v>57</v>
      </c>
      <c r="AM673" t="s">
        <v>57</v>
      </c>
      <c r="AN673" t="s">
        <v>57</v>
      </c>
      <c r="AO673" s="1" t="s">
        <v>57</v>
      </c>
      <c r="AP673" t="s">
        <v>57</v>
      </c>
      <c r="AQ673" t="s">
        <v>57</v>
      </c>
      <c r="AR673" t="s">
        <v>57</v>
      </c>
      <c r="AS673" t="s">
        <v>57</v>
      </c>
      <c r="AT673" t="s">
        <v>57</v>
      </c>
      <c r="AU673" t="s">
        <v>57</v>
      </c>
      <c r="AV673" t="s">
        <v>57</v>
      </c>
      <c r="AW673" t="s">
        <v>57</v>
      </c>
      <c r="AX673" t="s">
        <v>57</v>
      </c>
      <c r="AY673" t="s">
        <v>57</v>
      </c>
      <c r="AZ673" t="s">
        <v>57</v>
      </c>
      <c r="BA673" t="s">
        <v>57</v>
      </c>
      <c r="BB673" t="s">
        <v>57</v>
      </c>
      <c r="BC673" t="s">
        <v>57</v>
      </c>
      <c r="BD673" t="s">
        <v>57</v>
      </c>
      <c r="BE673" t="s">
        <v>57</v>
      </c>
      <c r="BF673" t="s">
        <v>57</v>
      </c>
      <c r="BG673" t="s">
        <v>57</v>
      </c>
      <c r="BH673" s="1" t="s">
        <v>57</v>
      </c>
      <c r="BI673" t="s">
        <v>57</v>
      </c>
      <c r="BJ673" s="1" t="str">
        <f>HYPERLINK("http://exon.niaid.nih.gov/transcriptome/T_rubida/S1/links/CDD/Triru-contig_598-CDD.txt","DEAD_2")</f>
        <v>DEAD_2</v>
      </c>
      <c r="BK673" t="str">
        <f>HYPERLINK("http://www.ncbi.nlm.nih.gov/Structure/cdd/cddsrv.cgi?uid=pfam06733&amp;version=v4.0","6.1")</f>
        <v>6.1</v>
      </c>
      <c r="BL673" t="s">
        <v>4484</v>
      </c>
      <c r="BM673" s="1" t="str">
        <f>HYPERLINK("http://exon.niaid.nih.gov/transcriptome/T_rubida/S1/links/KOG/Triru-contig_598-KOG.txt","Thyroid hormone receptor-associated protein complex, subunit TRAP240")</f>
        <v>Thyroid hormone receptor-associated protein complex, subunit TRAP240</v>
      </c>
      <c r="BN673" t="str">
        <f>HYPERLINK("http://www.ncbi.nlm.nih.gov/COG/grace/shokog.cgi?KOG3600","6.1")</f>
        <v>6.1</v>
      </c>
      <c r="BO673" t="s">
        <v>790</v>
      </c>
      <c r="BP673" s="1" t="str">
        <f>HYPERLINK("http://exon.niaid.nih.gov/transcriptome/T_rubida/S1/links/PFAM/Triru-contig_598-PFAM.txt","DEAD_2")</f>
        <v>DEAD_2</v>
      </c>
      <c r="BQ673" t="str">
        <f>HYPERLINK("http://pfam.sanger.ac.uk/family?acc=PF06733","1.3")</f>
        <v>1.3</v>
      </c>
      <c r="BR673" s="1" t="str">
        <f>HYPERLINK("http://exon.niaid.nih.gov/transcriptome/T_rubida/S1/links/SMART/Triru-contig_598-SMART.txt","LITAF")</f>
        <v>LITAF</v>
      </c>
      <c r="BS673" t="str">
        <f>HYPERLINK("http://smart.embl-heidelberg.de/smart/do_annotation.pl?DOMAIN=LITAF&amp;BLAST=DUMMY","0.40")</f>
        <v>0.40</v>
      </c>
      <c r="BT673" s="1" t="str">
        <f>HYPERLINK("http://exon.niaid.nih.gov/transcriptome/T_rubida/S1/links/PRK/Triru-contig_598-PRK.txt","site-specific tyrosine recombinase XerS")</f>
        <v>site-specific tyrosine recombinase XerS</v>
      </c>
      <c r="BU673">
        <v>2.5</v>
      </c>
      <c r="BV673" s="1" t="s">
        <v>57</v>
      </c>
      <c r="BW673" t="s">
        <v>57</v>
      </c>
      <c r="BX673" s="1" t="s">
        <v>57</v>
      </c>
      <c r="BY673" t="s">
        <v>57</v>
      </c>
    </row>
    <row r="674" spans="1:77">
      <c r="A674" t="str">
        <f>HYPERLINK("http://exon.niaid.nih.gov/transcriptome/T_rubida/S1/links/Triru/Triru-contig_602.txt","Triru-contig_602")</f>
        <v>Triru-contig_602</v>
      </c>
      <c r="B674">
        <v>1</v>
      </c>
      <c r="C674" t="str">
        <f>HYPERLINK("http://exon.niaid.nih.gov/transcriptome/T_rubida/S1/links/Triru/Triru-5-48-asb-602.txt","Contig-602")</f>
        <v>Contig-602</v>
      </c>
      <c r="D674" t="str">
        <f>HYPERLINK("http://exon.niaid.nih.gov/transcriptome/T_rubida/S1/links/Triru/Triru-5-48-602-CLU.txt","Contig602")</f>
        <v>Contig602</v>
      </c>
      <c r="E674" t="str">
        <f>HYPERLINK("http://exon.niaid.nih.gov/transcriptome/T_rubida/S1/links/Triru/Triru-5-48-602-qual.txt","54.7")</f>
        <v>54.7</v>
      </c>
      <c r="F674" t="s">
        <v>10</v>
      </c>
      <c r="G674">
        <v>79.8</v>
      </c>
      <c r="H674">
        <v>105</v>
      </c>
      <c r="I674" t="s">
        <v>614</v>
      </c>
      <c r="J674">
        <v>105</v>
      </c>
      <c r="K674">
        <v>124</v>
      </c>
      <c r="L674">
        <v>84</v>
      </c>
      <c r="M674" t="s">
        <v>5400</v>
      </c>
      <c r="N674" s="15">
        <v>1</v>
      </c>
      <c r="Q674" s="5" t="s">
        <v>4827</v>
      </c>
      <c r="R674" t="s">
        <v>4828</v>
      </c>
      <c r="V674" s="1" t="s">
        <v>57</v>
      </c>
      <c r="W674" t="s">
        <v>57</v>
      </c>
      <c r="X674" t="s">
        <v>57</v>
      </c>
      <c r="Y674" t="s">
        <v>57</v>
      </c>
      <c r="Z674" t="s">
        <v>57</v>
      </c>
      <c r="AA674" t="s">
        <v>57</v>
      </c>
      <c r="AB674" t="s">
        <v>57</v>
      </c>
      <c r="AC674" t="s">
        <v>57</v>
      </c>
      <c r="AD674" t="s">
        <v>57</v>
      </c>
      <c r="AE674" t="s">
        <v>57</v>
      </c>
      <c r="AF674" t="s">
        <v>57</v>
      </c>
      <c r="AG674" t="s">
        <v>57</v>
      </c>
      <c r="AH674" t="s">
        <v>57</v>
      </c>
      <c r="AI674" t="s">
        <v>57</v>
      </c>
      <c r="AJ674" t="s">
        <v>57</v>
      </c>
      <c r="AK674" t="s">
        <v>57</v>
      </c>
      <c r="AL674" t="s">
        <v>57</v>
      </c>
      <c r="AM674" t="s">
        <v>57</v>
      </c>
      <c r="AN674" t="s">
        <v>57</v>
      </c>
      <c r="AO674" s="1" t="str">
        <f>HYPERLINK("http://exon.niaid.nih.gov/transcriptome/T_rubida/S1/links/SWISSP/Triru-contig_602-SWISSP.txt","Sucrose synthase 2")</f>
        <v>Sucrose synthase 2</v>
      </c>
      <c r="AP674" t="str">
        <f>HYPERLINK("http://www.uniprot.org/uniprot/O24301","18")</f>
        <v>18</v>
      </c>
      <c r="AQ674" t="s">
        <v>4507</v>
      </c>
      <c r="AR674">
        <v>28.1</v>
      </c>
      <c r="AS674">
        <v>34</v>
      </c>
      <c r="AT674">
        <v>40</v>
      </c>
      <c r="AU674">
        <v>4</v>
      </c>
      <c r="AV674">
        <v>21</v>
      </c>
      <c r="AW674">
        <v>2</v>
      </c>
      <c r="AX674">
        <v>769</v>
      </c>
      <c r="AY674">
        <v>2</v>
      </c>
      <c r="AZ674">
        <v>1</v>
      </c>
      <c r="BA674">
        <v>2</v>
      </c>
      <c r="BB674" t="s">
        <v>11</v>
      </c>
      <c r="BC674">
        <v>2.9409999999999998</v>
      </c>
      <c r="BD674" t="s">
        <v>704</v>
      </c>
      <c r="BE674" t="s">
        <v>4508</v>
      </c>
      <c r="BF674" t="s">
        <v>4509</v>
      </c>
      <c r="BG674" t="s">
        <v>4510</v>
      </c>
      <c r="BH674" s="1" t="s">
        <v>57</v>
      </c>
      <c r="BI674" t="s">
        <v>57</v>
      </c>
      <c r="BJ674" s="1" t="str">
        <f>HYPERLINK("http://exon.niaid.nih.gov/transcriptome/T_rubida/S1/links/CDD/Triru-contig_602-CDD.txt","PLN00142")</f>
        <v>PLN00142</v>
      </c>
      <c r="BK674" t="str">
        <f>HYPERLINK("http://www.ncbi.nlm.nih.gov/Structure/cdd/cddsrv.cgi?uid=PLN00142&amp;version=v4.0","0.005")</f>
        <v>0.005</v>
      </c>
      <c r="BL674" t="s">
        <v>4511</v>
      </c>
      <c r="BM674" s="1" t="str">
        <f>HYPERLINK("http://exon.niaid.nih.gov/transcriptome/T_rubida/S1/links/KOG/Triru-contig_602-KOG.txt","Nucleoside phosphatase")</f>
        <v>Nucleoside phosphatase</v>
      </c>
      <c r="BN674" t="str">
        <f>HYPERLINK("http://www.ncbi.nlm.nih.gov/COG/grace/shokog.cgi?KOG1386","1.2")</f>
        <v>1.2</v>
      </c>
      <c r="BO674" t="s">
        <v>2867</v>
      </c>
      <c r="BP674" s="1" t="str">
        <f>HYPERLINK("http://exon.niaid.nih.gov/transcriptome/T_rubida/S1/links/PFAM/Triru-contig_602-PFAM.txt","DUF70")</f>
        <v>DUF70</v>
      </c>
      <c r="BQ674" t="str">
        <f>HYPERLINK("http://pfam.sanger.ac.uk/family?acc=PF01901","0.84")</f>
        <v>0.84</v>
      </c>
      <c r="BR674" s="1" t="str">
        <f>HYPERLINK("http://exon.niaid.nih.gov/transcriptome/T_rubida/S1/links/SMART/Triru-contig_602-SMART.txt","IENR1")</f>
        <v>IENR1</v>
      </c>
      <c r="BS674" t="str">
        <f>HYPERLINK("http://smart.embl-heidelberg.de/smart/do_annotation.pl?DOMAIN=IENR1&amp;BLAST=DUMMY","1.1")</f>
        <v>1.1</v>
      </c>
      <c r="BT674" s="1" t="str">
        <f>HYPERLINK("http://exon.niaid.nih.gov/transcriptome/T_rubida/S1/links/PRK/Triru-contig_602-PRK.txt","sucrose synthase.")</f>
        <v>sucrose synthase.</v>
      </c>
      <c r="BU674">
        <v>2E-3</v>
      </c>
      <c r="BV674" s="1" t="s">
        <v>57</v>
      </c>
      <c r="BW674" t="s">
        <v>57</v>
      </c>
      <c r="BX674" s="1" t="s">
        <v>57</v>
      </c>
      <c r="BY674" t="s">
        <v>57</v>
      </c>
    </row>
    <row r="675" spans="1:77">
      <c r="A675" t="str">
        <f>HYPERLINK("http://exon.niaid.nih.gov/transcriptome/T_rubida/S1/links/Triru/Triru-contig_618.txt","Triru-contig_618")</f>
        <v>Triru-contig_618</v>
      </c>
      <c r="B675">
        <v>1</v>
      </c>
      <c r="C675" t="str">
        <f>HYPERLINK("http://exon.niaid.nih.gov/transcriptome/T_rubida/S1/links/Triru/Triru-5-48-asb-618.txt","Contig-618")</f>
        <v>Contig-618</v>
      </c>
      <c r="D675" t="str">
        <f>HYPERLINK("http://exon.niaid.nih.gov/transcriptome/T_rubida/S1/links/Triru/Triru-5-48-618-CLU.txt","Contig618")</f>
        <v>Contig618</v>
      </c>
      <c r="E675" t="str">
        <f>HYPERLINK("http://exon.niaid.nih.gov/transcriptome/T_rubida/S1/links/Triru/Triru-5-48-618-qual.txt","63.3")</f>
        <v>63.3</v>
      </c>
      <c r="F675" t="s">
        <v>10</v>
      </c>
      <c r="G675">
        <v>84.7</v>
      </c>
      <c r="H675">
        <v>79</v>
      </c>
      <c r="I675" t="s">
        <v>630</v>
      </c>
      <c r="J675">
        <v>79</v>
      </c>
      <c r="K675">
        <v>98</v>
      </c>
      <c r="L675">
        <v>57</v>
      </c>
      <c r="M675" t="s">
        <v>5401</v>
      </c>
      <c r="N675" s="15">
        <v>1</v>
      </c>
      <c r="Q675" s="5" t="s">
        <v>4827</v>
      </c>
      <c r="R675" t="s">
        <v>4828</v>
      </c>
      <c r="V675" s="1" t="s">
        <v>57</v>
      </c>
      <c r="W675" t="s">
        <v>57</v>
      </c>
      <c r="X675" t="s">
        <v>57</v>
      </c>
      <c r="Y675" t="s">
        <v>57</v>
      </c>
      <c r="Z675" t="s">
        <v>57</v>
      </c>
      <c r="AA675" t="s">
        <v>57</v>
      </c>
      <c r="AB675" t="s">
        <v>57</v>
      </c>
      <c r="AC675" t="s">
        <v>57</v>
      </c>
      <c r="AD675" t="s">
        <v>57</v>
      </c>
      <c r="AE675" t="s">
        <v>57</v>
      </c>
      <c r="AF675" t="s">
        <v>57</v>
      </c>
      <c r="AG675" t="s">
        <v>57</v>
      </c>
      <c r="AH675" t="s">
        <v>57</v>
      </c>
      <c r="AI675" t="s">
        <v>57</v>
      </c>
      <c r="AJ675" t="s">
        <v>57</v>
      </c>
      <c r="AK675" t="s">
        <v>57</v>
      </c>
      <c r="AL675" t="s">
        <v>57</v>
      </c>
      <c r="AM675" t="s">
        <v>57</v>
      </c>
      <c r="AN675" t="s">
        <v>57</v>
      </c>
      <c r="AO675" s="1" t="s">
        <v>57</v>
      </c>
      <c r="AP675" t="s">
        <v>57</v>
      </c>
      <c r="AQ675" t="s">
        <v>57</v>
      </c>
      <c r="AR675" t="s">
        <v>57</v>
      </c>
      <c r="AS675" t="s">
        <v>57</v>
      </c>
      <c r="AT675" t="s">
        <v>57</v>
      </c>
      <c r="AU675" t="s">
        <v>57</v>
      </c>
      <c r="AV675" t="s">
        <v>57</v>
      </c>
      <c r="AW675" t="s">
        <v>57</v>
      </c>
      <c r="AX675" t="s">
        <v>57</v>
      </c>
      <c r="AY675" t="s">
        <v>57</v>
      </c>
      <c r="AZ675" t="s">
        <v>57</v>
      </c>
      <c r="BA675" t="s">
        <v>57</v>
      </c>
      <c r="BB675" t="s">
        <v>57</v>
      </c>
      <c r="BC675" t="s">
        <v>57</v>
      </c>
      <c r="BD675" t="s">
        <v>57</v>
      </c>
      <c r="BE675" t="s">
        <v>57</v>
      </c>
      <c r="BF675" t="s">
        <v>57</v>
      </c>
      <c r="BG675" t="s">
        <v>57</v>
      </c>
      <c r="BH675" s="1" t="s">
        <v>57</v>
      </c>
      <c r="BI675" t="s">
        <v>57</v>
      </c>
      <c r="BJ675" s="1" t="str">
        <f>HYPERLINK("http://exon.niaid.nih.gov/transcriptome/T_rubida/S1/links/CDD/Triru-contig_618-CDD.txt","cyt_deam_tetra")</f>
        <v>cyt_deam_tetra</v>
      </c>
      <c r="BK675" t="str">
        <f>HYPERLINK("http://www.ncbi.nlm.nih.gov/Structure/cdd/cddsrv.cgi?uid=TIGR01354&amp;version=v4.0","2.8")</f>
        <v>2.8</v>
      </c>
      <c r="BL675" t="s">
        <v>4611</v>
      </c>
      <c r="BM675" s="1" t="s">
        <v>57</v>
      </c>
      <c r="BN675" t="s">
        <v>57</v>
      </c>
      <c r="BO675" t="s">
        <v>57</v>
      </c>
      <c r="BP675" s="1" t="str">
        <f>HYPERLINK("http://exon.niaid.nih.gov/transcriptome/T_rubida/S1/links/PFAM/Triru-contig_618-PFAM.txt","RNA_pol_Rpc34")</f>
        <v>RNA_pol_Rpc34</v>
      </c>
      <c r="BQ675" t="str">
        <f>HYPERLINK("http://pfam.sanger.ac.uk/family?acc=PF05158","6.6")</f>
        <v>6.6</v>
      </c>
      <c r="BR675" s="1" t="str">
        <f>HYPERLINK("http://exon.niaid.nih.gov/transcriptome/T_rubida/S1/links/SMART/Triru-contig_618-SMART.txt","CUE")</f>
        <v>CUE</v>
      </c>
      <c r="BS675" t="str">
        <f>HYPERLINK("http://smart.embl-heidelberg.de/smart/do_annotation.pl?DOMAIN=CUE&amp;BLAST=DUMMY","0.80")</f>
        <v>0.80</v>
      </c>
      <c r="BT675" s="1" t="str">
        <f>HYPERLINK("http://exon.niaid.nih.gov/transcriptome/T_rubida/S1/links/PRK/Triru-contig_618-PRK.txt","DNA-binding transcriptional repressor AcrR")</f>
        <v>DNA-binding transcriptional repressor AcrR</v>
      </c>
      <c r="BU675">
        <v>7.6</v>
      </c>
      <c r="BV675" s="1" t="s">
        <v>57</v>
      </c>
      <c r="BW675" t="s">
        <v>57</v>
      </c>
      <c r="BX675" s="1" t="s">
        <v>57</v>
      </c>
      <c r="BY675" t="s">
        <v>57</v>
      </c>
    </row>
    <row r="676" spans="1:77">
      <c r="A676" t="str">
        <f>HYPERLINK("http://exon.niaid.nih.gov/transcriptome/T_rubida/S1/links/Triru/Triru-contig_619.txt","Triru-contig_619")</f>
        <v>Triru-contig_619</v>
      </c>
      <c r="B676">
        <v>1</v>
      </c>
      <c r="C676" t="str">
        <f>HYPERLINK("http://exon.niaid.nih.gov/transcriptome/T_rubida/S1/links/Triru/Triru-5-48-asb-619.txt","Contig-619")</f>
        <v>Contig-619</v>
      </c>
      <c r="D676" t="str">
        <f>HYPERLINK("http://exon.niaid.nih.gov/transcriptome/T_rubida/S1/links/Triru/Triru-5-48-619-CLU.txt","Contig619")</f>
        <v>Contig619</v>
      </c>
      <c r="E676" t="str">
        <f>HYPERLINK("http://exon.niaid.nih.gov/transcriptome/T_rubida/S1/links/Triru/Triru-5-48-619-qual.txt","53.1")</f>
        <v>53.1</v>
      </c>
      <c r="F676" t="s">
        <v>10</v>
      </c>
      <c r="G676">
        <v>71.599999999999994</v>
      </c>
      <c r="H676">
        <v>182</v>
      </c>
      <c r="I676" t="s">
        <v>631</v>
      </c>
      <c r="J676">
        <v>182</v>
      </c>
      <c r="K676">
        <v>201</v>
      </c>
      <c r="L676">
        <v>96</v>
      </c>
      <c r="M676" t="s">
        <v>5402</v>
      </c>
      <c r="N676" s="15">
        <v>1</v>
      </c>
      <c r="Q676" s="5" t="s">
        <v>4827</v>
      </c>
      <c r="R676" t="s">
        <v>4828</v>
      </c>
      <c r="V676" s="1" t="s">
        <v>57</v>
      </c>
      <c r="W676" t="s">
        <v>57</v>
      </c>
      <c r="X676" t="s">
        <v>57</v>
      </c>
      <c r="Y676" t="s">
        <v>57</v>
      </c>
      <c r="Z676" t="s">
        <v>57</v>
      </c>
      <c r="AA676" t="s">
        <v>57</v>
      </c>
      <c r="AB676" t="s">
        <v>57</v>
      </c>
      <c r="AC676" t="s">
        <v>57</v>
      </c>
      <c r="AD676" t="s">
        <v>57</v>
      </c>
      <c r="AE676" t="s">
        <v>57</v>
      </c>
      <c r="AF676" t="s">
        <v>57</v>
      </c>
      <c r="AG676" t="s">
        <v>57</v>
      </c>
      <c r="AH676" t="s">
        <v>57</v>
      </c>
      <c r="AI676" t="s">
        <v>57</v>
      </c>
      <c r="AJ676" t="s">
        <v>57</v>
      </c>
      <c r="AK676" t="s">
        <v>57</v>
      </c>
      <c r="AL676" t="s">
        <v>57</v>
      </c>
      <c r="AM676" t="s">
        <v>57</v>
      </c>
      <c r="AN676" t="s">
        <v>57</v>
      </c>
      <c r="AO676" s="1" t="str">
        <f>HYPERLINK("http://exon.niaid.nih.gov/transcriptome/T_rubida/S1/links/SWISSP/Triru-contig_619-SWISSP.txt","Nucleoside triphosphatase II")</f>
        <v>Nucleoside triphosphatase II</v>
      </c>
      <c r="AP676" t="str">
        <f>HYPERLINK("http://www.uniprot.org/uniprot/Q9YW06","40")</f>
        <v>40</v>
      </c>
      <c r="AQ676" t="s">
        <v>4612</v>
      </c>
      <c r="AR676">
        <v>26.9</v>
      </c>
      <c r="AS676">
        <v>29</v>
      </c>
      <c r="AT676">
        <v>45</v>
      </c>
      <c r="AU676">
        <v>4</v>
      </c>
      <c r="AV676">
        <v>17</v>
      </c>
      <c r="AW676">
        <v>0</v>
      </c>
      <c r="AX676">
        <v>72</v>
      </c>
      <c r="AY676">
        <v>64</v>
      </c>
      <c r="AZ676">
        <v>1</v>
      </c>
      <c r="BA676">
        <v>1</v>
      </c>
      <c r="BB676" t="s">
        <v>11</v>
      </c>
      <c r="BC676">
        <v>3.448</v>
      </c>
      <c r="BD676" t="s">
        <v>704</v>
      </c>
      <c r="BE676" t="s">
        <v>4613</v>
      </c>
      <c r="BF676" t="s">
        <v>4614</v>
      </c>
      <c r="BG676" t="s">
        <v>4615</v>
      </c>
      <c r="BH676" s="1" t="s">
        <v>57</v>
      </c>
      <c r="BI676" t="s">
        <v>57</v>
      </c>
      <c r="BJ676" s="1" t="str">
        <f>HYPERLINK("http://exon.niaid.nih.gov/transcriptome/T_rubida/S1/links/CDD/Triru-contig_619-CDD.txt","Glyco_hydro_65m")</f>
        <v>Glyco_hydro_65m</v>
      </c>
      <c r="BK676" t="str">
        <f>HYPERLINK("http://www.ncbi.nlm.nih.gov/Structure/cdd/cddsrv.cgi?uid=pfam03632&amp;version=v4.0","0.24")</f>
        <v>0.24</v>
      </c>
      <c r="BL676" t="s">
        <v>4616</v>
      </c>
      <c r="BM676" s="1" t="str">
        <f>HYPERLINK("http://exon.niaid.nih.gov/transcriptome/T_rubida/S1/links/KOG/Triru-contig_619-KOG.txt","E3 ubiquitin ligase involved in syntaxin degradation")</f>
        <v>E3 ubiquitin ligase involved in syntaxin degradation</v>
      </c>
      <c r="BN676" t="str">
        <f>HYPERLINK("http://www.ncbi.nlm.nih.gov/COG/grace/shokog.cgi?KOG0978","1.9")</f>
        <v>1.9</v>
      </c>
      <c r="BO676" t="s">
        <v>954</v>
      </c>
      <c r="BP676" s="1" t="str">
        <f>HYPERLINK("http://exon.niaid.nih.gov/transcriptome/T_rubida/S1/links/PFAM/Triru-contig_619-PFAM.txt","Glyco_hydro_65m")</f>
        <v>Glyco_hydro_65m</v>
      </c>
      <c r="BQ676" t="str">
        <f>HYPERLINK("http://pfam.sanger.ac.uk/family?acc=PF03632","0.052")</f>
        <v>0.052</v>
      </c>
      <c r="BR676" s="1" t="str">
        <f>HYPERLINK("http://exon.niaid.nih.gov/transcriptome/T_rubida/S1/links/SMART/Triru-contig_619-SMART.txt","MeTrc")</f>
        <v>MeTrc</v>
      </c>
      <c r="BS676" t="str">
        <f>HYPERLINK("http://smart.embl-heidelberg.de/smart/do_annotation.pl?DOMAIN=MeTrc&amp;BLAST=DUMMY","0.83")</f>
        <v>0.83</v>
      </c>
      <c r="BT676" s="1" t="str">
        <f>HYPERLINK("http://exon.niaid.nih.gov/transcriptome/T_rubida/S1/links/PRK/Triru-contig_619-PRK.txt","succinate dehydrogenase flavoprotein subunit")</f>
        <v>succinate dehydrogenase flavoprotein subunit</v>
      </c>
      <c r="BU676">
        <v>1.4</v>
      </c>
      <c r="BV676" s="1" t="s">
        <v>57</v>
      </c>
      <c r="BW676" t="s">
        <v>57</v>
      </c>
      <c r="BX676" s="1" t="s">
        <v>57</v>
      </c>
      <c r="BY676" t="s">
        <v>57</v>
      </c>
    </row>
    <row r="677" spans="1:77">
      <c r="A677" t="str">
        <f>HYPERLINK("http://exon.niaid.nih.gov/transcriptome/T_rubida/S1/links/Triru/Triru-contig_625.txt","Triru-contig_625")</f>
        <v>Triru-contig_625</v>
      </c>
      <c r="B677">
        <v>1</v>
      </c>
      <c r="C677" t="str">
        <f>HYPERLINK("http://exon.niaid.nih.gov/transcriptome/T_rubida/S1/links/Triru/Triru-5-48-asb-625.txt","Contig-625")</f>
        <v>Contig-625</v>
      </c>
      <c r="D677" t="str">
        <f>HYPERLINK("http://exon.niaid.nih.gov/transcriptome/T_rubida/S1/links/Triru/Triru-5-48-625-CLU.txt","Contig625")</f>
        <v>Contig625</v>
      </c>
      <c r="E677" t="str">
        <f>HYPERLINK("http://exon.niaid.nih.gov/transcriptome/T_rubida/S1/links/Triru/Triru-5-48-625-qual.txt","56.4")</f>
        <v>56.4</v>
      </c>
      <c r="F677" t="s">
        <v>10</v>
      </c>
      <c r="G677">
        <v>79.599999999999994</v>
      </c>
      <c r="H677">
        <v>123</v>
      </c>
      <c r="I677" t="s">
        <v>637</v>
      </c>
      <c r="J677">
        <v>123</v>
      </c>
      <c r="K677">
        <v>142</v>
      </c>
      <c r="L677">
        <v>63</v>
      </c>
      <c r="M677" t="s">
        <v>5403</v>
      </c>
      <c r="N677" s="15">
        <v>2</v>
      </c>
      <c r="Q677" s="5" t="s">
        <v>4827</v>
      </c>
      <c r="R677" t="s">
        <v>4828</v>
      </c>
      <c r="V677" s="1" t="s">
        <v>57</v>
      </c>
      <c r="W677" t="s">
        <v>57</v>
      </c>
      <c r="X677" t="s">
        <v>57</v>
      </c>
      <c r="Y677" t="s">
        <v>57</v>
      </c>
      <c r="Z677" t="s">
        <v>57</v>
      </c>
      <c r="AA677" t="s">
        <v>57</v>
      </c>
      <c r="AB677" t="s">
        <v>57</v>
      </c>
      <c r="AC677" t="s">
        <v>57</v>
      </c>
      <c r="AD677" t="s">
        <v>57</v>
      </c>
      <c r="AE677" t="s">
        <v>57</v>
      </c>
      <c r="AF677" t="s">
        <v>57</v>
      </c>
      <c r="AG677" t="s">
        <v>57</v>
      </c>
      <c r="AH677" t="s">
        <v>57</v>
      </c>
      <c r="AI677" t="s">
        <v>57</v>
      </c>
      <c r="AJ677" t="s">
        <v>57</v>
      </c>
      <c r="AK677" t="s">
        <v>57</v>
      </c>
      <c r="AL677" t="s">
        <v>57</v>
      </c>
      <c r="AM677" t="s">
        <v>57</v>
      </c>
      <c r="AN677" t="s">
        <v>57</v>
      </c>
      <c r="AO677" s="1" t="s">
        <v>57</v>
      </c>
      <c r="AP677" t="s">
        <v>57</v>
      </c>
      <c r="AQ677" t="s">
        <v>57</v>
      </c>
      <c r="AR677" t="s">
        <v>57</v>
      </c>
      <c r="AS677" t="s">
        <v>57</v>
      </c>
      <c r="AT677" t="s">
        <v>57</v>
      </c>
      <c r="AU677" t="s">
        <v>57</v>
      </c>
      <c r="AV677" t="s">
        <v>57</v>
      </c>
      <c r="AW677" t="s">
        <v>57</v>
      </c>
      <c r="AX677" t="s">
        <v>57</v>
      </c>
      <c r="AY677" t="s">
        <v>57</v>
      </c>
      <c r="AZ677" t="s">
        <v>57</v>
      </c>
      <c r="BA677" t="s">
        <v>57</v>
      </c>
      <c r="BB677" t="s">
        <v>57</v>
      </c>
      <c r="BC677" t="s">
        <v>57</v>
      </c>
      <c r="BD677" t="s">
        <v>57</v>
      </c>
      <c r="BE677" t="s">
        <v>57</v>
      </c>
      <c r="BF677" t="s">
        <v>57</v>
      </c>
      <c r="BG677" t="s">
        <v>57</v>
      </c>
      <c r="BH677" s="1" t="s">
        <v>57</v>
      </c>
      <c r="BI677" t="s">
        <v>57</v>
      </c>
      <c r="BJ677" s="1" t="str">
        <f>HYPERLINK("http://exon.niaid.nih.gov/transcriptome/T_rubida/S1/links/CDD/Triru-contig_625-CDD.txt","PRK05572")</f>
        <v>PRK05572</v>
      </c>
      <c r="BK677" t="str">
        <f>HYPERLINK("http://www.ncbi.nlm.nih.gov/Structure/cdd/cddsrv.cgi?uid=PRK05572&amp;version=v4.0","3.9")</f>
        <v>3.9</v>
      </c>
      <c r="BL677" t="s">
        <v>4648</v>
      </c>
      <c r="BM677" s="1" t="str">
        <f>HYPERLINK("http://exon.niaid.nih.gov/transcriptome/T_rubida/S1/links/KOG/Triru-contig_625-KOG.txt","Concentrative Na+-nucleoside cotransporter CNT1/CNT2")</f>
        <v>Concentrative Na+-nucleoside cotransporter CNT1/CNT2</v>
      </c>
      <c r="BN677" t="str">
        <f>HYPERLINK("http://www.ncbi.nlm.nih.gov/COG/grace/shokog.cgi?KOG3747","1.2")</f>
        <v>1.2</v>
      </c>
      <c r="BO677" t="s">
        <v>4001</v>
      </c>
      <c r="BP677" s="1" t="str">
        <f>HYPERLINK("http://exon.niaid.nih.gov/transcriptome/T_rubida/S1/links/PFAM/Triru-contig_625-PFAM.txt","7TM_GPCR_Sra")</f>
        <v>7TM_GPCR_Sra</v>
      </c>
      <c r="BQ677" t="str">
        <f>HYPERLINK("http://pfam.sanger.ac.uk/family?acc=PF02117","1.8")</f>
        <v>1.8</v>
      </c>
      <c r="BR677" s="1" t="str">
        <f>HYPERLINK("http://exon.niaid.nih.gov/transcriptome/T_rubida/S1/links/SMART/Triru-contig_625-SMART.txt","SERPIN")</f>
        <v>SERPIN</v>
      </c>
      <c r="BS677" t="str">
        <f>HYPERLINK("http://smart.embl-heidelberg.de/smart/do_annotation.pl?DOMAIN=SERPIN&amp;BLAST=DUMMY","0.24")</f>
        <v>0.24</v>
      </c>
      <c r="BT677" s="1" t="str">
        <f>HYPERLINK("http://exon.niaid.nih.gov/transcriptome/T_rubida/S1/links/PRK/Triru-contig_625-PRK.txt","sporulation sigma factor SigF")</f>
        <v>sporulation sigma factor SigF</v>
      </c>
      <c r="BU677">
        <v>1.4</v>
      </c>
      <c r="BV677" s="1" t="s">
        <v>57</v>
      </c>
      <c r="BW677" t="s">
        <v>57</v>
      </c>
      <c r="BX677" s="1" t="s">
        <v>57</v>
      </c>
      <c r="BY677" t="s">
        <v>57</v>
      </c>
    </row>
    <row r="678" spans="1:77">
      <c r="A678" t="str">
        <f>HYPERLINK("http://exon.niaid.nih.gov/transcriptome/T_rubida/S1/links/Triru/Triru-contig_626.txt","Triru-contig_626")</f>
        <v>Triru-contig_626</v>
      </c>
      <c r="B678">
        <v>1</v>
      </c>
      <c r="C678" t="str">
        <f>HYPERLINK("http://exon.niaid.nih.gov/transcriptome/T_rubida/S1/links/Triru/Triru-5-48-asb-626.txt","Contig-626")</f>
        <v>Contig-626</v>
      </c>
      <c r="D678" t="str">
        <f>HYPERLINK("http://exon.niaid.nih.gov/transcriptome/T_rubida/S1/links/Triru/Triru-5-48-626-CLU.txt","Contig626")</f>
        <v>Contig626</v>
      </c>
      <c r="E678" t="str">
        <f>HYPERLINK("http://exon.niaid.nih.gov/transcriptome/T_rubida/S1/links/Triru/Triru-5-48-626-qual.txt","50.1")</f>
        <v>50.1</v>
      </c>
      <c r="F678">
        <v>1.3</v>
      </c>
      <c r="G678">
        <v>67.099999999999994</v>
      </c>
      <c r="H678">
        <v>133</v>
      </c>
      <c r="I678" t="s">
        <v>638</v>
      </c>
      <c r="J678">
        <v>133</v>
      </c>
      <c r="K678">
        <v>152</v>
      </c>
      <c r="L678">
        <v>105</v>
      </c>
      <c r="M678" t="s">
        <v>5404</v>
      </c>
      <c r="N678" s="15">
        <v>1</v>
      </c>
      <c r="Q678" s="5" t="s">
        <v>4827</v>
      </c>
      <c r="R678" t="s">
        <v>4828</v>
      </c>
      <c r="V678" s="1" t="s">
        <v>57</v>
      </c>
      <c r="W678" t="s">
        <v>57</v>
      </c>
      <c r="X678" t="s">
        <v>57</v>
      </c>
      <c r="Y678" t="s">
        <v>57</v>
      </c>
      <c r="Z678" t="s">
        <v>57</v>
      </c>
      <c r="AA678" t="s">
        <v>57</v>
      </c>
      <c r="AB678" t="s">
        <v>57</v>
      </c>
      <c r="AC678" t="s">
        <v>57</v>
      </c>
      <c r="AD678" t="s">
        <v>57</v>
      </c>
      <c r="AE678" t="s">
        <v>57</v>
      </c>
      <c r="AF678" t="s">
        <v>57</v>
      </c>
      <c r="AG678" t="s">
        <v>57</v>
      </c>
      <c r="AH678" t="s">
        <v>57</v>
      </c>
      <c r="AI678" t="s">
        <v>57</v>
      </c>
      <c r="AJ678" t="s">
        <v>57</v>
      </c>
      <c r="AK678" t="s">
        <v>57</v>
      </c>
      <c r="AL678" t="s">
        <v>57</v>
      </c>
      <c r="AM678" t="s">
        <v>57</v>
      </c>
      <c r="AN678" t="s">
        <v>57</v>
      </c>
      <c r="AO678" s="1" t="str">
        <f>HYPERLINK("http://exon.niaid.nih.gov/transcriptome/T_rubida/S1/links/SWISSP/Triru-contig_626-SWISSP.txt","Uncharacterized protein MG406 homolog")</f>
        <v>Uncharacterized protein MG406 homolog</v>
      </c>
      <c r="AP678" t="str">
        <f>HYPERLINK("http://www.uniprot.org/uniprot/Q50325","70")</f>
        <v>70</v>
      </c>
      <c r="AQ678" t="s">
        <v>4649</v>
      </c>
      <c r="AR678">
        <v>26.2</v>
      </c>
      <c r="AS678">
        <v>18</v>
      </c>
      <c r="AT678">
        <v>47</v>
      </c>
      <c r="AU678">
        <v>12</v>
      </c>
      <c r="AV678">
        <v>10</v>
      </c>
      <c r="AW678">
        <v>0</v>
      </c>
      <c r="AX678">
        <v>107</v>
      </c>
      <c r="AY678">
        <v>67</v>
      </c>
      <c r="AZ678">
        <v>1</v>
      </c>
      <c r="BA678">
        <v>1</v>
      </c>
      <c r="BB678" t="s">
        <v>11</v>
      </c>
      <c r="BD678" t="s">
        <v>704</v>
      </c>
      <c r="BE678" t="s">
        <v>4650</v>
      </c>
      <c r="BF678" t="s">
        <v>4651</v>
      </c>
      <c r="BG678" t="s">
        <v>4652</v>
      </c>
      <c r="BH678" s="1" t="s">
        <v>57</v>
      </c>
      <c r="BI678" t="s">
        <v>57</v>
      </c>
      <c r="BJ678" s="1" t="str">
        <f>HYPERLINK("http://exon.niaid.nih.gov/transcriptome/T_rubida/S1/links/CDD/Triru-contig_626-CDD.txt","DUF1684")</f>
        <v>DUF1684</v>
      </c>
      <c r="BK678" t="str">
        <f>HYPERLINK("http://www.ncbi.nlm.nih.gov/Structure/cdd/cddsrv.cgi?uid=pfam07920&amp;version=v4.0","3.5")</f>
        <v>3.5</v>
      </c>
      <c r="BL678" t="s">
        <v>4653</v>
      </c>
      <c r="BM678" s="1" t="str">
        <f>HYPERLINK("http://exon.niaid.nih.gov/transcriptome/T_rubida/S1/links/KOG/Triru-contig_626-KOG.txt","Adiponutrin and related vesicular transport proteins; predicted alpha/beta hydrolase")</f>
        <v>Adiponutrin and related vesicular transport proteins; predicted alpha/beta hydrolase</v>
      </c>
      <c r="BN678" t="str">
        <f>HYPERLINK("http://www.ncbi.nlm.nih.gov/COG/grace/shokog.cgi?KOG3773","3.9")</f>
        <v>3.9</v>
      </c>
      <c r="BO678" t="s">
        <v>1082</v>
      </c>
      <c r="BP678" s="1" t="str">
        <f>HYPERLINK("http://exon.niaid.nih.gov/transcriptome/T_rubida/S1/links/PFAM/Triru-contig_626-PFAM.txt","DUF1684")</f>
        <v>DUF1684</v>
      </c>
      <c r="BQ678" t="str">
        <f>HYPERLINK("http://pfam.sanger.ac.uk/family?acc=PF07920","0.74")</f>
        <v>0.74</v>
      </c>
      <c r="BR678" s="1" t="str">
        <f>HYPERLINK("http://exon.niaid.nih.gov/transcriptome/T_rubida/S1/links/SMART/Triru-contig_626-SMART.txt","LNS2")</f>
        <v>LNS2</v>
      </c>
      <c r="BS678" t="str">
        <f>HYPERLINK("http://smart.embl-heidelberg.de/smart/do_annotation.pl?DOMAIN=LNS2&amp;BLAST=DUMMY","1.7")</f>
        <v>1.7</v>
      </c>
      <c r="BT678" s="1" t="str">
        <f>HYPERLINK("http://exon.niaid.nih.gov/transcriptome/T_rubida/S1/links/PRK/Triru-contig_626-PRK.txt","inorganic polyphosphate/ATP-NAD kinase")</f>
        <v>inorganic polyphosphate/ATP-NAD kinase</v>
      </c>
      <c r="BU678">
        <v>3.7</v>
      </c>
      <c r="BV678" s="1" t="s">
        <v>57</v>
      </c>
      <c r="BW678" t="s">
        <v>57</v>
      </c>
      <c r="BX678" s="1" t="s">
        <v>57</v>
      </c>
      <c r="BY678" t="s">
        <v>57</v>
      </c>
    </row>
    <row r="679" spans="1:77">
      <c r="A679" t="str">
        <f>HYPERLINK("http://exon.niaid.nih.gov/transcriptome/T_rubida/S1/links/Triru/Triru-contig_629.txt","Triru-contig_629")</f>
        <v>Triru-contig_629</v>
      </c>
      <c r="B679">
        <v>1</v>
      </c>
      <c r="C679" t="str">
        <f>HYPERLINK("http://exon.niaid.nih.gov/transcriptome/T_rubida/S1/links/Triru/Triru-5-48-asb-629.txt","Contig-629")</f>
        <v>Contig-629</v>
      </c>
      <c r="D679" t="str">
        <f>HYPERLINK("http://exon.niaid.nih.gov/transcriptome/T_rubida/S1/links/Triru/Triru-5-48-629-CLU.txt","Contig629")</f>
        <v>Contig629</v>
      </c>
      <c r="E679" t="str">
        <f>HYPERLINK("http://exon.niaid.nih.gov/transcriptome/T_rubida/S1/links/Triru/Triru-5-48-629-qual.txt","59.4")</f>
        <v>59.4</v>
      </c>
      <c r="F679" t="s">
        <v>10</v>
      </c>
      <c r="G679">
        <v>73.7</v>
      </c>
      <c r="H679">
        <v>137</v>
      </c>
      <c r="I679" t="s">
        <v>641</v>
      </c>
      <c r="J679">
        <v>137</v>
      </c>
      <c r="K679">
        <v>156</v>
      </c>
      <c r="L679">
        <v>78</v>
      </c>
      <c r="M679" t="s">
        <v>5405</v>
      </c>
      <c r="N679" s="15">
        <v>2</v>
      </c>
      <c r="Q679" s="5" t="s">
        <v>4827</v>
      </c>
      <c r="R679" t="s">
        <v>4828</v>
      </c>
      <c r="V679" s="1" t="s">
        <v>57</v>
      </c>
      <c r="W679" t="s">
        <v>57</v>
      </c>
      <c r="X679" t="s">
        <v>57</v>
      </c>
      <c r="Y679" t="s">
        <v>57</v>
      </c>
      <c r="Z679" t="s">
        <v>57</v>
      </c>
      <c r="AA679" t="s">
        <v>57</v>
      </c>
      <c r="AB679" t="s">
        <v>57</v>
      </c>
      <c r="AC679" t="s">
        <v>57</v>
      </c>
      <c r="AD679" t="s">
        <v>57</v>
      </c>
      <c r="AE679" t="s">
        <v>57</v>
      </c>
      <c r="AF679" t="s">
        <v>57</v>
      </c>
      <c r="AG679" t="s">
        <v>57</v>
      </c>
      <c r="AH679" t="s">
        <v>57</v>
      </c>
      <c r="AI679" t="s">
        <v>57</v>
      </c>
      <c r="AJ679" t="s">
        <v>57</v>
      </c>
      <c r="AK679" t="s">
        <v>57</v>
      </c>
      <c r="AL679" t="s">
        <v>57</v>
      </c>
      <c r="AM679" t="s">
        <v>57</v>
      </c>
      <c r="AN679" t="s">
        <v>57</v>
      </c>
      <c r="AO679" s="1" t="str">
        <f>HYPERLINK("http://exon.niaid.nih.gov/transcriptome/T_rubida/S1/links/SWISSP/Triru-contig_629-SWISSP.txt","F-box/WD repeat-containing protein A-like protein")</f>
        <v>F-box/WD repeat-containing protein A-like protein</v>
      </c>
      <c r="AP679" t="str">
        <f>HYPERLINK("http://www.uniprot.org/uniprot/Q54N86","90")</f>
        <v>90</v>
      </c>
      <c r="AQ679" t="s">
        <v>4670</v>
      </c>
      <c r="AR679">
        <v>25.8</v>
      </c>
      <c r="AS679">
        <v>22</v>
      </c>
      <c r="AT679">
        <v>47</v>
      </c>
      <c r="AU679">
        <v>2</v>
      </c>
      <c r="AV679">
        <v>12</v>
      </c>
      <c r="AW679">
        <v>0</v>
      </c>
      <c r="AX679">
        <v>888</v>
      </c>
      <c r="AY679">
        <v>64</v>
      </c>
      <c r="AZ679">
        <v>1</v>
      </c>
      <c r="BA679">
        <v>1</v>
      </c>
      <c r="BB679" t="s">
        <v>11</v>
      </c>
      <c r="BC679">
        <v>4.5449999999999999</v>
      </c>
      <c r="BD679" t="s">
        <v>704</v>
      </c>
      <c r="BE679" t="s">
        <v>918</v>
      </c>
      <c r="BF679" t="s">
        <v>4671</v>
      </c>
      <c r="BG679" t="s">
        <v>4672</v>
      </c>
      <c r="BH679" s="1" t="s">
        <v>57</v>
      </c>
      <c r="BI679" t="s">
        <v>57</v>
      </c>
      <c r="BJ679" s="1" t="str">
        <f>HYPERLINK("http://exon.niaid.nih.gov/transcriptome/T_rubida/S1/links/CDD/Triru-contig_629-CDD.txt","tatC")</f>
        <v>tatC</v>
      </c>
      <c r="BK679" t="str">
        <f>HYPERLINK("http://www.ncbi.nlm.nih.gov/Structure/cdd/cddsrv.cgi?uid=TIGR00945&amp;version=v4.0","4.6")</f>
        <v>4.6</v>
      </c>
      <c r="BL679" t="s">
        <v>4673</v>
      </c>
      <c r="BM679" s="1" t="s">
        <v>57</v>
      </c>
      <c r="BN679" t="s">
        <v>57</v>
      </c>
      <c r="BO679" t="s">
        <v>57</v>
      </c>
      <c r="BP679" s="1" t="str">
        <f>HYPERLINK("http://exon.niaid.nih.gov/transcriptome/T_rubida/S1/links/PFAM/Triru-contig_629-PFAM.txt","7TM_GPCR_Srj")</f>
        <v>7TM_GPCR_Srj</v>
      </c>
      <c r="BQ679" t="str">
        <f>HYPERLINK("http://pfam.sanger.ac.uk/family?acc=PF10319","2.0")</f>
        <v>2.0</v>
      </c>
      <c r="BR679" s="1" t="str">
        <f>HYPERLINK("http://exon.niaid.nih.gov/transcriptome/T_rubida/S1/links/SMART/Triru-contig_629-SMART.txt","DM")</f>
        <v>DM</v>
      </c>
      <c r="BS679" t="str">
        <f>HYPERLINK("http://smart.embl-heidelberg.de/smart/do_annotation.pl?DOMAIN=DM&amp;BLAST=DUMMY","0.19")</f>
        <v>0.19</v>
      </c>
      <c r="BT679" s="1" t="str">
        <f>HYPERLINK("http://exon.niaid.nih.gov/transcriptome/T_rubida/S1/links/PRK/Triru-contig_629-PRK.txt","probable histone acetyltransferase MYST")</f>
        <v>probable histone acetyltransferase MYST</v>
      </c>
      <c r="BU679">
        <v>2.2999999999999998</v>
      </c>
      <c r="BV679" s="1" t="s">
        <v>57</v>
      </c>
      <c r="BW679" t="s">
        <v>57</v>
      </c>
      <c r="BX679" s="1" t="s">
        <v>57</v>
      </c>
      <c r="BY679" t="s">
        <v>57</v>
      </c>
    </row>
    <row r="680" spans="1:77">
      <c r="A680" t="str">
        <f>HYPERLINK("http://exon.niaid.nih.gov/transcriptome/T_rubida/S1/links/Triru/Triru-contig_630.txt","Triru-contig_630")</f>
        <v>Triru-contig_630</v>
      </c>
      <c r="B680">
        <v>1</v>
      </c>
      <c r="C680" t="str">
        <f>HYPERLINK("http://exon.niaid.nih.gov/transcriptome/T_rubida/S1/links/Triru/Triru-5-48-asb-630.txt","Contig-630")</f>
        <v>Contig-630</v>
      </c>
      <c r="D680" t="str">
        <f>HYPERLINK("http://exon.niaid.nih.gov/transcriptome/T_rubida/S1/links/Triru/Triru-5-48-630-CLU.txt","Contig630")</f>
        <v>Contig630</v>
      </c>
      <c r="E680" t="str">
        <f>HYPERLINK("http://exon.niaid.nih.gov/transcriptome/T_rubida/S1/links/Triru/Triru-5-48-630-qual.txt","31.5")</f>
        <v>31.5</v>
      </c>
      <c r="F680">
        <v>1</v>
      </c>
      <c r="G680">
        <v>66.7</v>
      </c>
      <c r="H680">
        <v>80</v>
      </c>
      <c r="I680" t="s">
        <v>642</v>
      </c>
      <c r="J680">
        <v>80</v>
      </c>
      <c r="K680">
        <v>99</v>
      </c>
      <c r="L680">
        <v>60</v>
      </c>
      <c r="M680" t="s">
        <v>5406</v>
      </c>
      <c r="N680" s="15">
        <v>2</v>
      </c>
      <c r="Q680" s="5" t="s">
        <v>4827</v>
      </c>
      <c r="R680" t="s">
        <v>4828</v>
      </c>
      <c r="V680" s="1" t="s">
        <v>57</v>
      </c>
      <c r="W680" t="s">
        <v>57</v>
      </c>
      <c r="X680" t="s">
        <v>57</v>
      </c>
      <c r="Y680" t="s">
        <v>57</v>
      </c>
      <c r="Z680" t="s">
        <v>57</v>
      </c>
      <c r="AA680" t="s">
        <v>57</v>
      </c>
      <c r="AB680" t="s">
        <v>57</v>
      </c>
      <c r="AC680" t="s">
        <v>57</v>
      </c>
      <c r="AD680" t="s">
        <v>57</v>
      </c>
      <c r="AE680" t="s">
        <v>57</v>
      </c>
      <c r="AF680" t="s">
        <v>57</v>
      </c>
      <c r="AG680" t="s">
        <v>57</v>
      </c>
      <c r="AH680" t="s">
        <v>57</v>
      </c>
      <c r="AI680" t="s">
        <v>57</v>
      </c>
      <c r="AJ680" t="s">
        <v>57</v>
      </c>
      <c r="AK680" t="s">
        <v>57</v>
      </c>
      <c r="AL680" t="s">
        <v>57</v>
      </c>
      <c r="AM680" t="s">
        <v>57</v>
      </c>
      <c r="AN680" t="s">
        <v>57</v>
      </c>
      <c r="AO680" s="1" t="s">
        <v>57</v>
      </c>
      <c r="AP680" t="s">
        <v>57</v>
      </c>
      <c r="AQ680" t="s">
        <v>57</v>
      </c>
      <c r="AR680" t="s">
        <v>57</v>
      </c>
      <c r="AS680" t="s">
        <v>57</v>
      </c>
      <c r="AT680" t="s">
        <v>57</v>
      </c>
      <c r="AU680" t="s">
        <v>57</v>
      </c>
      <c r="AV680" t="s">
        <v>57</v>
      </c>
      <c r="AW680" t="s">
        <v>57</v>
      </c>
      <c r="AX680" t="s">
        <v>57</v>
      </c>
      <c r="AY680" t="s">
        <v>57</v>
      </c>
      <c r="AZ680" t="s">
        <v>57</v>
      </c>
      <c r="BA680" t="s">
        <v>57</v>
      </c>
      <c r="BB680" t="s">
        <v>57</v>
      </c>
      <c r="BC680" t="s">
        <v>57</v>
      </c>
      <c r="BD680" t="s">
        <v>57</v>
      </c>
      <c r="BE680" t="s">
        <v>57</v>
      </c>
      <c r="BF680" t="s">
        <v>57</v>
      </c>
      <c r="BG680" t="s">
        <v>57</v>
      </c>
      <c r="BH680" s="1" t="s">
        <v>57</v>
      </c>
      <c r="BI680" t="s">
        <v>57</v>
      </c>
      <c r="BJ680" s="1" t="s">
        <v>57</v>
      </c>
      <c r="BK680" t="s">
        <v>57</v>
      </c>
      <c r="BL680" t="s">
        <v>57</v>
      </c>
      <c r="BM680" s="1" t="s">
        <v>57</v>
      </c>
      <c r="BN680" t="s">
        <v>57</v>
      </c>
      <c r="BO680" t="s">
        <v>57</v>
      </c>
      <c r="BP680" s="1" t="str">
        <f>HYPERLINK("http://exon.niaid.nih.gov/transcriptome/T_rubida/S1/links/PFAM/Triru-contig_630-PFAM.txt","RPA")</f>
        <v>RPA</v>
      </c>
      <c r="BQ680" t="str">
        <f>HYPERLINK("http://pfam.sanger.ac.uk/family?acc=PF10134","8.8")</f>
        <v>8.8</v>
      </c>
      <c r="BR680" s="1" t="str">
        <f>HYPERLINK("http://exon.niaid.nih.gov/transcriptome/T_rubida/S1/links/SMART/Triru-contig_630-SMART.txt","acidPPc")</f>
        <v>acidPPc</v>
      </c>
      <c r="BS680" t="str">
        <f>HYPERLINK("http://smart.embl-heidelberg.de/smart/do_annotation.pl?DOMAIN=acidPPc&amp;BLAST=DUMMY","1.9")</f>
        <v>1.9</v>
      </c>
      <c r="BT680" s="1" t="s">
        <v>57</v>
      </c>
      <c r="BU680" t="s">
        <v>57</v>
      </c>
      <c r="BV680" s="1" t="s">
        <v>57</v>
      </c>
      <c r="BW680" t="s">
        <v>57</v>
      </c>
      <c r="BX680" s="1" t="s">
        <v>57</v>
      </c>
      <c r="BY680" t="s">
        <v>57</v>
      </c>
    </row>
    <row r="681" spans="1:77">
      <c r="A681" t="str">
        <f>HYPERLINK("http://exon.niaid.nih.gov/transcriptome/T_rubida/S1/links/Triru/Triru-contig_632.txt","Triru-contig_632")</f>
        <v>Triru-contig_632</v>
      </c>
      <c r="B681">
        <v>1</v>
      </c>
      <c r="C681" t="str">
        <f>HYPERLINK("http://exon.niaid.nih.gov/transcriptome/T_rubida/S1/links/Triru/Triru-5-48-asb-632.txt","Contig-632")</f>
        <v>Contig-632</v>
      </c>
      <c r="D681" t="str">
        <f>HYPERLINK("http://exon.niaid.nih.gov/transcriptome/T_rubida/S1/links/Triru/Triru-5-48-632-CLU.txt","Contig632")</f>
        <v>Contig632</v>
      </c>
      <c r="E681" t="str">
        <f>HYPERLINK("http://exon.niaid.nih.gov/transcriptome/T_rubida/S1/links/Triru/Triru-5-48-632-qual.txt","52.8")</f>
        <v>52.8</v>
      </c>
      <c r="F681" t="s">
        <v>10</v>
      </c>
      <c r="G681">
        <v>70.599999999999994</v>
      </c>
      <c r="H681">
        <v>117</v>
      </c>
      <c r="I681" t="s">
        <v>644</v>
      </c>
      <c r="J681">
        <v>117</v>
      </c>
      <c r="K681">
        <v>136</v>
      </c>
      <c r="L681">
        <v>72</v>
      </c>
      <c r="M681" t="s">
        <v>5407</v>
      </c>
      <c r="N681" s="15">
        <v>2</v>
      </c>
      <c r="Q681" s="5" t="s">
        <v>4827</v>
      </c>
      <c r="R681" t="s">
        <v>4828</v>
      </c>
      <c r="V681" s="1" t="s">
        <v>57</v>
      </c>
      <c r="W681" t="s">
        <v>57</v>
      </c>
      <c r="X681" t="s">
        <v>57</v>
      </c>
      <c r="Y681" t="s">
        <v>57</v>
      </c>
      <c r="Z681" t="s">
        <v>57</v>
      </c>
      <c r="AA681" t="s">
        <v>57</v>
      </c>
      <c r="AB681" t="s">
        <v>57</v>
      </c>
      <c r="AC681" t="s">
        <v>57</v>
      </c>
      <c r="AD681" t="s">
        <v>57</v>
      </c>
      <c r="AE681" t="s">
        <v>57</v>
      </c>
      <c r="AF681" t="s">
        <v>57</v>
      </c>
      <c r="AG681" t="s">
        <v>57</v>
      </c>
      <c r="AH681" t="s">
        <v>57</v>
      </c>
      <c r="AI681" t="s">
        <v>57</v>
      </c>
      <c r="AJ681" t="s">
        <v>57</v>
      </c>
      <c r="AK681" t="s">
        <v>57</v>
      </c>
      <c r="AL681" t="s">
        <v>57</v>
      </c>
      <c r="AM681" t="s">
        <v>57</v>
      </c>
      <c r="AN681" t="s">
        <v>57</v>
      </c>
      <c r="AO681" s="1" t="str">
        <f>HYPERLINK("http://exon.niaid.nih.gov/transcriptome/T_rubida/S1/links/SWISSP/Triru-contig_632-SWISSP.txt","Trace amine-associated receptor 7h")</f>
        <v>Trace amine-associated receptor 7h</v>
      </c>
      <c r="AP681" t="str">
        <f>HYPERLINK("http://www.uniprot.org/uniprot/Q923Y4","30")</f>
        <v>30</v>
      </c>
      <c r="AQ681" t="s">
        <v>4681</v>
      </c>
      <c r="AR681">
        <v>27.3</v>
      </c>
      <c r="AS681">
        <v>33</v>
      </c>
      <c r="AT681">
        <v>35</v>
      </c>
      <c r="AU681">
        <v>9</v>
      </c>
      <c r="AV681">
        <v>22</v>
      </c>
      <c r="AW681">
        <v>0</v>
      </c>
      <c r="AX681">
        <v>111</v>
      </c>
      <c r="AY681">
        <v>5</v>
      </c>
      <c r="AZ681">
        <v>1</v>
      </c>
      <c r="BA681">
        <v>2</v>
      </c>
      <c r="BB681" t="s">
        <v>11</v>
      </c>
      <c r="BC681">
        <v>3.03</v>
      </c>
      <c r="BD681" t="s">
        <v>704</v>
      </c>
      <c r="BE681" t="s">
        <v>1164</v>
      </c>
      <c r="BF681" t="s">
        <v>4682</v>
      </c>
      <c r="BG681" t="s">
        <v>4683</v>
      </c>
      <c r="BH681" s="1" t="s">
        <v>57</v>
      </c>
      <c r="BI681" t="s">
        <v>57</v>
      </c>
      <c r="BJ681" s="1" t="str">
        <f>HYPERLINK("http://exon.niaid.nih.gov/transcriptome/T_rubida/S1/links/CDD/Triru-contig_632-CDD.txt","Stig1")</f>
        <v>Stig1</v>
      </c>
      <c r="BK681" t="str">
        <f>HYPERLINK("http://www.ncbi.nlm.nih.gov/Structure/cdd/cddsrv.cgi?uid=pfam04885&amp;version=v4.0","6.1")</f>
        <v>6.1</v>
      </c>
      <c r="BL681" t="s">
        <v>4684</v>
      </c>
      <c r="BM681" s="1" t="s">
        <v>57</v>
      </c>
      <c r="BN681" t="s">
        <v>57</v>
      </c>
      <c r="BO681" t="s">
        <v>57</v>
      </c>
      <c r="BP681" s="1" t="str">
        <f>HYPERLINK("http://exon.niaid.nih.gov/transcriptome/T_rubida/S1/links/PFAM/Triru-contig_632-PFAM.txt","Stig1")</f>
        <v>Stig1</v>
      </c>
      <c r="BQ681" t="str">
        <f>HYPERLINK("http://pfam.sanger.ac.uk/family?acc=PF04885","1.3")</f>
        <v>1.3</v>
      </c>
      <c r="BR681" s="1" t="str">
        <f>HYPERLINK("http://exon.niaid.nih.gov/transcriptome/T_rubida/S1/links/SMART/Triru-contig_632-SMART.txt","SO")</f>
        <v>SO</v>
      </c>
      <c r="BS681" t="str">
        <f>HYPERLINK("http://smart.embl-heidelberg.de/smart/do_annotation.pl?DOMAIN=SO&amp;BLAST=DUMMY","0.19")</f>
        <v>0.19</v>
      </c>
      <c r="BT681" s="1" t="str">
        <f>HYPERLINK("http://exon.niaid.nih.gov/transcriptome/T_rubida/S1/links/PRK/Triru-contig_632-PRK.txt","DNA-binding transcriptional regulator GlcC")</f>
        <v>DNA-binding transcriptional regulator GlcC</v>
      </c>
      <c r="BU681">
        <v>2.6</v>
      </c>
      <c r="BV681" s="1" t="s">
        <v>57</v>
      </c>
      <c r="BW681" t="s">
        <v>57</v>
      </c>
      <c r="BX681" s="1" t="s">
        <v>57</v>
      </c>
      <c r="BY681" t="s">
        <v>57</v>
      </c>
    </row>
    <row r="682" spans="1:77">
      <c r="A682" t="str">
        <f>HYPERLINK("http://exon.niaid.nih.gov/transcriptome/T_rubida/S1/links/Triru/Triru-contig_633.txt","Triru-contig_633")</f>
        <v>Triru-contig_633</v>
      </c>
      <c r="B682">
        <v>1</v>
      </c>
      <c r="C682" t="str">
        <f>HYPERLINK("http://exon.niaid.nih.gov/transcriptome/T_rubida/S1/links/Triru/Triru-5-48-asb-633.txt","Contig-633")</f>
        <v>Contig-633</v>
      </c>
      <c r="D682" t="str">
        <f>HYPERLINK("http://exon.niaid.nih.gov/transcriptome/T_rubida/S1/links/Triru/Triru-5-48-633-CLU.txt","Contig633")</f>
        <v>Contig633</v>
      </c>
      <c r="E682" t="str">
        <f>HYPERLINK("http://exon.niaid.nih.gov/transcriptome/T_rubida/S1/links/Triru/Triru-5-48-633-qual.txt","59.4")</f>
        <v>59.4</v>
      </c>
      <c r="F682" t="s">
        <v>10</v>
      </c>
      <c r="G682">
        <v>72.3</v>
      </c>
      <c r="H682">
        <v>136</v>
      </c>
      <c r="I682" t="s">
        <v>645</v>
      </c>
      <c r="J682">
        <v>136</v>
      </c>
      <c r="K682">
        <v>155</v>
      </c>
      <c r="L682">
        <v>96</v>
      </c>
      <c r="M682" t="s">
        <v>5408</v>
      </c>
      <c r="N682" s="15">
        <v>1</v>
      </c>
      <c r="Q682" s="5" t="s">
        <v>4827</v>
      </c>
      <c r="R682" t="s">
        <v>4828</v>
      </c>
      <c r="V682" s="1" t="s">
        <v>57</v>
      </c>
      <c r="W682" t="s">
        <v>57</v>
      </c>
      <c r="X682" t="s">
        <v>57</v>
      </c>
      <c r="Y682" t="s">
        <v>57</v>
      </c>
      <c r="Z682" t="s">
        <v>57</v>
      </c>
      <c r="AA682" t="s">
        <v>57</v>
      </c>
      <c r="AB682" t="s">
        <v>57</v>
      </c>
      <c r="AC682" t="s">
        <v>57</v>
      </c>
      <c r="AD682" t="s">
        <v>57</v>
      </c>
      <c r="AE682" t="s">
        <v>57</v>
      </c>
      <c r="AF682" t="s">
        <v>57</v>
      </c>
      <c r="AG682" t="s">
        <v>57</v>
      </c>
      <c r="AH682" t="s">
        <v>57</v>
      </c>
      <c r="AI682" t="s">
        <v>57</v>
      </c>
      <c r="AJ682" t="s">
        <v>57</v>
      </c>
      <c r="AK682" t="s">
        <v>57</v>
      </c>
      <c r="AL682" t="s">
        <v>57</v>
      </c>
      <c r="AM682" t="s">
        <v>57</v>
      </c>
      <c r="AN682" t="s">
        <v>57</v>
      </c>
      <c r="AO682" s="1" t="s">
        <v>57</v>
      </c>
      <c r="AP682" t="s">
        <v>57</v>
      </c>
      <c r="AQ682" t="s">
        <v>57</v>
      </c>
      <c r="AR682" t="s">
        <v>57</v>
      </c>
      <c r="AS682" t="s">
        <v>57</v>
      </c>
      <c r="AT682" t="s">
        <v>57</v>
      </c>
      <c r="AU682" t="s">
        <v>57</v>
      </c>
      <c r="AV682" t="s">
        <v>57</v>
      </c>
      <c r="AW682" t="s">
        <v>57</v>
      </c>
      <c r="AX682" t="s">
        <v>57</v>
      </c>
      <c r="AY682" t="s">
        <v>57</v>
      </c>
      <c r="AZ682" t="s">
        <v>57</v>
      </c>
      <c r="BA682" t="s">
        <v>57</v>
      </c>
      <c r="BB682" t="s">
        <v>57</v>
      </c>
      <c r="BC682" t="s">
        <v>57</v>
      </c>
      <c r="BD682" t="s">
        <v>57</v>
      </c>
      <c r="BE682" t="s">
        <v>57</v>
      </c>
      <c r="BF682" t="s">
        <v>57</v>
      </c>
      <c r="BG682" t="s">
        <v>57</v>
      </c>
      <c r="BH682" s="1" t="s">
        <v>57</v>
      </c>
      <c r="BI682" t="s">
        <v>57</v>
      </c>
      <c r="BJ682" s="1" t="str">
        <f>HYPERLINK("http://exon.niaid.nih.gov/transcriptome/T_rubida/S1/links/CDD/Triru-contig_633-CDD.txt","CYTB")</f>
        <v>CYTB</v>
      </c>
      <c r="BK682" t="str">
        <f>HYPERLINK("http://www.ncbi.nlm.nih.gov/Structure/cdd/cddsrv.cgi?uid=MTH00086&amp;version=v4.0","0.91")</f>
        <v>0.91</v>
      </c>
      <c r="BL682" t="s">
        <v>4685</v>
      </c>
      <c r="BM682" s="1" t="s">
        <v>57</v>
      </c>
      <c r="BN682" t="s">
        <v>57</v>
      </c>
      <c r="BO682" t="s">
        <v>57</v>
      </c>
      <c r="BP682" s="1" t="str">
        <f>HYPERLINK("http://exon.niaid.nih.gov/transcriptome/T_rubida/S1/links/PFAM/Triru-contig_633-PFAM.txt","Ycf1")</f>
        <v>Ycf1</v>
      </c>
      <c r="BQ682" t="str">
        <f>HYPERLINK("http://pfam.sanger.ac.uk/family?acc=PF05758","0.93")</f>
        <v>0.93</v>
      </c>
      <c r="BR682" s="1" t="str">
        <f>HYPERLINK("http://exon.niaid.nih.gov/transcriptome/T_rubida/S1/links/SMART/Triru-contig_633-SMART.txt","EPEND")</f>
        <v>EPEND</v>
      </c>
      <c r="BS682" t="str">
        <f>HYPERLINK("http://smart.embl-heidelberg.de/smart/do_annotation.pl?DOMAIN=EPEND&amp;BLAST=DUMMY","0.23")</f>
        <v>0.23</v>
      </c>
      <c r="BT682" s="1" t="str">
        <f>HYPERLINK("http://exon.niaid.nih.gov/transcriptome/T_rubida/S1/links/PRK/Triru-contig_633-PRK.txt","cytochrome b")</f>
        <v>cytochrome b</v>
      </c>
      <c r="BU682">
        <v>0.34</v>
      </c>
      <c r="BV682" s="1" t="s">
        <v>57</v>
      </c>
      <c r="BW682" t="s">
        <v>57</v>
      </c>
      <c r="BX682" s="1" t="s">
        <v>57</v>
      </c>
      <c r="BY682" t="s">
        <v>57</v>
      </c>
    </row>
    <row r="683" spans="1:77">
      <c r="A683" t="str">
        <f>HYPERLINK("http://exon.niaid.nih.gov/transcriptome/T_rubida/S1/links/Triru/Triru-contig_636.txt","Triru-contig_636")</f>
        <v>Triru-contig_636</v>
      </c>
      <c r="B683">
        <v>1</v>
      </c>
      <c r="C683" t="str">
        <f>HYPERLINK("http://exon.niaid.nih.gov/transcriptome/T_rubida/S1/links/Triru/Triru-5-48-asb-636.txt","Contig-636")</f>
        <v>Contig-636</v>
      </c>
      <c r="D683" t="str">
        <f>HYPERLINK("http://exon.niaid.nih.gov/transcriptome/T_rubida/S1/links/Triru/Triru-5-48-636-CLU.txt","Contig636")</f>
        <v>Contig636</v>
      </c>
      <c r="E683" t="str">
        <f>HYPERLINK("http://exon.niaid.nih.gov/transcriptome/T_rubida/S1/links/Triru/Triru-5-48-636-qual.txt","52.")</f>
        <v>52.</v>
      </c>
      <c r="F683" t="s">
        <v>10</v>
      </c>
      <c r="G683">
        <v>77</v>
      </c>
      <c r="H683">
        <v>168</v>
      </c>
      <c r="I683" t="s">
        <v>648</v>
      </c>
      <c r="J683">
        <v>168</v>
      </c>
      <c r="K683">
        <v>187</v>
      </c>
      <c r="L683">
        <v>102</v>
      </c>
      <c r="M683" t="s">
        <v>5409</v>
      </c>
      <c r="N683" s="15">
        <v>3</v>
      </c>
      <c r="Q683" s="5" t="s">
        <v>4827</v>
      </c>
      <c r="R683" t="s">
        <v>4828</v>
      </c>
      <c r="V683" s="1" t="s">
        <v>57</v>
      </c>
      <c r="W683" t="s">
        <v>57</v>
      </c>
      <c r="X683" t="s">
        <v>57</v>
      </c>
      <c r="Y683" t="s">
        <v>57</v>
      </c>
      <c r="Z683" t="s">
        <v>57</v>
      </c>
      <c r="AA683" t="s">
        <v>57</v>
      </c>
      <c r="AB683" t="s">
        <v>57</v>
      </c>
      <c r="AC683" t="s">
        <v>57</v>
      </c>
      <c r="AD683" t="s">
        <v>57</v>
      </c>
      <c r="AE683" t="s">
        <v>57</v>
      </c>
      <c r="AF683" t="s">
        <v>57</v>
      </c>
      <c r="AG683" t="s">
        <v>57</v>
      </c>
      <c r="AH683" t="s">
        <v>57</v>
      </c>
      <c r="AI683" t="s">
        <v>57</v>
      </c>
      <c r="AJ683" t="s">
        <v>57</v>
      </c>
      <c r="AK683" t="s">
        <v>57</v>
      </c>
      <c r="AL683" t="s">
        <v>57</v>
      </c>
      <c r="AM683" t="s">
        <v>57</v>
      </c>
      <c r="AN683" t="s">
        <v>57</v>
      </c>
      <c r="AO683" s="1" t="str">
        <f>HYPERLINK("http://exon.niaid.nih.gov/transcriptome/T_rubida/S1/links/SWISSP/Triru-contig_636-SWISSP.txt","Glycine dehydrogenase")</f>
        <v>Glycine dehydrogenase</v>
      </c>
      <c r="AP683" t="str">
        <f>HYPERLINK("http://www.uniprot.org/uniprot/Q055P8","39")</f>
        <v>39</v>
      </c>
      <c r="AQ683" t="s">
        <v>4701</v>
      </c>
      <c r="AR683">
        <v>26.9</v>
      </c>
      <c r="AS683">
        <v>24</v>
      </c>
      <c r="AT683">
        <v>48</v>
      </c>
      <c r="AU683">
        <v>3</v>
      </c>
      <c r="AV683">
        <v>13</v>
      </c>
      <c r="AW683">
        <v>0</v>
      </c>
      <c r="AX683">
        <v>380</v>
      </c>
      <c r="AY683">
        <v>6</v>
      </c>
      <c r="AZ683">
        <v>1</v>
      </c>
      <c r="BA683">
        <v>3</v>
      </c>
      <c r="BB683" t="s">
        <v>11</v>
      </c>
      <c r="BD683" t="s">
        <v>704</v>
      </c>
      <c r="BE683" t="s">
        <v>4702</v>
      </c>
      <c r="BF683" t="s">
        <v>4703</v>
      </c>
      <c r="BG683" t="s">
        <v>4704</v>
      </c>
      <c r="BH683" s="1" t="s">
        <v>57</v>
      </c>
      <c r="BI683" t="s">
        <v>57</v>
      </c>
      <c r="BJ683" s="1" t="str">
        <f>HYPERLINK("http://exon.niaid.nih.gov/transcriptome/T_rubida/S1/links/CDD/Triru-contig_636-CDD.txt","Bac_transf")</f>
        <v>Bac_transf</v>
      </c>
      <c r="BK683" t="str">
        <f>HYPERLINK("http://www.ncbi.nlm.nih.gov/Structure/cdd/cddsrv.cgi?uid=pfam02397&amp;version=v4.0","0.84")</f>
        <v>0.84</v>
      </c>
      <c r="BL683" t="s">
        <v>4705</v>
      </c>
      <c r="BM683" s="1" t="str">
        <f>HYPERLINK("http://exon.niaid.nih.gov/transcriptome/T_rubida/S1/links/KOG/Triru-contig_636-KOG.txt","Uncharacterized conserved protein, contains laminin, cadherin and EGF domains")</f>
        <v>Uncharacterized conserved protein, contains laminin, cadherin and EGF domains</v>
      </c>
      <c r="BN683" t="str">
        <f>HYPERLINK("http://www.ncbi.nlm.nih.gov/COG/grace/shokog.cgi?KOG1219","5.8")</f>
        <v>5.8</v>
      </c>
      <c r="BO683" t="s">
        <v>728</v>
      </c>
      <c r="BP683" s="1" t="str">
        <f>HYPERLINK("http://exon.niaid.nih.gov/transcriptome/T_rubida/S1/links/PFAM/Triru-contig_636-PFAM.txt","Bac_transf")</f>
        <v>Bac_transf</v>
      </c>
      <c r="BQ683" t="str">
        <f>HYPERLINK("http://pfam.sanger.ac.uk/family?acc=PF02397","0.18")</f>
        <v>0.18</v>
      </c>
      <c r="BR683" s="1" t="str">
        <f>HYPERLINK("http://exon.niaid.nih.gov/transcriptome/T_rubida/S1/links/SMART/Triru-contig_636-SMART.txt","TBC")</f>
        <v>TBC</v>
      </c>
      <c r="BS683" t="str">
        <f>HYPERLINK("http://smart.embl-heidelberg.de/smart/do_annotation.pl?DOMAIN=TBC&amp;BLAST=DUMMY","0.027")</f>
        <v>0.027</v>
      </c>
      <c r="BT683" s="1" t="str">
        <f>HYPERLINK("http://exon.niaid.nih.gov/transcriptome/T_rubida/S1/links/PRK/Triru-contig_636-PRK.txt","NADH dehydrogenase subunit J")</f>
        <v>NADH dehydrogenase subunit J</v>
      </c>
      <c r="BU683">
        <v>0.68</v>
      </c>
      <c r="BV683" s="1" t="s">
        <v>57</v>
      </c>
      <c r="BW683" t="s">
        <v>57</v>
      </c>
      <c r="BX683" s="1" t="s">
        <v>57</v>
      </c>
      <c r="BY683" t="s">
        <v>57</v>
      </c>
    </row>
    <row r="684" spans="1:77">
      <c r="A684" t="str">
        <f>HYPERLINK("http://exon.niaid.nih.gov/transcriptome/T_rubida/S1/links/Triru/Triru-contig_637.txt","Triru-contig_637")</f>
        <v>Triru-contig_637</v>
      </c>
      <c r="B684">
        <v>1</v>
      </c>
      <c r="C684" t="str">
        <f>HYPERLINK("http://exon.niaid.nih.gov/transcriptome/T_rubida/S1/links/Triru/Triru-5-48-asb-637.txt","Contig-637")</f>
        <v>Contig-637</v>
      </c>
      <c r="D684" t="str">
        <f>HYPERLINK("http://exon.niaid.nih.gov/transcriptome/T_rubida/S1/links/Triru/Triru-5-48-637-CLU.txt","Contig637")</f>
        <v>Contig637</v>
      </c>
      <c r="E684" t="str">
        <f>HYPERLINK("http://exon.niaid.nih.gov/transcriptome/T_rubida/S1/links/Triru/Triru-5-48-637-qual.txt","24.4")</f>
        <v>24.4</v>
      </c>
      <c r="F684" t="s">
        <v>10</v>
      </c>
      <c r="G684">
        <v>77.8</v>
      </c>
      <c r="H684">
        <v>175</v>
      </c>
      <c r="I684" t="s">
        <v>649</v>
      </c>
      <c r="J684">
        <v>175</v>
      </c>
      <c r="K684">
        <v>194</v>
      </c>
      <c r="L684">
        <v>72</v>
      </c>
      <c r="M684" t="s">
        <v>5410</v>
      </c>
      <c r="N684" s="15">
        <v>2</v>
      </c>
      <c r="Q684" s="5" t="s">
        <v>4827</v>
      </c>
      <c r="R684" t="s">
        <v>4828</v>
      </c>
      <c r="V684" s="1" t="s">
        <v>57</v>
      </c>
      <c r="W684" t="s">
        <v>57</v>
      </c>
      <c r="X684" t="s">
        <v>57</v>
      </c>
      <c r="Y684" t="s">
        <v>57</v>
      </c>
      <c r="Z684" t="s">
        <v>57</v>
      </c>
      <c r="AA684" t="s">
        <v>57</v>
      </c>
      <c r="AB684" t="s">
        <v>57</v>
      </c>
      <c r="AC684" t="s">
        <v>57</v>
      </c>
      <c r="AD684" t="s">
        <v>57</v>
      </c>
      <c r="AE684" t="s">
        <v>57</v>
      </c>
      <c r="AF684" t="s">
        <v>57</v>
      </c>
      <c r="AG684" t="s">
        <v>57</v>
      </c>
      <c r="AH684" t="s">
        <v>57</v>
      </c>
      <c r="AI684" t="s">
        <v>57</v>
      </c>
      <c r="AJ684" t="s">
        <v>57</v>
      </c>
      <c r="AK684" t="s">
        <v>57</v>
      </c>
      <c r="AL684" t="s">
        <v>57</v>
      </c>
      <c r="AM684" t="s">
        <v>57</v>
      </c>
      <c r="AN684" t="s">
        <v>57</v>
      </c>
      <c r="AO684" s="1" t="str">
        <f>HYPERLINK("http://exon.niaid.nih.gov/transcriptome/T_rubida/S1/links/SWISSP/Triru-contig_637-SWISSP.txt","Glucose-6-phosphate isomerase")</f>
        <v>Glucose-6-phosphate isomerase</v>
      </c>
      <c r="AP684" t="str">
        <f>HYPERLINK("http://www.uniprot.org/uniprot/A3PCW7","91")</f>
        <v>91</v>
      </c>
      <c r="AQ684" t="s">
        <v>4706</v>
      </c>
      <c r="AR684">
        <v>25.8</v>
      </c>
      <c r="AS684">
        <v>22</v>
      </c>
      <c r="AT684">
        <v>43</v>
      </c>
      <c r="AU684">
        <v>4</v>
      </c>
      <c r="AV684">
        <v>13</v>
      </c>
      <c r="AW684">
        <v>0</v>
      </c>
      <c r="AX684">
        <v>25</v>
      </c>
      <c r="AY684">
        <v>30</v>
      </c>
      <c r="AZ684">
        <v>1</v>
      </c>
      <c r="BA684">
        <v>3</v>
      </c>
      <c r="BB684" t="s">
        <v>11</v>
      </c>
      <c r="BC684">
        <v>4.5449999999999999</v>
      </c>
      <c r="BD684" t="s">
        <v>704</v>
      </c>
      <c r="BE684" t="s">
        <v>4707</v>
      </c>
      <c r="BF684" t="s">
        <v>4708</v>
      </c>
      <c r="BG684" t="s">
        <v>4709</v>
      </c>
      <c r="BH684" s="1" t="s">
        <v>57</v>
      </c>
      <c r="BI684" t="s">
        <v>57</v>
      </c>
      <c r="BJ684" s="1" t="str">
        <f>HYPERLINK("http://exon.niaid.nih.gov/transcriptome/T_rubida/S1/links/CDD/Triru-contig_637-CDD.txt","ND4")</f>
        <v>ND4</v>
      </c>
      <c r="BK684" t="str">
        <f>HYPERLINK("http://www.ncbi.nlm.nih.gov/Structure/cdd/cddsrv.cgi?uid=MTH00062&amp;version=v4.0","0.25")</f>
        <v>0.25</v>
      </c>
      <c r="BL684" t="s">
        <v>4710</v>
      </c>
      <c r="BM684" s="1" t="str">
        <f>HYPERLINK("http://exon.niaid.nih.gov/transcriptome/T_rubida/S1/links/KOG/Triru-contig_637-KOG.txt","Predicted steroid reductase")</f>
        <v>Predicted steroid reductase</v>
      </c>
      <c r="BN684" t="str">
        <f>HYPERLINK("http://www.ncbi.nlm.nih.gov/COG/grace/shokog.cgi?KOG1640","1.2")</f>
        <v>1.2</v>
      </c>
      <c r="BO684" t="s">
        <v>709</v>
      </c>
      <c r="BP684" s="1" t="str">
        <f>HYPERLINK("http://exon.niaid.nih.gov/transcriptome/T_rubida/S1/links/PFAM/Triru-contig_637-PFAM.txt","Bac_transf")</f>
        <v>Bac_transf</v>
      </c>
      <c r="BQ684" t="str">
        <f>HYPERLINK("http://pfam.sanger.ac.uk/family?acc=PF02397","0.18")</f>
        <v>0.18</v>
      </c>
      <c r="BR684" s="1" t="str">
        <f>HYPERLINK("http://exon.niaid.nih.gov/transcriptome/T_rubida/S1/links/SMART/Triru-contig_637-SMART.txt","POL3Bc")</f>
        <v>POL3Bc</v>
      </c>
      <c r="BS684" t="str">
        <f>HYPERLINK("http://smart.embl-heidelberg.de/smart/do_annotation.pl?DOMAIN=POL3Bc&amp;BLAST=DUMMY","0.36")</f>
        <v>0.36</v>
      </c>
      <c r="BT684" s="1" t="str">
        <f>HYPERLINK("http://exon.niaid.nih.gov/transcriptome/T_rubida/S1/links/PRK/Triru-contig_637-PRK.txt","NADH dehydrogenase subunit 4")</f>
        <v>NADH dehydrogenase subunit 4</v>
      </c>
      <c r="BU684">
        <v>0.09</v>
      </c>
      <c r="BV684" s="1" t="s">
        <v>57</v>
      </c>
      <c r="BW684" t="s">
        <v>57</v>
      </c>
      <c r="BX684" s="1" t="s">
        <v>57</v>
      </c>
      <c r="BY684" t="s">
        <v>57</v>
      </c>
    </row>
    <row r="685" spans="1:77">
      <c r="A685" t="str">
        <f>HYPERLINK("http://exon.niaid.nih.gov/transcriptome/T_rubida/S1/links/Triru/Triru-contig_640.txt","Triru-contig_640")</f>
        <v>Triru-contig_640</v>
      </c>
      <c r="B685">
        <v>1</v>
      </c>
      <c r="C685" t="str">
        <f>HYPERLINK("http://exon.niaid.nih.gov/transcriptome/T_rubida/S1/links/Triru/Triru-5-48-asb-640.txt","Contig-640")</f>
        <v>Contig-640</v>
      </c>
      <c r="D685" t="str">
        <f>HYPERLINK("http://exon.niaid.nih.gov/transcriptome/T_rubida/S1/links/Triru/Triru-5-48-640-CLU.txt","Contig640")</f>
        <v>Contig640</v>
      </c>
      <c r="E685" t="str">
        <f>HYPERLINK("http://exon.niaid.nih.gov/transcriptome/T_rubida/S1/links/Triru/Triru-5-48-640-qual.txt","48.")</f>
        <v>48.</v>
      </c>
      <c r="F685" t="s">
        <v>10</v>
      </c>
      <c r="G685">
        <v>65</v>
      </c>
      <c r="H685">
        <v>141</v>
      </c>
      <c r="I685" t="s">
        <v>652</v>
      </c>
      <c r="J685">
        <v>141</v>
      </c>
      <c r="K685">
        <v>160</v>
      </c>
      <c r="L685">
        <v>126</v>
      </c>
      <c r="M685" t="s">
        <v>5411</v>
      </c>
      <c r="N685" s="15">
        <v>3</v>
      </c>
      <c r="Q685" s="5" t="s">
        <v>4827</v>
      </c>
      <c r="R685" t="s">
        <v>4828</v>
      </c>
      <c r="V685" s="1" t="s">
        <v>57</v>
      </c>
      <c r="W685" t="s">
        <v>57</v>
      </c>
      <c r="X685" t="s">
        <v>57</v>
      </c>
      <c r="Y685" t="s">
        <v>57</v>
      </c>
      <c r="Z685" t="s">
        <v>57</v>
      </c>
      <c r="AA685" t="s">
        <v>57</v>
      </c>
      <c r="AB685" t="s">
        <v>57</v>
      </c>
      <c r="AC685" t="s">
        <v>57</v>
      </c>
      <c r="AD685" t="s">
        <v>57</v>
      </c>
      <c r="AE685" t="s">
        <v>57</v>
      </c>
      <c r="AF685" t="s">
        <v>57</v>
      </c>
      <c r="AG685" t="s">
        <v>57</v>
      </c>
      <c r="AH685" t="s">
        <v>57</v>
      </c>
      <c r="AI685" t="s">
        <v>57</v>
      </c>
      <c r="AJ685" t="s">
        <v>57</v>
      </c>
      <c r="AK685" t="s">
        <v>57</v>
      </c>
      <c r="AL685" t="s">
        <v>57</v>
      </c>
      <c r="AM685" t="s">
        <v>57</v>
      </c>
      <c r="AN685" t="s">
        <v>57</v>
      </c>
      <c r="AO685" s="1" t="str">
        <f>HYPERLINK("http://exon.niaid.nih.gov/transcriptome/T_rubida/S1/links/SWISSP/Triru-contig_640-SWISSP.txt","EH domain-binding protein 1")</f>
        <v>EH domain-binding protein 1</v>
      </c>
      <c r="AP685" t="str">
        <f>HYPERLINK("http://www.uniprot.org/uniprot/Q69ZW3","53")</f>
        <v>53</v>
      </c>
      <c r="AQ685" t="s">
        <v>4723</v>
      </c>
      <c r="AR685">
        <v>26.6</v>
      </c>
      <c r="AS685">
        <v>21</v>
      </c>
      <c r="AT685">
        <v>59</v>
      </c>
      <c r="AU685">
        <v>2</v>
      </c>
      <c r="AV685">
        <v>9</v>
      </c>
      <c r="AW685">
        <v>0</v>
      </c>
      <c r="AX685">
        <v>139</v>
      </c>
      <c r="AY685">
        <v>37</v>
      </c>
      <c r="AZ685">
        <v>1</v>
      </c>
      <c r="BA685">
        <v>1</v>
      </c>
      <c r="BB685" t="s">
        <v>11</v>
      </c>
      <c r="BD685" t="s">
        <v>704</v>
      </c>
      <c r="BE685" t="s">
        <v>807</v>
      </c>
      <c r="BF685" t="s">
        <v>4724</v>
      </c>
      <c r="BG685" t="s">
        <v>4725</v>
      </c>
      <c r="BH685" s="1" t="s">
        <v>57</v>
      </c>
      <c r="BI685" t="s">
        <v>57</v>
      </c>
      <c r="BJ685" s="1" t="str">
        <f>HYPERLINK("http://exon.niaid.nih.gov/transcriptome/T_rubida/S1/links/CDD/Triru-contig_640-CDD.txt","lys")</f>
        <v>lys</v>
      </c>
      <c r="BK685" t="str">
        <f>HYPERLINK("http://www.ncbi.nlm.nih.gov/Structure/cdd/cddsrv.cgi?uid=PHA00027&amp;version=v4.0","3.2")</f>
        <v>3.2</v>
      </c>
      <c r="BL685" t="s">
        <v>4726</v>
      </c>
      <c r="BM685" s="1" t="str">
        <f>HYPERLINK("http://exon.niaid.nih.gov/transcriptome/T_rubida/S1/links/KOG/Triru-contig_640-KOG.txt","26S proteasome regulatory complex, ATPase RPT4")</f>
        <v>26S proteasome regulatory complex, ATPase RPT4</v>
      </c>
      <c r="BN685" t="str">
        <f>HYPERLINK("http://www.ncbi.nlm.nih.gov/COG/grace/shokog.cgi?KOG0651","2.1")</f>
        <v>2.1</v>
      </c>
      <c r="BO685" t="s">
        <v>954</v>
      </c>
      <c r="BP685" s="1" t="str">
        <f>HYPERLINK("http://exon.niaid.nih.gov/transcriptome/T_rubida/S1/links/PFAM/Triru-contig_640-PFAM.txt","DUF3796")</f>
        <v>DUF3796</v>
      </c>
      <c r="BQ685" t="str">
        <f>HYPERLINK("http://pfam.sanger.ac.uk/family?acc=PF12676","0.76")</f>
        <v>0.76</v>
      </c>
      <c r="BR685" s="1" t="str">
        <f>HYPERLINK("http://exon.niaid.nih.gov/transcriptome/T_rubida/S1/links/SMART/Triru-contig_640-SMART.txt","Sema")</f>
        <v>Sema</v>
      </c>
      <c r="BS685" t="str">
        <f>HYPERLINK("http://smart.embl-heidelberg.de/smart/do_annotation.pl?DOMAIN=Sema&amp;BLAST=DUMMY","0.20")</f>
        <v>0.20</v>
      </c>
      <c r="BT685" s="1" t="str">
        <f>HYPERLINK("http://exon.niaid.nih.gov/transcriptome/T_rubida/S1/links/PRK/Triru-contig_640-PRK.txt","lysis protein.")</f>
        <v>lysis protein.</v>
      </c>
      <c r="BU685">
        <v>1.1000000000000001</v>
      </c>
      <c r="BV685" s="1" t="s">
        <v>57</v>
      </c>
      <c r="BW685" t="s">
        <v>57</v>
      </c>
      <c r="BX685" s="1" t="s">
        <v>57</v>
      </c>
      <c r="BY685" t="s">
        <v>57</v>
      </c>
    </row>
    <row r="686" spans="1:77">
      <c r="A686" t="str">
        <f>HYPERLINK("http://exon.niaid.nih.gov/transcriptome/T_rubida/S1/links/Triru/Triru-contig_641.txt","Triru-contig_641")</f>
        <v>Triru-contig_641</v>
      </c>
      <c r="B686">
        <v>1</v>
      </c>
      <c r="C686" t="str">
        <f>HYPERLINK("http://exon.niaid.nih.gov/transcriptome/T_rubida/S1/links/Triru/Triru-5-48-asb-641.txt","Contig-641")</f>
        <v>Contig-641</v>
      </c>
      <c r="D686" t="str">
        <f>HYPERLINK("http://exon.niaid.nih.gov/transcriptome/T_rubida/S1/links/Triru/Triru-5-48-641-CLU.txt","Contig641")</f>
        <v>Contig641</v>
      </c>
      <c r="E686" t="str">
        <f>HYPERLINK("http://exon.niaid.nih.gov/transcriptome/T_rubida/S1/links/Triru/Triru-5-48-641-qual.txt","49.9")</f>
        <v>49.9</v>
      </c>
      <c r="F686" t="s">
        <v>10</v>
      </c>
      <c r="G686">
        <v>70.8</v>
      </c>
      <c r="H686">
        <v>152</v>
      </c>
      <c r="I686" t="s">
        <v>653</v>
      </c>
      <c r="J686">
        <v>152</v>
      </c>
      <c r="K686">
        <v>171</v>
      </c>
      <c r="L686">
        <v>66</v>
      </c>
      <c r="M686" t="s">
        <v>5412</v>
      </c>
      <c r="N686" s="15">
        <v>3</v>
      </c>
      <c r="Q686" s="5" t="s">
        <v>4827</v>
      </c>
      <c r="R686" t="s">
        <v>4828</v>
      </c>
      <c r="V686" s="1" t="s">
        <v>57</v>
      </c>
      <c r="W686" t="s">
        <v>57</v>
      </c>
      <c r="X686" t="s">
        <v>57</v>
      </c>
      <c r="Y686" t="s">
        <v>57</v>
      </c>
      <c r="Z686" t="s">
        <v>57</v>
      </c>
      <c r="AA686" t="s">
        <v>57</v>
      </c>
      <c r="AB686" t="s">
        <v>57</v>
      </c>
      <c r="AC686" t="s">
        <v>57</v>
      </c>
      <c r="AD686" t="s">
        <v>57</v>
      </c>
      <c r="AE686" t="s">
        <v>57</v>
      </c>
      <c r="AF686" t="s">
        <v>57</v>
      </c>
      <c r="AG686" t="s">
        <v>57</v>
      </c>
      <c r="AH686" t="s">
        <v>57</v>
      </c>
      <c r="AI686" t="s">
        <v>57</v>
      </c>
      <c r="AJ686" t="s">
        <v>57</v>
      </c>
      <c r="AK686" t="s">
        <v>57</v>
      </c>
      <c r="AL686" t="s">
        <v>57</v>
      </c>
      <c r="AM686" t="s">
        <v>57</v>
      </c>
      <c r="AN686" t="s">
        <v>57</v>
      </c>
      <c r="AO686" s="1" t="str">
        <f>HYPERLINK("http://exon.niaid.nih.gov/transcriptome/T_rubida/S1/links/SWISSP/Triru-contig_641-SWISSP.txt","30S ribosomal protein S2")</f>
        <v>30S ribosomal protein S2</v>
      </c>
      <c r="AP686" t="str">
        <f>HYPERLINK("http://www.uniprot.org/uniprot/P21464","52")</f>
        <v>52</v>
      </c>
      <c r="AQ686" t="s">
        <v>4727</v>
      </c>
      <c r="AR686">
        <v>26.6</v>
      </c>
      <c r="AS686">
        <v>23</v>
      </c>
      <c r="AT686">
        <v>33</v>
      </c>
      <c r="AU686">
        <v>10</v>
      </c>
      <c r="AV686">
        <v>16</v>
      </c>
      <c r="AW686">
        <v>0</v>
      </c>
      <c r="AX686">
        <v>178</v>
      </c>
      <c r="AY686">
        <v>52</v>
      </c>
      <c r="AZ686">
        <v>1</v>
      </c>
      <c r="BA686">
        <v>1</v>
      </c>
      <c r="BB686" t="s">
        <v>11</v>
      </c>
      <c r="BC686">
        <v>4.3479999999999999</v>
      </c>
      <c r="BD686" t="s">
        <v>704</v>
      </c>
      <c r="BE686" t="s">
        <v>1525</v>
      </c>
      <c r="BF686" t="s">
        <v>4728</v>
      </c>
      <c r="BG686" t="s">
        <v>4729</v>
      </c>
      <c r="BH686" s="1" t="s">
        <v>57</v>
      </c>
      <c r="BI686" t="s">
        <v>57</v>
      </c>
      <c r="BJ686" s="1" t="str">
        <f>HYPERLINK("http://exon.niaid.nih.gov/transcriptome/T_rubida/S1/links/CDD/Triru-contig_641-CDD.txt","PRK02122")</f>
        <v>PRK02122</v>
      </c>
      <c r="BK686" t="str">
        <f>HYPERLINK("http://www.ncbi.nlm.nih.gov/Structure/cdd/cddsrv.cgi?uid=PRK02122&amp;version=v4.0","0.39")</f>
        <v>0.39</v>
      </c>
      <c r="BL686" t="s">
        <v>4730</v>
      </c>
      <c r="BM686" s="1" t="str">
        <f>HYPERLINK("http://exon.niaid.nih.gov/transcriptome/T_rubida/S1/links/KOG/Triru-contig_641-KOG.txt","Fatty acyl-CoA elongase/Polyunsaturated fatty acid specific elongation enzyme")</f>
        <v>Fatty acyl-CoA elongase/Polyunsaturated fatty acid specific elongation enzyme</v>
      </c>
      <c r="BN686" t="str">
        <f>HYPERLINK("http://www.ncbi.nlm.nih.gov/COG/grace/shokog.cgi?KOG3071","1.1")</f>
        <v>1.1</v>
      </c>
      <c r="BO686" t="s">
        <v>709</v>
      </c>
      <c r="BP686" s="1" t="str">
        <f>HYPERLINK("http://exon.niaid.nih.gov/transcriptome/T_rubida/S1/links/PFAM/Triru-contig_641-PFAM.txt","ELO")</f>
        <v>ELO</v>
      </c>
      <c r="BQ686" t="str">
        <f>HYPERLINK("http://pfam.sanger.ac.uk/family?acc=PF01151","2.3")</f>
        <v>2.3</v>
      </c>
      <c r="BR686" s="1" t="str">
        <f>HYPERLINK("http://exon.niaid.nih.gov/transcriptome/T_rubida/S1/links/SMART/Triru-contig_641-SMART.txt","DM3")</f>
        <v>DM3</v>
      </c>
      <c r="BS686" t="str">
        <f>HYPERLINK("http://smart.embl-heidelberg.de/smart/do_annotation.pl?DOMAIN=DM3&amp;BLAST=DUMMY","0.63")</f>
        <v>0.63</v>
      </c>
      <c r="BT686" s="1" t="str">
        <f>HYPERLINK("http://exon.niaid.nih.gov/transcriptome/T_rubida/S1/links/PRK/Triru-contig_641-PRK.txt","glucosamine-6-phosphate deaminase-like protein")</f>
        <v>glucosamine-6-phosphate deaminase-like protein</v>
      </c>
      <c r="BU686">
        <v>0.14000000000000001</v>
      </c>
      <c r="BV686" s="1" t="s">
        <v>57</v>
      </c>
      <c r="BW686" t="s">
        <v>57</v>
      </c>
      <c r="BX686" s="1" t="s">
        <v>57</v>
      </c>
      <c r="BY686" t="s">
        <v>57</v>
      </c>
    </row>
    <row r="687" spans="1:77">
      <c r="A687" t="str">
        <f>HYPERLINK("http://exon.niaid.nih.gov/transcriptome/T_rubida/S1/links/Triru/Triru-contig_648.txt","Triru-contig_648")</f>
        <v>Triru-contig_648</v>
      </c>
      <c r="B687">
        <v>1</v>
      </c>
      <c r="C687" t="str">
        <f>HYPERLINK("http://exon.niaid.nih.gov/transcriptome/T_rubida/S1/links/Triru/Triru-5-48-asb-648.txt","Contig-648")</f>
        <v>Contig-648</v>
      </c>
      <c r="D687" t="str">
        <f>HYPERLINK("http://exon.niaid.nih.gov/transcriptome/T_rubida/S1/links/Triru/Triru-5-48-648-CLU.txt","Contig648")</f>
        <v>Contig648</v>
      </c>
      <c r="E687" t="str">
        <f>HYPERLINK("http://exon.niaid.nih.gov/transcriptome/T_rubida/S1/links/Triru/Triru-5-48-648-qual.txt","43.4")</f>
        <v>43.4</v>
      </c>
      <c r="F687" t="s">
        <v>10</v>
      </c>
      <c r="G687">
        <v>80.2</v>
      </c>
      <c r="H687">
        <v>72</v>
      </c>
      <c r="I687" t="s">
        <v>660</v>
      </c>
      <c r="J687">
        <v>72</v>
      </c>
      <c r="K687">
        <v>91</v>
      </c>
      <c r="L687">
        <v>90</v>
      </c>
      <c r="M687" t="s">
        <v>5413</v>
      </c>
      <c r="N687" s="15">
        <v>1</v>
      </c>
      <c r="Q687" s="5" t="s">
        <v>4827</v>
      </c>
      <c r="R687" t="s">
        <v>4828</v>
      </c>
      <c r="V687" s="1" t="s">
        <v>57</v>
      </c>
      <c r="W687" t="s">
        <v>57</v>
      </c>
      <c r="X687" t="s">
        <v>57</v>
      </c>
      <c r="Y687" t="s">
        <v>57</v>
      </c>
      <c r="Z687" t="s">
        <v>57</v>
      </c>
      <c r="AA687" t="s">
        <v>57</v>
      </c>
      <c r="AB687" t="s">
        <v>57</v>
      </c>
      <c r="AC687" t="s">
        <v>57</v>
      </c>
      <c r="AD687" t="s">
        <v>57</v>
      </c>
      <c r="AE687" t="s">
        <v>57</v>
      </c>
      <c r="AF687" t="s">
        <v>57</v>
      </c>
      <c r="AG687" t="s">
        <v>57</v>
      </c>
      <c r="AH687" t="s">
        <v>57</v>
      </c>
      <c r="AI687" t="s">
        <v>57</v>
      </c>
      <c r="AJ687" t="s">
        <v>57</v>
      </c>
      <c r="AK687" t="s">
        <v>57</v>
      </c>
      <c r="AL687" t="s">
        <v>57</v>
      </c>
      <c r="AM687" t="s">
        <v>57</v>
      </c>
      <c r="AN687" t="s">
        <v>57</v>
      </c>
      <c r="AO687" s="1" t="s">
        <v>57</v>
      </c>
      <c r="AP687" t="s">
        <v>57</v>
      </c>
      <c r="AQ687" t="s">
        <v>57</v>
      </c>
      <c r="AR687" t="s">
        <v>57</v>
      </c>
      <c r="AS687" t="s">
        <v>57</v>
      </c>
      <c r="AT687" t="s">
        <v>57</v>
      </c>
      <c r="AU687" t="s">
        <v>57</v>
      </c>
      <c r="AV687" t="s">
        <v>57</v>
      </c>
      <c r="AW687" t="s">
        <v>57</v>
      </c>
      <c r="AX687" t="s">
        <v>57</v>
      </c>
      <c r="AY687" t="s">
        <v>57</v>
      </c>
      <c r="AZ687" t="s">
        <v>57</v>
      </c>
      <c r="BA687" t="s">
        <v>57</v>
      </c>
      <c r="BB687" t="s">
        <v>57</v>
      </c>
      <c r="BC687" t="s">
        <v>57</v>
      </c>
      <c r="BD687" t="s">
        <v>57</v>
      </c>
      <c r="BE687" t="s">
        <v>57</v>
      </c>
      <c r="BF687" t="s">
        <v>57</v>
      </c>
      <c r="BG687" t="s">
        <v>57</v>
      </c>
      <c r="BH687" s="1" t="s">
        <v>57</v>
      </c>
      <c r="BI687" t="s">
        <v>57</v>
      </c>
      <c r="BJ687" s="1" t="s">
        <v>57</v>
      </c>
      <c r="BK687" t="s">
        <v>57</v>
      </c>
      <c r="BL687" t="s">
        <v>57</v>
      </c>
      <c r="BM687" s="1" t="str">
        <f>HYPERLINK("http://exon.niaid.nih.gov/transcriptome/T_rubida/S1/links/KOG/Triru-contig_648-KOG.txt","Uncharacterized conserved protein BCN92")</f>
        <v>Uncharacterized conserved protein BCN92</v>
      </c>
      <c r="BN687" t="str">
        <f>HYPERLINK("http://www.ncbi.nlm.nih.gov/COG/grace/shokog.cgi?KOG3801","9.5")</f>
        <v>9.5</v>
      </c>
      <c r="BO687" t="s">
        <v>1002</v>
      </c>
      <c r="BP687" s="1" t="str">
        <f>HYPERLINK("http://exon.niaid.nih.gov/transcriptome/T_rubida/S1/links/PFAM/Triru-contig_648-PFAM.txt","MGS")</f>
        <v>MGS</v>
      </c>
      <c r="BQ687" t="str">
        <f>HYPERLINK("http://pfam.sanger.ac.uk/family?acc=PF02142","4.1")</f>
        <v>4.1</v>
      </c>
      <c r="BR687" s="1" t="str">
        <f>HYPERLINK("http://exon.niaid.nih.gov/transcriptome/T_rubida/S1/links/SMART/Triru-contig_648-SMART.txt","TOP4c")</f>
        <v>TOP4c</v>
      </c>
      <c r="BS687" t="str">
        <f>HYPERLINK("http://smart.embl-heidelberg.de/smart/do_annotation.pl?DOMAIN=TOP4c&amp;BLAST=DUMMY","0.83")</f>
        <v>0.83</v>
      </c>
      <c r="BT687" s="1" t="str">
        <f>HYPERLINK("http://exon.niaid.nih.gov/transcriptome/T_rubida/S1/links/PRK/Triru-contig_648-PRK.txt","potassium-transporting ATPase subunit B")</f>
        <v>potassium-transporting ATPase subunit B</v>
      </c>
      <c r="BU687">
        <v>9.5</v>
      </c>
      <c r="BV687" s="1" t="s">
        <v>57</v>
      </c>
      <c r="BW687" t="s">
        <v>57</v>
      </c>
      <c r="BX687" s="1" t="s">
        <v>57</v>
      </c>
      <c r="BY687" t="s">
        <v>57</v>
      </c>
    </row>
    <row r="688" spans="1:77">
      <c r="A688" t="str">
        <f>HYPERLINK("http://exon.niaid.nih.gov/transcriptome/T_rubida/S1/links/Triru/Triru-contig_649.txt","Triru-contig_649")</f>
        <v>Triru-contig_649</v>
      </c>
      <c r="B688">
        <v>1</v>
      </c>
      <c r="C688" t="str">
        <f>HYPERLINK("http://exon.niaid.nih.gov/transcriptome/T_rubida/S1/links/Triru/Triru-5-48-asb-649.txt","Contig-649")</f>
        <v>Contig-649</v>
      </c>
      <c r="D688" t="str">
        <f>HYPERLINK("http://exon.niaid.nih.gov/transcriptome/T_rubida/S1/links/Triru/Triru-5-48-649-CLU.txt","Contig649")</f>
        <v>Contig649</v>
      </c>
      <c r="E688" t="str">
        <f>HYPERLINK("http://exon.niaid.nih.gov/transcriptome/T_rubida/S1/links/Triru/Triru-5-48-649-qual.txt","18.7")</f>
        <v>18.7</v>
      </c>
      <c r="F688" t="s">
        <v>10</v>
      </c>
      <c r="G688">
        <v>68.599999999999994</v>
      </c>
      <c r="H688">
        <v>169</v>
      </c>
      <c r="I688" t="s">
        <v>661</v>
      </c>
      <c r="J688">
        <v>169</v>
      </c>
      <c r="K688">
        <v>188</v>
      </c>
      <c r="L688">
        <v>78</v>
      </c>
      <c r="M688" t="s">
        <v>5414</v>
      </c>
      <c r="N688" s="15">
        <v>2</v>
      </c>
      <c r="Q688" s="5" t="s">
        <v>4827</v>
      </c>
      <c r="R688" t="s">
        <v>4828</v>
      </c>
      <c r="V688" s="1" t="s">
        <v>57</v>
      </c>
      <c r="W688" t="s">
        <v>57</v>
      </c>
      <c r="X688" t="s">
        <v>57</v>
      </c>
      <c r="Y688" t="s">
        <v>57</v>
      </c>
      <c r="Z688" t="s">
        <v>57</v>
      </c>
      <c r="AA688" t="s">
        <v>57</v>
      </c>
      <c r="AB688" t="s">
        <v>57</v>
      </c>
      <c r="AC688" t="s">
        <v>57</v>
      </c>
      <c r="AD688" t="s">
        <v>57</v>
      </c>
      <c r="AE688" t="s">
        <v>57</v>
      </c>
      <c r="AF688" t="s">
        <v>57</v>
      </c>
      <c r="AG688" t="s">
        <v>57</v>
      </c>
      <c r="AH688" t="s">
        <v>57</v>
      </c>
      <c r="AI688" t="s">
        <v>57</v>
      </c>
      <c r="AJ688" t="s">
        <v>57</v>
      </c>
      <c r="AK688" t="s">
        <v>57</v>
      </c>
      <c r="AL688" t="s">
        <v>57</v>
      </c>
      <c r="AM688" t="s">
        <v>57</v>
      </c>
      <c r="AN688" t="s">
        <v>57</v>
      </c>
      <c r="AO688" s="1" t="str">
        <f>HYPERLINK("http://exon.niaid.nih.gov/transcriptome/T_rubida/S1/links/SWISSP/Triru-contig_649-SWISSP.txt","(Z)-gamma-bisabolene synthase 2")</f>
        <v>(Z)-gamma-bisabolene synthase 2</v>
      </c>
      <c r="AP688" t="str">
        <f>HYPERLINK("http://www.uniprot.org/uniprot/Q9T0K1","53")</f>
        <v>53</v>
      </c>
      <c r="AQ688" t="s">
        <v>4766</v>
      </c>
      <c r="AR688">
        <v>26.6</v>
      </c>
      <c r="AS688">
        <v>46</v>
      </c>
      <c r="AT688">
        <v>25</v>
      </c>
      <c r="AU688">
        <v>8</v>
      </c>
      <c r="AV688">
        <v>35</v>
      </c>
      <c r="AW688">
        <v>0</v>
      </c>
      <c r="AX688">
        <v>452</v>
      </c>
      <c r="AY688">
        <v>3</v>
      </c>
      <c r="AZ688">
        <v>1</v>
      </c>
      <c r="BA688">
        <v>3</v>
      </c>
      <c r="BB688" t="s">
        <v>11</v>
      </c>
      <c r="BC688">
        <v>2.1739999999999999</v>
      </c>
      <c r="BD688" t="s">
        <v>704</v>
      </c>
      <c r="BE688" t="s">
        <v>906</v>
      </c>
      <c r="BF688" t="s">
        <v>4767</v>
      </c>
      <c r="BG688" t="s">
        <v>4768</v>
      </c>
      <c r="BH688" s="1" t="s">
        <v>57</v>
      </c>
      <c r="BI688" t="s">
        <v>57</v>
      </c>
      <c r="BJ688" s="1" t="str">
        <f>HYPERLINK("http://exon.niaid.nih.gov/transcriptome/T_rubida/S1/links/CDD/Triru-contig_649-CDD.txt","DNase_II")</f>
        <v>DNase_II</v>
      </c>
      <c r="BK688" t="str">
        <f>HYPERLINK("http://www.ncbi.nlm.nih.gov/Structure/cdd/cddsrv.cgi?uid=pfam03265&amp;version=v4.0","1.5")</f>
        <v>1.5</v>
      </c>
      <c r="BL688" t="s">
        <v>4769</v>
      </c>
      <c r="BM688" s="1" t="str">
        <f>HYPERLINK("http://exon.niaid.nih.gov/transcriptome/T_rubida/S1/links/KOG/Triru-contig_649-KOG.txt","Muskelin")</f>
        <v>Muskelin</v>
      </c>
      <c r="BN688" t="str">
        <f>HYPERLINK("http://www.ncbi.nlm.nih.gov/COG/grace/shokog.cgi?KOG2437","1.2")</f>
        <v>1.2</v>
      </c>
      <c r="BO688" t="s">
        <v>728</v>
      </c>
      <c r="BP688" s="1" t="str">
        <f>HYPERLINK("http://exon.niaid.nih.gov/transcriptome/T_rubida/S1/links/PFAM/Triru-contig_649-PFAM.txt","DNase_II")</f>
        <v>DNase_II</v>
      </c>
      <c r="BQ688" t="str">
        <f>HYPERLINK("http://pfam.sanger.ac.uk/family?acc=PF03265","0.32")</f>
        <v>0.32</v>
      </c>
      <c r="BR688" s="1" t="str">
        <f>HYPERLINK("http://exon.niaid.nih.gov/transcriptome/T_rubida/S1/links/SMART/Triru-contig_649-SMART.txt","VIT")</f>
        <v>VIT</v>
      </c>
      <c r="BS688" t="str">
        <f>HYPERLINK("http://smart.embl-heidelberg.de/smart/do_annotation.pl?DOMAIN=VIT&amp;BLAST=DUMMY","1.3")</f>
        <v>1.3</v>
      </c>
      <c r="BT688" s="1" t="str">
        <f>HYPERLINK("http://exon.niaid.nih.gov/transcriptome/T_rubida/S1/links/PRK/Triru-contig_649-PRK.txt","porphobilinogen deaminase.")</f>
        <v>porphobilinogen deaminase.</v>
      </c>
      <c r="BU688">
        <v>2</v>
      </c>
      <c r="BV688" s="1" t="s">
        <v>57</v>
      </c>
      <c r="BW688" t="s">
        <v>57</v>
      </c>
      <c r="BX688" s="1" t="s">
        <v>57</v>
      </c>
      <c r="BY688" t="s">
        <v>57</v>
      </c>
    </row>
    <row r="689" spans="1:77">
      <c r="A689" t="str">
        <f>HYPERLINK("http://exon.niaid.nih.gov/transcriptome/T_rubida/S1/links/Triru/Triru-contig_650.txt","Triru-contig_650")</f>
        <v>Triru-contig_650</v>
      </c>
      <c r="B689">
        <v>1</v>
      </c>
      <c r="C689" t="str">
        <f>HYPERLINK("http://exon.niaid.nih.gov/transcriptome/T_rubida/S1/links/Triru/Triru-5-48-asb-650.txt","Contig-650")</f>
        <v>Contig-650</v>
      </c>
      <c r="D689" t="str">
        <f>HYPERLINK("http://exon.niaid.nih.gov/transcriptome/T_rubida/S1/links/Triru/Triru-5-48-650-CLU.txt","Contig650")</f>
        <v>Contig650</v>
      </c>
      <c r="E689" t="str">
        <f>HYPERLINK("http://exon.niaid.nih.gov/transcriptome/T_rubida/S1/links/Triru/Triru-5-48-650-qual.txt","55.9")</f>
        <v>55.9</v>
      </c>
      <c r="F689">
        <v>0.4</v>
      </c>
      <c r="G689">
        <v>73.5</v>
      </c>
      <c r="H689">
        <v>215</v>
      </c>
      <c r="I689" t="s">
        <v>662</v>
      </c>
      <c r="J689">
        <v>215</v>
      </c>
      <c r="K689">
        <v>234</v>
      </c>
      <c r="L689">
        <v>90</v>
      </c>
      <c r="M689" t="s">
        <v>5415</v>
      </c>
      <c r="N689" s="15">
        <v>3</v>
      </c>
      <c r="Q689" s="5" t="s">
        <v>4827</v>
      </c>
      <c r="R689" t="s">
        <v>4828</v>
      </c>
      <c r="V689" s="1" t="s">
        <v>57</v>
      </c>
      <c r="W689" t="s">
        <v>57</v>
      </c>
      <c r="X689" t="s">
        <v>57</v>
      </c>
      <c r="Y689" t="s">
        <v>57</v>
      </c>
      <c r="Z689" t="s">
        <v>57</v>
      </c>
      <c r="AA689" t="s">
        <v>57</v>
      </c>
      <c r="AB689" t="s">
        <v>57</v>
      </c>
      <c r="AC689" t="s">
        <v>57</v>
      </c>
      <c r="AD689" t="s">
        <v>57</v>
      </c>
      <c r="AE689" t="s">
        <v>57</v>
      </c>
      <c r="AF689" t="s">
        <v>57</v>
      </c>
      <c r="AG689" t="s">
        <v>57</v>
      </c>
      <c r="AH689" t="s">
        <v>57</v>
      </c>
      <c r="AI689" t="s">
        <v>57</v>
      </c>
      <c r="AJ689" t="s">
        <v>57</v>
      </c>
      <c r="AK689" t="s">
        <v>57</v>
      </c>
      <c r="AL689" t="s">
        <v>57</v>
      </c>
      <c r="AM689" t="s">
        <v>57</v>
      </c>
      <c r="AN689" t="s">
        <v>57</v>
      </c>
      <c r="AO689" s="1" t="str">
        <f>HYPERLINK("http://exon.niaid.nih.gov/transcriptome/T_rubida/S1/links/SWISSP/Triru-contig_650-SWISSP.txt","Methionine aminopeptidase 2")</f>
        <v>Methionine aminopeptidase 2</v>
      </c>
      <c r="AP689" t="str">
        <f>HYPERLINK("http://www.uniprot.org/uniprot/P38174","41")</f>
        <v>41</v>
      </c>
      <c r="AQ689" t="s">
        <v>4770</v>
      </c>
      <c r="AR689">
        <v>26.9</v>
      </c>
      <c r="AS689">
        <v>25</v>
      </c>
      <c r="AT689">
        <v>34</v>
      </c>
      <c r="AU689">
        <v>6</v>
      </c>
      <c r="AV689">
        <v>19</v>
      </c>
      <c r="AW689">
        <v>0</v>
      </c>
      <c r="AX689">
        <v>37</v>
      </c>
      <c r="AY689">
        <v>2</v>
      </c>
      <c r="AZ689">
        <v>1</v>
      </c>
      <c r="BA689">
        <v>2</v>
      </c>
      <c r="BB689" t="s">
        <v>11</v>
      </c>
      <c r="BC689">
        <v>4</v>
      </c>
      <c r="BD689" t="s">
        <v>704</v>
      </c>
      <c r="BE689" t="s">
        <v>1487</v>
      </c>
      <c r="BF689" t="s">
        <v>4771</v>
      </c>
      <c r="BG689" t="s">
        <v>4772</v>
      </c>
      <c r="BH689" s="1" t="s">
        <v>57</v>
      </c>
      <c r="BI689" t="s">
        <v>57</v>
      </c>
      <c r="BJ689" s="1" t="str">
        <f>HYPERLINK("http://exon.niaid.nih.gov/transcriptome/T_rubida/S1/links/CDD/Triru-contig_650-CDD.txt","GT_GPT_euk")</f>
        <v>GT_GPT_euk</v>
      </c>
      <c r="BK689" t="str">
        <f>HYPERLINK("http://www.ncbi.nlm.nih.gov/Structure/cdd/cddsrv.cgi?uid=cd06855&amp;version=v4.0","0.20")</f>
        <v>0.20</v>
      </c>
      <c r="BL689" t="s">
        <v>4773</v>
      </c>
      <c r="BM689" s="1" t="str">
        <f>HYPERLINK("http://exon.niaid.nih.gov/transcriptome/T_rubida/S1/links/KOG/Triru-contig_650-KOG.txt","p53-mediated apoptosis protein EI24/PIG8")</f>
        <v>p53-mediated apoptosis protein EI24/PIG8</v>
      </c>
      <c r="BN689" t="str">
        <f>HYPERLINK("http://www.ncbi.nlm.nih.gov/COG/grace/shokog.cgi?KOG3966","0.36")</f>
        <v>0.36</v>
      </c>
      <c r="BO689" t="s">
        <v>3114</v>
      </c>
      <c r="BP689" s="1" t="str">
        <f>HYPERLINK("http://exon.niaid.nih.gov/transcriptome/T_rubida/S1/links/PFAM/Triru-contig_650-PFAM.txt","DUF1430")</f>
        <v>DUF1430</v>
      </c>
      <c r="BQ689" t="str">
        <f>HYPERLINK("http://pfam.sanger.ac.uk/family?acc=PF07242","0.085")</f>
        <v>0.085</v>
      </c>
      <c r="BR689" s="1" t="str">
        <f>HYPERLINK("http://exon.niaid.nih.gov/transcriptome/T_rubida/S1/links/SMART/Triru-contig_650-SMART.txt","AgrB")</f>
        <v>AgrB</v>
      </c>
      <c r="BS689" t="str">
        <f>HYPERLINK("http://smart.embl-heidelberg.de/smart/do_annotation.pl?DOMAIN=AgrB&amp;BLAST=DUMMY","0.050")</f>
        <v>0.050</v>
      </c>
      <c r="BT689" s="1" t="str">
        <f>HYPERLINK("http://exon.niaid.nih.gov/transcriptome/T_rubida/S1/links/PRK/Triru-contig_650-PRK.txt","NADH dehydrogenase subunit 2")</f>
        <v>NADH dehydrogenase subunit 2</v>
      </c>
      <c r="BU689">
        <v>0.33</v>
      </c>
      <c r="BV689" s="1" t="s">
        <v>57</v>
      </c>
      <c r="BW689" t="s">
        <v>57</v>
      </c>
      <c r="BX689" s="1" t="s">
        <v>57</v>
      </c>
      <c r="BY689" t="s">
        <v>57</v>
      </c>
    </row>
    <row r="690" spans="1:77">
      <c r="A690" t="str">
        <f>HYPERLINK("http://exon.niaid.nih.gov/transcriptome/T_rubida/S1/links/Triru/Triru-contig_651.txt","Triru-contig_651")</f>
        <v>Triru-contig_651</v>
      </c>
      <c r="B690">
        <v>1</v>
      </c>
      <c r="C690" t="str">
        <f>HYPERLINK("http://exon.niaid.nih.gov/transcriptome/T_rubida/S1/links/Triru/Triru-5-48-asb-651.txt","Contig-651")</f>
        <v>Contig-651</v>
      </c>
      <c r="D690" t="str">
        <f>HYPERLINK("http://exon.niaid.nih.gov/transcriptome/T_rubida/S1/links/Triru/Triru-5-48-651-CLU.txt","Contig651")</f>
        <v>Contig651</v>
      </c>
      <c r="E690" t="str">
        <f>HYPERLINK("http://exon.niaid.nih.gov/transcriptome/T_rubida/S1/links/Triru/Triru-5-48-651-qual.txt","53.6")</f>
        <v>53.6</v>
      </c>
      <c r="F690" t="s">
        <v>10</v>
      </c>
      <c r="G690">
        <v>81</v>
      </c>
      <c r="H690">
        <v>86</v>
      </c>
      <c r="I690" t="s">
        <v>663</v>
      </c>
      <c r="J690">
        <v>86</v>
      </c>
      <c r="K690">
        <v>105</v>
      </c>
      <c r="L690">
        <v>54</v>
      </c>
      <c r="M690" t="s">
        <v>5416</v>
      </c>
      <c r="N690" s="15">
        <v>1</v>
      </c>
      <c r="Q690" s="5" t="s">
        <v>4827</v>
      </c>
      <c r="R690" t="s">
        <v>4828</v>
      </c>
      <c r="V690" s="1" t="s">
        <v>57</v>
      </c>
      <c r="W690" t="s">
        <v>57</v>
      </c>
      <c r="X690" t="s">
        <v>57</v>
      </c>
      <c r="Y690" t="s">
        <v>57</v>
      </c>
      <c r="Z690" t="s">
        <v>57</v>
      </c>
      <c r="AA690" t="s">
        <v>57</v>
      </c>
      <c r="AB690" t="s">
        <v>57</v>
      </c>
      <c r="AC690" t="s">
        <v>57</v>
      </c>
      <c r="AD690" t="s">
        <v>57</v>
      </c>
      <c r="AE690" t="s">
        <v>57</v>
      </c>
      <c r="AF690" t="s">
        <v>57</v>
      </c>
      <c r="AG690" t="s">
        <v>57</v>
      </c>
      <c r="AH690" t="s">
        <v>57</v>
      </c>
      <c r="AI690" t="s">
        <v>57</v>
      </c>
      <c r="AJ690" t="s">
        <v>57</v>
      </c>
      <c r="AK690" t="s">
        <v>57</v>
      </c>
      <c r="AL690" t="s">
        <v>57</v>
      </c>
      <c r="AM690" t="s">
        <v>57</v>
      </c>
      <c r="AN690" t="s">
        <v>57</v>
      </c>
      <c r="AO690" s="1" t="s">
        <v>57</v>
      </c>
      <c r="AP690" t="s">
        <v>57</v>
      </c>
      <c r="AQ690" t="s">
        <v>57</v>
      </c>
      <c r="AR690" t="s">
        <v>57</v>
      </c>
      <c r="AS690" t="s">
        <v>57</v>
      </c>
      <c r="AT690" t="s">
        <v>57</v>
      </c>
      <c r="AU690" t="s">
        <v>57</v>
      </c>
      <c r="AV690" t="s">
        <v>57</v>
      </c>
      <c r="AW690" t="s">
        <v>57</v>
      </c>
      <c r="AX690" t="s">
        <v>57</v>
      </c>
      <c r="AY690" t="s">
        <v>57</v>
      </c>
      <c r="AZ690" t="s">
        <v>57</v>
      </c>
      <c r="BA690" t="s">
        <v>57</v>
      </c>
      <c r="BB690" t="s">
        <v>57</v>
      </c>
      <c r="BC690" t="s">
        <v>57</v>
      </c>
      <c r="BD690" t="s">
        <v>57</v>
      </c>
      <c r="BE690" t="s">
        <v>57</v>
      </c>
      <c r="BF690" t="s">
        <v>57</v>
      </c>
      <c r="BG690" t="s">
        <v>57</v>
      </c>
      <c r="BH690" s="1" t="s">
        <v>57</v>
      </c>
      <c r="BI690" t="s">
        <v>57</v>
      </c>
      <c r="BJ690" s="1" t="str">
        <f>HYPERLINK("http://exon.niaid.nih.gov/transcriptome/T_rubida/S1/links/CDD/Triru-contig_651-CDD.txt","ATP6")</f>
        <v>ATP6</v>
      </c>
      <c r="BK690" t="str">
        <f>HYPERLINK("http://www.ncbi.nlm.nih.gov/Structure/cdd/cddsrv.cgi?uid=MTH00050&amp;version=v4.0","1.8")</f>
        <v>1.8</v>
      </c>
      <c r="BL690" t="s">
        <v>4774</v>
      </c>
      <c r="BM690" s="1" t="s">
        <v>57</v>
      </c>
      <c r="BN690" t="s">
        <v>57</v>
      </c>
      <c r="BO690" t="s">
        <v>57</v>
      </c>
      <c r="BP690" s="1" t="str">
        <f>HYPERLINK("http://exon.niaid.nih.gov/transcriptome/T_rubida/S1/links/PFAM/Triru-contig_651-PFAM.txt","Brr6_like_C_C")</f>
        <v>Brr6_like_C_C</v>
      </c>
      <c r="BQ690" t="str">
        <f>HYPERLINK("http://pfam.sanger.ac.uk/family?acc=PF10104","0.55")</f>
        <v>0.55</v>
      </c>
      <c r="BR690" s="1" t="str">
        <f>HYPERLINK("http://exon.niaid.nih.gov/transcriptome/T_rubida/S1/links/SMART/Triru-contig_651-SMART.txt","APPLE")</f>
        <v>APPLE</v>
      </c>
      <c r="BS690" t="str">
        <f>HYPERLINK("http://smart.embl-heidelberg.de/smart/do_annotation.pl?DOMAIN=APPLE&amp;BLAST=DUMMY","0.95")</f>
        <v>0.95</v>
      </c>
      <c r="BT690" s="1" t="str">
        <f>HYPERLINK("http://exon.niaid.nih.gov/transcriptome/T_rubida/S1/links/PRK/Triru-contig_651-PRK.txt","ATP synthase F0 subunit 6")</f>
        <v>ATP synthase F0 subunit 6</v>
      </c>
      <c r="BU690">
        <v>0.65</v>
      </c>
      <c r="BV690" s="1" t="s">
        <v>57</v>
      </c>
      <c r="BW690" t="s">
        <v>57</v>
      </c>
      <c r="BX690" s="1" t="s">
        <v>57</v>
      </c>
      <c r="BY690" t="s">
        <v>57</v>
      </c>
    </row>
  </sheetData>
  <sortState ref="A310:CD675">
    <sortCondition ref="W310:W675"/>
  </sortState>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N158"/>
  <sheetViews>
    <sheetView topLeftCell="A34" zoomScale="90" zoomScaleNormal="90" workbookViewId="0">
      <selection activeCell="I42" sqref="I42"/>
    </sheetView>
  </sheetViews>
  <sheetFormatPr defaultRowHeight="13.8"/>
  <cols>
    <col min="1" max="1" width="14.26953125" customWidth="1"/>
    <col min="2" max="3" width="7.90625" customWidth="1"/>
    <col min="4" max="4" width="8.7265625" customWidth="1"/>
    <col min="5" max="5" width="9.6328125" customWidth="1"/>
    <col min="6" max="6" width="11.7265625" customWidth="1"/>
    <col min="7" max="7" width="6.7265625" customWidth="1"/>
    <col min="9" max="9" width="28.7265625" customWidth="1"/>
  </cols>
  <sheetData>
    <row r="1" spans="1:14" ht="14.4" thickBot="1"/>
    <row r="2" spans="1:14" ht="42" thickBot="1">
      <c r="A2" t="s">
        <v>4814</v>
      </c>
      <c r="B2" t="s">
        <v>5725</v>
      </c>
      <c r="C2" t="s">
        <v>5726</v>
      </c>
      <c r="D2" t="s">
        <v>5727</v>
      </c>
      <c r="I2" s="40" t="s">
        <v>4814</v>
      </c>
      <c r="J2" s="41" t="s">
        <v>5725</v>
      </c>
      <c r="K2" s="41" t="s">
        <v>5726</v>
      </c>
      <c r="L2" s="41" t="s">
        <v>5727</v>
      </c>
      <c r="M2" s="41" t="s">
        <v>5752</v>
      </c>
      <c r="N2" s="42" t="s">
        <v>5753</v>
      </c>
    </row>
    <row r="3" spans="1:14">
      <c r="A3" t="s">
        <v>5728</v>
      </c>
      <c r="B3">
        <v>19</v>
      </c>
      <c r="C3">
        <v>84</v>
      </c>
      <c r="D3">
        <v>4.4210526315789496</v>
      </c>
      <c r="I3" s="34" t="s">
        <v>5746</v>
      </c>
      <c r="J3" s="17">
        <v>40</v>
      </c>
      <c r="K3" s="17">
        <v>609</v>
      </c>
      <c r="L3" s="19">
        <f t="shared" ref="L3:L11" si="0">K3/J3</f>
        <v>15.225</v>
      </c>
      <c r="M3" s="19">
        <f>100*J3/93</f>
        <v>43.01075268817204</v>
      </c>
      <c r="N3" s="43">
        <f>100*K3/932</f>
        <v>65.343347639484975</v>
      </c>
    </row>
    <row r="4" spans="1:14">
      <c r="A4" t="s">
        <v>5041</v>
      </c>
      <c r="B4">
        <v>1</v>
      </c>
      <c r="C4">
        <v>1</v>
      </c>
      <c r="D4">
        <v>1</v>
      </c>
      <c r="I4" s="34" t="s">
        <v>5755</v>
      </c>
      <c r="J4" s="17">
        <v>34</v>
      </c>
      <c r="K4" s="17">
        <v>239</v>
      </c>
      <c r="L4" s="19">
        <f>K4/J4</f>
        <v>7.0294117647058822</v>
      </c>
      <c r="M4" s="19">
        <f t="shared" ref="M4:M11" si="1">100*J4/93</f>
        <v>36.55913978494624</v>
      </c>
      <c r="N4" s="43">
        <f t="shared" ref="N4:N11" si="2">100*K4/932</f>
        <v>25.643776824034333</v>
      </c>
    </row>
    <row r="5" spans="1:14">
      <c r="A5" t="s">
        <v>5045</v>
      </c>
      <c r="B5">
        <v>81</v>
      </c>
      <c r="C5">
        <v>287</v>
      </c>
      <c r="D5">
        <v>3.5432098765432101</v>
      </c>
      <c r="I5" s="34" t="s">
        <v>5743</v>
      </c>
      <c r="J5" s="17">
        <v>10</v>
      </c>
      <c r="K5" s="17">
        <v>73</v>
      </c>
      <c r="L5" s="19">
        <f t="shared" si="0"/>
        <v>7.3</v>
      </c>
      <c r="M5" s="19">
        <f t="shared" si="1"/>
        <v>10.75268817204301</v>
      </c>
      <c r="N5" s="43">
        <f t="shared" si="2"/>
        <v>7.8326180257510734</v>
      </c>
    </row>
    <row r="6" spans="1:14">
      <c r="A6" t="s">
        <v>5729</v>
      </c>
      <c r="B6">
        <v>6</v>
      </c>
      <c r="C6">
        <v>8</v>
      </c>
      <c r="D6">
        <v>1.3333333333333299</v>
      </c>
      <c r="I6" s="34" t="s">
        <v>5745</v>
      </c>
      <c r="J6" s="17">
        <v>2</v>
      </c>
      <c r="K6" s="17">
        <v>2</v>
      </c>
      <c r="L6" s="19">
        <f t="shared" si="0"/>
        <v>1</v>
      </c>
      <c r="M6" s="19">
        <f t="shared" si="1"/>
        <v>2.150537634408602</v>
      </c>
      <c r="N6" s="43">
        <f t="shared" si="2"/>
        <v>0.21459227467811159</v>
      </c>
    </row>
    <row r="7" spans="1:14">
      <c r="A7" t="s">
        <v>5043</v>
      </c>
      <c r="B7">
        <v>10</v>
      </c>
      <c r="C7">
        <v>16</v>
      </c>
      <c r="D7">
        <v>1.6</v>
      </c>
      <c r="I7" s="34" t="s">
        <v>5748</v>
      </c>
      <c r="J7" s="17">
        <v>2</v>
      </c>
      <c r="K7" s="17">
        <v>2</v>
      </c>
      <c r="L7" s="19">
        <f t="shared" si="0"/>
        <v>1</v>
      </c>
      <c r="M7" s="19">
        <f t="shared" si="1"/>
        <v>2.150537634408602</v>
      </c>
      <c r="N7" s="43">
        <f t="shared" si="2"/>
        <v>0.21459227467811159</v>
      </c>
    </row>
    <row r="8" spans="1:14">
      <c r="A8" t="s">
        <v>5044</v>
      </c>
      <c r="B8">
        <v>7</v>
      </c>
      <c r="C8">
        <v>7</v>
      </c>
      <c r="D8">
        <v>1</v>
      </c>
      <c r="I8" s="34" t="s">
        <v>5749</v>
      </c>
      <c r="J8" s="17">
        <v>1</v>
      </c>
      <c r="K8" s="17">
        <v>1</v>
      </c>
      <c r="L8" s="19">
        <f t="shared" si="0"/>
        <v>1</v>
      </c>
      <c r="M8" s="19">
        <f t="shared" si="1"/>
        <v>1.075268817204301</v>
      </c>
      <c r="N8" s="43">
        <f t="shared" si="2"/>
        <v>0.1072961373390558</v>
      </c>
    </row>
    <row r="9" spans="1:14">
      <c r="A9" t="s">
        <v>5730</v>
      </c>
      <c r="B9">
        <v>10</v>
      </c>
      <c r="C9">
        <v>28</v>
      </c>
      <c r="D9">
        <v>2.8</v>
      </c>
      <c r="I9" s="34" t="s">
        <v>5744</v>
      </c>
      <c r="J9" s="17">
        <v>1</v>
      </c>
      <c r="K9" s="17">
        <v>1</v>
      </c>
      <c r="L9" s="19">
        <f t="shared" si="0"/>
        <v>1</v>
      </c>
      <c r="M9" s="19">
        <f t="shared" si="1"/>
        <v>1.075268817204301</v>
      </c>
      <c r="N9" s="43">
        <f t="shared" si="2"/>
        <v>0.1072961373390558</v>
      </c>
    </row>
    <row r="10" spans="1:14">
      <c r="A10" t="s">
        <v>5731</v>
      </c>
      <c r="B10">
        <v>1</v>
      </c>
      <c r="C10">
        <v>1</v>
      </c>
      <c r="D10">
        <v>1</v>
      </c>
      <c r="I10" s="34" t="s">
        <v>5754</v>
      </c>
      <c r="J10" s="17">
        <v>2</v>
      </c>
      <c r="K10" s="17">
        <v>4</v>
      </c>
      <c r="L10" s="19">
        <f t="shared" si="0"/>
        <v>2</v>
      </c>
      <c r="M10" s="19">
        <f t="shared" si="1"/>
        <v>2.150537634408602</v>
      </c>
      <c r="N10" s="43">
        <f t="shared" si="2"/>
        <v>0.42918454935622319</v>
      </c>
    </row>
    <row r="11" spans="1:14">
      <c r="A11" t="s">
        <v>5040</v>
      </c>
      <c r="B11">
        <v>2</v>
      </c>
      <c r="C11">
        <v>2</v>
      </c>
      <c r="D11">
        <v>1</v>
      </c>
      <c r="I11" s="34" t="s">
        <v>5718</v>
      </c>
      <c r="J11" s="17">
        <v>1</v>
      </c>
      <c r="K11" s="17">
        <v>1</v>
      </c>
      <c r="L11" s="19">
        <f t="shared" si="0"/>
        <v>1</v>
      </c>
      <c r="M11" s="19">
        <f t="shared" si="1"/>
        <v>1.075268817204301</v>
      </c>
      <c r="N11" s="43">
        <f t="shared" si="2"/>
        <v>0.1072961373390558</v>
      </c>
    </row>
    <row r="12" spans="1:14">
      <c r="A12" t="s">
        <v>5037</v>
      </c>
      <c r="B12">
        <v>1</v>
      </c>
      <c r="C12">
        <v>1</v>
      </c>
      <c r="D12">
        <v>1</v>
      </c>
      <c r="I12" s="34"/>
      <c r="J12" s="17"/>
      <c r="K12" s="17"/>
      <c r="L12" s="17"/>
      <c r="M12" s="17"/>
      <c r="N12" s="36"/>
    </row>
    <row r="13" spans="1:14" ht="14.4" thickBot="1">
      <c r="A13" t="s">
        <v>5039</v>
      </c>
      <c r="B13">
        <v>4</v>
      </c>
      <c r="C13">
        <v>13</v>
      </c>
      <c r="D13">
        <v>3.25</v>
      </c>
      <c r="I13" s="37" t="s">
        <v>5737</v>
      </c>
      <c r="J13" s="38">
        <f>SUM(J3:J11)</f>
        <v>93</v>
      </c>
      <c r="K13" s="38">
        <f>SUM(K3:K11)</f>
        <v>932</v>
      </c>
      <c r="L13" s="38"/>
      <c r="M13" s="38"/>
      <c r="N13" s="39"/>
    </row>
    <row r="14" spans="1:14">
      <c r="A14" t="s">
        <v>5047</v>
      </c>
      <c r="B14">
        <v>9</v>
      </c>
      <c r="C14">
        <v>13</v>
      </c>
      <c r="D14">
        <v>1.44444444444444</v>
      </c>
    </row>
    <row r="15" spans="1:14">
      <c r="A15" t="s">
        <v>5034</v>
      </c>
      <c r="B15">
        <v>9</v>
      </c>
      <c r="C15">
        <v>12</v>
      </c>
      <c r="D15">
        <v>1.3333333333333299</v>
      </c>
    </row>
    <row r="16" spans="1:14">
      <c r="A16" t="s">
        <v>5048</v>
      </c>
      <c r="B16">
        <v>1</v>
      </c>
      <c r="C16">
        <v>1</v>
      </c>
      <c r="D16">
        <v>1</v>
      </c>
    </row>
    <row r="17" spans="1:6">
      <c r="A17" t="s">
        <v>5038</v>
      </c>
      <c r="B17">
        <v>16</v>
      </c>
      <c r="C17">
        <v>52</v>
      </c>
      <c r="D17">
        <v>3.25</v>
      </c>
    </row>
    <row r="18" spans="1:6">
      <c r="A18" t="s">
        <v>5732</v>
      </c>
      <c r="B18">
        <v>364</v>
      </c>
      <c r="C18">
        <v>397</v>
      </c>
      <c r="D18">
        <v>1.0906593406593399</v>
      </c>
    </row>
    <row r="19" spans="1:6">
      <c r="A19" t="s">
        <v>5733</v>
      </c>
      <c r="B19">
        <v>14</v>
      </c>
      <c r="C19">
        <v>14</v>
      </c>
      <c r="D19">
        <v>1</v>
      </c>
    </row>
    <row r="20" spans="1:6">
      <c r="A20" t="s">
        <v>5036</v>
      </c>
      <c r="B20">
        <v>1</v>
      </c>
      <c r="C20">
        <v>1</v>
      </c>
      <c r="D20">
        <v>1</v>
      </c>
    </row>
    <row r="21" spans="1:6">
      <c r="A21" t="s">
        <v>5734</v>
      </c>
      <c r="B21">
        <v>74</v>
      </c>
      <c r="C21">
        <v>848</v>
      </c>
      <c r="D21">
        <v>11.459459459459501</v>
      </c>
    </row>
    <row r="22" spans="1:6">
      <c r="A22" t="s">
        <v>5740</v>
      </c>
      <c r="B22">
        <v>12</v>
      </c>
      <c r="C22">
        <v>13</v>
      </c>
      <c r="D22">
        <v>1.0833333333333299</v>
      </c>
    </row>
    <row r="23" spans="1:6">
      <c r="A23" t="s">
        <v>5735</v>
      </c>
      <c r="B23">
        <v>2</v>
      </c>
      <c r="C23">
        <v>3</v>
      </c>
      <c r="D23">
        <v>1.5</v>
      </c>
    </row>
    <row r="24" spans="1:6">
      <c r="A24" t="s">
        <v>5736</v>
      </c>
      <c r="B24">
        <v>13</v>
      </c>
      <c r="C24">
        <v>18</v>
      </c>
      <c r="D24">
        <v>1.3846153846153799</v>
      </c>
    </row>
    <row r="26" spans="1:6">
      <c r="A26" t="s">
        <v>5737</v>
      </c>
      <c r="B26">
        <v>657</v>
      </c>
      <c r="C26">
        <v>1820</v>
      </c>
    </row>
    <row r="28" spans="1:6">
      <c r="A28" t="s">
        <v>5738</v>
      </c>
      <c r="C28">
        <v>527</v>
      </c>
    </row>
    <row r="31" spans="1:6" ht="2.25" customHeight="1" thickBot="1"/>
    <row r="32" spans="1:6" ht="46.5" customHeight="1" thickBot="1">
      <c r="A32" s="40" t="s">
        <v>4814</v>
      </c>
      <c r="B32" s="48" t="s">
        <v>5725</v>
      </c>
      <c r="C32" s="48" t="s">
        <v>5726</v>
      </c>
      <c r="D32" s="48" t="s">
        <v>5727</v>
      </c>
      <c r="E32" s="48" t="s">
        <v>5752</v>
      </c>
      <c r="F32" s="49" t="s">
        <v>5753</v>
      </c>
    </row>
    <row r="33" spans="1:10">
      <c r="A33" s="30" t="s">
        <v>5045</v>
      </c>
      <c r="B33" s="31">
        <v>81</v>
      </c>
      <c r="C33" s="31">
        <v>287</v>
      </c>
      <c r="D33" s="32">
        <v>3.5432098765432101</v>
      </c>
      <c r="E33" s="32">
        <f t="shared" ref="E33:E49" si="3">100*B33/187</f>
        <v>43.315508021390372</v>
      </c>
      <c r="F33" s="33">
        <f t="shared" ref="F33:F49" si="4">100*C33/477</f>
        <v>60.167714884696018</v>
      </c>
    </row>
    <row r="34" spans="1:10" ht="14.4" thickBot="1">
      <c r="A34" s="34" t="s">
        <v>5038</v>
      </c>
      <c r="B34" s="17">
        <v>16</v>
      </c>
      <c r="C34" s="17">
        <v>52</v>
      </c>
      <c r="D34" s="18">
        <v>3.25</v>
      </c>
      <c r="E34" s="18">
        <f t="shared" si="3"/>
        <v>8.5561497326203213</v>
      </c>
      <c r="F34" s="35">
        <f t="shared" si="4"/>
        <v>10.90146750524109</v>
      </c>
    </row>
    <row r="35" spans="1:10">
      <c r="A35" s="34" t="s">
        <v>5730</v>
      </c>
      <c r="B35" s="17">
        <v>10</v>
      </c>
      <c r="C35" s="17">
        <v>28</v>
      </c>
      <c r="D35" s="18">
        <v>2.8</v>
      </c>
      <c r="E35" s="18">
        <f t="shared" si="3"/>
        <v>5.3475935828877006</v>
      </c>
      <c r="F35" s="35">
        <f t="shared" si="4"/>
        <v>5.8700209643605872</v>
      </c>
      <c r="I35" s="30" t="s">
        <v>5728</v>
      </c>
      <c r="J35" s="45">
        <v>51.208791208791212</v>
      </c>
    </row>
    <row r="36" spans="1:10">
      <c r="A36" s="34" t="s">
        <v>5736</v>
      </c>
      <c r="B36" s="17">
        <v>13</v>
      </c>
      <c r="C36" s="17">
        <v>18</v>
      </c>
      <c r="D36" s="18">
        <v>1.3846153846153799</v>
      </c>
      <c r="E36" s="18">
        <f t="shared" si="3"/>
        <v>6.9518716577540109</v>
      </c>
      <c r="F36" s="35">
        <f t="shared" si="4"/>
        <v>3.7735849056603774</v>
      </c>
      <c r="I36" s="34" t="s">
        <v>5871</v>
      </c>
      <c r="J36" s="43">
        <v>26.208791208791208</v>
      </c>
    </row>
    <row r="37" spans="1:10">
      <c r="A37" s="34" t="s">
        <v>5043</v>
      </c>
      <c r="B37" s="17">
        <v>10</v>
      </c>
      <c r="C37" s="17">
        <v>16</v>
      </c>
      <c r="D37" s="18">
        <v>1.6</v>
      </c>
      <c r="E37" s="18">
        <f t="shared" si="3"/>
        <v>5.3475935828877006</v>
      </c>
      <c r="F37" s="35">
        <f t="shared" si="4"/>
        <v>3.3542976939203353</v>
      </c>
      <c r="I37" s="34" t="s">
        <v>5732</v>
      </c>
      <c r="J37" s="43">
        <v>21.813186813186814</v>
      </c>
    </row>
    <row r="38" spans="1:10">
      <c r="A38" s="34" t="s">
        <v>5733</v>
      </c>
      <c r="B38" s="17">
        <v>14</v>
      </c>
      <c r="C38" s="17">
        <v>14</v>
      </c>
      <c r="D38" s="18">
        <v>1</v>
      </c>
      <c r="E38" s="18">
        <f t="shared" si="3"/>
        <v>7.4866310160427805</v>
      </c>
      <c r="F38" s="35">
        <f t="shared" si="4"/>
        <v>2.9350104821802936</v>
      </c>
      <c r="I38" s="34" t="s">
        <v>5870</v>
      </c>
      <c r="J38" s="43">
        <v>0.7142857142857143</v>
      </c>
    </row>
    <row r="39" spans="1:10">
      <c r="A39" s="34" t="s">
        <v>5039</v>
      </c>
      <c r="B39" s="17">
        <v>4</v>
      </c>
      <c r="C39" s="17">
        <v>13</v>
      </c>
      <c r="D39" s="18">
        <v>3.25</v>
      </c>
      <c r="E39" s="18">
        <f t="shared" si="3"/>
        <v>2.1390374331550803</v>
      </c>
      <c r="F39" s="35">
        <f t="shared" si="4"/>
        <v>2.7253668763102725</v>
      </c>
      <c r="I39" s="34" t="s">
        <v>5048</v>
      </c>
      <c r="J39" s="17">
        <v>1</v>
      </c>
    </row>
    <row r="40" spans="1:10" ht="14.4" thickBot="1">
      <c r="A40" s="34" t="s">
        <v>5047</v>
      </c>
      <c r="B40" s="17">
        <v>9</v>
      </c>
      <c r="C40" s="17">
        <v>13</v>
      </c>
      <c r="D40" s="18">
        <v>1.44444444444444</v>
      </c>
      <c r="E40" s="18">
        <f t="shared" si="3"/>
        <v>4.8128342245989302</v>
      </c>
      <c r="F40" s="35">
        <f t="shared" si="4"/>
        <v>2.7253668763102725</v>
      </c>
    </row>
    <row r="41" spans="1:10">
      <c r="A41" s="34" t="s">
        <v>5034</v>
      </c>
      <c r="B41" s="17">
        <v>9</v>
      </c>
      <c r="C41" s="17">
        <v>12</v>
      </c>
      <c r="D41" s="18">
        <v>1.3333333333333299</v>
      </c>
      <c r="E41" s="18">
        <f t="shared" si="3"/>
        <v>4.8128342245989302</v>
      </c>
      <c r="F41" s="35">
        <f t="shared" si="4"/>
        <v>2.5157232704402515</v>
      </c>
      <c r="I41" s="30" t="s">
        <v>5728</v>
      </c>
      <c r="J41" s="44">
        <v>14.155251141552512</v>
      </c>
    </row>
    <row r="42" spans="1:10">
      <c r="A42" s="34" t="s">
        <v>5729</v>
      </c>
      <c r="B42" s="17">
        <v>6</v>
      </c>
      <c r="C42" s="17">
        <v>8</v>
      </c>
      <c r="D42" s="18">
        <v>1.3333333333333299</v>
      </c>
      <c r="E42" s="18">
        <f t="shared" si="3"/>
        <v>3.2085561497326203</v>
      </c>
      <c r="F42" s="35">
        <f t="shared" si="4"/>
        <v>1.6771488469601676</v>
      </c>
      <c r="I42" s="34" t="s">
        <v>5871</v>
      </c>
      <c r="J42" s="19">
        <v>28.462709284627092</v>
      </c>
    </row>
    <row r="43" spans="1:10">
      <c r="A43" s="34" t="s">
        <v>5044</v>
      </c>
      <c r="B43" s="17">
        <v>7</v>
      </c>
      <c r="C43" s="17">
        <v>7</v>
      </c>
      <c r="D43" s="18">
        <v>1</v>
      </c>
      <c r="E43" s="18">
        <f t="shared" si="3"/>
        <v>3.7433155080213902</v>
      </c>
      <c r="F43" s="35">
        <f t="shared" si="4"/>
        <v>1.4675052410901468</v>
      </c>
      <c r="I43" s="34" t="s">
        <v>5732</v>
      </c>
      <c r="J43" s="19">
        <v>55.403348554033485</v>
      </c>
    </row>
    <row r="44" spans="1:10">
      <c r="A44" s="34" t="s">
        <v>5735</v>
      </c>
      <c r="B44" s="17">
        <v>2</v>
      </c>
      <c r="C44" s="17">
        <v>3</v>
      </c>
      <c r="D44" s="18">
        <v>1.5</v>
      </c>
      <c r="E44" s="18">
        <f t="shared" si="3"/>
        <v>1.0695187165775402</v>
      </c>
      <c r="F44" s="35">
        <f t="shared" si="4"/>
        <v>0.62893081761006286</v>
      </c>
      <c r="I44" s="34" t="s">
        <v>5870</v>
      </c>
      <c r="J44" s="19">
        <v>1.8264840182648401</v>
      </c>
    </row>
    <row r="45" spans="1:10">
      <c r="A45" s="34" t="s">
        <v>5040</v>
      </c>
      <c r="B45" s="17">
        <v>2</v>
      </c>
      <c r="C45" s="17">
        <v>2</v>
      </c>
      <c r="D45" s="18">
        <v>1</v>
      </c>
      <c r="E45" s="18">
        <f t="shared" si="3"/>
        <v>1.0695187165775402</v>
      </c>
      <c r="F45" s="35">
        <f t="shared" si="4"/>
        <v>0.41928721174004191</v>
      </c>
      <c r="I45" s="34" t="s">
        <v>5048</v>
      </c>
      <c r="J45" s="19">
        <v>0.15220700152207001</v>
      </c>
    </row>
    <row r="46" spans="1:10">
      <c r="A46" s="34" t="s">
        <v>5041</v>
      </c>
      <c r="B46" s="17">
        <v>1</v>
      </c>
      <c r="C46" s="17">
        <v>1</v>
      </c>
      <c r="D46" s="18">
        <v>1</v>
      </c>
      <c r="E46" s="18">
        <f t="shared" si="3"/>
        <v>0.53475935828877008</v>
      </c>
      <c r="F46" s="35">
        <f t="shared" si="4"/>
        <v>0.20964360587002095</v>
      </c>
    </row>
    <row r="47" spans="1:10">
      <c r="A47" s="34" t="s">
        <v>5731</v>
      </c>
      <c r="B47" s="17">
        <v>1</v>
      </c>
      <c r="C47" s="17">
        <v>1</v>
      </c>
      <c r="D47" s="18">
        <v>1</v>
      </c>
      <c r="E47" s="18">
        <f t="shared" si="3"/>
        <v>0.53475935828877008</v>
      </c>
      <c r="F47" s="35">
        <f t="shared" si="4"/>
        <v>0.20964360587002095</v>
      </c>
    </row>
    <row r="48" spans="1:10">
      <c r="A48" s="34" t="s">
        <v>5037</v>
      </c>
      <c r="B48" s="17">
        <v>1</v>
      </c>
      <c r="C48" s="17">
        <v>1</v>
      </c>
      <c r="D48" s="18">
        <v>1</v>
      </c>
      <c r="E48" s="18">
        <f t="shared" si="3"/>
        <v>0.53475935828877008</v>
      </c>
      <c r="F48" s="35">
        <f t="shared" si="4"/>
        <v>0.20964360587002095</v>
      </c>
    </row>
    <row r="49" spans="1:6">
      <c r="A49" s="34" t="s">
        <v>5036</v>
      </c>
      <c r="B49" s="17">
        <v>1</v>
      </c>
      <c r="C49" s="17">
        <v>1</v>
      </c>
      <c r="D49" s="18">
        <v>1</v>
      </c>
      <c r="E49" s="18">
        <f t="shared" si="3"/>
        <v>0.53475935828877008</v>
      </c>
      <c r="F49" s="35">
        <f t="shared" si="4"/>
        <v>0.20964360587002095</v>
      </c>
    </row>
    <row r="50" spans="1:6">
      <c r="A50" s="34"/>
      <c r="B50" s="17"/>
      <c r="C50" s="17"/>
      <c r="D50" s="17"/>
      <c r="E50" s="17"/>
      <c r="F50" s="36"/>
    </row>
    <row r="51" spans="1:6" ht="14.4" thickBot="1">
      <c r="A51" s="37" t="s">
        <v>5737</v>
      </c>
      <c r="B51" s="38">
        <f>SUM(B33:B49)</f>
        <v>187</v>
      </c>
      <c r="C51" s="38">
        <f>SUM(C33:C49)</f>
        <v>477</v>
      </c>
      <c r="D51" s="38"/>
      <c r="E51" s="38"/>
      <c r="F51" s="39"/>
    </row>
    <row r="54" spans="1:6" ht="14.4" thickBot="1"/>
    <row r="55" spans="1:6" ht="42" thickBot="1">
      <c r="A55" s="40" t="s">
        <v>4814</v>
      </c>
      <c r="B55" s="46" t="s">
        <v>5725</v>
      </c>
      <c r="C55" s="46" t="s">
        <v>5726</v>
      </c>
      <c r="D55" s="46" t="s">
        <v>5727</v>
      </c>
      <c r="E55" s="46" t="s">
        <v>5752</v>
      </c>
      <c r="F55" s="47" t="s">
        <v>5753</v>
      </c>
    </row>
    <row r="56" spans="1:6">
      <c r="A56" s="30" t="s">
        <v>5728</v>
      </c>
      <c r="B56" s="31">
        <v>93</v>
      </c>
      <c r="C56" s="31">
        <v>932</v>
      </c>
      <c r="D56" s="44">
        <v>10.021505376344086</v>
      </c>
      <c r="E56" s="44">
        <v>14.155251141552512</v>
      </c>
      <c r="F56" s="45">
        <v>51.208791208791212</v>
      </c>
    </row>
    <row r="57" spans="1:6">
      <c r="A57" s="34" t="s">
        <v>5741</v>
      </c>
      <c r="B57" s="17">
        <v>187</v>
      </c>
      <c r="C57" s="17">
        <v>477</v>
      </c>
      <c r="D57" s="19">
        <v>2.5508021390374331</v>
      </c>
      <c r="E57" s="19">
        <v>28.462709284627092</v>
      </c>
      <c r="F57" s="43">
        <v>26.208791208791208</v>
      </c>
    </row>
    <row r="58" spans="1:6">
      <c r="A58" s="34" t="s">
        <v>5732</v>
      </c>
      <c r="B58" s="17">
        <v>364</v>
      </c>
      <c r="C58" s="17">
        <v>397</v>
      </c>
      <c r="D58" s="19">
        <v>1.0906593406593399</v>
      </c>
      <c r="E58" s="19">
        <v>55.403348554033485</v>
      </c>
      <c r="F58" s="43">
        <v>21.813186813186814</v>
      </c>
    </row>
    <row r="59" spans="1:6">
      <c r="A59" s="34" t="s">
        <v>5870</v>
      </c>
      <c r="B59" s="17">
        <v>12</v>
      </c>
      <c r="C59" s="17">
        <v>13</v>
      </c>
      <c r="D59" s="19">
        <v>1.0833333333333299</v>
      </c>
      <c r="E59" s="19">
        <v>1.8264840182648401</v>
      </c>
      <c r="F59" s="43">
        <v>0.7142857142857143</v>
      </c>
    </row>
    <row r="60" spans="1:6">
      <c r="A60" s="34" t="s">
        <v>5048</v>
      </c>
      <c r="B60" s="17">
        <v>1</v>
      </c>
      <c r="C60" s="17">
        <v>1</v>
      </c>
      <c r="D60" s="17">
        <v>1</v>
      </c>
      <c r="E60" s="19">
        <f>100/B62</f>
        <v>0.15220700152207001</v>
      </c>
      <c r="F60" s="43">
        <f>100/C62</f>
        <v>5.4945054945054944E-2</v>
      </c>
    </row>
    <row r="61" spans="1:6">
      <c r="A61" s="34"/>
      <c r="B61" s="17"/>
      <c r="C61" s="17"/>
      <c r="D61" s="17"/>
      <c r="E61" s="17"/>
      <c r="F61" s="36"/>
    </row>
    <row r="62" spans="1:6" ht="14.4" thickBot="1">
      <c r="A62" s="37" t="s">
        <v>5737</v>
      </c>
      <c r="B62" s="38">
        <v>657</v>
      </c>
      <c r="C62" s="38">
        <v>1820</v>
      </c>
      <c r="D62" s="38"/>
      <c r="E62" s="38"/>
      <c r="F62" s="39"/>
    </row>
    <row r="68" spans="1:14">
      <c r="A68" s="27" t="s">
        <v>5866</v>
      </c>
    </row>
    <row r="71" spans="1:14" ht="27.6">
      <c r="A71" s="24" t="s">
        <v>938</v>
      </c>
      <c r="B71" s="24"/>
      <c r="C71" s="24"/>
      <c r="D71" s="24"/>
      <c r="E71" s="24"/>
      <c r="F71" s="24" t="s">
        <v>1419</v>
      </c>
      <c r="G71" s="24"/>
      <c r="H71" s="24"/>
      <c r="I71" s="24"/>
      <c r="J71" s="24"/>
      <c r="K71" s="24" t="s">
        <v>1067</v>
      </c>
      <c r="L71" s="24"/>
      <c r="M71" s="24"/>
      <c r="N71" s="24"/>
    </row>
    <row r="72" spans="1:14">
      <c r="B72" s="15"/>
      <c r="C72" s="15"/>
      <c r="D72" s="15"/>
      <c r="E72" s="15"/>
      <c r="F72" s="15"/>
      <c r="G72" s="15"/>
    </row>
    <row r="73" spans="1:14">
      <c r="A73" t="s">
        <v>4814</v>
      </c>
      <c r="B73" s="15" t="s">
        <v>5756</v>
      </c>
      <c r="C73" s="15" t="s">
        <v>5757</v>
      </c>
      <c r="D73" s="15" t="s">
        <v>5758</v>
      </c>
      <c r="E73" s="28"/>
      <c r="F73" s="28" t="s">
        <v>4814</v>
      </c>
      <c r="G73" s="28" t="s">
        <v>5756</v>
      </c>
      <c r="H73" s="28" t="s">
        <v>5757</v>
      </c>
      <c r="I73" s="28"/>
      <c r="K73" t="s">
        <v>4814</v>
      </c>
      <c r="L73" t="s">
        <v>5756</v>
      </c>
      <c r="M73" t="s">
        <v>5757</v>
      </c>
    </row>
    <row r="74" spans="1:14">
      <c r="A74" t="s">
        <v>5759</v>
      </c>
      <c r="B74" s="15">
        <v>6</v>
      </c>
      <c r="C74" s="15">
        <v>6</v>
      </c>
      <c r="D74" s="25">
        <f>C74*100/1168</f>
        <v>0.51369863013698636</v>
      </c>
      <c r="E74" s="28"/>
      <c r="F74" s="28" t="s">
        <v>5742</v>
      </c>
      <c r="G74" s="28">
        <v>34</v>
      </c>
      <c r="H74" s="28">
        <v>239</v>
      </c>
      <c r="I74" s="29">
        <f>H74*100/932</f>
        <v>25.643776824034333</v>
      </c>
      <c r="J74">
        <f>SUM(H74:H75)</f>
        <v>848</v>
      </c>
      <c r="K74" t="s">
        <v>5760</v>
      </c>
    </row>
    <row r="75" spans="1:14">
      <c r="A75" t="s">
        <v>5761</v>
      </c>
      <c r="B75" s="15">
        <v>1</v>
      </c>
      <c r="C75" s="15">
        <v>1</v>
      </c>
      <c r="D75" s="25">
        <f t="shared" ref="D75:D84" si="5">C75*100/1168</f>
        <v>8.5616438356164379E-2</v>
      </c>
      <c r="E75" s="28"/>
      <c r="F75" s="28" t="s">
        <v>5746</v>
      </c>
      <c r="G75" s="28">
        <v>40</v>
      </c>
      <c r="H75" s="28">
        <v>609</v>
      </c>
      <c r="I75" s="29">
        <f t="shared" ref="I75:I82" si="6">H75*100/932</f>
        <v>65.343347639484975</v>
      </c>
      <c r="J75" s="26">
        <f>SUM(I74:I75)</f>
        <v>90.987124463519308</v>
      </c>
      <c r="K75" t="s">
        <v>5762</v>
      </c>
      <c r="L75">
        <v>3</v>
      </c>
      <c r="M75">
        <v>6</v>
      </c>
      <c r="N75" s="26">
        <f>M75*100/645</f>
        <v>0.93023255813953487</v>
      </c>
    </row>
    <row r="76" spans="1:14">
      <c r="A76" t="s">
        <v>5763</v>
      </c>
      <c r="B76" s="15">
        <v>1</v>
      </c>
      <c r="C76" s="15">
        <v>1</v>
      </c>
      <c r="D76" s="25">
        <f t="shared" si="5"/>
        <v>8.5616438356164379E-2</v>
      </c>
      <c r="E76" s="28"/>
      <c r="F76" s="28" t="s">
        <v>5743</v>
      </c>
      <c r="G76" s="28">
        <v>10</v>
      </c>
      <c r="H76" s="28">
        <v>73</v>
      </c>
      <c r="I76" s="29">
        <f t="shared" si="6"/>
        <v>7.8326180257510734</v>
      </c>
      <c r="K76" t="s">
        <v>5764</v>
      </c>
      <c r="L76">
        <v>2</v>
      </c>
      <c r="M76">
        <v>11</v>
      </c>
      <c r="N76" s="26">
        <f t="shared" ref="N76:N93" si="7">M76*100/645</f>
        <v>1.7054263565891472</v>
      </c>
    </row>
    <row r="77" spans="1:14">
      <c r="A77" t="s">
        <v>5742</v>
      </c>
      <c r="B77" s="15">
        <v>341</v>
      </c>
      <c r="C77" s="15">
        <v>1096</v>
      </c>
      <c r="D77" s="25">
        <f t="shared" si="5"/>
        <v>93.835616438356169</v>
      </c>
      <c r="E77" s="28"/>
      <c r="F77" s="28" t="s">
        <v>5745</v>
      </c>
      <c r="G77" s="28">
        <v>2</v>
      </c>
      <c r="H77" s="28">
        <v>2</v>
      </c>
      <c r="I77" s="29">
        <f t="shared" si="6"/>
        <v>0.21459227467811159</v>
      </c>
      <c r="K77" t="s">
        <v>5765</v>
      </c>
      <c r="L77">
        <v>1</v>
      </c>
      <c r="M77">
        <v>1</v>
      </c>
      <c r="N77" s="26">
        <f t="shared" si="7"/>
        <v>0.15503875968992248</v>
      </c>
    </row>
    <row r="78" spans="1:14">
      <c r="A78" t="s">
        <v>5766</v>
      </c>
      <c r="B78" s="15">
        <v>9</v>
      </c>
      <c r="C78" s="15">
        <v>26</v>
      </c>
      <c r="D78" s="25">
        <f t="shared" si="5"/>
        <v>2.2260273972602738</v>
      </c>
      <c r="E78" s="28"/>
      <c r="F78" s="28" t="s">
        <v>5748</v>
      </c>
      <c r="G78" s="28">
        <v>2</v>
      </c>
      <c r="H78" s="28">
        <v>2</v>
      </c>
      <c r="I78" s="29">
        <f t="shared" si="6"/>
        <v>0.21459227467811159</v>
      </c>
      <c r="K78" t="s">
        <v>5767</v>
      </c>
      <c r="L78">
        <v>1</v>
      </c>
      <c r="M78">
        <v>2</v>
      </c>
      <c r="N78" s="26">
        <f t="shared" si="7"/>
        <v>0.31007751937984496</v>
      </c>
    </row>
    <row r="79" spans="1:14">
      <c r="A79" t="s">
        <v>5768</v>
      </c>
      <c r="B79" s="15">
        <v>3</v>
      </c>
      <c r="C79" s="15">
        <v>3</v>
      </c>
      <c r="D79" s="25">
        <f t="shared" si="5"/>
        <v>0.25684931506849318</v>
      </c>
      <c r="E79" s="28"/>
      <c r="F79" s="28" t="s">
        <v>5749</v>
      </c>
      <c r="G79" s="28">
        <v>1</v>
      </c>
      <c r="H79" s="28">
        <v>1</v>
      </c>
      <c r="I79" s="29">
        <f t="shared" si="6"/>
        <v>0.1072961373390558</v>
      </c>
      <c r="K79" t="s">
        <v>5742</v>
      </c>
      <c r="L79">
        <v>69</v>
      </c>
      <c r="M79">
        <v>355</v>
      </c>
      <c r="N79" s="26">
        <f t="shared" si="7"/>
        <v>55.038759689922479</v>
      </c>
    </row>
    <row r="80" spans="1:14">
      <c r="A80" t="s">
        <v>5743</v>
      </c>
      <c r="B80" s="15">
        <v>1</v>
      </c>
      <c r="C80" s="15">
        <v>1</v>
      </c>
      <c r="D80" s="25">
        <f t="shared" si="5"/>
        <v>8.5616438356164379E-2</v>
      </c>
      <c r="E80" s="28"/>
      <c r="F80" s="28" t="s">
        <v>5744</v>
      </c>
      <c r="G80" s="28">
        <v>1</v>
      </c>
      <c r="H80" s="28">
        <v>1</v>
      </c>
      <c r="I80" s="29">
        <f t="shared" si="6"/>
        <v>0.1072961373390558</v>
      </c>
      <c r="K80" t="s">
        <v>5769</v>
      </c>
      <c r="L80">
        <v>3</v>
      </c>
      <c r="M80">
        <v>17</v>
      </c>
      <c r="N80" s="26">
        <f t="shared" si="7"/>
        <v>2.635658914728682</v>
      </c>
    </row>
    <row r="81" spans="1:14">
      <c r="A81" t="s">
        <v>5760</v>
      </c>
      <c r="B81" s="15"/>
      <c r="C81" s="15"/>
      <c r="D81" s="25"/>
      <c r="E81" s="28"/>
      <c r="F81" s="28" t="s">
        <v>5750</v>
      </c>
      <c r="G81" s="28">
        <v>2</v>
      </c>
      <c r="H81" s="28">
        <v>4</v>
      </c>
      <c r="I81" s="29">
        <f t="shared" si="6"/>
        <v>0.42918454935622319</v>
      </c>
      <c r="K81" t="s">
        <v>5770</v>
      </c>
      <c r="L81">
        <v>2</v>
      </c>
      <c r="M81">
        <v>13</v>
      </c>
      <c r="N81" s="26">
        <f t="shared" si="7"/>
        <v>2.0155038759689923</v>
      </c>
    </row>
    <row r="82" spans="1:14">
      <c r="A82" t="s">
        <v>5764</v>
      </c>
      <c r="B82" s="15">
        <v>2</v>
      </c>
      <c r="C82" s="15">
        <v>4</v>
      </c>
      <c r="D82" s="25">
        <f t="shared" si="5"/>
        <v>0.34246575342465752</v>
      </c>
      <c r="E82" s="28"/>
      <c r="F82" s="28" t="s">
        <v>5718</v>
      </c>
      <c r="G82" s="28">
        <v>1</v>
      </c>
      <c r="H82" s="28">
        <v>1</v>
      </c>
      <c r="I82" s="29">
        <f t="shared" si="6"/>
        <v>0.1072961373390558</v>
      </c>
      <c r="K82" t="s">
        <v>5771</v>
      </c>
      <c r="L82">
        <v>2</v>
      </c>
      <c r="M82">
        <v>9</v>
      </c>
      <c r="N82" s="26">
        <f t="shared" si="7"/>
        <v>1.3953488372093024</v>
      </c>
    </row>
    <row r="83" spans="1:14">
      <c r="A83" t="s">
        <v>5767</v>
      </c>
      <c r="B83" s="15">
        <v>5</v>
      </c>
      <c r="C83" s="15">
        <v>29</v>
      </c>
      <c r="D83" s="25">
        <f t="shared" si="5"/>
        <v>2.4828767123287672</v>
      </c>
      <c r="E83" s="28"/>
      <c r="F83" s="28"/>
      <c r="G83" s="28"/>
      <c r="H83" s="28"/>
      <c r="I83" s="28"/>
      <c r="K83" t="s">
        <v>5772</v>
      </c>
      <c r="L83">
        <v>1</v>
      </c>
      <c r="M83">
        <v>4</v>
      </c>
      <c r="N83" s="26">
        <f t="shared" si="7"/>
        <v>0.62015503875968991</v>
      </c>
    </row>
    <row r="84" spans="1:14">
      <c r="A84" t="s">
        <v>5762</v>
      </c>
      <c r="B84" s="15">
        <v>1</v>
      </c>
      <c r="C84" s="15">
        <v>1</v>
      </c>
      <c r="D84" s="25">
        <f t="shared" si="5"/>
        <v>8.5616438356164379E-2</v>
      </c>
      <c r="E84" s="28"/>
      <c r="F84" s="28" t="s">
        <v>5737</v>
      </c>
      <c r="G84" s="28">
        <v>93</v>
      </c>
      <c r="H84" s="28">
        <v>932</v>
      </c>
      <c r="I84" s="28"/>
      <c r="K84" t="s">
        <v>5773</v>
      </c>
      <c r="L84">
        <v>1</v>
      </c>
      <c r="M84">
        <v>6</v>
      </c>
      <c r="N84" s="26">
        <f t="shared" si="7"/>
        <v>0.93023255813953487</v>
      </c>
    </row>
    <row r="85" spans="1:14">
      <c r="B85" s="15"/>
      <c r="C85" s="15"/>
      <c r="D85" s="15"/>
      <c r="E85" s="28"/>
      <c r="F85" s="28"/>
      <c r="G85" s="28"/>
      <c r="H85" s="28"/>
      <c r="I85" s="28"/>
      <c r="K85" t="s">
        <v>5774</v>
      </c>
      <c r="L85">
        <v>1</v>
      </c>
      <c r="M85">
        <v>1</v>
      </c>
      <c r="N85" s="26">
        <f t="shared" si="7"/>
        <v>0.15503875968992248</v>
      </c>
    </row>
    <row r="86" spans="1:14">
      <c r="A86" t="s">
        <v>5737</v>
      </c>
      <c r="B86" s="15">
        <v>370</v>
      </c>
      <c r="C86" s="15">
        <v>1168</v>
      </c>
      <c r="D86" s="25">
        <f>SUM(D74:D84)</f>
        <v>100</v>
      </c>
      <c r="E86" s="28"/>
      <c r="F86" s="28"/>
      <c r="G86" s="28"/>
      <c r="H86" s="28"/>
      <c r="I86" s="29">
        <f>SUM(I74:I84)</f>
        <v>100.00000000000001</v>
      </c>
      <c r="K86" t="s">
        <v>5775</v>
      </c>
      <c r="L86">
        <v>5</v>
      </c>
      <c r="M86">
        <v>31</v>
      </c>
      <c r="N86" s="26">
        <f t="shared" si="7"/>
        <v>4.8062015503875966</v>
      </c>
    </row>
    <row r="87" spans="1:14">
      <c r="B87" s="15"/>
      <c r="C87" s="15"/>
      <c r="D87" s="15"/>
      <c r="E87" s="28"/>
      <c r="F87" s="28"/>
      <c r="G87" s="28"/>
      <c r="H87" s="28"/>
      <c r="I87" s="28"/>
      <c r="K87" t="s">
        <v>5776</v>
      </c>
      <c r="N87" s="26">
        <f t="shared" si="7"/>
        <v>0</v>
      </c>
    </row>
    <row r="88" spans="1:14">
      <c r="B88" s="15"/>
      <c r="C88" s="15"/>
      <c r="D88" s="15"/>
      <c r="E88" s="28"/>
      <c r="F88" s="28"/>
      <c r="G88" s="28"/>
      <c r="H88" s="28"/>
      <c r="I88" s="28"/>
      <c r="K88" t="s">
        <v>5777</v>
      </c>
      <c r="L88">
        <v>6</v>
      </c>
      <c r="M88">
        <v>74</v>
      </c>
      <c r="N88" s="26">
        <f t="shared" si="7"/>
        <v>11.472868217054264</v>
      </c>
    </row>
    <row r="89" spans="1:14">
      <c r="B89" s="15"/>
      <c r="C89" s="15"/>
      <c r="D89" s="15"/>
      <c r="E89" s="28"/>
      <c r="F89" s="28"/>
      <c r="G89" s="28"/>
      <c r="H89" s="28"/>
      <c r="I89" s="28"/>
      <c r="K89" t="s">
        <v>5778</v>
      </c>
      <c r="L89">
        <v>7</v>
      </c>
      <c r="M89">
        <v>64</v>
      </c>
      <c r="N89" s="26">
        <f t="shared" si="7"/>
        <v>9.9224806201550386</v>
      </c>
    </row>
    <row r="90" spans="1:14">
      <c r="B90" s="15"/>
      <c r="C90" s="15"/>
      <c r="D90" s="15"/>
      <c r="E90" s="28"/>
      <c r="F90" s="28"/>
      <c r="G90" s="28"/>
      <c r="H90" s="28"/>
      <c r="I90" s="28"/>
      <c r="K90" t="s">
        <v>5779</v>
      </c>
      <c r="L90">
        <v>7</v>
      </c>
      <c r="M90">
        <v>32</v>
      </c>
      <c r="N90" s="26">
        <f t="shared" si="7"/>
        <v>4.9612403100775193</v>
      </c>
    </row>
    <row r="91" spans="1:14">
      <c r="B91" s="15"/>
      <c r="C91" s="15"/>
      <c r="D91" s="15"/>
      <c r="E91" s="28"/>
      <c r="F91" s="28"/>
      <c r="G91" s="28"/>
      <c r="H91" s="28"/>
      <c r="I91" s="28"/>
      <c r="K91" t="s">
        <v>5780</v>
      </c>
      <c r="L91">
        <v>1</v>
      </c>
      <c r="M91">
        <v>8</v>
      </c>
      <c r="N91" s="26">
        <f t="shared" si="7"/>
        <v>1.2403100775193798</v>
      </c>
    </row>
    <row r="92" spans="1:14">
      <c r="B92" s="15"/>
      <c r="C92" s="15"/>
      <c r="D92" s="15"/>
      <c r="E92" s="28"/>
      <c r="F92" s="28"/>
      <c r="G92" s="28"/>
      <c r="H92" s="28"/>
      <c r="I92" s="28"/>
      <c r="K92" t="s">
        <v>5781</v>
      </c>
      <c r="L92">
        <v>1</v>
      </c>
      <c r="M92">
        <v>2</v>
      </c>
      <c r="N92" s="26">
        <f t="shared" si="7"/>
        <v>0.31007751937984496</v>
      </c>
    </row>
    <row r="93" spans="1:14">
      <c r="B93" s="15"/>
      <c r="C93" s="15"/>
      <c r="D93" s="15"/>
      <c r="E93" s="28"/>
      <c r="F93" s="28"/>
      <c r="G93" s="28"/>
      <c r="H93" s="28"/>
      <c r="I93" s="28"/>
      <c r="K93" t="s">
        <v>5782</v>
      </c>
      <c r="L93">
        <v>5</v>
      </c>
      <c r="M93">
        <v>9</v>
      </c>
      <c r="N93" s="26">
        <f t="shared" si="7"/>
        <v>1.3953488372093024</v>
      </c>
    </row>
    <row r="94" spans="1:14">
      <c r="B94" s="15"/>
      <c r="C94" s="15"/>
      <c r="D94" s="15"/>
      <c r="E94" s="28"/>
      <c r="F94" s="28"/>
      <c r="G94" s="28"/>
      <c r="H94" s="28"/>
      <c r="I94" s="28"/>
    </row>
    <row r="95" spans="1:14">
      <c r="B95" s="15"/>
      <c r="C95" s="15"/>
      <c r="D95" s="15"/>
      <c r="E95" s="28"/>
      <c r="F95" s="28"/>
      <c r="G95" s="28"/>
      <c r="H95" s="28"/>
      <c r="I95" s="28"/>
      <c r="K95" t="s">
        <v>5737</v>
      </c>
      <c r="L95">
        <v>118</v>
      </c>
      <c r="M95">
        <v>645</v>
      </c>
    </row>
    <row r="96" spans="1:14">
      <c r="B96" s="15"/>
      <c r="C96" s="15"/>
      <c r="D96" s="15"/>
      <c r="E96" s="28"/>
      <c r="F96" s="28"/>
      <c r="G96" s="28"/>
      <c r="H96" s="28"/>
      <c r="I96" s="28"/>
    </row>
    <row r="97" spans="1:14">
      <c r="B97" s="15"/>
      <c r="C97" s="15"/>
      <c r="D97" s="15"/>
      <c r="E97" s="28"/>
      <c r="F97" s="28"/>
      <c r="G97" s="28"/>
      <c r="H97" s="28"/>
      <c r="I97" s="28"/>
    </row>
    <row r="98" spans="1:14">
      <c r="B98" s="15"/>
      <c r="C98" s="15"/>
      <c r="D98" s="15"/>
      <c r="E98" s="28"/>
      <c r="F98" s="28"/>
      <c r="G98" s="28"/>
      <c r="H98" s="28"/>
      <c r="I98" s="28"/>
      <c r="K98" t="s">
        <v>5783</v>
      </c>
    </row>
    <row r="99" spans="1:14">
      <c r="A99" t="s">
        <v>958</v>
      </c>
      <c r="B99" s="15"/>
      <c r="C99" s="15"/>
      <c r="D99" s="15"/>
      <c r="E99" s="28"/>
      <c r="F99" s="28" t="s">
        <v>5784</v>
      </c>
      <c r="G99" s="28"/>
      <c r="H99" s="28"/>
      <c r="I99" s="28"/>
    </row>
    <row r="100" spans="1:14">
      <c r="B100" s="15"/>
      <c r="C100" s="15"/>
      <c r="D100" s="15"/>
      <c r="E100" s="28"/>
      <c r="F100" s="28"/>
      <c r="G100" s="28"/>
      <c r="H100" s="28"/>
      <c r="I100" s="28"/>
      <c r="K100" t="s">
        <v>4814</v>
      </c>
      <c r="L100" t="s">
        <v>5756</v>
      </c>
      <c r="M100" t="s">
        <v>5757</v>
      </c>
    </row>
    <row r="101" spans="1:14">
      <c r="A101" t="s">
        <v>4814</v>
      </c>
      <c r="B101" s="15" t="s">
        <v>5756</v>
      </c>
      <c r="C101" s="15" t="s">
        <v>5757</v>
      </c>
      <c r="D101" s="15"/>
      <c r="E101" s="28"/>
      <c r="F101" s="28" t="s">
        <v>4814</v>
      </c>
      <c r="G101" s="28" t="s">
        <v>5756</v>
      </c>
      <c r="H101" s="28" t="s">
        <v>5757</v>
      </c>
      <c r="I101" s="28"/>
      <c r="K101" t="s">
        <v>5785</v>
      </c>
      <c r="L101">
        <v>162</v>
      </c>
      <c r="M101">
        <v>900</v>
      </c>
      <c r="N101">
        <f>100*M101/1182</f>
        <v>76.142131979695435</v>
      </c>
    </row>
    <row r="102" spans="1:14">
      <c r="A102" t="s">
        <v>5742</v>
      </c>
      <c r="B102" s="15">
        <v>75</v>
      </c>
      <c r="C102" s="15">
        <v>708</v>
      </c>
      <c r="D102" s="15">
        <f>C102*100/782</f>
        <v>90.537084398976987</v>
      </c>
      <c r="E102" s="28"/>
      <c r="F102" s="28" t="s">
        <v>5742</v>
      </c>
      <c r="G102" s="28">
        <v>130</v>
      </c>
      <c r="H102" s="28">
        <v>1290</v>
      </c>
      <c r="I102" s="29">
        <f>H102*100/1380</f>
        <v>93.478260869565219</v>
      </c>
      <c r="K102" t="s">
        <v>5786</v>
      </c>
      <c r="L102">
        <v>11</v>
      </c>
      <c r="M102">
        <v>16</v>
      </c>
      <c r="N102">
        <f t="shared" ref="N102:N118" si="8">100*M102/1182</f>
        <v>1.3536379018612521</v>
      </c>
    </row>
    <row r="103" spans="1:14">
      <c r="A103" t="s">
        <v>5787</v>
      </c>
      <c r="B103" s="15">
        <v>1</v>
      </c>
      <c r="C103" s="15">
        <v>1</v>
      </c>
      <c r="D103" s="15">
        <f t="shared" ref="D103:D111" si="9">C103*100/782</f>
        <v>0.12787723785166241</v>
      </c>
      <c r="E103" s="28"/>
      <c r="F103" s="28" t="s">
        <v>5788</v>
      </c>
      <c r="G103" s="28">
        <v>4</v>
      </c>
      <c r="H103" s="28">
        <v>9</v>
      </c>
      <c r="I103" s="29">
        <f t="shared" ref="I103:I107" si="10">H103*100/1380</f>
        <v>0.65217391304347827</v>
      </c>
      <c r="K103" t="s">
        <v>5789</v>
      </c>
      <c r="L103">
        <v>5</v>
      </c>
      <c r="M103">
        <v>24</v>
      </c>
      <c r="N103">
        <f t="shared" si="8"/>
        <v>2.030456852791878</v>
      </c>
    </row>
    <row r="104" spans="1:14">
      <c r="A104" t="s">
        <v>5790</v>
      </c>
      <c r="B104" s="15">
        <v>12</v>
      </c>
      <c r="C104" s="15">
        <v>45</v>
      </c>
      <c r="D104" s="15">
        <f t="shared" si="9"/>
        <v>5.7544757033248084</v>
      </c>
      <c r="E104" s="28"/>
      <c r="F104" s="28" t="s">
        <v>5791</v>
      </c>
      <c r="G104" s="28">
        <v>14</v>
      </c>
      <c r="H104" s="28">
        <v>67</v>
      </c>
      <c r="I104" s="29">
        <f t="shared" si="10"/>
        <v>4.8550724637681162</v>
      </c>
      <c r="K104" t="s">
        <v>5792</v>
      </c>
      <c r="L104">
        <v>8</v>
      </c>
      <c r="M104">
        <v>56</v>
      </c>
      <c r="N104">
        <f t="shared" si="8"/>
        <v>4.7377326565143827</v>
      </c>
    </row>
    <row r="105" spans="1:14">
      <c r="A105" t="s">
        <v>5793</v>
      </c>
      <c r="B105" s="15">
        <v>3</v>
      </c>
      <c r="C105" s="15">
        <v>3</v>
      </c>
      <c r="D105" s="15">
        <f t="shared" si="9"/>
        <v>0.38363171355498721</v>
      </c>
      <c r="E105" s="28"/>
      <c r="F105" s="28" t="s">
        <v>5794</v>
      </c>
      <c r="G105" s="28">
        <v>2</v>
      </c>
      <c r="H105" s="28">
        <v>2</v>
      </c>
      <c r="I105" s="29">
        <f t="shared" si="10"/>
        <v>0.14492753623188406</v>
      </c>
      <c r="K105" t="s">
        <v>5795</v>
      </c>
      <c r="L105">
        <v>3</v>
      </c>
      <c r="M105">
        <v>3</v>
      </c>
      <c r="N105">
        <f t="shared" si="8"/>
        <v>0.25380710659898476</v>
      </c>
    </row>
    <row r="106" spans="1:14">
      <c r="A106" t="s">
        <v>5796</v>
      </c>
      <c r="B106" s="15">
        <v>2</v>
      </c>
      <c r="C106" s="15">
        <v>2</v>
      </c>
      <c r="D106" s="15">
        <f t="shared" si="9"/>
        <v>0.25575447570332482</v>
      </c>
      <c r="E106" s="28"/>
      <c r="F106" s="28" t="s">
        <v>5797</v>
      </c>
      <c r="G106" s="28">
        <v>1</v>
      </c>
      <c r="H106" s="28">
        <v>1</v>
      </c>
      <c r="I106" s="29">
        <f t="shared" si="10"/>
        <v>7.2463768115942032E-2</v>
      </c>
      <c r="K106" t="s">
        <v>5798</v>
      </c>
      <c r="L106">
        <v>3</v>
      </c>
      <c r="M106">
        <v>7</v>
      </c>
      <c r="N106">
        <f t="shared" si="8"/>
        <v>0.59221658206429784</v>
      </c>
    </row>
    <row r="107" spans="1:14">
      <c r="A107" t="s">
        <v>5799</v>
      </c>
      <c r="B107" s="15">
        <v>1</v>
      </c>
      <c r="C107" s="15">
        <v>1</v>
      </c>
      <c r="D107" s="15">
        <f t="shared" si="9"/>
        <v>0.12787723785166241</v>
      </c>
      <c r="E107" s="28"/>
      <c r="F107" s="28" t="s">
        <v>5800</v>
      </c>
      <c r="G107" s="28">
        <v>11</v>
      </c>
      <c r="H107" s="28">
        <v>11</v>
      </c>
      <c r="I107" s="29">
        <f t="shared" si="10"/>
        <v>0.79710144927536231</v>
      </c>
      <c r="K107" t="s">
        <v>5801</v>
      </c>
      <c r="L107">
        <v>1</v>
      </c>
      <c r="M107">
        <v>3</v>
      </c>
      <c r="N107">
        <f t="shared" si="8"/>
        <v>0.25380710659898476</v>
      </c>
    </row>
    <row r="108" spans="1:14">
      <c r="A108" t="s">
        <v>5802</v>
      </c>
      <c r="B108" s="15">
        <v>2</v>
      </c>
      <c r="C108" s="15">
        <v>3</v>
      </c>
      <c r="D108" s="15">
        <f t="shared" si="9"/>
        <v>0.38363171355498721</v>
      </c>
      <c r="E108" s="28"/>
      <c r="F108" s="28"/>
      <c r="G108" s="28"/>
      <c r="H108" s="28"/>
      <c r="I108" s="28"/>
      <c r="K108" t="s">
        <v>5803</v>
      </c>
      <c r="L108">
        <v>5</v>
      </c>
      <c r="M108">
        <v>11</v>
      </c>
      <c r="N108">
        <f t="shared" si="8"/>
        <v>0.93062605752961081</v>
      </c>
    </row>
    <row r="109" spans="1:14">
      <c r="A109" t="s">
        <v>5804</v>
      </c>
      <c r="B109" s="15">
        <v>2</v>
      </c>
      <c r="C109" s="15">
        <v>5</v>
      </c>
      <c r="D109" s="15">
        <f t="shared" si="9"/>
        <v>0.63938618925831203</v>
      </c>
      <c r="E109" s="28"/>
      <c r="F109" s="28" t="s">
        <v>5737</v>
      </c>
      <c r="G109" s="28">
        <v>162</v>
      </c>
      <c r="H109" s="28">
        <v>1380</v>
      </c>
      <c r="I109" s="28"/>
      <c r="K109" t="s">
        <v>5805</v>
      </c>
      <c r="L109">
        <v>3</v>
      </c>
      <c r="M109">
        <v>3</v>
      </c>
      <c r="N109">
        <f t="shared" si="8"/>
        <v>0.25380710659898476</v>
      </c>
    </row>
    <row r="110" spans="1:14">
      <c r="A110" t="s">
        <v>5806</v>
      </c>
      <c r="B110" s="15">
        <v>2</v>
      </c>
      <c r="C110" s="15">
        <v>6</v>
      </c>
      <c r="D110" s="15">
        <f t="shared" si="9"/>
        <v>0.76726342710997442</v>
      </c>
      <c r="E110" s="28"/>
      <c r="F110" s="28"/>
      <c r="G110" s="28"/>
      <c r="H110" s="28"/>
      <c r="I110" s="28"/>
      <c r="K110" t="s">
        <v>5807</v>
      </c>
      <c r="L110">
        <v>6</v>
      </c>
      <c r="M110">
        <v>14</v>
      </c>
      <c r="N110">
        <f t="shared" si="8"/>
        <v>1.1844331641285957</v>
      </c>
    </row>
    <row r="111" spans="1:14">
      <c r="A111" t="s">
        <v>5743</v>
      </c>
      <c r="B111" s="15">
        <v>3</v>
      </c>
      <c r="C111" s="15">
        <v>8</v>
      </c>
      <c r="D111" s="15">
        <f t="shared" si="9"/>
        <v>1.0230179028132993</v>
      </c>
      <c r="E111" s="15"/>
      <c r="F111" s="15"/>
      <c r="G111" s="15"/>
      <c r="K111" t="s">
        <v>5808</v>
      </c>
      <c r="L111">
        <v>1</v>
      </c>
      <c r="M111">
        <v>1</v>
      </c>
      <c r="N111">
        <f t="shared" si="8"/>
        <v>8.4602368866328256E-2</v>
      </c>
    </row>
    <row r="112" spans="1:14">
      <c r="B112" s="15"/>
      <c r="C112" s="15"/>
      <c r="D112" s="15"/>
      <c r="E112" s="15"/>
      <c r="F112" s="15"/>
      <c r="G112" s="15"/>
      <c r="K112" t="s">
        <v>5809</v>
      </c>
      <c r="L112">
        <v>3</v>
      </c>
      <c r="M112">
        <v>6</v>
      </c>
      <c r="N112">
        <f t="shared" si="8"/>
        <v>0.50761421319796951</v>
      </c>
    </row>
    <row r="113" spans="1:14">
      <c r="A113" t="s">
        <v>5737</v>
      </c>
      <c r="B113" s="15">
        <v>103</v>
      </c>
      <c r="C113" s="15">
        <v>782</v>
      </c>
      <c r="D113" s="15"/>
      <c r="E113" s="15"/>
      <c r="F113" s="15"/>
      <c r="G113" s="15"/>
      <c r="K113" t="s">
        <v>5810</v>
      </c>
      <c r="L113">
        <v>8</v>
      </c>
      <c r="M113">
        <v>34</v>
      </c>
      <c r="N113">
        <f t="shared" si="8"/>
        <v>2.8764805414551606</v>
      </c>
    </row>
    <row r="114" spans="1:14">
      <c r="B114" s="15"/>
      <c r="C114" s="15"/>
      <c r="D114" s="15"/>
      <c r="E114" s="15"/>
      <c r="F114" s="15"/>
      <c r="G114" s="15"/>
      <c r="K114" t="s">
        <v>5811</v>
      </c>
      <c r="L114">
        <v>1</v>
      </c>
      <c r="M114">
        <v>1</v>
      </c>
      <c r="N114">
        <f t="shared" si="8"/>
        <v>8.4602368866328256E-2</v>
      </c>
    </row>
    <row r="115" spans="1:14">
      <c r="B115" s="15"/>
      <c r="C115" s="15"/>
      <c r="D115" s="15"/>
      <c r="E115" s="15"/>
      <c r="F115" s="15"/>
      <c r="G115" s="15"/>
      <c r="K115" t="s">
        <v>5812</v>
      </c>
      <c r="L115">
        <v>2</v>
      </c>
      <c r="M115">
        <v>2</v>
      </c>
      <c r="N115">
        <f t="shared" si="8"/>
        <v>0.16920473773265651</v>
      </c>
    </row>
    <row r="116" spans="1:14">
      <c r="B116" s="15"/>
      <c r="C116" s="15"/>
      <c r="D116" s="15"/>
      <c r="E116" s="15"/>
      <c r="F116" s="15"/>
      <c r="G116" s="15"/>
      <c r="K116" t="s">
        <v>5762</v>
      </c>
      <c r="L116">
        <v>4</v>
      </c>
      <c r="M116">
        <v>32</v>
      </c>
      <c r="N116">
        <f t="shared" si="8"/>
        <v>2.7072758037225042</v>
      </c>
    </row>
    <row r="117" spans="1:14">
      <c r="B117" s="15"/>
      <c r="C117" s="15"/>
      <c r="D117" s="15"/>
      <c r="E117" s="15"/>
      <c r="F117" s="15"/>
      <c r="G117" s="15"/>
      <c r="K117" t="s">
        <v>5813</v>
      </c>
      <c r="L117">
        <v>35</v>
      </c>
      <c r="M117">
        <v>54</v>
      </c>
      <c r="N117">
        <f t="shared" si="8"/>
        <v>4.5685279187817258</v>
      </c>
    </row>
    <row r="118" spans="1:14">
      <c r="B118" s="15"/>
      <c r="C118" s="15"/>
      <c r="D118" s="15"/>
      <c r="E118" s="15"/>
      <c r="F118" s="15"/>
      <c r="G118" s="15"/>
      <c r="K118" t="s">
        <v>5814</v>
      </c>
      <c r="L118">
        <v>12</v>
      </c>
      <c r="M118">
        <v>15</v>
      </c>
      <c r="N118">
        <f t="shared" si="8"/>
        <v>1.2690355329949239</v>
      </c>
    </row>
    <row r="119" spans="1:14" ht="4.5" customHeight="1" thickBot="1">
      <c r="B119" s="15"/>
      <c r="C119" s="15"/>
      <c r="D119" s="15"/>
      <c r="E119" s="15"/>
      <c r="F119" s="15"/>
      <c r="G119" s="15"/>
    </row>
    <row r="120" spans="1:14" ht="57.75" customHeight="1" thickBot="1">
      <c r="A120" s="50" t="s">
        <v>5815</v>
      </c>
      <c r="B120" s="51" t="s">
        <v>5816</v>
      </c>
      <c r="C120" s="51" t="s">
        <v>5817</v>
      </c>
      <c r="D120" s="51" t="s">
        <v>5818</v>
      </c>
      <c r="E120" s="51" t="s">
        <v>5819</v>
      </c>
      <c r="F120" s="51" t="s">
        <v>5820</v>
      </c>
      <c r="G120" s="52" t="s">
        <v>5821</v>
      </c>
    </row>
    <row r="121" spans="1:14">
      <c r="A121" s="53" t="s">
        <v>5742</v>
      </c>
      <c r="B121" s="54" t="s">
        <v>5822</v>
      </c>
      <c r="C121" s="54" t="s">
        <v>5823</v>
      </c>
      <c r="D121" s="54" t="s">
        <v>5824</v>
      </c>
      <c r="E121" s="54" t="s">
        <v>5825</v>
      </c>
      <c r="F121" s="54" t="s">
        <v>5826</v>
      </c>
      <c r="G121" s="55" t="s">
        <v>5827</v>
      </c>
    </row>
    <row r="122" spans="1:14">
      <c r="A122" s="56" t="s">
        <v>5743</v>
      </c>
      <c r="B122" s="57" t="s">
        <v>5828</v>
      </c>
      <c r="C122" s="57" t="s">
        <v>5829</v>
      </c>
      <c r="D122" s="57" t="s">
        <v>5830</v>
      </c>
      <c r="E122" s="57" t="s">
        <v>5831</v>
      </c>
      <c r="F122" s="57" t="s">
        <v>5832</v>
      </c>
      <c r="G122" s="58" t="s">
        <v>5833</v>
      </c>
    </row>
    <row r="123" spans="1:14">
      <c r="A123" s="56" t="s">
        <v>5834</v>
      </c>
      <c r="B123" s="57">
        <v>0</v>
      </c>
      <c r="C123" s="57">
        <v>0</v>
      </c>
      <c r="D123" s="57" t="s">
        <v>5835</v>
      </c>
      <c r="E123" s="57" t="s">
        <v>5836</v>
      </c>
      <c r="F123" s="57" t="s">
        <v>5837</v>
      </c>
      <c r="G123" s="58">
        <v>0</v>
      </c>
    </row>
    <row r="124" spans="1:14">
      <c r="A124" s="56" t="s">
        <v>5838</v>
      </c>
      <c r="B124" s="57" t="s">
        <v>5839</v>
      </c>
      <c r="C124" s="57" t="s">
        <v>5840</v>
      </c>
      <c r="D124" s="57" t="s">
        <v>5841</v>
      </c>
      <c r="E124" s="57">
        <v>0</v>
      </c>
      <c r="F124" s="57" t="s">
        <v>5842</v>
      </c>
      <c r="G124" s="58" t="s">
        <v>5843</v>
      </c>
    </row>
    <row r="125" spans="1:14">
      <c r="A125" s="56" t="s">
        <v>5777</v>
      </c>
      <c r="B125" s="57">
        <v>0</v>
      </c>
      <c r="C125" s="57">
        <v>0</v>
      </c>
      <c r="D125" s="57" t="s">
        <v>5844</v>
      </c>
      <c r="E125" s="57">
        <v>0</v>
      </c>
      <c r="F125" s="57" t="s">
        <v>5845</v>
      </c>
      <c r="G125" s="58" t="s">
        <v>5846</v>
      </c>
    </row>
    <row r="126" spans="1:14">
      <c r="A126" s="56" t="s">
        <v>5804</v>
      </c>
      <c r="B126" s="57" t="s">
        <v>5847</v>
      </c>
      <c r="C126" s="57">
        <v>0</v>
      </c>
      <c r="D126" s="57" t="s">
        <v>5848</v>
      </c>
      <c r="E126" s="57" t="s">
        <v>5849</v>
      </c>
      <c r="F126" s="57" t="s">
        <v>5850</v>
      </c>
      <c r="G126" s="58">
        <v>0</v>
      </c>
    </row>
    <row r="127" spans="1:14">
      <c r="A127" s="56" t="s">
        <v>5851</v>
      </c>
      <c r="B127" s="57">
        <v>0</v>
      </c>
      <c r="C127" s="57" t="s">
        <v>5852</v>
      </c>
      <c r="D127" s="57" t="s">
        <v>5853</v>
      </c>
      <c r="E127" s="57" t="s">
        <v>5854</v>
      </c>
      <c r="F127" s="57" t="s">
        <v>5855</v>
      </c>
      <c r="G127" s="58" t="s">
        <v>5856</v>
      </c>
    </row>
    <row r="128" spans="1:14" ht="14.4" thickBot="1">
      <c r="A128" s="59" t="s">
        <v>5857</v>
      </c>
      <c r="B128" s="60">
        <v>0</v>
      </c>
      <c r="C128" s="60">
        <v>0</v>
      </c>
      <c r="D128" s="60" t="s">
        <v>5858</v>
      </c>
      <c r="E128" s="60" t="s">
        <v>5859</v>
      </c>
      <c r="F128" s="60">
        <v>0</v>
      </c>
      <c r="G128" s="61">
        <v>0</v>
      </c>
    </row>
    <row r="129" spans="1:8">
      <c r="B129" s="15"/>
      <c r="C129" s="15"/>
      <c r="D129" s="15"/>
      <c r="E129" s="15"/>
      <c r="F129" s="15"/>
      <c r="G129" s="15"/>
    </row>
    <row r="130" spans="1:8">
      <c r="B130" s="15"/>
      <c r="C130" s="15"/>
      <c r="D130" s="15"/>
      <c r="E130" s="15"/>
      <c r="F130" s="15"/>
      <c r="G130" s="15"/>
      <c r="H130" t="s">
        <v>5860</v>
      </c>
    </row>
    <row r="131" spans="1:8">
      <c r="A131" t="s">
        <v>5742</v>
      </c>
      <c r="B131" s="15">
        <v>708</v>
      </c>
      <c r="C131" s="15">
        <v>1290</v>
      </c>
      <c r="D131" s="15">
        <v>355</v>
      </c>
      <c r="E131" s="15">
        <v>1096</v>
      </c>
      <c r="F131" s="15">
        <v>900</v>
      </c>
      <c r="G131" s="15">
        <v>848</v>
      </c>
      <c r="H131">
        <v>5197</v>
      </c>
    </row>
    <row r="132" spans="1:8">
      <c r="A132" t="s">
        <v>5743</v>
      </c>
      <c r="B132" s="15">
        <v>8</v>
      </c>
      <c r="C132" s="15">
        <v>67</v>
      </c>
      <c r="D132" s="15">
        <v>13</v>
      </c>
      <c r="E132" s="15">
        <v>1</v>
      </c>
      <c r="F132" s="15">
        <v>7</v>
      </c>
      <c r="G132" s="15">
        <v>73</v>
      </c>
      <c r="H132">
        <v>169</v>
      </c>
    </row>
    <row r="133" spans="1:8">
      <c r="A133" t="s">
        <v>5834</v>
      </c>
      <c r="B133" s="15">
        <v>0</v>
      </c>
      <c r="C133" s="15">
        <v>0</v>
      </c>
      <c r="D133" s="15">
        <v>17</v>
      </c>
      <c r="E133" s="15">
        <v>26</v>
      </c>
      <c r="F133" s="15">
        <v>16</v>
      </c>
      <c r="G133" s="15">
        <v>0</v>
      </c>
      <c r="H133">
        <v>59</v>
      </c>
    </row>
    <row r="134" spans="1:8">
      <c r="A134" t="s">
        <v>5838</v>
      </c>
      <c r="B134" s="15">
        <v>45</v>
      </c>
      <c r="C134" s="15">
        <v>1</v>
      </c>
      <c r="D134" s="15">
        <v>32</v>
      </c>
      <c r="E134" s="15">
        <v>0</v>
      </c>
      <c r="F134" s="15">
        <v>24</v>
      </c>
      <c r="G134" s="15">
        <v>1</v>
      </c>
      <c r="H134">
        <v>103</v>
      </c>
    </row>
    <row r="135" spans="1:8">
      <c r="A135" t="s">
        <v>5777</v>
      </c>
      <c r="B135" s="15">
        <v>0</v>
      </c>
      <c r="C135" s="15">
        <v>0</v>
      </c>
      <c r="D135" s="15">
        <v>74</v>
      </c>
      <c r="E135" s="15">
        <v>0</v>
      </c>
      <c r="F135" s="15">
        <v>56</v>
      </c>
      <c r="G135" s="15">
        <v>2</v>
      </c>
      <c r="H135">
        <v>132</v>
      </c>
    </row>
    <row r="136" spans="1:8">
      <c r="A136" t="s">
        <v>5804</v>
      </c>
      <c r="B136" s="15">
        <v>5</v>
      </c>
      <c r="C136" s="15">
        <v>0</v>
      </c>
      <c r="D136" s="15">
        <v>11</v>
      </c>
      <c r="E136" s="15">
        <v>4</v>
      </c>
      <c r="F136" s="15">
        <v>34</v>
      </c>
      <c r="G136" s="15">
        <v>0</v>
      </c>
      <c r="H136">
        <v>54</v>
      </c>
    </row>
    <row r="137" spans="1:8">
      <c r="A137" t="s">
        <v>5851</v>
      </c>
      <c r="B137" s="15">
        <v>0</v>
      </c>
      <c r="C137" s="15">
        <v>9</v>
      </c>
      <c r="D137" s="15">
        <v>6</v>
      </c>
      <c r="E137" s="15">
        <v>1</v>
      </c>
      <c r="F137" s="15">
        <v>32</v>
      </c>
      <c r="G137" s="15">
        <v>1</v>
      </c>
      <c r="H137">
        <v>49</v>
      </c>
    </row>
    <row r="138" spans="1:8">
      <c r="A138" t="s">
        <v>5857</v>
      </c>
      <c r="B138" s="15">
        <v>0</v>
      </c>
      <c r="C138" s="15">
        <v>0</v>
      </c>
      <c r="D138" s="15">
        <v>2</v>
      </c>
      <c r="E138" s="15">
        <v>29</v>
      </c>
      <c r="F138" s="15">
        <v>0</v>
      </c>
      <c r="G138" s="15">
        <v>0</v>
      </c>
      <c r="H138">
        <v>31</v>
      </c>
    </row>
    <row r="139" spans="1:8">
      <c r="A139" t="s">
        <v>5861</v>
      </c>
      <c r="B139" s="15">
        <v>766</v>
      </c>
      <c r="C139" s="15">
        <v>1367</v>
      </c>
      <c r="D139" s="15">
        <v>510</v>
      </c>
      <c r="E139" s="15">
        <v>1157</v>
      </c>
      <c r="F139" s="15">
        <v>1069</v>
      </c>
      <c r="G139" s="15">
        <v>925</v>
      </c>
      <c r="H139" s="15">
        <v>5794</v>
      </c>
    </row>
    <row r="140" spans="1:8">
      <c r="B140" s="15"/>
      <c r="C140" s="15"/>
      <c r="D140" s="15"/>
      <c r="E140" s="15"/>
      <c r="F140" s="15"/>
      <c r="G140" s="15"/>
    </row>
    <row r="141" spans="1:8">
      <c r="B141" s="15" t="s">
        <v>5862</v>
      </c>
      <c r="C141" s="15"/>
      <c r="D141" s="15"/>
      <c r="E141" s="15"/>
      <c r="F141" s="15"/>
      <c r="G141" s="15"/>
    </row>
    <row r="142" spans="1:8">
      <c r="A142" t="s">
        <v>5742</v>
      </c>
      <c r="B142" s="15">
        <v>687.0731791508457</v>
      </c>
      <c r="C142" s="15">
        <v>1226.1475664480497</v>
      </c>
      <c r="D142" s="15">
        <v>457.45081118398343</v>
      </c>
      <c r="E142" s="15">
        <v>1037.785467725233</v>
      </c>
      <c r="F142" s="15">
        <v>958.85277873662415</v>
      </c>
      <c r="G142" s="15">
        <v>829.69019675526408</v>
      </c>
      <c r="H142">
        <v>5197</v>
      </c>
    </row>
    <row r="143" spans="1:8">
      <c r="A143" t="s">
        <v>5743</v>
      </c>
      <c r="B143" s="15">
        <v>22.342768381083879</v>
      </c>
      <c r="C143" s="15">
        <v>39.872799447704523</v>
      </c>
      <c r="D143" s="15">
        <v>14.875733517431826</v>
      </c>
      <c r="E143" s="15">
        <v>33.747497411114949</v>
      </c>
      <c r="F143" s="15">
        <v>31.180704176734555</v>
      </c>
      <c r="G143" s="15">
        <v>26.980497065930273</v>
      </c>
      <c r="H143">
        <v>169.00000000000003</v>
      </c>
    </row>
    <row r="144" spans="1:8">
      <c r="A144" t="s">
        <v>5834</v>
      </c>
      <c r="B144" s="15">
        <v>7.8001380738695199</v>
      </c>
      <c r="C144" s="15">
        <v>13.920089748015188</v>
      </c>
      <c r="D144" s="15">
        <v>5.1933034173282708</v>
      </c>
      <c r="E144" s="15">
        <v>11.781670693821194</v>
      </c>
      <c r="F144" s="15">
        <v>10.885571280635141</v>
      </c>
      <c r="G144" s="15">
        <v>9.4192267863306878</v>
      </c>
      <c r="H144">
        <v>59</v>
      </c>
    </row>
    <row r="145" spans="1:9">
      <c r="A145" t="s">
        <v>5838</v>
      </c>
      <c r="B145" s="15">
        <v>13.617190196755264</v>
      </c>
      <c r="C145" s="15">
        <v>24.301173627890922</v>
      </c>
      <c r="D145" s="15">
        <v>9.0662754573696933</v>
      </c>
      <c r="E145" s="15">
        <v>20.568001380738696</v>
      </c>
      <c r="F145" s="15">
        <v>19.003624439074905</v>
      </c>
      <c r="G145" s="15">
        <v>16.443734898170522</v>
      </c>
      <c r="H145">
        <v>102.99999999999999</v>
      </c>
    </row>
    <row r="146" spans="1:9">
      <c r="A146" t="s">
        <v>5777</v>
      </c>
      <c r="B146" s="15">
        <v>17.45115636865723</v>
      </c>
      <c r="C146" s="15">
        <v>31.143251639627202</v>
      </c>
      <c r="D146" s="15">
        <v>11.618916120124267</v>
      </c>
      <c r="E146" s="15">
        <v>26.358992060752502</v>
      </c>
      <c r="F146" s="15">
        <v>24.354159475319296</v>
      </c>
      <c r="G146" s="15">
        <v>21.073524335519505</v>
      </c>
      <c r="H146">
        <v>132</v>
      </c>
    </row>
    <row r="147" spans="1:9">
      <c r="A147" t="s">
        <v>5804</v>
      </c>
      <c r="B147" s="15">
        <v>7.1391094235415951</v>
      </c>
      <c r="C147" s="15">
        <v>12.740421125302037</v>
      </c>
      <c r="D147" s="15">
        <v>4.7531929582326544</v>
      </c>
      <c r="E147" s="15">
        <v>10.783224024853297</v>
      </c>
      <c r="F147" s="15">
        <v>9.963065239903349</v>
      </c>
      <c r="G147" s="15">
        <v>8.6209872281670687</v>
      </c>
      <c r="H147">
        <v>54</v>
      </c>
    </row>
    <row r="148" spans="1:9">
      <c r="A148" t="s">
        <v>5851</v>
      </c>
      <c r="B148" s="15">
        <v>6.4780807732136694</v>
      </c>
      <c r="C148" s="15">
        <v>11.560752502588885</v>
      </c>
      <c r="D148" s="15">
        <v>4.313082499137038</v>
      </c>
      <c r="E148" s="15">
        <v>9.7847773558853994</v>
      </c>
      <c r="F148" s="15">
        <v>9.0405591991715575</v>
      </c>
      <c r="G148" s="15">
        <v>7.8227476700034515</v>
      </c>
      <c r="H148">
        <v>49</v>
      </c>
    </row>
    <row r="149" spans="1:9">
      <c r="A149" t="s">
        <v>5857</v>
      </c>
      <c r="B149" s="15">
        <v>4.098377632033138</v>
      </c>
      <c r="C149" s="15">
        <v>7.3139454608215395</v>
      </c>
      <c r="D149" s="15">
        <v>2.7286848463928202</v>
      </c>
      <c r="E149" s="15">
        <v>6.1903693476009662</v>
      </c>
      <c r="F149" s="15">
        <v>5.7195374525371072</v>
      </c>
      <c r="G149" s="15">
        <v>4.9490852606144289</v>
      </c>
      <c r="H149">
        <v>31</v>
      </c>
    </row>
    <row r="150" spans="1:9">
      <c r="B150" s="15" t="s">
        <v>5863</v>
      </c>
      <c r="C150" s="15"/>
      <c r="D150" s="15"/>
      <c r="E150" s="15"/>
      <c r="F150" s="15"/>
      <c r="G150" s="15"/>
      <c r="H150" t="s">
        <v>5864</v>
      </c>
      <c r="I150" s="15" t="s">
        <v>5865</v>
      </c>
    </row>
    <row r="151" spans="1:9">
      <c r="A151" t="s">
        <v>5742</v>
      </c>
      <c r="B151" s="15">
        <v>0.63738746343415587</v>
      </c>
      <c r="C151" s="15">
        <v>3.325157087182435</v>
      </c>
      <c r="D151" s="15">
        <v>22.944912230212971</v>
      </c>
      <c r="E151" s="15">
        <v>3.2655417457311575</v>
      </c>
      <c r="F151" s="15">
        <v>3.6122850575514969</v>
      </c>
      <c r="G151" s="15">
        <v>0.40406515127215747</v>
      </c>
      <c r="H151">
        <v>34.189348735384371</v>
      </c>
      <c r="I151" s="15">
        <v>2.1830110744194442E-6</v>
      </c>
    </row>
    <row r="152" spans="1:9">
      <c r="A152" t="s">
        <v>5743</v>
      </c>
      <c r="B152" s="15">
        <v>9.2072298886464115</v>
      </c>
      <c r="C152" s="15">
        <v>18.455814991611405</v>
      </c>
      <c r="D152" s="15">
        <v>0.23651783115731614</v>
      </c>
      <c r="E152" s="15">
        <v>31.777129237967703</v>
      </c>
      <c r="F152" s="15">
        <v>18.752188891199769</v>
      </c>
      <c r="G152" s="15">
        <v>78.493537206662708</v>
      </c>
      <c r="H152">
        <v>156.92241804724529</v>
      </c>
      <c r="I152" s="15">
        <v>4.4807644846294381E-32</v>
      </c>
    </row>
    <row r="153" spans="1:9">
      <c r="A153" t="s">
        <v>5834</v>
      </c>
      <c r="B153" s="15">
        <v>7.8001380738695199</v>
      </c>
      <c r="C153" s="15">
        <v>13.920089748015188</v>
      </c>
      <c r="D153" s="15">
        <v>26.841890987949739</v>
      </c>
      <c r="E153" s="15">
        <v>17.158932167826148</v>
      </c>
      <c r="F153" s="15">
        <v>2.4029405945829123</v>
      </c>
      <c r="G153" s="15">
        <v>9.4192267863306878</v>
      </c>
      <c r="H153">
        <v>77.543218358574194</v>
      </c>
      <c r="I153" s="15">
        <v>2.7386071878587793E-15</v>
      </c>
    </row>
    <row r="154" spans="1:9">
      <c r="A154" t="s">
        <v>5838</v>
      </c>
      <c r="B154" s="15">
        <v>72.326282949423273</v>
      </c>
      <c r="C154" s="15">
        <v>22.342323903812254</v>
      </c>
      <c r="D154" s="15">
        <v>58.012325333630884</v>
      </c>
      <c r="E154" s="15">
        <v>20.568001380738696</v>
      </c>
      <c r="F154" s="15">
        <v>1.3136319771969138</v>
      </c>
      <c r="G154" s="15">
        <v>14.504548332964539</v>
      </c>
      <c r="H154">
        <v>189.06711387776656</v>
      </c>
      <c r="I154" s="15">
        <v>6.1832011029221103E-39</v>
      </c>
    </row>
    <row r="155" spans="1:9">
      <c r="A155" t="s">
        <v>5777</v>
      </c>
      <c r="B155" s="15">
        <v>17.45115636865723</v>
      </c>
      <c r="C155" s="15">
        <v>31.143251639627202</v>
      </c>
      <c r="D155" s="15">
        <v>334.91933204406956</v>
      </c>
      <c r="E155" s="15">
        <v>26.358992060752502</v>
      </c>
      <c r="F155" s="15">
        <v>41.120664563620458</v>
      </c>
      <c r="G155" s="15">
        <v>17.263335965331134</v>
      </c>
      <c r="H155">
        <v>468.25673264205807</v>
      </c>
      <c r="I155" s="15">
        <v>5.6580493524857797E-99</v>
      </c>
    </row>
    <row r="156" spans="1:9">
      <c r="A156" t="s">
        <v>5804</v>
      </c>
      <c r="B156" s="15">
        <v>0.64094677002646094</v>
      </c>
      <c r="C156" s="15">
        <v>12.740421125302037</v>
      </c>
      <c r="D156" s="15">
        <v>8.2097652167656978</v>
      </c>
      <c r="E156" s="15">
        <v>4.2670103176283538</v>
      </c>
      <c r="F156" s="15">
        <v>57.991613900818699</v>
      </c>
      <c r="G156" s="15">
        <v>8.6209872281670687</v>
      </c>
      <c r="H156">
        <v>92.470744558708319</v>
      </c>
      <c r="I156" s="15">
        <v>2.0326858023056057E-18</v>
      </c>
    </row>
    <row r="157" spans="1:9">
      <c r="A157" t="s">
        <v>5851</v>
      </c>
      <c r="B157" s="15">
        <v>6.4780807732136694</v>
      </c>
      <c r="C157" s="15">
        <v>0.56721682935836382</v>
      </c>
      <c r="D157" s="15">
        <v>0.65978117860882723</v>
      </c>
      <c r="E157" s="15">
        <v>7.8869769219693948</v>
      </c>
      <c r="F157" s="15">
        <v>58.307888956144495</v>
      </c>
      <c r="G157" s="15">
        <v>5.9505799921214884</v>
      </c>
      <c r="H157">
        <v>79.850524651416237</v>
      </c>
      <c r="I157" s="15">
        <v>9.0183348567298598E-16</v>
      </c>
    </row>
    <row r="158" spans="1:9">
      <c r="A158" t="s">
        <v>5857</v>
      </c>
      <c r="B158" s="15"/>
      <c r="C158" s="15">
        <v>7.3139454608215395</v>
      </c>
      <c r="D158" s="15"/>
      <c r="E158" s="15">
        <v>84.04656027519458</v>
      </c>
      <c r="F158" s="15">
        <v>5.7195374525371072</v>
      </c>
      <c r="G158" s="15"/>
      <c r="H158">
        <v>97.080043188553233</v>
      </c>
      <c r="I158" s="15">
        <v>8.3049394448850421E-22</v>
      </c>
    </row>
  </sheetData>
  <sortState ref="A33:F49">
    <sortCondition descending="1" ref="C33:C49"/>
  </sortState>
  <pageMargins left="0.7" right="0.7" top="0.75" bottom="0.75" header="0.3" footer="0.3"/>
  <pageSetup orientation="portrait" horizontalDpi="1200"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T.rubida S1</vt:lpstr>
      <vt:lpstr>Tables</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Ribeiro, Jose (NIH/NIAID) [E]</dc:creator>
  <cp:lastModifiedBy>Ribeiro, Jose (NIH/NIAID) </cp:lastModifiedBy>
  <dcterms:created xsi:type="dcterms:W3CDTF">2011-08-22T15:38:15Z</dcterms:created>
  <dcterms:modified xsi:type="dcterms:W3CDTF">2012-02-15T19:49:21Z</dcterms:modified>
</cp:coreProperties>
</file>