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432" yWindow="948" windowWidth="28236" windowHeight="12528"/>
  </bookViews>
  <sheets>
    <sheet name="T.rubida S2" sheetId="1" r:id="rId1"/>
  </sheets>
  <calcPr calcId="125725"/>
</workbook>
</file>

<file path=xl/calcChain.xml><?xml version="1.0" encoding="utf-8"?>
<calcChain xmlns="http://schemas.openxmlformats.org/spreadsheetml/2006/main">
  <c r="J458" i="1"/>
  <c r="J456"/>
  <c r="J455"/>
  <c r="J454"/>
  <c r="J453"/>
  <c r="J452"/>
  <c r="J451"/>
  <c r="J450"/>
  <c r="J449"/>
  <c r="J448"/>
  <c r="J447"/>
  <c r="J446"/>
  <c r="J445"/>
  <c r="J428"/>
  <c r="J427"/>
  <c r="J426"/>
  <c r="J425"/>
  <c r="J424"/>
  <c r="J423"/>
  <c r="J422"/>
  <c r="J421"/>
  <c r="J420"/>
  <c r="J419"/>
  <c r="J418"/>
  <c r="J294"/>
  <c r="J417"/>
  <c r="J416"/>
  <c r="J415"/>
  <c r="J414"/>
  <c r="J413"/>
  <c r="J412"/>
  <c r="J411"/>
  <c r="J410"/>
  <c r="J409"/>
  <c r="J408"/>
  <c r="J437"/>
  <c r="J439"/>
  <c r="J429"/>
  <c r="J407"/>
  <c r="J293"/>
  <c r="J406"/>
  <c r="J405"/>
  <c r="J404"/>
  <c r="J296"/>
  <c r="J403"/>
  <c r="J402"/>
  <c r="J401"/>
  <c r="J438"/>
  <c r="J400"/>
  <c r="J399"/>
  <c r="J398"/>
  <c r="J397"/>
  <c r="J396"/>
  <c r="J395"/>
  <c r="J394"/>
  <c r="J393"/>
  <c r="J392"/>
  <c r="J391"/>
  <c r="J390"/>
  <c r="J389"/>
  <c r="J388"/>
  <c r="J387"/>
  <c r="J386"/>
  <c r="J436"/>
  <c r="J435"/>
  <c r="J385"/>
  <c r="J384"/>
  <c r="J383"/>
  <c r="J382"/>
  <c r="J381"/>
  <c r="J380"/>
  <c r="J379"/>
  <c r="J378"/>
  <c r="J377"/>
  <c r="J376"/>
  <c r="J375"/>
  <c r="J374"/>
  <c r="J373"/>
  <c r="J291"/>
  <c r="J372"/>
  <c r="J371"/>
  <c r="J370"/>
  <c r="J369"/>
  <c r="J368"/>
  <c r="J367"/>
  <c r="J434"/>
  <c r="J366"/>
  <c r="J365"/>
  <c r="J288"/>
  <c r="J364"/>
  <c r="J363"/>
  <c r="J362"/>
  <c r="J361"/>
  <c r="J292"/>
  <c r="J360"/>
  <c r="J359"/>
  <c r="J358"/>
  <c r="J357"/>
  <c r="J356"/>
  <c r="J355"/>
  <c r="J354"/>
  <c r="J353"/>
  <c r="J352"/>
  <c r="J351"/>
  <c r="J350"/>
  <c r="J349"/>
  <c r="J348"/>
  <c r="J295"/>
  <c r="J347"/>
  <c r="J442"/>
  <c r="J290"/>
  <c r="J346"/>
  <c r="J345"/>
  <c r="J344"/>
  <c r="J343"/>
  <c r="J342"/>
  <c r="J341"/>
  <c r="J443"/>
  <c r="J340"/>
  <c r="J339"/>
  <c r="J433"/>
  <c r="J338"/>
  <c r="J337"/>
  <c r="J336"/>
  <c r="J335"/>
  <c r="J334"/>
  <c r="J440"/>
  <c r="J333"/>
  <c r="J332"/>
  <c r="J331"/>
  <c r="J330"/>
  <c r="J329"/>
  <c r="J328"/>
  <c r="J327"/>
  <c r="J326"/>
  <c r="J325"/>
  <c r="J324"/>
  <c r="J323"/>
  <c r="J322"/>
  <c r="J321"/>
  <c r="J432"/>
  <c r="J320"/>
  <c r="J319"/>
  <c r="J318"/>
  <c r="J317"/>
  <c r="J316"/>
  <c r="J315"/>
  <c r="J314"/>
  <c r="J287"/>
  <c r="J286"/>
  <c r="J313"/>
  <c r="J312"/>
  <c r="J311"/>
  <c r="J431"/>
  <c r="J75"/>
  <c r="J310"/>
  <c r="J285"/>
  <c r="J309"/>
  <c r="J289"/>
  <c r="J441"/>
  <c r="J308"/>
  <c r="J307"/>
  <c r="J306"/>
  <c r="J305"/>
  <c r="J304"/>
  <c r="J303"/>
  <c r="J302"/>
  <c r="J301"/>
  <c r="J300"/>
  <c r="J430"/>
  <c r="J284"/>
  <c r="J283"/>
  <c r="J299"/>
  <c r="J298"/>
  <c r="J297"/>
  <c r="J282"/>
  <c r="J281"/>
  <c r="J279"/>
  <c r="J278"/>
  <c r="J277"/>
  <c r="J276"/>
  <c r="J275"/>
  <c r="J274"/>
  <c r="J273"/>
  <c r="J272"/>
  <c r="J271"/>
  <c r="J270"/>
  <c r="J269"/>
  <c r="J267"/>
  <c r="J266"/>
  <c r="J265"/>
  <c r="J264"/>
  <c r="J263"/>
  <c r="J262"/>
  <c r="J260"/>
  <c r="J259"/>
  <c r="J258"/>
  <c r="J256"/>
  <c r="J255"/>
  <c r="J254"/>
  <c r="J253"/>
  <c r="J252"/>
  <c r="J251"/>
  <c r="J250"/>
  <c r="J249"/>
  <c r="J248"/>
  <c r="J247"/>
  <c r="J246"/>
  <c r="J245"/>
  <c r="J244"/>
  <c r="J243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1"/>
  <c r="J150"/>
  <c r="J149"/>
  <c r="J148"/>
  <c r="J147"/>
  <c r="J145"/>
  <c r="J143"/>
  <c r="J142"/>
  <c r="J141"/>
  <c r="J140"/>
  <c r="J139"/>
  <c r="J138"/>
  <c r="J136"/>
  <c r="J135"/>
  <c r="J134"/>
  <c r="J133"/>
  <c r="J132"/>
  <c r="J131"/>
  <c r="J130"/>
  <c r="J129"/>
  <c r="J128"/>
  <c r="J127"/>
  <c r="J126"/>
  <c r="J125"/>
  <c r="J124"/>
  <c r="J123"/>
  <c r="J121"/>
  <c r="J119"/>
  <c r="J117"/>
  <c r="J116"/>
  <c r="J115"/>
  <c r="J114"/>
  <c r="J113"/>
  <c r="J112"/>
  <c r="J111"/>
  <c r="J110"/>
  <c r="J109"/>
  <c r="J108"/>
  <c r="J106"/>
  <c r="J105"/>
  <c r="J104"/>
  <c r="J103"/>
  <c r="J102"/>
  <c r="J101"/>
  <c r="J100"/>
  <c r="J97"/>
  <c r="J95"/>
  <c r="J93"/>
  <c r="J91"/>
  <c r="J90"/>
  <c r="J88"/>
  <c r="J86"/>
  <c r="J85"/>
  <c r="J84"/>
  <c r="J83"/>
  <c r="J82"/>
  <c r="J81"/>
  <c r="J80"/>
  <c r="J79"/>
  <c r="J78"/>
  <c r="J77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BT458"/>
  <c r="BS458"/>
  <c r="BQ458"/>
  <c r="BO458"/>
  <c r="BL458"/>
  <c r="BI458"/>
  <c r="AP458"/>
  <c r="AG458"/>
  <c r="AB458"/>
  <c r="E458"/>
  <c r="A458"/>
  <c r="BQ456"/>
  <c r="BO456"/>
  <c r="BL456"/>
  <c r="BI456"/>
  <c r="AP456"/>
  <c r="AG456"/>
  <c r="AB456"/>
  <c r="E456"/>
  <c r="A456"/>
  <c r="CV455"/>
  <c r="CU455"/>
  <c r="CT455"/>
  <c r="CS455"/>
  <c r="CR455"/>
  <c r="CQ455"/>
  <c r="CP455"/>
  <c r="CO455"/>
  <c r="CN455"/>
  <c r="CM455"/>
  <c r="CL455"/>
  <c r="CK455"/>
  <c r="CJ455"/>
  <c r="CI455"/>
  <c r="CH455"/>
  <c r="CG455"/>
  <c r="CF455"/>
  <c r="CE455"/>
  <c r="CD455"/>
  <c r="CC455"/>
  <c r="CB455"/>
  <c r="CA455"/>
  <c r="BZ455"/>
  <c r="BY455"/>
  <c r="BX455"/>
  <c r="BW455"/>
  <c r="BV455"/>
  <c r="BU455"/>
  <c r="BT455"/>
  <c r="BS455"/>
  <c r="BQ455"/>
  <c r="BO455"/>
  <c r="BL455"/>
  <c r="BI455"/>
  <c r="AP455"/>
  <c r="AG455"/>
  <c r="AB455"/>
  <c r="E455"/>
  <c r="A455"/>
  <c r="CV454"/>
  <c r="CU454"/>
  <c r="CT454"/>
  <c r="CS454"/>
  <c r="CR454"/>
  <c r="CQ454"/>
  <c r="CP454"/>
  <c r="CO454"/>
  <c r="CN454"/>
  <c r="CM454"/>
  <c r="CL454"/>
  <c r="CK454"/>
  <c r="CJ454"/>
  <c r="CI454"/>
  <c r="CH454"/>
  <c r="CG454"/>
  <c r="CF454"/>
  <c r="CE454"/>
  <c r="CD454"/>
  <c r="CC454"/>
  <c r="CB454"/>
  <c r="CA454"/>
  <c r="BZ454"/>
  <c r="BY454"/>
  <c r="BX454"/>
  <c r="BW454"/>
  <c r="BV454"/>
  <c r="BU454"/>
  <c r="BT454"/>
  <c r="BS454"/>
  <c r="BQ454"/>
  <c r="BO454"/>
  <c r="BL454"/>
  <c r="BI454"/>
  <c r="AP454"/>
  <c r="AG454"/>
  <c r="AB454"/>
  <c r="E454"/>
  <c r="A454"/>
  <c r="BT453"/>
  <c r="BS453"/>
  <c r="BQ453"/>
  <c r="BO453"/>
  <c r="BL453"/>
  <c r="BI453"/>
  <c r="BE453"/>
  <c r="AP453"/>
  <c r="AG453"/>
  <c r="AB453"/>
  <c r="E453"/>
  <c r="A453"/>
  <c r="BQ452"/>
  <c r="BO452"/>
  <c r="BL452"/>
  <c r="BI452"/>
  <c r="BE452"/>
  <c r="AP452"/>
  <c r="AG452"/>
  <c r="AB452"/>
  <c r="E452"/>
  <c r="A452"/>
  <c r="BQ451"/>
  <c r="BO451"/>
  <c r="BL451"/>
  <c r="BI451"/>
  <c r="BE451"/>
  <c r="AP451"/>
  <c r="AG451"/>
  <c r="AB451"/>
  <c r="E451"/>
  <c r="A451"/>
  <c r="BQ450"/>
  <c r="BO450"/>
  <c r="BL450"/>
  <c r="BI450"/>
  <c r="AP450"/>
  <c r="AG450"/>
  <c r="AB450"/>
  <c r="E450"/>
  <c r="A450"/>
  <c r="BQ449"/>
  <c r="BO449"/>
  <c r="BL449"/>
  <c r="BI449"/>
  <c r="AP449"/>
  <c r="AG449"/>
  <c r="AB449"/>
  <c r="E449"/>
  <c r="A449"/>
  <c r="BQ448"/>
  <c r="BO448"/>
  <c r="BL448"/>
  <c r="BI448"/>
  <c r="AP448"/>
  <c r="AG448"/>
  <c r="AB448"/>
  <c r="E448"/>
  <c r="A448"/>
  <c r="BV447"/>
  <c r="BU447"/>
  <c r="BT447"/>
  <c r="BS447"/>
  <c r="BQ447"/>
  <c r="BO447"/>
  <c r="BL447"/>
  <c r="BI447"/>
  <c r="AP447"/>
  <c r="AG447"/>
  <c r="AB447"/>
  <c r="E447"/>
  <c r="A447"/>
  <c r="BT446"/>
  <c r="BS446"/>
  <c r="BQ446"/>
  <c r="BO446"/>
  <c r="BL446"/>
  <c r="BI446"/>
  <c r="BE446"/>
  <c r="AP446"/>
  <c r="AG446"/>
  <c r="AB446"/>
  <c r="E446"/>
  <c r="A446"/>
  <c r="CH445"/>
  <c r="CG445"/>
  <c r="CF445"/>
  <c r="CE445"/>
  <c r="CD445"/>
  <c r="CC445"/>
  <c r="CB445"/>
  <c r="CA445"/>
  <c r="BZ445"/>
  <c r="BY445"/>
  <c r="BX445"/>
  <c r="BW445"/>
  <c r="BV445"/>
  <c r="BU445"/>
  <c r="BT445"/>
  <c r="BS445"/>
  <c r="BQ445"/>
  <c r="BO445"/>
  <c r="BL445"/>
  <c r="BI445"/>
  <c r="BE445"/>
  <c r="AP445"/>
  <c r="AG445"/>
  <c r="AB445"/>
  <c r="E445"/>
  <c r="A445"/>
  <c r="BQ428"/>
  <c r="BO428"/>
  <c r="BL428"/>
  <c r="AP428"/>
  <c r="AG428"/>
  <c r="AB428"/>
  <c r="E428"/>
  <c r="A428"/>
  <c r="BT427"/>
  <c r="BS427"/>
  <c r="BQ427"/>
  <c r="BI427"/>
  <c r="AG427"/>
  <c r="AB427"/>
  <c r="E427"/>
  <c r="A427"/>
  <c r="BV426"/>
  <c r="BU426"/>
  <c r="BT426"/>
  <c r="BS426"/>
  <c r="BQ426"/>
  <c r="BO426"/>
  <c r="BL426"/>
  <c r="BI426"/>
  <c r="AP426"/>
  <c r="AG426"/>
  <c r="AB426"/>
  <c r="E426"/>
  <c r="A426"/>
  <c r="BX425"/>
  <c r="BW425"/>
  <c r="BV425"/>
  <c r="BU425"/>
  <c r="BT425"/>
  <c r="BS425"/>
  <c r="BQ425"/>
  <c r="BL425"/>
  <c r="AP425"/>
  <c r="AG425"/>
  <c r="AB425"/>
  <c r="E425"/>
  <c r="A425"/>
  <c r="BQ424"/>
  <c r="BO424"/>
  <c r="BL424"/>
  <c r="AP424"/>
  <c r="AG424"/>
  <c r="V424"/>
  <c r="E424"/>
  <c r="A424"/>
  <c r="BQ423"/>
  <c r="BO423"/>
  <c r="BI423"/>
  <c r="AP423"/>
  <c r="AG423"/>
  <c r="AB423"/>
  <c r="E423"/>
  <c r="A423"/>
  <c r="CR422"/>
  <c r="CQ422"/>
  <c r="CP422"/>
  <c r="CO422"/>
  <c r="CN422"/>
  <c r="CM422"/>
  <c r="CL422"/>
  <c r="CK422"/>
  <c r="CJ422"/>
  <c r="CI422"/>
  <c r="CH422"/>
  <c r="CG422"/>
  <c r="CF422"/>
  <c r="CE422"/>
  <c r="CD422"/>
  <c r="CC422"/>
  <c r="CB422"/>
  <c r="CA422"/>
  <c r="BZ422"/>
  <c r="BY422"/>
  <c r="BX422"/>
  <c r="BW422"/>
  <c r="BV422"/>
  <c r="BU422"/>
  <c r="BT422"/>
  <c r="BS422"/>
  <c r="BQ422"/>
  <c r="BO422"/>
  <c r="BL422"/>
  <c r="AP422"/>
  <c r="AG422"/>
  <c r="AB422"/>
  <c r="V422"/>
  <c r="E422"/>
  <c r="A422"/>
  <c r="BV421"/>
  <c r="BU421"/>
  <c r="BT421"/>
  <c r="BS421"/>
  <c r="BQ421"/>
  <c r="BO421"/>
  <c r="BL421"/>
  <c r="BI421"/>
  <c r="AP421"/>
  <c r="AG421"/>
  <c r="AB421"/>
  <c r="E421"/>
  <c r="A421"/>
  <c r="CH420"/>
  <c r="CG420"/>
  <c r="CF420"/>
  <c r="CE420"/>
  <c r="CD420"/>
  <c r="CC420"/>
  <c r="CB420"/>
  <c r="CA420"/>
  <c r="BZ420"/>
  <c r="BY420"/>
  <c r="BX420"/>
  <c r="BW420"/>
  <c r="BV420"/>
  <c r="BU420"/>
  <c r="BT420"/>
  <c r="BS420"/>
  <c r="BQ420"/>
  <c r="BO420"/>
  <c r="BL420"/>
  <c r="BI420"/>
  <c r="AP420"/>
  <c r="AG420"/>
  <c r="AB420"/>
  <c r="E420"/>
  <c r="A420"/>
  <c r="CH419"/>
  <c r="CG419"/>
  <c r="CF419"/>
  <c r="CE419"/>
  <c r="CD419"/>
  <c r="CC419"/>
  <c r="CB419"/>
  <c r="CA419"/>
  <c r="BZ419"/>
  <c r="BY419"/>
  <c r="BX419"/>
  <c r="BW419"/>
  <c r="BV419"/>
  <c r="BU419"/>
  <c r="BT419"/>
  <c r="BS419"/>
  <c r="BQ419"/>
  <c r="BO419"/>
  <c r="BL419"/>
  <c r="BI419"/>
  <c r="AP419"/>
  <c r="AG419"/>
  <c r="AB419"/>
  <c r="E419"/>
  <c r="A419"/>
  <c r="BT418"/>
  <c r="BS418"/>
  <c r="BQ418"/>
  <c r="BO418"/>
  <c r="BL418"/>
  <c r="BI418"/>
  <c r="AP418"/>
  <c r="AG418"/>
  <c r="AB418"/>
  <c r="E418"/>
  <c r="A418"/>
  <c r="BQ294"/>
  <c r="BO294"/>
  <c r="BL294"/>
  <c r="BI294"/>
  <c r="AP294"/>
  <c r="AG294"/>
  <c r="AB294"/>
  <c r="E294"/>
  <c r="A294"/>
  <c r="BV417"/>
  <c r="BU417"/>
  <c r="BT417"/>
  <c r="BS417"/>
  <c r="BQ417"/>
  <c r="BO417"/>
  <c r="BI417"/>
  <c r="AP417"/>
  <c r="AG417"/>
  <c r="AB417"/>
  <c r="E417"/>
  <c r="A417"/>
  <c r="BV416"/>
  <c r="BU416"/>
  <c r="BT416"/>
  <c r="BS416"/>
  <c r="BQ416"/>
  <c r="BO416"/>
  <c r="BL416"/>
  <c r="BI416"/>
  <c r="AP416"/>
  <c r="AG416"/>
  <c r="AB416"/>
  <c r="E416"/>
  <c r="A416"/>
  <c r="BQ415"/>
  <c r="BO415"/>
  <c r="BL415"/>
  <c r="AP415"/>
  <c r="AG415"/>
  <c r="AB415"/>
  <c r="E415"/>
  <c r="A415"/>
  <c r="BX414"/>
  <c r="BW414"/>
  <c r="BV414"/>
  <c r="BU414"/>
  <c r="BT414"/>
  <c r="BS414"/>
  <c r="AP414"/>
  <c r="AG414"/>
  <c r="AB414"/>
  <c r="E414"/>
  <c r="A414"/>
  <c r="BT413"/>
  <c r="BS413"/>
  <c r="BQ413"/>
  <c r="BO413"/>
  <c r="BI413"/>
  <c r="AP413"/>
  <c r="AG413"/>
  <c r="AB413"/>
  <c r="E413"/>
  <c r="A413"/>
  <c r="BZ412"/>
  <c r="BY412"/>
  <c r="BX412"/>
  <c r="BW412"/>
  <c r="BV412"/>
  <c r="BU412"/>
  <c r="BT412"/>
  <c r="BS412"/>
  <c r="BQ412"/>
  <c r="BL412"/>
  <c r="BI412"/>
  <c r="AP412"/>
  <c r="AG412"/>
  <c r="AB412"/>
  <c r="E412"/>
  <c r="A412"/>
  <c r="CD411"/>
  <c r="CC411"/>
  <c r="CB411"/>
  <c r="CA411"/>
  <c r="BZ411"/>
  <c r="BY411"/>
  <c r="BX411"/>
  <c r="BW411"/>
  <c r="BV411"/>
  <c r="BU411"/>
  <c r="BT411"/>
  <c r="BS411"/>
  <c r="BQ411"/>
  <c r="BO411"/>
  <c r="AP411"/>
  <c r="AG411"/>
  <c r="AB411"/>
  <c r="E411"/>
  <c r="A411"/>
  <c r="CF410"/>
  <c r="CE410"/>
  <c r="CD410"/>
  <c r="CC410"/>
  <c r="CB410"/>
  <c r="CA410"/>
  <c r="BZ410"/>
  <c r="BY410"/>
  <c r="BX410"/>
  <c r="BW410"/>
  <c r="BV410"/>
  <c r="BU410"/>
  <c r="BT410"/>
  <c r="BS410"/>
  <c r="AP410"/>
  <c r="AG410"/>
  <c r="AB410"/>
  <c r="E410"/>
  <c r="A410"/>
  <c r="CF409"/>
  <c r="CE409"/>
  <c r="CD409"/>
  <c r="CC409"/>
  <c r="CB409"/>
  <c r="CA409"/>
  <c r="BZ409"/>
  <c r="BY409"/>
  <c r="BX409"/>
  <c r="BW409"/>
  <c r="BV409"/>
  <c r="BU409"/>
  <c r="BT409"/>
  <c r="BS409"/>
  <c r="BQ409"/>
  <c r="BO409"/>
  <c r="BL409"/>
  <c r="BI409"/>
  <c r="AP409"/>
  <c r="AG409"/>
  <c r="AB409"/>
  <c r="V409"/>
  <c r="E409"/>
  <c r="A409"/>
  <c r="BT408"/>
  <c r="BS408"/>
  <c r="BQ408"/>
  <c r="BO408"/>
  <c r="BL408"/>
  <c r="BI408"/>
  <c r="AP408"/>
  <c r="AG408"/>
  <c r="AB408"/>
  <c r="E408"/>
  <c r="A408"/>
  <c r="CD437"/>
  <c r="CC437"/>
  <c r="CB437"/>
  <c r="CA437"/>
  <c r="BZ437"/>
  <c r="BY437"/>
  <c r="BX437"/>
  <c r="BW437"/>
  <c r="BV437"/>
  <c r="BU437"/>
  <c r="BT437"/>
  <c r="BS437"/>
  <c r="BQ437"/>
  <c r="BL437"/>
  <c r="BI437"/>
  <c r="AP437"/>
  <c r="AG437"/>
  <c r="AB437"/>
  <c r="V437"/>
  <c r="E437"/>
  <c r="A437"/>
  <c r="CR439"/>
  <c r="CQ439"/>
  <c r="CP439"/>
  <c r="CO439"/>
  <c r="CN439"/>
  <c r="CM439"/>
  <c r="CL439"/>
  <c r="CK439"/>
  <c r="CJ439"/>
  <c r="CI439"/>
  <c r="CH439"/>
  <c r="CG439"/>
  <c r="CF439"/>
  <c r="CE439"/>
  <c r="CD439"/>
  <c r="CC439"/>
  <c r="CB439"/>
  <c r="CA439"/>
  <c r="BZ439"/>
  <c r="BY439"/>
  <c r="BX439"/>
  <c r="BW439"/>
  <c r="BV439"/>
  <c r="BU439"/>
  <c r="BT439"/>
  <c r="BS439"/>
  <c r="BO439"/>
  <c r="BI439"/>
  <c r="AP439"/>
  <c r="AG439"/>
  <c r="AB439"/>
  <c r="V439"/>
  <c r="E439"/>
  <c r="A439"/>
  <c r="CR429"/>
  <c r="CQ429"/>
  <c r="CP429"/>
  <c r="CO429"/>
  <c r="CN429"/>
  <c r="CM429"/>
  <c r="CL429"/>
  <c r="CK429"/>
  <c r="CJ429"/>
  <c r="CI429"/>
  <c r="CH429"/>
  <c r="CG429"/>
  <c r="CF429"/>
  <c r="CE429"/>
  <c r="CD429"/>
  <c r="CC429"/>
  <c r="CB429"/>
  <c r="CA429"/>
  <c r="BZ429"/>
  <c r="BY429"/>
  <c r="BX429"/>
  <c r="BW429"/>
  <c r="BV429"/>
  <c r="BU429"/>
  <c r="BT429"/>
  <c r="BS429"/>
  <c r="BO429"/>
  <c r="BL429"/>
  <c r="BI429"/>
  <c r="AP429"/>
  <c r="AG429"/>
  <c r="AB429"/>
  <c r="V429"/>
  <c r="E429"/>
  <c r="A429"/>
  <c r="BQ407"/>
  <c r="BO407"/>
  <c r="BL407"/>
  <c r="BI407"/>
  <c r="AP407"/>
  <c r="AG407"/>
  <c r="AB407"/>
  <c r="E407"/>
  <c r="A407"/>
  <c r="BV293"/>
  <c r="BU293"/>
  <c r="BT293"/>
  <c r="BS293"/>
  <c r="BQ293"/>
  <c r="AP293"/>
  <c r="AG293"/>
  <c r="AB293"/>
  <c r="V293"/>
  <c r="E293"/>
  <c r="A293"/>
  <c r="BQ406"/>
  <c r="BO406"/>
  <c r="BL406"/>
  <c r="BI406"/>
  <c r="AP406"/>
  <c r="AG406"/>
  <c r="AB406"/>
  <c r="E406"/>
  <c r="A406"/>
  <c r="CD405"/>
  <c r="CC405"/>
  <c r="CB405"/>
  <c r="CA405"/>
  <c r="BZ405"/>
  <c r="BY405"/>
  <c r="BX405"/>
  <c r="BW405"/>
  <c r="BV405"/>
  <c r="BU405"/>
  <c r="BT405"/>
  <c r="BS405"/>
  <c r="BQ405"/>
  <c r="AP405"/>
  <c r="AG405"/>
  <c r="AB405"/>
  <c r="E405"/>
  <c r="A405"/>
  <c r="BV404"/>
  <c r="BU404"/>
  <c r="BT404"/>
  <c r="BS404"/>
  <c r="BQ404"/>
  <c r="BO404"/>
  <c r="AG404"/>
  <c r="AB404"/>
  <c r="E404"/>
  <c r="A404"/>
  <c r="BT296"/>
  <c r="BS296"/>
  <c r="BQ296"/>
  <c r="BL296"/>
  <c r="AP296"/>
  <c r="AG296"/>
  <c r="AB296"/>
  <c r="E296"/>
  <c r="A296"/>
  <c r="CD403"/>
  <c r="CC403"/>
  <c r="CB403"/>
  <c r="CA403"/>
  <c r="BZ403"/>
  <c r="BY403"/>
  <c r="BX403"/>
  <c r="BW403"/>
  <c r="BV403"/>
  <c r="BU403"/>
  <c r="BT403"/>
  <c r="BS403"/>
  <c r="BQ403"/>
  <c r="BO403"/>
  <c r="BL403"/>
  <c r="BI403"/>
  <c r="AP403"/>
  <c r="AG403"/>
  <c r="AB403"/>
  <c r="E403"/>
  <c r="A403"/>
  <c r="CF402"/>
  <c r="CE402"/>
  <c r="CD402"/>
  <c r="CC402"/>
  <c r="CB402"/>
  <c r="CA402"/>
  <c r="BZ402"/>
  <c r="BY402"/>
  <c r="BX402"/>
  <c r="BW402"/>
  <c r="BV402"/>
  <c r="BU402"/>
  <c r="BT402"/>
  <c r="BS402"/>
  <c r="BQ402"/>
  <c r="BO402"/>
  <c r="AP402"/>
  <c r="AG402"/>
  <c r="AB402"/>
  <c r="E402"/>
  <c r="A402"/>
  <c r="BV401"/>
  <c r="BU401"/>
  <c r="BT401"/>
  <c r="BS401"/>
  <c r="BQ401"/>
  <c r="BO401"/>
  <c r="BL401"/>
  <c r="AP401"/>
  <c r="AG401"/>
  <c r="V401"/>
  <c r="E401"/>
  <c r="A401"/>
  <c r="BX438"/>
  <c r="BW438"/>
  <c r="BV438"/>
  <c r="BU438"/>
  <c r="BT438"/>
  <c r="BS438"/>
  <c r="BQ438"/>
  <c r="AP438"/>
  <c r="AG438"/>
  <c r="AB438"/>
  <c r="V438"/>
  <c r="E438"/>
  <c r="A438"/>
  <c r="CR400"/>
  <c r="CQ400"/>
  <c r="CP400"/>
  <c r="CO400"/>
  <c r="CN400"/>
  <c r="CM400"/>
  <c r="CL400"/>
  <c r="CK400"/>
  <c r="CJ400"/>
  <c r="CI400"/>
  <c r="CH400"/>
  <c r="CG400"/>
  <c r="CF400"/>
  <c r="CE400"/>
  <c r="CD400"/>
  <c r="CC400"/>
  <c r="CB400"/>
  <c r="CA400"/>
  <c r="BZ400"/>
  <c r="BY400"/>
  <c r="BX400"/>
  <c r="BW400"/>
  <c r="BV400"/>
  <c r="BU400"/>
  <c r="BT400"/>
  <c r="BS400"/>
  <c r="BQ400"/>
  <c r="BO400"/>
  <c r="BL400"/>
  <c r="BI400"/>
  <c r="AP400"/>
  <c r="AG400"/>
  <c r="AB400"/>
  <c r="E400"/>
  <c r="A400"/>
  <c r="CR399"/>
  <c r="CQ399"/>
  <c r="CP399"/>
  <c r="CO399"/>
  <c r="CN399"/>
  <c r="CM399"/>
  <c r="CL399"/>
  <c r="CK399"/>
  <c r="CJ399"/>
  <c r="CI399"/>
  <c r="CH399"/>
  <c r="CG399"/>
  <c r="CF399"/>
  <c r="CE399"/>
  <c r="CD399"/>
  <c r="CC399"/>
  <c r="CB399"/>
  <c r="CA399"/>
  <c r="BZ399"/>
  <c r="BY399"/>
  <c r="BX399"/>
  <c r="BW399"/>
  <c r="BV399"/>
  <c r="BU399"/>
  <c r="BT399"/>
  <c r="BS399"/>
  <c r="BQ399"/>
  <c r="BO399"/>
  <c r="BL399"/>
  <c r="BI399"/>
  <c r="AP399"/>
  <c r="AG399"/>
  <c r="AB399"/>
  <c r="E399"/>
  <c r="A399"/>
  <c r="BZ398"/>
  <c r="BY398"/>
  <c r="BX398"/>
  <c r="BW398"/>
  <c r="BV398"/>
  <c r="BU398"/>
  <c r="BT398"/>
  <c r="BS398"/>
  <c r="BQ398"/>
  <c r="BL398"/>
  <c r="AP398"/>
  <c r="AG398"/>
  <c r="AB398"/>
  <c r="V398"/>
  <c r="E398"/>
  <c r="A398"/>
  <c r="BT397"/>
  <c r="BS397"/>
  <c r="BQ397"/>
  <c r="BO397"/>
  <c r="BL397"/>
  <c r="BI397"/>
  <c r="AP397"/>
  <c r="AG397"/>
  <c r="AB397"/>
  <c r="E397"/>
  <c r="A397"/>
  <c r="BT396"/>
  <c r="BS396"/>
  <c r="BQ396"/>
  <c r="BO396"/>
  <c r="BL396"/>
  <c r="BI396"/>
  <c r="AP396"/>
  <c r="AG396"/>
  <c r="AB396"/>
  <c r="E396"/>
  <c r="A396"/>
  <c r="BT395"/>
  <c r="BS395"/>
  <c r="BQ395"/>
  <c r="BO395"/>
  <c r="BL395"/>
  <c r="AP395"/>
  <c r="AG395"/>
  <c r="AB395"/>
  <c r="E395"/>
  <c r="A395"/>
  <c r="BT394"/>
  <c r="BS394"/>
  <c r="BQ394"/>
  <c r="BO394"/>
  <c r="BI394"/>
  <c r="BE394"/>
  <c r="AP394"/>
  <c r="AG394"/>
  <c r="AB394"/>
  <c r="E394"/>
  <c r="A394"/>
  <c r="BT393"/>
  <c r="BS393"/>
  <c r="BQ393"/>
  <c r="BI393"/>
  <c r="AP393"/>
  <c r="AG393"/>
  <c r="AB393"/>
  <c r="E393"/>
  <c r="A393"/>
  <c r="BX392"/>
  <c r="BW392"/>
  <c r="BV392"/>
  <c r="BU392"/>
  <c r="BT392"/>
  <c r="BS392"/>
  <c r="BQ392"/>
  <c r="AP392"/>
  <c r="AG392"/>
  <c r="AB392"/>
  <c r="E392"/>
  <c r="A392"/>
  <c r="BQ391"/>
  <c r="BL391"/>
  <c r="BI391"/>
  <c r="AP391"/>
  <c r="AG391"/>
  <c r="AB391"/>
  <c r="E391"/>
  <c r="A391"/>
  <c r="BZ390"/>
  <c r="BY390"/>
  <c r="BX390"/>
  <c r="BW390"/>
  <c r="BV390"/>
  <c r="BU390"/>
  <c r="BT390"/>
  <c r="BS390"/>
  <c r="BQ390"/>
  <c r="BO390"/>
  <c r="BI390"/>
  <c r="AP390"/>
  <c r="AG390"/>
  <c r="AB390"/>
  <c r="E390"/>
  <c r="A390"/>
  <c r="BT389"/>
  <c r="BS389"/>
  <c r="BQ389"/>
  <c r="BO389"/>
  <c r="BL389"/>
  <c r="BI389"/>
  <c r="AP389"/>
  <c r="AG389"/>
  <c r="AB389"/>
  <c r="E389"/>
  <c r="A389"/>
  <c r="BQ388"/>
  <c r="BO388"/>
  <c r="BL388"/>
  <c r="BI388"/>
  <c r="AP388"/>
  <c r="AG388"/>
  <c r="AB388"/>
  <c r="E388"/>
  <c r="A388"/>
  <c r="BQ387"/>
  <c r="BO387"/>
  <c r="BL387"/>
  <c r="BI387"/>
  <c r="AP387"/>
  <c r="AG387"/>
  <c r="AB387"/>
  <c r="E387"/>
  <c r="A387"/>
  <c r="BV386"/>
  <c r="BU386"/>
  <c r="BT386"/>
  <c r="BS386"/>
  <c r="BQ386"/>
  <c r="BO386"/>
  <c r="BL386"/>
  <c r="AP386"/>
  <c r="AG386"/>
  <c r="AB386"/>
  <c r="E386"/>
  <c r="A386"/>
  <c r="BZ436"/>
  <c r="BY436"/>
  <c r="BX436"/>
  <c r="BW436"/>
  <c r="BV436"/>
  <c r="BU436"/>
  <c r="BT436"/>
  <c r="BS436"/>
  <c r="BQ436"/>
  <c r="BO436"/>
  <c r="BL436"/>
  <c r="BI436"/>
  <c r="AP436"/>
  <c r="AG436"/>
  <c r="AB436"/>
  <c r="V436"/>
  <c r="E436"/>
  <c r="A436"/>
  <c r="BX435"/>
  <c r="BW435"/>
  <c r="BV435"/>
  <c r="BU435"/>
  <c r="BT435"/>
  <c r="BS435"/>
  <c r="BQ435"/>
  <c r="BL435"/>
  <c r="BI435"/>
  <c r="AP435"/>
  <c r="AG435"/>
  <c r="AB435"/>
  <c r="V435"/>
  <c r="E435"/>
  <c r="A435"/>
  <c r="BQ385"/>
  <c r="BO385"/>
  <c r="BL385"/>
  <c r="BI385"/>
  <c r="AP385"/>
  <c r="AG385"/>
  <c r="AB385"/>
  <c r="E385"/>
  <c r="A385"/>
  <c r="CD384"/>
  <c r="CC384"/>
  <c r="CB384"/>
  <c r="CA384"/>
  <c r="BZ384"/>
  <c r="BY384"/>
  <c r="BX384"/>
  <c r="BW384"/>
  <c r="BV384"/>
  <c r="BU384"/>
  <c r="BT384"/>
  <c r="BS384"/>
  <c r="BQ384"/>
  <c r="AP384"/>
  <c r="AG384"/>
  <c r="AB384"/>
  <c r="E384"/>
  <c r="A384"/>
  <c r="CL383"/>
  <c r="CK383"/>
  <c r="CJ383"/>
  <c r="CI383"/>
  <c r="CH383"/>
  <c r="CG383"/>
  <c r="CF383"/>
  <c r="CE383"/>
  <c r="CD383"/>
  <c r="CC383"/>
  <c r="CB383"/>
  <c r="CA383"/>
  <c r="BZ383"/>
  <c r="BY383"/>
  <c r="BX383"/>
  <c r="BW383"/>
  <c r="BV383"/>
  <c r="BU383"/>
  <c r="BT383"/>
  <c r="BS383"/>
  <c r="AG383"/>
  <c r="AB383"/>
  <c r="E383"/>
  <c r="A383"/>
  <c r="BX382"/>
  <c r="BW382"/>
  <c r="BV382"/>
  <c r="BU382"/>
  <c r="BT382"/>
  <c r="BS382"/>
  <c r="BQ382"/>
  <c r="AP382"/>
  <c r="AG382"/>
  <c r="AB382"/>
  <c r="E382"/>
  <c r="A382"/>
  <c r="BV381"/>
  <c r="BU381"/>
  <c r="BT381"/>
  <c r="BS381"/>
  <c r="BQ381"/>
  <c r="BO381"/>
  <c r="AP381"/>
  <c r="AG381"/>
  <c r="AB381"/>
  <c r="E381"/>
  <c r="A381"/>
  <c r="BV380"/>
  <c r="BU380"/>
  <c r="BT380"/>
  <c r="BS380"/>
  <c r="BQ380"/>
  <c r="AP380"/>
  <c r="AG380"/>
  <c r="AB380"/>
  <c r="V380"/>
  <c r="E380"/>
  <c r="A380"/>
  <c r="BV379"/>
  <c r="BU379"/>
  <c r="BT379"/>
  <c r="BS379"/>
  <c r="BQ379"/>
  <c r="BO379"/>
  <c r="BL379"/>
  <c r="AP379"/>
  <c r="AG379"/>
  <c r="AB379"/>
  <c r="E379"/>
  <c r="A379"/>
  <c r="CD378"/>
  <c r="CC378"/>
  <c r="CB378"/>
  <c r="CA378"/>
  <c r="BZ378"/>
  <c r="BY378"/>
  <c r="BX378"/>
  <c r="BW378"/>
  <c r="BV378"/>
  <c r="BU378"/>
  <c r="BT378"/>
  <c r="BS378"/>
  <c r="BQ378"/>
  <c r="AP378"/>
  <c r="AG378"/>
  <c r="AB378"/>
  <c r="E378"/>
  <c r="A378"/>
  <c r="BZ377"/>
  <c r="BY377"/>
  <c r="BX377"/>
  <c r="BW377"/>
  <c r="BV377"/>
  <c r="BU377"/>
  <c r="BT377"/>
  <c r="BS377"/>
  <c r="BQ377"/>
  <c r="BO377"/>
  <c r="BL377"/>
  <c r="BI377"/>
  <c r="AP377"/>
  <c r="AG377"/>
  <c r="AB377"/>
  <c r="E377"/>
  <c r="A377"/>
  <c r="BV376"/>
  <c r="BU376"/>
  <c r="BT376"/>
  <c r="BS376"/>
  <c r="BQ376"/>
  <c r="BO376"/>
  <c r="BL376"/>
  <c r="BI376"/>
  <c r="AP376"/>
  <c r="AG376"/>
  <c r="AB376"/>
  <c r="E376"/>
  <c r="A376"/>
  <c r="BX375"/>
  <c r="BW375"/>
  <c r="BV375"/>
  <c r="BU375"/>
  <c r="BT375"/>
  <c r="BS375"/>
  <c r="BQ375"/>
  <c r="BO375"/>
  <c r="BL375"/>
  <c r="BI375"/>
  <c r="AP375"/>
  <c r="AG375"/>
  <c r="AB375"/>
  <c r="E375"/>
  <c r="A375"/>
  <c r="BT374"/>
  <c r="BS374"/>
  <c r="BQ374"/>
  <c r="BO374"/>
  <c r="BL374"/>
  <c r="BI374"/>
  <c r="AP374"/>
  <c r="AG374"/>
  <c r="AB374"/>
  <c r="V374"/>
  <c r="E374"/>
  <c r="A374"/>
  <c r="BV373"/>
  <c r="BU373"/>
  <c r="BT373"/>
  <c r="BS373"/>
  <c r="BQ373"/>
  <c r="BL373"/>
  <c r="BI373"/>
  <c r="AP373"/>
  <c r="AG373"/>
  <c r="AB373"/>
  <c r="E373"/>
  <c r="A373"/>
  <c r="BQ291"/>
  <c r="AP291"/>
  <c r="AG291"/>
  <c r="AB291"/>
  <c r="V291"/>
  <c r="E291"/>
  <c r="A291"/>
  <c r="BT372"/>
  <c r="BS372"/>
  <c r="BQ372"/>
  <c r="BO372"/>
  <c r="BL372"/>
  <c r="BI372"/>
  <c r="AP372"/>
  <c r="AG372"/>
  <c r="AB372"/>
  <c r="V372"/>
  <c r="E372"/>
  <c r="A372"/>
  <c r="BT371"/>
  <c r="BS371"/>
  <c r="BQ371"/>
  <c r="BO371"/>
  <c r="BL371"/>
  <c r="AP371"/>
  <c r="AG371"/>
  <c r="AB371"/>
  <c r="E371"/>
  <c r="A371"/>
  <c r="BZ370"/>
  <c r="BY370"/>
  <c r="BX370"/>
  <c r="BW370"/>
  <c r="BV370"/>
  <c r="BU370"/>
  <c r="BT370"/>
  <c r="BS370"/>
  <c r="BQ370"/>
  <c r="BI370"/>
  <c r="AP370"/>
  <c r="AG370"/>
  <c r="AB370"/>
  <c r="E370"/>
  <c r="A370"/>
  <c r="BV369"/>
  <c r="BU369"/>
  <c r="BT369"/>
  <c r="BS369"/>
  <c r="BQ369"/>
  <c r="BO369"/>
  <c r="BI369"/>
  <c r="AP369"/>
  <c r="AG369"/>
  <c r="AB369"/>
  <c r="E369"/>
  <c r="A369"/>
  <c r="CL368"/>
  <c r="CK368"/>
  <c r="CJ368"/>
  <c r="CI368"/>
  <c r="CH368"/>
  <c r="CG368"/>
  <c r="CF368"/>
  <c r="CE368"/>
  <c r="CD368"/>
  <c r="CC368"/>
  <c r="CB368"/>
  <c r="CA368"/>
  <c r="BZ368"/>
  <c r="BY368"/>
  <c r="BX368"/>
  <c r="BW368"/>
  <c r="BV368"/>
  <c r="BU368"/>
  <c r="BT368"/>
  <c r="BS368"/>
  <c r="AP368"/>
  <c r="AG368"/>
  <c r="AB368"/>
  <c r="E368"/>
  <c r="A368"/>
  <c r="BT367"/>
  <c r="BS367"/>
  <c r="BQ367"/>
  <c r="BO367"/>
  <c r="BL367"/>
  <c r="BI367"/>
  <c r="AP367"/>
  <c r="AG367"/>
  <c r="AB367"/>
  <c r="E367"/>
  <c r="A367"/>
  <c r="BX434"/>
  <c r="BW434"/>
  <c r="BV434"/>
  <c r="BU434"/>
  <c r="BT434"/>
  <c r="BS434"/>
  <c r="BQ434"/>
  <c r="BO434"/>
  <c r="BL434"/>
  <c r="BI434"/>
  <c r="AP434"/>
  <c r="AG434"/>
  <c r="AB434"/>
  <c r="E434"/>
  <c r="A434"/>
  <c r="BV366"/>
  <c r="BU366"/>
  <c r="BT366"/>
  <c r="BS366"/>
  <c r="BQ366"/>
  <c r="BO366"/>
  <c r="BL366"/>
  <c r="BI366"/>
  <c r="AP366"/>
  <c r="AG366"/>
  <c r="AB366"/>
  <c r="V366"/>
  <c r="E366"/>
  <c r="A366"/>
  <c r="BT365"/>
  <c r="BS365"/>
  <c r="BQ365"/>
  <c r="BO365"/>
  <c r="BL365"/>
  <c r="BI365"/>
  <c r="AP365"/>
  <c r="AG365"/>
  <c r="AB365"/>
  <c r="E365"/>
  <c r="A365"/>
  <c r="BZ288"/>
  <c r="BY288"/>
  <c r="BX288"/>
  <c r="BW288"/>
  <c r="BV288"/>
  <c r="BU288"/>
  <c r="BT288"/>
  <c r="BS288"/>
  <c r="BQ288"/>
  <c r="BO288"/>
  <c r="BL288"/>
  <c r="BI288"/>
  <c r="AP288"/>
  <c r="AG288"/>
  <c r="AB288"/>
  <c r="V288"/>
  <c r="E288"/>
  <c r="A288"/>
  <c r="BV364"/>
  <c r="BU364"/>
  <c r="BT364"/>
  <c r="BS364"/>
  <c r="BQ364"/>
  <c r="BO364"/>
  <c r="BI364"/>
  <c r="AP364"/>
  <c r="AG364"/>
  <c r="AB364"/>
  <c r="E364"/>
  <c r="A364"/>
  <c r="BQ363"/>
  <c r="BO363"/>
  <c r="BL363"/>
  <c r="BI363"/>
  <c r="AP363"/>
  <c r="AG363"/>
  <c r="AB363"/>
  <c r="E363"/>
  <c r="A363"/>
  <c r="CB362"/>
  <c r="CA362"/>
  <c r="BZ362"/>
  <c r="BY362"/>
  <c r="BX362"/>
  <c r="BW362"/>
  <c r="BV362"/>
  <c r="BU362"/>
  <c r="BT362"/>
  <c r="BS362"/>
  <c r="AP362"/>
  <c r="AG362"/>
  <c r="AB362"/>
  <c r="V362"/>
  <c r="E362"/>
  <c r="A362"/>
  <c r="BQ361"/>
  <c r="AG361"/>
  <c r="AB361"/>
  <c r="E361"/>
  <c r="A361"/>
  <c r="BX292"/>
  <c r="BW292"/>
  <c r="BV292"/>
  <c r="BU292"/>
  <c r="BT292"/>
  <c r="BS292"/>
  <c r="BQ292"/>
  <c r="BO292"/>
  <c r="BL292"/>
  <c r="BI292"/>
  <c r="AP292"/>
  <c r="AG292"/>
  <c r="AB292"/>
  <c r="V292"/>
  <c r="E292"/>
  <c r="A292"/>
  <c r="CD360"/>
  <c r="CC360"/>
  <c r="CB360"/>
  <c r="CA360"/>
  <c r="BZ360"/>
  <c r="BY360"/>
  <c r="BX360"/>
  <c r="BW360"/>
  <c r="BV360"/>
  <c r="BU360"/>
  <c r="BT360"/>
  <c r="BS360"/>
  <c r="BQ360"/>
  <c r="BO360"/>
  <c r="AP360"/>
  <c r="AG360"/>
  <c r="AB360"/>
  <c r="E360"/>
  <c r="A360"/>
  <c r="CB359"/>
  <c r="CA359"/>
  <c r="BZ359"/>
  <c r="BY359"/>
  <c r="BX359"/>
  <c r="BW359"/>
  <c r="BV359"/>
  <c r="BU359"/>
  <c r="BT359"/>
  <c r="BS359"/>
  <c r="BQ359"/>
  <c r="BL359"/>
  <c r="BI359"/>
  <c r="AG359"/>
  <c r="AB359"/>
  <c r="E359"/>
  <c r="A359"/>
  <c r="BT358"/>
  <c r="BS358"/>
  <c r="BQ358"/>
  <c r="BO358"/>
  <c r="BI358"/>
  <c r="AP358"/>
  <c r="AG358"/>
  <c r="AB358"/>
  <c r="E358"/>
  <c r="A358"/>
  <c r="BT357"/>
  <c r="BS357"/>
  <c r="BQ357"/>
  <c r="BL357"/>
  <c r="BI357"/>
  <c r="AP357"/>
  <c r="AG357"/>
  <c r="AB357"/>
  <c r="E357"/>
  <c r="A357"/>
  <c r="BI356"/>
  <c r="AG356"/>
  <c r="AB356"/>
  <c r="E356"/>
  <c r="A356"/>
  <c r="CF355"/>
  <c r="CE355"/>
  <c r="CD355"/>
  <c r="CC355"/>
  <c r="CB355"/>
  <c r="CA355"/>
  <c r="BZ355"/>
  <c r="BY355"/>
  <c r="BX355"/>
  <c r="BW355"/>
  <c r="BV355"/>
  <c r="BU355"/>
  <c r="BT355"/>
  <c r="BS355"/>
  <c r="AP355"/>
  <c r="AG355"/>
  <c r="AB355"/>
  <c r="E355"/>
  <c r="A355"/>
  <c r="CB354"/>
  <c r="CA354"/>
  <c r="BZ354"/>
  <c r="BY354"/>
  <c r="BX354"/>
  <c r="BW354"/>
  <c r="BV354"/>
  <c r="BU354"/>
  <c r="BT354"/>
  <c r="BS354"/>
  <c r="BQ354"/>
  <c r="BL354"/>
  <c r="AP354"/>
  <c r="AG354"/>
  <c r="AB354"/>
  <c r="E354"/>
  <c r="A354"/>
  <c r="BX353"/>
  <c r="BW353"/>
  <c r="BV353"/>
  <c r="BU353"/>
  <c r="BT353"/>
  <c r="BS353"/>
  <c r="BQ353"/>
  <c r="AP353"/>
  <c r="AG353"/>
  <c r="AB353"/>
  <c r="E353"/>
  <c r="A353"/>
  <c r="BQ352"/>
  <c r="BL352"/>
  <c r="BI352"/>
  <c r="AP352"/>
  <c r="AG352"/>
  <c r="AB352"/>
  <c r="E352"/>
  <c r="A352"/>
  <c r="BV351"/>
  <c r="BU351"/>
  <c r="BT351"/>
  <c r="BS351"/>
  <c r="BQ351"/>
  <c r="BO351"/>
  <c r="BL351"/>
  <c r="BI351"/>
  <c r="AP351"/>
  <c r="AG351"/>
  <c r="AB351"/>
  <c r="E351"/>
  <c r="A351"/>
  <c r="CH350"/>
  <c r="CG350"/>
  <c r="CF350"/>
  <c r="CE350"/>
  <c r="CD350"/>
  <c r="CC350"/>
  <c r="CB350"/>
  <c r="CA350"/>
  <c r="BZ350"/>
  <c r="BY350"/>
  <c r="BX350"/>
  <c r="BW350"/>
  <c r="BV350"/>
  <c r="BU350"/>
  <c r="BT350"/>
  <c r="BS350"/>
  <c r="AP350"/>
  <c r="AG350"/>
  <c r="AB350"/>
  <c r="E350"/>
  <c r="A350"/>
  <c r="CD349"/>
  <c r="CC349"/>
  <c r="CB349"/>
  <c r="CA349"/>
  <c r="BZ349"/>
  <c r="BY349"/>
  <c r="BX349"/>
  <c r="BW349"/>
  <c r="BV349"/>
  <c r="BU349"/>
  <c r="BT349"/>
  <c r="BS349"/>
  <c r="BQ349"/>
  <c r="BO349"/>
  <c r="AP349"/>
  <c r="AG349"/>
  <c r="AB349"/>
  <c r="E349"/>
  <c r="A349"/>
  <c r="CH348"/>
  <c r="CG348"/>
  <c r="CF348"/>
  <c r="CE348"/>
  <c r="CD348"/>
  <c r="CC348"/>
  <c r="CB348"/>
  <c r="CA348"/>
  <c r="BZ348"/>
  <c r="BY348"/>
  <c r="BX348"/>
  <c r="BW348"/>
  <c r="BV348"/>
  <c r="BU348"/>
  <c r="BT348"/>
  <c r="BS348"/>
  <c r="BQ348"/>
  <c r="AP348"/>
  <c r="AG348"/>
  <c r="AB348"/>
  <c r="E348"/>
  <c r="A348"/>
  <c r="BX295"/>
  <c r="BW295"/>
  <c r="BV295"/>
  <c r="BU295"/>
  <c r="BT295"/>
  <c r="BS295"/>
  <c r="BQ295"/>
  <c r="BO295"/>
  <c r="AP295"/>
  <c r="AG295"/>
  <c r="AB295"/>
  <c r="V295"/>
  <c r="E295"/>
  <c r="A295"/>
  <c r="BX347"/>
  <c r="BW347"/>
  <c r="BV347"/>
  <c r="BU347"/>
  <c r="BT347"/>
  <c r="BS347"/>
  <c r="BQ347"/>
  <c r="BO347"/>
  <c r="BL347"/>
  <c r="BI347"/>
  <c r="AP347"/>
  <c r="AG347"/>
  <c r="AB347"/>
  <c r="V347"/>
  <c r="E347"/>
  <c r="A347"/>
  <c r="CD442"/>
  <c r="CC442"/>
  <c r="CB442"/>
  <c r="CA442"/>
  <c r="BZ442"/>
  <c r="BY442"/>
  <c r="BX442"/>
  <c r="BW442"/>
  <c r="BV442"/>
  <c r="BU442"/>
  <c r="BT442"/>
  <c r="BS442"/>
  <c r="BQ442"/>
  <c r="BO442"/>
  <c r="BL442"/>
  <c r="BI442"/>
  <c r="AP442"/>
  <c r="AG442"/>
  <c r="AB442"/>
  <c r="E442"/>
  <c r="A442"/>
  <c r="BQ290"/>
  <c r="BO290"/>
  <c r="BL290"/>
  <c r="BI290"/>
  <c r="AP290"/>
  <c r="AG290"/>
  <c r="AB290"/>
  <c r="V290"/>
  <c r="E290"/>
  <c r="A290"/>
  <c r="BQ346"/>
  <c r="BO346"/>
  <c r="BL346"/>
  <c r="BI346"/>
  <c r="AP346"/>
  <c r="AG346"/>
  <c r="AB346"/>
  <c r="V346"/>
  <c r="E346"/>
  <c r="A346"/>
  <c r="BV345"/>
  <c r="BU345"/>
  <c r="BT345"/>
  <c r="BS345"/>
  <c r="BQ345"/>
  <c r="BO345"/>
  <c r="BL345"/>
  <c r="BI345"/>
  <c r="AP345"/>
  <c r="AG345"/>
  <c r="AB345"/>
  <c r="E345"/>
  <c r="A345"/>
  <c r="BQ344"/>
  <c r="BO344"/>
  <c r="AP344"/>
  <c r="AG344"/>
  <c r="AB344"/>
  <c r="E344"/>
  <c r="A344"/>
  <c r="CD343"/>
  <c r="CC343"/>
  <c r="CB343"/>
  <c r="CA343"/>
  <c r="BZ343"/>
  <c r="BY343"/>
  <c r="BX343"/>
  <c r="BW343"/>
  <c r="BV343"/>
  <c r="BU343"/>
  <c r="BT343"/>
  <c r="BS343"/>
  <c r="AP343"/>
  <c r="AG343"/>
  <c r="E343"/>
  <c r="A343"/>
  <c r="BV342"/>
  <c r="BU342"/>
  <c r="BT342"/>
  <c r="BS342"/>
  <c r="BQ342"/>
  <c r="BO342"/>
  <c r="BL342"/>
  <c r="BI342"/>
  <c r="AP342"/>
  <c r="AG342"/>
  <c r="AB342"/>
  <c r="E342"/>
  <c r="A342"/>
  <c r="BQ341"/>
  <c r="BO341"/>
  <c r="BL341"/>
  <c r="BI341"/>
  <c r="AP341"/>
  <c r="AG341"/>
  <c r="AB341"/>
  <c r="E341"/>
  <c r="A341"/>
  <c r="BV443"/>
  <c r="BU443"/>
  <c r="BT443"/>
  <c r="BS443"/>
  <c r="BQ443"/>
  <c r="BL443"/>
  <c r="BI443"/>
  <c r="AP443"/>
  <c r="AG443"/>
  <c r="AB443"/>
  <c r="V443"/>
  <c r="E443"/>
  <c r="A443"/>
  <c r="BQ340"/>
  <c r="BO340"/>
  <c r="BL340"/>
  <c r="BI340"/>
  <c r="AP340"/>
  <c r="AG340"/>
  <c r="E340"/>
  <c r="A340"/>
  <c r="BT339"/>
  <c r="BS339"/>
  <c r="BQ339"/>
  <c r="BO339"/>
  <c r="BL339"/>
  <c r="BI339"/>
  <c r="AP339"/>
  <c r="AG339"/>
  <c r="AB339"/>
  <c r="V339"/>
  <c r="E339"/>
  <c r="A339"/>
  <c r="BV433"/>
  <c r="BU433"/>
  <c r="BT433"/>
  <c r="BS433"/>
  <c r="BQ433"/>
  <c r="BL433"/>
  <c r="AP433"/>
  <c r="AG433"/>
  <c r="AB433"/>
  <c r="V433"/>
  <c r="E433"/>
  <c r="A433"/>
  <c r="BQ338"/>
  <c r="BO338"/>
  <c r="BL338"/>
  <c r="BI338"/>
  <c r="BE338"/>
  <c r="AP338"/>
  <c r="AG338"/>
  <c r="AB338"/>
  <c r="E338"/>
  <c r="A338"/>
  <c r="BX337"/>
  <c r="BW337"/>
  <c r="BV337"/>
  <c r="BU337"/>
  <c r="BT337"/>
  <c r="BS337"/>
  <c r="BQ337"/>
  <c r="BO337"/>
  <c r="BL337"/>
  <c r="BI337"/>
  <c r="AP337"/>
  <c r="AG337"/>
  <c r="AB337"/>
  <c r="E337"/>
  <c r="A337"/>
  <c r="BT336"/>
  <c r="BS336"/>
  <c r="BQ336"/>
  <c r="BO336"/>
  <c r="BL336"/>
  <c r="BI336"/>
  <c r="AP336"/>
  <c r="AG336"/>
  <c r="AB336"/>
  <c r="E336"/>
  <c r="A336"/>
  <c r="BQ335"/>
  <c r="BO335"/>
  <c r="BL335"/>
  <c r="BI335"/>
  <c r="AP335"/>
  <c r="AG335"/>
  <c r="AB335"/>
  <c r="E335"/>
  <c r="A335"/>
  <c r="BQ334"/>
  <c r="BO334"/>
  <c r="BL334"/>
  <c r="BI334"/>
  <c r="AP334"/>
  <c r="AG334"/>
  <c r="AB334"/>
  <c r="E334"/>
  <c r="A334"/>
  <c r="BV440"/>
  <c r="BU440"/>
  <c r="BT440"/>
  <c r="BS440"/>
  <c r="BQ440"/>
  <c r="BO440"/>
  <c r="BL440"/>
  <c r="BI440"/>
  <c r="AP440"/>
  <c r="AG440"/>
  <c r="AB440"/>
  <c r="V440"/>
  <c r="E440"/>
  <c r="A440"/>
  <c r="BZ333"/>
  <c r="BY333"/>
  <c r="BX333"/>
  <c r="BW333"/>
  <c r="BV333"/>
  <c r="BU333"/>
  <c r="BT333"/>
  <c r="BS333"/>
  <c r="BQ333"/>
  <c r="BL333"/>
  <c r="AP333"/>
  <c r="AG333"/>
  <c r="AB333"/>
  <c r="E333"/>
  <c r="A333"/>
  <c r="BT332"/>
  <c r="BS332"/>
  <c r="BQ332"/>
  <c r="BO332"/>
  <c r="BL332"/>
  <c r="AP332"/>
  <c r="AG332"/>
  <c r="AB332"/>
  <c r="E332"/>
  <c r="A332"/>
  <c r="BQ331"/>
  <c r="BO331"/>
  <c r="BL331"/>
  <c r="BI331"/>
  <c r="AP331"/>
  <c r="AG331"/>
  <c r="AB331"/>
  <c r="E331"/>
  <c r="A331"/>
  <c r="BX330"/>
  <c r="BW330"/>
  <c r="BV330"/>
  <c r="BU330"/>
  <c r="BT330"/>
  <c r="BS330"/>
  <c r="BQ330"/>
  <c r="BO330"/>
  <c r="BL330"/>
  <c r="BI330"/>
  <c r="AP330"/>
  <c r="AG330"/>
  <c r="AB330"/>
  <c r="E330"/>
  <c r="A330"/>
  <c r="BV329"/>
  <c r="BU329"/>
  <c r="BT329"/>
  <c r="BS329"/>
  <c r="BQ329"/>
  <c r="BO329"/>
  <c r="BL329"/>
  <c r="BI329"/>
  <c r="AP329"/>
  <c r="AG329"/>
  <c r="AB329"/>
  <c r="E329"/>
  <c r="A329"/>
  <c r="BT328"/>
  <c r="BS328"/>
  <c r="BQ328"/>
  <c r="BL328"/>
  <c r="AP328"/>
  <c r="AG328"/>
  <c r="E328"/>
  <c r="A328"/>
  <c r="BV327"/>
  <c r="BU327"/>
  <c r="BT327"/>
  <c r="BS327"/>
  <c r="BQ327"/>
  <c r="AG327"/>
  <c r="AB327"/>
  <c r="E327"/>
  <c r="A327"/>
  <c r="BZ326"/>
  <c r="BY326"/>
  <c r="BX326"/>
  <c r="BW326"/>
  <c r="BV326"/>
  <c r="BU326"/>
  <c r="BT326"/>
  <c r="BS326"/>
  <c r="BQ326"/>
  <c r="BL326"/>
  <c r="BI326"/>
  <c r="AP326"/>
  <c r="AG326"/>
  <c r="E326"/>
  <c r="A326"/>
  <c r="CV325"/>
  <c r="CU325"/>
  <c r="CT325"/>
  <c r="CS325"/>
  <c r="CR325"/>
  <c r="CQ325"/>
  <c r="CP325"/>
  <c r="CO325"/>
  <c r="CN325"/>
  <c r="CM325"/>
  <c r="CL325"/>
  <c r="CK325"/>
  <c r="CJ325"/>
  <c r="CI325"/>
  <c r="CH325"/>
  <c r="CG325"/>
  <c r="CF325"/>
  <c r="CE325"/>
  <c r="CD325"/>
  <c r="CC325"/>
  <c r="CB325"/>
  <c r="CA325"/>
  <c r="BZ325"/>
  <c r="BY325"/>
  <c r="BX325"/>
  <c r="BW325"/>
  <c r="BV325"/>
  <c r="BU325"/>
  <c r="BT325"/>
  <c r="BS325"/>
  <c r="BQ325"/>
  <c r="BO325"/>
  <c r="BL325"/>
  <c r="AP325"/>
  <c r="AG325"/>
  <c r="AB325"/>
  <c r="V325"/>
  <c r="E325"/>
  <c r="A325"/>
  <c r="CV324"/>
  <c r="CU324"/>
  <c r="CT324"/>
  <c r="CS324"/>
  <c r="CR324"/>
  <c r="CQ324"/>
  <c r="CP324"/>
  <c r="CO324"/>
  <c r="CN324"/>
  <c r="CM324"/>
  <c r="CL324"/>
  <c r="CK324"/>
  <c r="CJ324"/>
  <c r="CI324"/>
  <c r="CH324"/>
  <c r="CG324"/>
  <c r="CF324"/>
  <c r="CE324"/>
  <c r="CD324"/>
  <c r="CC324"/>
  <c r="CB324"/>
  <c r="CA324"/>
  <c r="BZ324"/>
  <c r="BY324"/>
  <c r="BX324"/>
  <c r="BW324"/>
  <c r="BV324"/>
  <c r="BU324"/>
  <c r="BT324"/>
  <c r="BS324"/>
  <c r="BQ324"/>
  <c r="BO324"/>
  <c r="BL324"/>
  <c r="BI324"/>
  <c r="AP324"/>
  <c r="AG324"/>
  <c r="AB324"/>
  <c r="V324"/>
  <c r="E324"/>
  <c r="A324"/>
  <c r="CH323"/>
  <c r="CG323"/>
  <c r="CF323"/>
  <c r="CE323"/>
  <c r="CD323"/>
  <c r="CC323"/>
  <c r="CB323"/>
  <c r="CA323"/>
  <c r="BZ323"/>
  <c r="BY323"/>
  <c r="BX323"/>
  <c r="BW323"/>
  <c r="BV323"/>
  <c r="BU323"/>
  <c r="BT323"/>
  <c r="BS323"/>
  <c r="BQ323"/>
  <c r="BO323"/>
  <c r="BL323"/>
  <c r="BI323"/>
  <c r="AP323"/>
  <c r="AG323"/>
  <c r="AB323"/>
  <c r="E323"/>
  <c r="A323"/>
  <c r="BT322"/>
  <c r="BS322"/>
  <c r="BQ322"/>
  <c r="BI322"/>
  <c r="AP322"/>
  <c r="AG322"/>
  <c r="E322"/>
  <c r="A322"/>
  <c r="BQ321"/>
  <c r="BO321"/>
  <c r="BL321"/>
  <c r="BI321"/>
  <c r="AP321"/>
  <c r="AG321"/>
  <c r="AB321"/>
  <c r="E321"/>
  <c r="A321"/>
  <c r="BZ432"/>
  <c r="BY432"/>
  <c r="BX432"/>
  <c r="BW432"/>
  <c r="BV432"/>
  <c r="BU432"/>
  <c r="BT432"/>
  <c r="BS432"/>
  <c r="BQ432"/>
  <c r="BO432"/>
  <c r="BL432"/>
  <c r="AP432"/>
  <c r="AG432"/>
  <c r="AB432"/>
  <c r="V432"/>
  <c r="E432"/>
  <c r="A432"/>
  <c r="CB320"/>
  <c r="CA320"/>
  <c r="BZ320"/>
  <c r="BY320"/>
  <c r="BX320"/>
  <c r="BW320"/>
  <c r="BV320"/>
  <c r="BU320"/>
  <c r="BT320"/>
  <c r="BS320"/>
  <c r="BQ320"/>
  <c r="AP320"/>
  <c r="AG320"/>
  <c r="AB320"/>
  <c r="E320"/>
  <c r="A320"/>
  <c r="BQ319"/>
  <c r="BO319"/>
  <c r="BI319"/>
  <c r="AP319"/>
  <c r="AG319"/>
  <c r="AB319"/>
  <c r="E319"/>
  <c r="A319"/>
  <c r="BQ318"/>
  <c r="BO318"/>
  <c r="BL318"/>
  <c r="BI318"/>
  <c r="AP318"/>
  <c r="AG318"/>
  <c r="AB318"/>
  <c r="E318"/>
  <c r="A318"/>
  <c r="BZ317"/>
  <c r="BY317"/>
  <c r="BX317"/>
  <c r="BW317"/>
  <c r="BV317"/>
  <c r="BU317"/>
  <c r="BT317"/>
  <c r="BS317"/>
  <c r="BQ317"/>
  <c r="BL317"/>
  <c r="AP317"/>
  <c r="AG317"/>
  <c r="V317"/>
  <c r="E317"/>
  <c r="A317"/>
  <c r="BV316"/>
  <c r="BU316"/>
  <c r="BT316"/>
  <c r="BS316"/>
  <c r="BL316"/>
  <c r="AP316"/>
  <c r="AG316"/>
  <c r="AB316"/>
  <c r="V316"/>
  <c r="E316"/>
  <c r="A316"/>
  <c r="BV315"/>
  <c r="BU315"/>
  <c r="BT315"/>
  <c r="BS315"/>
  <c r="BQ315"/>
  <c r="BO315"/>
  <c r="BL315"/>
  <c r="BI315"/>
  <c r="BE315"/>
  <c r="AP315"/>
  <c r="AG315"/>
  <c r="AB315"/>
  <c r="E315"/>
  <c r="A315"/>
  <c r="BT314"/>
  <c r="BS314"/>
  <c r="BO314"/>
  <c r="BL314"/>
  <c r="AP314"/>
  <c r="AG314"/>
  <c r="AB314"/>
  <c r="E314"/>
  <c r="A314"/>
  <c r="CD287"/>
  <c r="CC287"/>
  <c r="CB287"/>
  <c r="CA287"/>
  <c r="BZ287"/>
  <c r="BY287"/>
  <c r="BX287"/>
  <c r="BW287"/>
  <c r="BV287"/>
  <c r="BU287"/>
  <c r="BT287"/>
  <c r="BS287"/>
  <c r="BQ287"/>
  <c r="BL287"/>
  <c r="AP287"/>
  <c r="AG287"/>
  <c r="AB287"/>
  <c r="V287"/>
  <c r="E287"/>
  <c r="A287"/>
  <c r="CB286"/>
  <c r="CA286"/>
  <c r="BZ286"/>
  <c r="BY286"/>
  <c r="BX286"/>
  <c r="BW286"/>
  <c r="BV286"/>
  <c r="BU286"/>
  <c r="BT286"/>
  <c r="BS286"/>
  <c r="BQ286"/>
  <c r="BL286"/>
  <c r="AP286"/>
  <c r="AG286"/>
  <c r="AB286"/>
  <c r="V286"/>
  <c r="E286"/>
  <c r="A286"/>
  <c r="BQ313"/>
  <c r="BO313"/>
  <c r="BL313"/>
  <c r="BI313"/>
  <c r="AP313"/>
  <c r="AG313"/>
  <c r="AB313"/>
  <c r="E313"/>
  <c r="A313"/>
  <c r="BT312"/>
  <c r="BS312"/>
  <c r="BQ312"/>
  <c r="BO312"/>
  <c r="BL312"/>
  <c r="BI312"/>
  <c r="BE312"/>
  <c r="AP312"/>
  <c r="AG312"/>
  <c r="AB312"/>
  <c r="E312"/>
  <c r="A312"/>
  <c r="CD311"/>
  <c r="CC311"/>
  <c r="CB311"/>
  <c r="CA311"/>
  <c r="BZ311"/>
  <c r="BY311"/>
  <c r="BX311"/>
  <c r="BW311"/>
  <c r="BV311"/>
  <c r="BU311"/>
  <c r="BT311"/>
  <c r="BS311"/>
  <c r="AP311"/>
  <c r="AG311"/>
  <c r="AB311"/>
  <c r="E311"/>
  <c r="A311"/>
  <c r="CN431"/>
  <c r="CM431"/>
  <c r="CL431"/>
  <c r="CK431"/>
  <c r="CJ431"/>
  <c r="CI431"/>
  <c r="CH431"/>
  <c r="CG431"/>
  <c r="CF431"/>
  <c r="CE431"/>
  <c r="CD431"/>
  <c r="CC431"/>
  <c r="CB431"/>
  <c r="CA431"/>
  <c r="BZ431"/>
  <c r="BY431"/>
  <c r="BX431"/>
  <c r="BW431"/>
  <c r="BV431"/>
  <c r="BU431"/>
  <c r="BT431"/>
  <c r="BS431"/>
  <c r="AP431"/>
  <c r="AG431"/>
  <c r="E431"/>
  <c r="A431"/>
  <c r="BX75"/>
  <c r="BW75"/>
  <c r="BV75"/>
  <c r="BU75"/>
  <c r="BT75"/>
  <c r="BS75"/>
  <c r="BQ75"/>
  <c r="BO75"/>
  <c r="BL75"/>
  <c r="BI75"/>
  <c r="AP75"/>
  <c r="AG75"/>
  <c r="AB75"/>
  <c r="E75"/>
  <c r="A75"/>
  <c r="CB310"/>
  <c r="CA310"/>
  <c r="BZ310"/>
  <c r="BY310"/>
  <c r="BX310"/>
  <c r="BW310"/>
  <c r="BV310"/>
  <c r="BU310"/>
  <c r="BT310"/>
  <c r="BS310"/>
  <c r="BQ310"/>
  <c r="BO310"/>
  <c r="BL310"/>
  <c r="BI310"/>
  <c r="AP310"/>
  <c r="AG310"/>
  <c r="AB310"/>
  <c r="E310"/>
  <c r="A310"/>
  <c r="BT285"/>
  <c r="BS285"/>
  <c r="BQ285"/>
  <c r="BO285"/>
  <c r="BL285"/>
  <c r="BI285"/>
  <c r="AP285"/>
  <c r="AG285"/>
  <c r="AB285"/>
  <c r="V285"/>
  <c r="E285"/>
  <c r="A285"/>
  <c r="BV309"/>
  <c r="BU309"/>
  <c r="BT309"/>
  <c r="BS309"/>
  <c r="BQ309"/>
  <c r="BO309"/>
  <c r="BL309"/>
  <c r="BI309"/>
  <c r="AP309"/>
  <c r="AG309"/>
  <c r="AB309"/>
  <c r="E309"/>
  <c r="A309"/>
  <c r="BV289"/>
  <c r="BU289"/>
  <c r="BT289"/>
  <c r="BS289"/>
  <c r="BQ289"/>
  <c r="BO289"/>
  <c r="BL289"/>
  <c r="BI289"/>
  <c r="AP289"/>
  <c r="AG289"/>
  <c r="AB289"/>
  <c r="E289"/>
  <c r="A289"/>
  <c r="BQ441"/>
  <c r="BO441"/>
  <c r="BL441"/>
  <c r="BI441"/>
  <c r="AP441"/>
  <c r="AG441"/>
  <c r="AB441"/>
  <c r="V441"/>
  <c r="E441"/>
  <c r="A441"/>
  <c r="BQ308"/>
  <c r="BO308"/>
  <c r="BI308"/>
  <c r="BE308"/>
  <c r="AP308"/>
  <c r="AG308"/>
  <c r="AB308"/>
  <c r="E308"/>
  <c r="A308"/>
  <c r="CN307"/>
  <c r="CM307"/>
  <c r="CL307"/>
  <c r="CK307"/>
  <c r="CJ307"/>
  <c r="CI307"/>
  <c r="CH307"/>
  <c r="CG307"/>
  <c r="CF307"/>
  <c r="CE307"/>
  <c r="CD307"/>
  <c r="CC307"/>
  <c r="CB307"/>
  <c r="CA307"/>
  <c r="BZ307"/>
  <c r="BY307"/>
  <c r="BX307"/>
  <c r="BW307"/>
  <c r="BV307"/>
  <c r="BU307"/>
  <c r="BT307"/>
  <c r="BS307"/>
  <c r="BL307"/>
  <c r="AP307"/>
  <c r="AG307"/>
  <c r="AB307"/>
  <c r="E307"/>
  <c r="A307"/>
  <c r="BX306"/>
  <c r="BW306"/>
  <c r="BV306"/>
  <c r="BU306"/>
  <c r="BT306"/>
  <c r="BS306"/>
  <c r="BQ306"/>
  <c r="BO306"/>
  <c r="BL306"/>
  <c r="AP306"/>
  <c r="AG306"/>
  <c r="AB306"/>
  <c r="V306"/>
  <c r="E306"/>
  <c r="A306"/>
  <c r="BO305"/>
  <c r="AP305"/>
  <c r="AG305"/>
  <c r="AB305"/>
  <c r="E305"/>
  <c r="A305"/>
  <c r="BT304"/>
  <c r="BS304"/>
  <c r="BQ304"/>
  <c r="BO304"/>
  <c r="BL304"/>
  <c r="BI304"/>
  <c r="AP304"/>
  <c r="AG304"/>
  <c r="AB304"/>
  <c r="E304"/>
  <c r="A304"/>
  <c r="BT303"/>
  <c r="BS303"/>
  <c r="BQ303"/>
  <c r="BO303"/>
  <c r="BL303"/>
  <c r="BI303"/>
  <c r="AP303"/>
  <c r="AG303"/>
  <c r="AB303"/>
  <c r="E303"/>
  <c r="A303"/>
  <c r="BT302"/>
  <c r="BS302"/>
  <c r="BQ302"/>
  <c r="BO302"/>
  <c r="BL302"/>
  <c r="BI302"/>
  <c r="AP302"/>
  <c r="AG302"/>
  <c r="AB302"/>
  <c r="E302"/>
  <c r="A302"/>
  <c r="CH301"/>
  <c r="CG301"/>
  <c r="CF301"/>
  <c r="CE301"/>
  <c r="CD301"/>
  <c r="CC301"/>
  <c r="CB301"/>
  <c r="CA301"/>
  <c r="BZ301"/>
  <c r="BY301"/>
  <c r="BX301"/>
  <c r="BW301"/>
  <c r="BV301"/>
  <c r="BU301"/>
  <c r="BT301"/>
  <c r="BS301"/>
  <c r="BQ301"/>
  <c r="BO301"/>
  <c r="BL301"/>
  <c r="BI301"/>
  <c r="BE301"/>
  <c r="AP301"/>
  <c r="AG301"/>
  <c r="AB301"/>
  <c r="E301"/>
  <c r="A301"/>
  <c r="CD300"/>
  <c r="CC300"/>
  <c r="CB300"/>
  <c r="CA300"/>
  <c r="BZ300"/>
  <c r="BY300"/>
  <c r="BX300"/>
  <c r="BW300"/>
  <c r="BV300"/>
  <c r="BU300"/>
  <c r="BT300"/>
  <c r="BS300"/>
  <c r="BQ300"/>
  <c r="BO300"/>
  <c r="BL300"/>
  <c r="BI300"/>
  <c r="BE300"/>
  <c r="AP300"/>
  <c r="AG300"/>
  <c r="AB300"/>
  <c r="E300"/>
  <c r="A300"/>
  <c r="BZ430"/>
  <c r="BY430"/>
  <c r="BX430"/>
  <c r="BW430"/>
  <c r="BV430"/>
  <c r="BU430"/>
  <c r="BT430"/>
  <c r="BS430"/>
  <c r="BQ430"/>
  <c r="BL430"/>
  <c r="AP430"/>
  <c r="AG430"/>
  <c r="V430"/>
  <c r="E430"/>
  <c r="A430"/>
  <c r="BV284"/>
  <c r="BU284"/>
  <c r="BT284"/>
  <c r="BS284"/>
  <c r="BQ284"/>
  <c r="BO284"/>
  <c r="BL284"/>
  <c r="BI284"/>
  <c r="AP284"/>
  <c r="AG284"/>
  <c r="AB284"/>
  <c r="V284"/>
  <c r="E284"/>
  <c r="A284"/>
  <c r="BX283"/>
  <c r="BW283"/>
  <c r="BV283"/>
  <c r="BU283"/>
  <c r="BT283"/>
  <c r="BS283"/>
  <c r="BQ283"/>
  <c r="BO283"/>
  <c r="BL283"/>
  <c r="BI283"/>
  <c r="AP283"/>
  <c r="AG283"/>
  <c r="AB283"/>
  <c r="V283"/>
  <c r="E283"/>
  <c r="A283"/>
  <c r="BQ299"/>
  <c r="BO299"/>
  <c r="BL299"/>
  <c r="BI299"/>
  <c r="AP299"/>
  <c r="AG299"/>
  <c r="AB299"/>
  <c r="E299"/>
  <c r="A299"/>
  <c r="BV298"/>
  <c r="BU298"/>
  <c r="BT298"/>
  <c r="BS298"/>
  <c r="BQ298"/>
  <c r="BO298"/>
  <c r="BI298"/>
  <c r="AP298"/>
  <c r="AG298"/>
  <c r="AB298"/>
  <c r="E298"/>
  <c r="A298"/>
  <c r="BV297"/>
  <c r="BU297"/>
  <c r="BT297"/>
  <c r="BS297"/>
  <c r="BL297"/>
  <c r="AP297"/>
  <c r="AG297"/>
  <c r="AB297"/>
  <c r="V297"/>
  <c r="E297"/>
  <c r="A297"/>
  <c r="CB282"/>
  <c r="CA282"/>
  <c r="BZ282"/>
  <c r="BY282"/>
  <c r="BX282"/>
  <c r="BW282"/>
  <c r="BV282"/>
  <c r="BU282"/>
  <c r="BT282"/>
  <c r="BS282"/>
  <c r="AP282"/>
  <c r="AG282"/>
  <c r="AB282"/>
  <c r="V282"/>
  <c r="E282"/>
  <c r="A282"/>
  <c r="CB281"/>
  <c r="CA281"/>
  <c r="BZ281"/>
  <c r="BY281"/>
  <c r="BX281"/>
  <c r="BW281"/>
  <c r="BV281"/>
  <c r="BU281"/>
  <c r="BT281"/>
  <c r="BS281"/>
  <c r="BQ281"/>
  <c r="BO281"/>
  <c r="BL281"/>
  <c r="BI281"/>
  <c r="AP281"/>
  <c r="AG281"/>
  <c r="AB281"/>
  <c r="V281"/>
  <c r="E281"/>
  <c r="A281"/>
  <c r="BV279"/>
  <c r="BU279"/>
  <c r="BT279"/>
  <c r="BS279"/>
  <c r="BQ279"/>
  <c r="BO279"/>
  <c r="BL279"/>
  <c r="BI279"/>
  <c r="BE279"/>
  <c r="AP279"/>
  <c r="AG279"/>
  <c r="AB279"/>
  <c r="E279"/>
  <c r="A279"/>
  <c r="BQ278"/>
  <c r="BO278"/>
  <c r="BL278"/>
  <c r="BI278"/>
  <c r="AP278"/>
  <c r="AG278"/>
  <c r="AB278"/>
  <c r="E278"/>
  <c r="A278"/>
  <c r="BT277"/>
  <c r="BS277"/>
  <c r="BQ277"/>
  <c r="BO277"/>
  <c r="BL277"/>
  <c r="BI277"/>
  <c r="BE277"/>
  <c r="AP277"/>
  <c r="AG277"/>
  <c r="AB277"/>
  <c r="E277"/>
  <c r="A277"/>
  <c r="BQ276"/>
  <c r="BO276"/>
  <c r="BL276"/>
  <c r="BI276"/>
  <c r="BE276"/>
  <c r="AP276"/>
  <c r="AG276"/>
  <c r="AB276"/>
  <c r="E276"/>
  <c r="A276"/>
  <c r="BQ275"/>
  <c r="BO275"/>
  <c r="BL275"/>
  <c r="BI275"/>
  <c r="AP275"/>
  <c r="AG275"/>
  <c r="AB275"/>
  <c r="E275"/>
  <c r="A275"/>
  <c r="BQ274"/>
  <c r="BO274"/>
  <c r="BL274"/>
  <c r="BI274"/>
  <c r="BE274"/>
  <c r="AP274"/>
  <c r="AG274"/>
  <c r="AB274"/>
  <c r="E274"/>
  <c r="A274"/>
  <c r="BQ273"/>
  <c r="BO273"/>
  <c r="BL273"/>
  <c r="BI273"/>
  <c r="BE273"/>
  <c r="AP273"/>
  <c r="AG273"/>
  <c r="AB273"/>
  <c r="V273"/>
  <c r="E273"/>
  <c r="A273"/>
  <c r="BX272"/>
  <c r="BW272"/>
  <c r="BV272"/>
  <c r="BU272"/>
  <c r="BT272"/>
  <c r="BS272"/>
  <c r="BQ272"/>
  <c r="BO272"/>
  <c r="BL272"/>
  <c r="BI272"/>
  <c r="BE272"/>
  <c r="AP272"/>
  <c r="AG272"/>
  <c r="AB272"/>
  <c r="E272"/>
  <c r="A272"/>
  <c r="BT271"/>
  <c r="BS271"/>
  <c r="BQ271"/>
  <c r="BO271"/>
  <c r="BL271"/>
  <c r="BI271"/>
  <c r="BE271"/>
  <c r="AP271"/>
  <c r="AG271"/>
  <c r="AB271"/>
  <c r="V271"/>
  <c r="E271"/>
  <c r="A271"/>
  <c r="BT270"/>
  <c r="BS270"/>
  <c r="BQ270"/>
  <c r="BO270"/>
  <c r="BL270"/>
  <c r="BI270"/>
  <c r="BE270"/>
  <c r="AP270"/>
  <c r="AG270"/>
  <c r="AB270"/>
  <c r="E270"/>
  <c r="A270"/>
  <c r="BQ269"/>
  <c r="BO269"/>
  <c r="BL269"/>
  <c r="BI269"/>
  <c r="BE269"/>
  <c r="AP269"/>
  <c r="AG269"/>
  <c r="AB269"/>
  <c r="E269"/>
  <c r="A269"/>
  <c r="BT267"/>
  <c r="BS267"/>
  <c r="BQ267"/>
  <c r="BO267"/>
  <c r="BL267"/>
  <c r="BI267"/>
  <c r="BE267"/>
  <c r="AP267"/>
  <c r="AG267"/>
  <c r="AB267"/>
  <c r="E267"/>
  <c r="A267"/>
  <c r="BQ266"/>
  <c r="BO266"/>
  <c r="BL266"/>
  <c r="BI266"/>
  <c r="BE266"/>
  <c r="AP266"/>
  <c r="AG266"/>
  <c r="AB266"/>
  <c r="E266"/>
  <c r="A266"/>
  <c r="BQ265"/>
  <c r="BO265"/>
  <c r="BL265"/>
  <c r="BI265"/>
  <c r="BE265"/>
  <c r="AP265"/>
  <c r="AG265"/>
  <c r="AB265"/>
  <c r="E265"/>
  <c r="A265"/>
  <c r="BT264"/>
  <c r="BS264"/>
  <c r="BQ264"/>
  <c r="BO264"/>
  <c r="BL264"/>
  <c r="BI264"/>
  <c r="BE264"/>
  <c r="AP264"/>
  <c r="AG264"/>
  <c r="AB264"/>
  <c r="E264"/>
  <c r="A264"/>
  <c r="BQ263"/>
  <c r="BO263"/>
  <c r="BL263"/>
  <c r="BI263"/>
  <c r="BE263"/>
  <c r="AP263"/>
  <c r="AG263"/>
  <c r="AB263"/>
  <c r="E263"/>
  <c r="A263"/>
  <c r="BQ262"/>
  <c r="BO262"/>
  <c r="BL262"/>
  <c r="BI262"/>
  <c r="BE262"/>
  <c r="AP262"/>
  <c r="AG262"/>
  <c r="AB262"/>
  <c r="E262"/>
  <c r="A262"/>
  <c r="BQ260"/>
  <c r="BO260"/>
  <c r="BL260"/>
  <c r="BI260"/>
  <c r="BE260"/>
  <c r="AP260"/>
  <c r="AG260"/>
  <c r="AB260"/>
  <c r="E260"/>
  <c r="A260"/>
  <c r="CB259"/>
  <c r="CA259"/>
  <c r="BZ259"/>
  <c r="BY259"/>
  <c r="BX259"/>
  <c r="BW259"/>
  <c r="BV259"/>
  <c r="BU259"/>
  <c r="BT259"/>
  <c r="BS259"/>
  <c r="BQ259"/>
  <c r="BO259"/>
  <c r="BL259"/>
  <c r="BI259"/>
  <c r="BE259"/>
  <c r="AP259"/>
  <c r="AG259"/>
  <c r="AB259"/>
  <c r="E259"/>
  <c r="A259"/>
  <c r="CB258"/>
  <c r="CA258"/>
  <c r="BZ258"/>
  <c r="BY258"/>
  <c r="BX258"/>
  <c r="BW258"/>
  <c r="BV258"/>
  <c r="BU258"/>
  <c r="BT258"/>
  <c r="BS258"/>
  <c r="BQ258"/>
  <c r="BO258"/>
  <c r="BL258"/>
  <c r="BI258"/>
  <c r="BE258"/>
  <c r="AP258"/>
  <c r="AG258"/>
  <c r="AB258"/>
  <c r="E258"/>
  <c r="A258"/>
  <c r="BQ256"/>
  <c r="BO256"/>
  <c r="BL256"/>
  <c r="BI256"/>
  <c r="BE256"/>
  <c r="AP256"/>
  <c r="AG256"/>
  <c r="AB256"/>
  <c r="E256"/>
  <c r="A256"/>
  <c r="BQ255"/>
  <c r="BO255"/>
  <c r="BL255"/>
  <c r="BI255"/>
  <c r="BE255"/>
  <c r="AP255"/>
  <c r="AG255"/>
  <c r="AB255"/>
  <c r="E255"/>
  <c r="A255"/>
  <c r="CH254"/>
  <c r="CG254"/>
  <c r="CF254"/>
  <c r="CE254"/>
  <c r="CD254"/>
  <c r="CC254"/>
  <c r="CB254"/>
  <c r="CA254"/>
  <c r="BZ254"/>
  <c r="BY254"/>
  <c r="BX254"/>
  <c r="BW254"/>
  <c r="BV254"/>
  <c r="BU254"/>
  <c r="BT254"/>
  <c r="BS254"/>
  <c r="BQ254"/>
  <c r="BO254"/>
  <c r="BL254"/>
  <c r="BI254"/>
  <c r="BE254"/>
  <c r="AP254"/>
  <c r="AG254"/>
  <c r="AB254"/>
  <c r="E254"/>
  <c r="A254"/>
  <c r="BQ253"/>
  <c r="BO253"/>
  <c r="BL253"/>
  <c r="BI253"/>
  <c r="BE253"/>
  <c r="AP253"/>
  <c r="AG253"/>
  <c r="AB253"/>
  <c r="E253"/>
  <c r="A253"/>
  <c r="BQ252"/>
  <c r="BO252"/>
  <c r="BL252"/>
  <c r="BI252"/>
  <c r="BE252"/>
  <c r="AP252"/>
  <c r="AG252"/>
  <c r="AB252"/>
  <c r="V252"/>
  <c r="E252"/>
  <c r="A252"/>
  <c r="BQ251"/>
  <c r="BO251"/>
  <c r="BL251"/>
  <c r="BI251"/>
  <c r="BE251"/>
  <c r="AP251"/>
  <c r="AG251"/>
  <c r="E251"/>
  <c r="A251"/>
  <c r="BQ250"/>
  <c r="BO250"/>
  <c r="BL250"/>
  <c r="BI250"/>
  <c r="BE250"/>
  <c r="AP250"/>
  <c r="AG250"/>
  <c r="AB250"/>
  <c r="E250"/>
  <c r="A250"/>
  <c r="BQ249"/>
  <c r="BO249"/>
  <c r="BL249"/>
  <c r="BI249"/>
  <c r="BE249"/>
  <c r="AP249"/>
  <c r="AG249"/>
  <c r="V249"/>
  <c r="E249"/>
  <c r="A249"/>
  <c r="BQ248"/>
  <c r="BO248"/>
  <c r="BL248"/>
  <c r="BI248"/>
  <c r="BE248"/>
  <c r="AP248"/>
  <c r="AG248"/>
  <c r="AB248"/>
  <c r="E248"/>
  <c r="A248"/>
  <c r="BQ247"/>
  <c r="BO247"/>
  <c r="BL247"/>
  <c r="BI247"/>
  <c r="BE247"/>
  <c r="AP247"/>
  <c r="AG247"/>
  <c r="AB247"/>
  <c r="E247"/>
  <c r="A247"/>
  <c r="BQ246"/>
  <c r="BO246"/>
  <c r="BL246"/>
  <c r="BI246"/>
  <c r="BE246"/>
  <c r="AP246"/>
  <c r="AG246"/>
  <c r="AB246"/>
  <c r="V246"/>
  <c r="E246"/>
  <c r="A246"/>
  <c r="CR245"/>
  <c r="CQ245"/>
  <c r="CP245"/>
  <c r="CO245"/>
  <c r="CN245"/>
  <c r="CM245"/>
  <c r="CL245"/>
  <c r="CK245"/>
  <c r="CJ245"/>
  <c r="CI245"/>
  <c r="CH245"/>
  <c r="CG245"/>
  <c r="CF245"/>
  <c r="CE245"/>
  <c r="CD245"/>
  <c r="CC245"/>
  <c r="CB245"/>
  <c r="CA245"/>
  <c r="BZ245"/>
  <c r="BY245"/>
  <c r="BX245"/>
  <c r="BW245"/>
  <c r="BV245"/>
  <c r="BU245"/>
  <c r="BT245"/>
  <c r="BS245"/>
  <c r="BQ245"/>
  <c r="BO245"/>
  <c r="BL245"/>
  <c r="BI245"/>
  <c r="BE245"/>
  <c r="AP245"/>
  <c r="AG245"/>
  <c r="AB245"/>
  <c r="E245"/>
  <c r="A245"/>
  <c r="CR244"/>
  <c r="CQ244"/>
  <c r="CP244"/>
  <c r="CO244"/>
  <c r="CN244"/>
  <c r="CM244"/>
  <c r="CL244"/>
  <c r="CK244"/>
  <c r="CJ244"/>
  <c r="CI244"/>
  <c r="CH244"/>
  <c r="CG244"/>
  <c r="CF244"/>
  <c r="CE244"/>
  <c r="CD244"/>
  <c r="CC244"/>
  <c r="CB244"/>
  <c r="CA244"/>
  <c r="BZ244"/>
  <c r="BY244"/>
  <c r="BX244"/>
  <c r="BW244"/>
  <c r="BV244"/>
  <c r="BU244"/>
  <c r="BT244"/>
  <c r="BS244"/>
  <c r="BQ244"/>
  <c r="BO244"/>
  <c r="BL244"/>
  <c r="BI244"/>
  <c r="BE244"/>
  <c r="AP244"/>
  <c r="AG244"/>
  <c r="AB244"/>
  <c r="E244"/>
  <c r="A244"/>
  <c r="BQ243"/>
  <c r="BO243"/>
  <c r="BL243"/>
  <c r="BI243"/>
  <c r="BE243"/>
  <c r="AP243"/>
  <c r="AG243"/>
  <c r="AB243"/>
  <c r="E243"/>
  <c r="A243"/>
  <c r="BV241"/>
  <c r="BU241"/>
  <c r="BT241"/>
  <c r="BS241"/>
  <c r="BQ241"/>
  <c r="BL241"/>
  <c r="BI241"/>
  <c r="BE241"/>
  <c r="AP241"/>
  <c r="AG241"/>
  <c r="AB241"/>
  <c r="E241"/>
  <c r="A241"/>
  <c r="CV240"/>
  <c r="CU240"/>
  <c r="CT240"/>
  <c r="CS240"/>
  <c r="CR240"/>
  <c r="CQ240"/>
  <c r="CP240"/>
  <c r="CO240"/>
  <c r="CN240"/>
  <c r="CM240"/>
  <c r="CL240"/>
  <c r="CK240"/>
  <c r="CJ240"/>
  <c r="CI240"/>
  <c r="CH240"/>
  <c r="CG240"/>
  <c r="CF240"/>
  <c r="CE240"/>
  <c r="CD240"/>
  <c r="CC240"/>
  <c r="CB240"/>
  <c r="CA240"/>
  <c r="BZ240"/>
  <c r="BY240"/>
  <c r="BX240"/>
  <c r="BW240"/>
  <c r="BV240"/>
  <c r="BU240"/>
  <c r="BT240"/>
  <c r="BS240"/>
  <c r="BQ240"/>
  <c r="BO240"/>
  <c r="BL240"/>
  <c r="AP240"/>
  <c r="AG240"/>
  <c r="AB240"/>
  <c r="E240"/>
  <c r="A240"/>
  <c r="CV239"/>
  <c r="CU239"/>
  <c r="CT239"/>
  <c r="CS239"/>
  <c r="CR239"/>
  <c r="CQ239"/>
  <c r="CP239"/>
  <c r="CO239"/>
  <c r="CN239"/>
  <c r="CM239"/>
  <c r="CL239"/>
  <c r="CK239"/>
  <c r="CJ239"/>
  <c r="CI239"/>
  <c r="CH239"/>
  <c r="CG239"/>
  <c r="CF239"/>
  <c r="CE239"/>
  <c r="CD239"/>
  <c r="CC239"/>
  <c r="CB239"/>
  <c r="CA239"/>
  <c r="BZ239"/>
  <c r="BY239"/>
  <c r="BX239"/>
  <c r="BW239"/>
  <c r="BV239"/>
  <c r="BU239"/>
  <c r="BT239"/>
  <c r="BS239"/>
  <c r="BQ239"/>
  <c r="BO239"/>
  <c r="BL239"/>
  <c r="AP239"/>
  <c r="AG239"/>
  <c r="AB239"/>
  <c r="E239"/>
  <c r="A239"/>
  <c r="BT238"/>
  <c r="BS238"/>
  <c r="BQ238"/>
  <c r="BO238"/>
  <c r="BL238"/>
  <c r="BI238"/>
  <c r="BE238"/>
  <c r="AP238"/>
  <c r="AG238"/>
  <c r="AB238"/>
  <c r="E238"/>
  <c r="A238"/>
  <c r="BV237"/>
  <c r="BU237"/>
  <c r="BT237"/>
  <c r="BS237"/>
  <c r="BQ237"/>
  <c r="BO237"/>
  <c r="BL237"/>
  <c r="BI237"/>
  <c r="BE237"/>
  <c r="AP237"/>
  <c r="AG237"/>
  <c r="E237"/>
  <c r="A237"/>
  <c r="BT236"/>
  <c r="BS236"/>
  <c r="BQ236"/>
  <c r="BL236"/>
  <c r="AP236"/>
  <c r="AG236"/>
  <c r="AB236"/>
  <c r="E236"/>
  <c r="A236"/>
  <c r="BQ235"/>
  <c r="BO235"/>
  <c r="BL235"/>
  <c r="BI235"/>
  <c r="BE235"/>
  <c r="AP235"/>
  <c r="AG235"/>
  <c r="AB235"/>
  <c r="E235"/>
  <c r="A235"/>
  <c r="BQ234"/>
  <c r="BO234"/>
  <c r="BL234"/>
  <c r="BI234"/>
  <c r="BE234"/>
  <c r="AP234"/>
  <c r="AG234"/>
  <c r="AB234"/>
  <c r="E234"/>
  <c r="A234"/>
  <c r="BQ233"/>
  <c r="BO233"/>
  <c r="BL233"/>
  <c r="BI233"/>
  <c r="BE233"/>
  <c r="AP233"/>
  <c r="AG233"/>
  <c r="AB233"/>
  <c r="E233"/>
  <c r="A233"/>
  <c r="CF232"/>
  <c r="CE232"/>
  <c r="CD232"/>
  <c r="CC232"/>
  <c r="CB232"/>
  <c r="CA232"/>
  <c r="BZ232"/>
  <c r="BY232"/>
  <c r="BX232"/>
  <c r="BW232"/>
  <c r="BV232"/>
  <c r="BU232"/>
  <c r="BT232"/>
  <c r="BS232"/>
  <c r="BQ232"/>
  <c r="BO232"/>
  <c r="BL232"/>
  <c r="BI232"/>
  <c r="BE232"/>
  <c r="AP232"/>
  <c r="AG232"/>
  <c r="AB232"/>
  <c r="E232"/>
  <c r="A232"/>
  <c r="BT231"/>
  <c r="BS231"/>
  <c r="BQ231"/>
  <c r="BO231"/>
  <c r="BL231"/>
  <c r="BI231"/>
  <c r="BE231"/>
  <c r="AP231"/>
  <c r="AG231"/>
  <c r="AB231"/>
  <c r="E231"/>
  <c r="A231"/>
  <c r="BQ230"/>
  <c r="BO230"/>
  <c r="BL230"/>
  <c r="BI230"/>
  <c r="BE230"/>
  <c r="AP230"/>
  <c r="AG230"/>
  <c r="AB230"/>
  <c r="E230"/>
  <c r="A230"/>
  <c r="BT229"/>
  <c r="BS229"/>
  <c r="BQ229"/>
  <c r="BO229"/>
  <c r="BL229"/>
  <c r="BI229"/>
  <c r="BE229"/>
  <c r="AP229"/>
  <c r="AG229"/>
  <c r="AB229"/>
  <c r="E229"/>
  <c r="A229"/>
  <c r="CB228"/>
  <c r="CA228"/>
  <c r="BZ228"/>
  <c r="BY228"/>
  <c r="BX228"/>
  <c r="BW228"/>
  <c r="BV228"/>
  <c r="BU228"/>
  <c r="BT228"/>
  <c r="BS228"/>
  <c r="BQ228"/>
  <c r="BO228"/>
  <c r="BL228"/>
  <c r="BI228"/>
  <c r="BE228"/>
  <c r="AP228"/>
  <c r="AG228"/>
  <c r="AB228"/>
  <c r="E228"/>
  <c r="A228"/>
  <c r="CV227"/>
  <c r="CU227"/>
  <c r="CT227"/>
  <c r="CS227"/>
  <c r="CR227"/>
  <c r="CQ227"/>
  <c r="CP227"/>
  <c r="CO227"/>
  <c r="CN227"/>
  <c r="CM227"/>
  <c r="CL227"/>
  <c r="CK227"/>
  <c r="CJ227"/>
  <c r="CI227"/>
  <c r="CH227"/>
  <c r="CG227"/>
  <c r="CF227"/>
  <c r="CE227"/>
  <c r="CD227"/>
  <c r="CC227"/>
  <c r="CB227"/>
  <c r="CA227"/>
  <c r="BZ227"/>
  <c r="BY227"/>
  <c r="BX227"/>
  <c r="BW227"/>
  <c r="BV227"/>
  <c r="BU227"/>
  <c r="BT227"/>
  <c r="BS227"/>
  <c r="BQ227"/>
  <c r="BO227"/>
  <c r="BL227"/>
  <c r="BI227"/>
  <c r="BE227"/>
  <c r="AP227"/>
  <c r="AG227"/>
  <c r="AB227"/>
  <c r="E227"/>
  <c r="A227"/>
  <c r="BT226"/>
  <c r="BS226"/>
  <c r="BQ226"/>
  <c r="BO226"/>
  <c r="BL226"/>
  <c r="BI226"/>
  <c r="BE226"/>
  <c r="AP226"/>
  <c r="AG226"/>
  <c r="AB226"/>
  <c r="E226"/>
  <c r="A226"/>
  <c r="CV225"/>
  <c r="CU225"/>
  <c r="CT225"/>
  <c r="CS225"/>
  <c r="CR225"/>
  <c r="CQ225"/>
  <c r="CP225"/>
  <c r="CO225"/>
  <c r="CN225"/>
  <c r="CM225"/>
  <c r="CL225"/>
  <c r="CK225"/>
  <c r="CJ225"/>
  <c r="CI225"/>
  <c r="CH225"/>
  <c r="CG225"/>
  <c r="CF225"/>
  <c r="CE225"/>
  <c r="CD225"/>
  <c r="CC225"/>
  <c r="CB225"/>
  <c r="CA225"/>
  <c r="BZ225"/>
  <c r="BY225"/>
  <c r="BX225"/>
  <c r="BW225"/>
  <c r="BV225"/>
  <c r="BU225"/>
  <c r="BT225"/>
  <c r="BS225"/>
  <c r="BQ225"/>
  <c r="BO225"/>
  <c r="BL225"/>
  <c r="BI225"/>
  <c r="BE225"/>
  <c r="AP225"/>
  <c r="AG225"/>
  <c r="AB225"/>
  <c r="E225"/>
  <c r="A225"/>
  <c r="BX224"/>
  <c r="BW224"/>
  <c r="BV224"/>
  <c r="BU224"/>
  <c r="BT224"/>
  <c r="BS224"/>
  <c r="BQ224"/>
  <c r="BI224"/>
  <c r="BE224"/>
  <c r="AP224"/>
  <c r="AG224"/>
  <c r="AB224"/>
  <c r="E224"/>
  <c r="A224"/>
  <c r="BQ223"/>
  <c r="BO223"/>
  <c r="BL223"/>
  <c r="BI223"/>
  <c r="BE223"/>
  <c r="AP223"/>
  <c r="AG223"/>
  <c r="AB223"/>
  <c r="E223"/>
  <c r="A223"/>
  <c r="BX222"/>
  <c r="BW222"/>
  <c r="BV222"/>
  <c r="BU222"/>
  <c r="BT222"/>
  <c r="BS222"/>
  <c r="BQ222"/>
  <c r="BO222"/>
  <c r="BL222"/>
  <c r="BI222"/>
  <c r="BE222"/>
  <c r="AP222"/>
  <c r="AG222"/>
  <c r="AB222"/>
  <c r="E222"/>
  <c r="A222"/>
  <c r="BQ221"/>
  <c r="BO221"/>
  <c r="BL221"/>
  <c r="BI221"/>
  <c r="BE221"/>
  <c r="AP221"/>
  <c r="AG221"/>
  <c r="AB221"/>
  <c r="E221"/>
  <c r="A221"/>
  <c r="CH220"/>
  <c r="CG220"/>
  <c r="CF220"/>
  <c r="CE220"/>
  <c r="CD220"/>
  <c r="CC220"/>
  <c r="CB220"/>
  <c r="CA220"/>
  <c r="BZ220"/>
  <c r="BY220"/>
  <c r="BX220"/>
  <c r="BW220"/>
  <c r="BV220"/>
  <c r="BU220"/>
  <c r="BT220"/>
  <c r="BS220"/>
  <c r="BQ220"/>
  <c r="BO220"/>
  <c r="BL220"/>
  <c r="BI220"/>
  <c r="BE220"/>
  <c r="AP220"/>
  <c r="AG220"/>
  <c r="AB220"/>
  <c r="E220"/>
  <c r="A220"/>
  <c r="CF219"/>
  <c r="CE219"/>
  <c r="CD219"/>
  <c r="CC219"/>
  <c r="CB219"/>
  <c r="CA219"/>
  <c r="BZ219"/>
  <c r="BY219"/>
  <c r="BX219"/>
  <c r="BW219"/>
  <c r="BV219"/>
  <c r="BU219"/>
  <c r="BT219"/>
  <c r="BS219"/>
  <c r="BQ219"/>
  <c r="BO219"/>
  <c r="BL219"/>
  <c r="BI219"/>
  <c r="BE219"/>
  <c r="AP219"/>
  <c r="AG219"/>
  <c r="AB219"/>
  <c r="E219"/>
  <c r="A219"/>
  <c r="BV218"/>
  <c r="BU218"/>
  <c r="BT218"/>
  <c r="BS218"/>
  <c r="BQ218"/>
  <c r="BO218"/>
  <c r="BL218"/>
  <c r="BI218"/>
  <c r="BE218"/>
  <c r="AP218"/>
  <c r="AG218"/>
  <c r="AB218"/>
  <c r="E218"/>
  <c r="A218"/>
  <c r="BQ217"/>
  <c r="BO217"/>
  <c r="BL217"/>
  <c r="BI217"/>
  <c r="BE217"/>
  <c r="AP217"/>
  <c r="AG217"/>
  <c r="AB217"/>
  <c r="E217"/>
  <c r="A217"/>
  <c r="CT216"/>
  <c r="CS216"/>
  <c r="CR216"/>
  <c r="CQ216"/>
  <c r="CP216"/>
  <c r="CO216"/>
  <c r="CN216"/>
  <c r="CM216"/>
  <c r="CL216"/>
  <c r="CK216"/>
  <c r="CJ216"/>
  <c r="CI216"/>
  <c r="CH216"/>
  <c r="CG216"/>
  <c r="CF216"/>
  <c r="CE216"/>
  <c r="CD216"/>
  <c r="CC216"/>
  <c r="CB216"/>
  <c r="CA216"/>
  <c r="BZ216"/>
  <c r="BY216"/>
  <c r="BX216"/>
  <c r="BW216"/>
  <c r="BV216"/>
  <c r="BU216"/>
  <c r="BT216"/>
  <c r="BS216"/>
  <c r="BQ216"/>
  <c r="BO216"/>
  <c r="BL216"/>
  <c r="BI216"/>
  <c r="BE216"/>
  <c r="AP216"/>
  <c r="AG216"/>
  <c r="AB216"/>
  <c r="E216"/>
  <c r="A216"/>
  <c r="BQ215"/>
  <c r="BO215"/>
  <c r="BL215"/>
  <c r="BI215"/>
  <c r="BE215"/>
  <c r="AP215"/>
  <c r="AG215"/>
  <c r="AB215"/>
  <c r="E215"/>
  <c r="A215"/>
  <c r="BQ214"/>
  <c r="BO214"/>
  <c r="BL214"/>
  <c r="BI214"/>
  <c r="BE214"/>
  <c r="AP214"/>
  <c r="AG214"/>
  <c r="AB214"/>
  <c r="E214"/>
  <c r="A214"/>
  <c r="CT213"/>
  <c r="CS213"/>
  <c r="CR213"/>
  <c r="CQ213"/>
  <c r="CP213"/>
  <c r="CO213"/>
  <c r="CN213"/>
  <c r="CM213"/>
  <c r="CL213"/>
  <c r="CK213"/>
  <c r="CJ213"/>
  <c r="CI213"/>
  <c r="CH213"/>
  <c r="CG213"/>
  <c r="CF213"/>
  <c r="CE213"/>
  <c r="CD213"/>
  <c r="CC213"/>
  <c r="CB213"/>
  <c r="CA213"/>
  <c r="BZ213"/>
  <c r="BY213"/>
  <c r="BX213"/>
  <c r="BW213"/>
  <c r="BV213"/>
  <c r="BU213"/>
  <c r="BT213"/>
  <c r="BS213"/>
  <c r="BQ213"/>
  <c r="BO213"/>
  <c r="BL213"/>
  <c r="BI213"/>
  <c r="BE213"/>
  <c r="AP213"/>
  <c r="AG213"/>
  <c r="AB213"/>
  <c r="E213"/>
  <c r="A213"/>
  <c r="BT212"/>
  <c r="BS212"/>
  <c r="BQ212"/>
  <c r="BO212"/>
  <c r="BL212"/>
  <c r="BI212"/>
  <c r="BE212"/>
  <c r="AP212"/>
  <c r="AG212"/>
  <c r="AB212"/>
  <c r="E212"/>
  <c r="A212"/>
  <c r="BO211"/>
  <c r="BL211"/>
  <c r="BI211"/>
  <c r="BE211"/>
  <c r="AP211"/>
  <c r="AG211"/>
  <c r="AB211"/>
  <c r="E211"/>
  <c r="A211"/>
  <c r="BV210"/>
  <c r="BU210"/>
  <c r="BT210"/>
  <c r="BS210"/>
  <c r="BQ210"/>
  <c r="BO210"/>
  <c r="BL210"/>
  <c r="BI210"/>
  <c r="BE210"/>
  <c r="AP210"/>
  <c r="AG210"/>
  <c r="AB210"/>
  <c r="E210"/>
  <c r="A210"/>
  <c r="BQ209"/>
  <c r="BO209"/>
  <c r="BL209"/>
  <c r="BI209"/>
  <c r="BE209"/>
  <c r="AP209"/>
  <c r="AG209"/>
  <c r="AB209"/>
  <c r="E209"/>
  <c r="A209"/>
  <c r="BT208"/>
  <c r="BS208"/>
  <c r="BQ208"/>
  <c r="BO208"/>
  <c r="BL208"/>
  <c r="BI208"/>
  <c r="BE208"/>
  <c r="AP208"/>
  <c r="AG208"/>
  <c r="AB208"/>
  <c r="E208"/>
  <c r="A208"/>
  <c r="BQ207"/>
  <c r="BO207"/>
  <c r="BL207"/>
  <c r="BI207"/>
  <c r="BE207"/>
  <c r="AP207"/>
  <c r="AG207"/>
  <c r="AB207"/>
  <c r="E207"/>
  <c r="A207"/>
  <c r="BQ206"/>
  <c r="BO206"/>
  <c r="BL206"/>
  <c r="BI206"/>
  <c r="BE206"/>
  <c r="AP206"/>
  <c r="AG206"/>
  <c r="AB206"/>
  <c r="E206"/>
  <c r="A206"/>
  <c r="BT205"/>
  <c r="BS205"/>
  <c r="BQ205"/>
  <c r="BO205"/>
  <c r="BL205"/>
  <c r="BI205"/>
  <c r="BE205"/>
  <c r="AP205"/>
  <c r="AG205"/>
  <c r="AB205"/>
  <c r="E205"/>
  <c r="A205"/>
  <c r="BQ204"/>
  <c r="BO204"/>
  <c r="BL204"/>
  <c r="BI204"/>
  <c r="BE204"/>
  <c r="AP204"/>
  <c r="AG204"/>
  <c r="AB204"/>
  <c r="E204"/>
  <c r="A204"/>
  <c r="CD203"/>
  <c r="CC203"/>
  <c r="CB203"/>
  <c r="CA203"/>
  <c r="BZ203"/>
  <c r="BY203"/>
  <c r="BX203"/>
  <c r="BW203"/>
  <c r="BV203"/>
  <c r="BU203"/>
  <c r="BT203"/>
  <c r="BS203"/>
  <c r="BQ203"/>
  <c r="BO203"/>
  <c r="BL203"/>
  <c r="BI203"/>
  <c r="BE203"/>
  <c r="AP203"/>
  <c r="AG203"/>
  <c r="AB203"/>
  <c r="E203"/>
  <c r="A203"/>
  <c r="CB202"/>
  <c r="CA202"/>
  <c r="BZ202"/>
  <c r="BY202"/>
  <c r="BX202"/>
  <c r="BW202"/>
  <c r="BV202"/>
  <c r="BU202"/>
  <c r="BT202"/>
  <c r="BS202"/>
  <c r="BQ202"/>
  <c r="BO202"/>
  <c r="BL202"/>
  <c r="BI202"/>
  <c r="BE202"/>
  <c r="AP202"/>
  <c r="AG202"/>
  <c r="AB202"/>
  <c r="E202"/>
  <c r="A202"/>
  <c r="BQ201"/>
  <c r="BO201"/>
  <c r="BL201"/>
  <c r="BI201"/>
  <c r="BE201"/>
  <c r="AP201"/>
  <c r="AG201"/>
  <c r="AB201"/>
  <c r="E201"/>
  <c r="A201"/>
  <c r="BT200"/>
  <c r="BS200"/>
  <c r="BQ200"/>
  <c r="BO200"/>
  <c r="BL200"/>
  <c r="BI200"/>
  <c r="BE200"/>
  <c r="AP200"/>
  <c r="AG200"/>
  <c r="AB200"/>
  <c r="E200"/>
  <c r="A200"/>
  <c r="BQ199"/>
  <c r="BO199"/>
  <c r="BL199"/>
  <c r="BI199"/>
  <c r="BE199"/>
  <c r="AP199"/>
  <c r="AG199"/>
  <c r="AB199"/>
  <c r="E199"/>
  <c r="A199"/>
  <c r="BV198"/>
  <c r="BU198"/>
  <c r="BT198"/>
  <c r="BS198"/>
  <c r="BQ198"/>
  <c r="BO198"/>
  <c r="BL198"/>
  <c r="BI198"/>
  <c r="BE198"/>
  <c r="AP198"/>
  <c r="AG198"/>
  <c r="AB198"/>
  <c r="E198"/>
  <c r="A198"/>
  <c r="CD197"/>
  <c r="CC197"/>
  <c r="CB197"/>
  <c r="CA197"/>
  <c r="BZ197"/>
  <c r="BY197"/>
  <c r="BX197"/>
  <c r="BW197"/>
  <c r="BV197"/>
  <c r="BU197"/>
  <c r="BT197"/>
  <c r="BS197"/>
  <c r="BQ197"/>
  <c r="BO197"/>
  <c r="BL197"/>
  <c r="BI197"/>
  <c r="BE197"/>
  <c r="AP197"/>
  <c r="AG197"/>
  <c r="AB197"/>
  <c r="E197"/>
  <c r="A197"/>
  <c r="BX196"/>
  <c r="BW196"/>
  <c r="BV196"/>
  <c r="BU196"/>
  <c r="BT196"/>
  <c r="BS196"/>
  <c r="BQ196"/>
  <c r="BO196"/>
  <c r="BL196"/>
  <c r="BI196"/>
  <c r="BE196"/>
  <c r="AP196"/>
  <c r="AG196"/>
  <c r="AB196"/>
  <c r="E196"/>
  <c r="A196"/>
  <c r="BT195"/>
  <c r="BS195"/>
  <c r="BQ195"/>
  <c r="BO195"/>
  <c r="BL195"/>
  <c r="BI195"/>
  <c r="BE195"/>
  <c r="AP195"/>
  <c r="AG195"/>
  <c r="AB195"/>
  <c r="E195"/>
  <c r="A195"/>
  <c r="BT194"/>
  <c r="BS194"/>
  <c r="BQ194"/>
  <c r="BO194"/>
  <c r="BL194"/>
  <c r="BI194"/>
  <c r="BE194"/>
  <c r="AP194"/>
  <c r="AG194"/>
  <c r="AB194"/>
  <c r="E194"/>
  <c r="A194"/>
  <c r="BQ193"/>
  <c r="BO193"/>
  <c r="BL193"/>
  <c r="BI193"/>
  <c r="BE193"/>
  <c r="AP193"/>
  <c r="AG193"/>
  <c r="AB193"/>
  <c r="E193"/>
  <c r="A193"/>
  <c r="BQ192"/>
  <c r="BO192"/>
  <c r="BL192"/>
  <c r="BI192"/>
  <c r="BE192"/>
  <c r="AP192"/>
  <c r="AG192"/>
  <c r="AB192"/>
  <c r="E192"/>
  <c r="A192"/>
  <c r="BQ191"/>
  <c r="BO191"/>
  <c r="BL191"/>
  <c r="BI191"/>
  <c r="BE191"/>
  <c r="AP191"/>
  <c r="AG191"/>
  <c r="AB191"/>
  <c r="E191"/>
  <c r="A191"/>
  <c r="BT190"/>
  <c r="BS190"/>
  <c r="BQ190"/>
  <c r="BO190"/>
  <c r="BL190"/>
  <c r="BI190"/>
  <c r="BE190"/>
  <c r="AP190"/>
  <c r="AG190"/>
  <c r="AB190"/>
  <c r="E190"/>
  <c r="A190"/>
  <c r="BT189"/>
  <c r="BS189"/>
  <c r="BQ189"/>
  <c r="BO189"/>
  <c r="BL189"/>
  <c r="BI189"/>
  <c r="BE189"/>
  <c r="AP189"/>
  <c r="AG189"/>
  <c r="AB189"/>
  <c r="E189"/>
  <c r="A189"/>
  <c r="CD188"/>
  <c r="CC188"/>
  <c r="CB188"/>
  <c r="CA188"/>
  <c r="BZ188"/>
  <c r="BY188"/>
  <c r="BX188"/>
  <c r="BW188"/>
  <c r="BV188"/>
  <c r="BU188"/>
  <c r="BT188"/>
  <c r="BS188"/>
  <c r="BQ188"/>
  <c r="BO188"/>
  <c r="BL188"/>
  <c r="BI188"/>
  <c r="BE188"/>
  <c r="AP188"/>
  <c r="AG188"/>
  <c r="AB188"/>
  <c r="E188"/>
  <c r="A188"/>
  <c r="BQ187"/>
  <c r="BO187"/>
  <c r="BL187"/>
  <c r="BI187"/>
  <c r="BE187"/>
  <c r="AP187"/>
  <c r="AG187"/>
  <c r="AB187"/>
  <c r="E187"/>
  <c r="A187"/>
  <c r="BT186"/>
  <c r="BS186"/>
  <c r="BQ186"/>
  <c r="BO186"/>
  <c r="BI186"/>
  <c r="AP186"/>
  <c r="AG186"/>
  <c r="AB186"/>
  <c r="E186"/>
  <c r="A186"/>
  <c r="BQ185"/>
  <c r="BO185"/>
  <c r="BL185"/>
  <c r="BI185"/>
  <c r="BE185"/>
  <c r="AP185"/>
  <c r="AG185"/>
  <c r="AB185"/>
  <c r="E185"/>
  <c r="A185"/>
  <c r="BQ184"/>
  <c r="BO184"/>
  <c r="BL184"/>
  <c r="BI184"/>
  <c r="BE184"/>
  <c r="AP184"/>
  <c r="AG184"/>
  <c r="AB184"/>
  <c r="E184"/>
  <c r="A184"/>
  <c r="BX183"/>
  <c r="BW183"/>
  <c r="BV183"/>
  <c r="BU183"/>
  <c r="BT183"/>
  <c r="BS183"/>
  <c r="BQ183"/>
  <c r="BO183"/>
  <c r="BL183"/>
  <c r="BI183"/>
  <c r="BE183"/>
  <c r="AP183"/>
  <c r="AG183"/>
  <c r="AB183"/>
  <c r="E183"/>
  <c r="A183"/>
  <c r="CH182"/>
  <c r="CG182"/>
  <c r="CF182"/>
  <c r="CE182"/>
  <c r="CD182"/>
  <c r="CC182"/>
  <c r="CB182"/>
  <c r="CA182"/>
  <c r="BZ182"/>
  <c r="BY182"/>
  <c r="BX182"/>
  <c r="BW182"/>
  <c r="BV182"/>
  <c r="BU182"/>
  <c r="BT182"/>
  <c r="BS182"/>
  <c r="BQ182"/>
  <c r="BO182"/>
  <c r="BL182"/>
  <c r="BI182"/>
  <c r="BE182"/>
  <c r="AP182"/>
  <c r="AG182"/>
  <c r="AB182"/>
  <c r="E182"/>
  <c r="A182"/>
  <c r="BQ181"/>
  <c r="BO181"/>
  <c r="BL181"/>
  <c r="BI181"/>
  <c r="BE181"/>
  <c r="AP181"/>
  <c r="AG181"/>
  <c r="AB181"/>
  <c r="E181"/>
  <c r="A181"/>
  <c r="BT180"/>
  <c r="BS180"/>
  <c r="BQ180"/>
  <c r="BO180"/>
  <c r="BL180"/>
  <c r="BI180"/>
  <c r="BE180"/>
  <c r="AP180"/>
  <c r="AG180"/>
  <c r="AB180"/>
  <c r="E180"/>
  <c r="A180"/>
  <c r="CD179"/>
  <c r="CC179"/>
  <c r="CB179"/>
  <c r="CA179"/>
  <c r="BZ179"/>
  <c r="BY179"/>
  <c r="BX179"/>
  <c r="BW179"/>
  <c r="BV179"/>
  <c r="BU179"/>
  <c r="BT179"/>
  <c r="BS179"/>
  <c r="BQ179"/>
  <c r="BO179"/>
  <c r="BL179"/>
  <c r="BI179"/>
  <c r="BE179"/>
  <c r="AP179"/>
  <c r="AG179"/>
  <c r="AB179"/>
  <c r="E179"/>
  <c r="A179"/>
  <c r="BQ178"/>
  <c r="BO178"/>
  <c r="BL178"/>
  <c r="BI178"/>
  <c r="BE178"/>
  <c r="AP178"/>
  <c r="AG178"/>
  <c r="AB178"/>
  <c r="V178"/>
  <c r="E178"/>
  <c r="A178"/>
  <c r="BX177"/>
  <c r="BW177"/>
  <c r="BV177"/>
  <c r="BU177"/>
  <c r="BT177"/>
  <c r="BS177"/>
  <c r="BQ177"/>
  <c r="BO177"/>
  <c r="BL177"/>
  <c r="BI177"/>
  <c r="BE177"/>
  <c r="AP177"/>
  <c r="AG177"/>
  <c r="AB177"/>
  <c r="E177"/>
  <c r="A177"/>
  <c r="BQ176"/>
  <c r="BO176"/>
  <c r="BL176"/>
  <c r="BI176"/>
  <c r="BE176"/>
  <c r="AP176"/>
  <c r="AG176"/>
  <c r="AB176"/>
  <c r="E176"/>
  <c r="A176"/>
  <c r="BQ175"/>
  <c r="BO175"/>
  <c r="BL175"/>
  <c r="BI175"/>
  <c r="BE175"/>
  <c r="AP175"/>
  <c r="AG175"/>
  <c r="AB175"/>
  <c r="E175"/>
  <c r="A175"/>
  <c r="BX174"/>
  <c r="BW174"/>
  <c r="BV174"/>
  <c r="BU174"/>
  <c r="BT174"/>
  <c r="BS174"/>
  <c r="BQ174"/>
  <c r="BO174"/>
  <c r="BL174"/>
  <c r="BI174"/>
  <c r="BE174"/>
  <c r="AP174"/>
  <c r="AG174"/>
  <c r="AB174"/>
  <c r="E174"/>
  <c r="A174"/>
  <c r="BT173"/>
  <c r="BS173"/>
  <c r="BQ173"/>
  <c r="BO173"/>
  <c r="BL173"/>
  <c r="BI173"/>
  <c r="BE173"/>
  <c r="AP173"/>
  <c r="AG173"/>
  <c r="AB173"/>
  <c r="E173"/>
  <c r="A173"/>
  <c r="BQ172"/>
  <c r="BO172"/>
  <c r="BL172"/>
  <c r="BI172"/>
  <c r="BE172"/>
  <c r="AP172"/>
  <c r="AG172"/>
  <c r="AB172"/>
  <c r="E172"/>
  <c r="A172"/>
  <c r="BV171"/>
  <c r="BU171"/>
  <c r="BT171"/>
  <c r="BS171"/>
  <c r="BQ171"/>
  <c r="BO171"/>
  <c r="BL171"/>
  <c r="BI171"/>
  <c r="BE171"/>
  <c r="AP171"/>
  <c r="AG171"/>
  <c r="AB171"/>
  <c r="E171"/>
  <c r="A171"/>
  <c r="BX169"/>
  <c r="BW169"/>
  <c r="BV169"/>
  <c r="BU169"/>
  <c r="BT169"/>
  <c r="BS169"/>
  <c r="BQ169"/>
  <c r="BO169"/>
  <c r="BL169"/>
  <c r="BI169"/>
  <c r="BE169"/>
  <c r="AP169"/>
  <c r="AG169"/>
  <c r="AB169"/>
  <c r="E169"/>
  <c r="A169"/>
  <c r="BQ168"/>
  <c r="BL168"/>
  <c r="BI168"/>
  <c r="BE168"/>
  <c r="AP168"/>
  <c r="AG168"/>
  <c r="AB168"/>
  <c r="E168"/>
  <c r="A168"/>
  <c r="BQ167"/>
  <c r="BO167"/>
  <c r="BL167"/>
  <c r="BI167"/>
  <c r="BE167"/>
  <c r="AP167"/>
  <c r="AG167"/>
  <c r="AB167"/>
  <c r="E167"/>
  <c r="A167"/>
  <c r="BQ166"/>
  <c r="BO166"/>
  <c r="BL166"/>
  <c r="BI166"/>
  <c r="BE166"/>
  <c r="AP166"/>
  <c r="AG166"/>
  <c r="AB166"/>
  <c r="E166"/>
  <c r="A166"/>
  <c r="BT165"/>
  <c r="BS165"/>
  <c r="BQ165"/>
  <c r="BO165"/>
  <c r="BL165"/>
  <c r="BI165"/>
  <c r="BE165"/>
  <c r="AP165"/>
  <c r="AG165"/>
  <c r="AB165"/>
  <c r="E165"/>
  <c r="A165"/>
  <c r="BQ164"/>
  <c r="BO164"/>
  <c r="BL164"/>
  <c r="BI164"/>
  <c r="BE164"/>
  <c r="AP164"/>
  <c r="AG164"/>
  <c r="AB164"/>
  <c r="E164"/>
  <c r="A164"/>
  <c r="BQ163"/>
  <c r="BO163"/>
  <c r="BL163"/>
  <c r="BI163"/>
  <c r="BE163"/>
  <c r="AP163"/>
  <c r="AG163"/>
  <c r="AB163"/>
  <c r="E163"/>
  <c r="A163"/>
  <c r="CF162"/>
  <c r="CE162"/>
  <c r="CD162"/>
  <c r="CC162"/>
  <c r="CB162"/>
  <c r="CA162"/>
  <c r="BZ162"/>
  <c r="BY162"/>
  <c r="BX162"/>
  <c r="BW162"/>
  <c r="BV162"/>
  <c r="BU162"/>
  <c r="BT162"/>
  <c r="BS162"/>
  <c r="BQ162"/>
  <c r="BO162"/>
  <c r="BL162"/>
  <c r="BI162"/>
  <c r="BE162"/>
  <c r="AP162"/>
  <c r="AG162"/>
  <c r="AB162"/>
  <c r="E162"/>
  <c r="A162"/>
  <c r="CF161"/>
  <c r="CE161"/>
  <c r="CD161"/>
  <c r="CC161"/>
  <c r="CB161"/>
  <c r="CA161"/>
  <c r="BZ161"/>
  <c r="BY161"/>
  <c r="BX161"/>
  <c r="BW161"/>
  <c r="BV161"/>
  <c r="BU161"/>
  <c r="BT161"/>
  <c r="BS161"/>
  <c r="BQ161"/>
  <c r="BO161"/>
  <c r="BL161"/>
  <c r="BI161"/>
  <c r="BE161"/>
  <c r="AP161"/>
  <c r="AG161"/>
  <c r="AB161"/>
  <c r="E161"/>
  <c r="A161"/>
  <c r="BV160"/>
  <c r="BU160"/>
  <c r="BT160"/>
  <c r="BS160"/>
  <c r="BQ160"/>
  <c r="BO160"/>
  <c r="BL160"/>
  <c r="BI160"/>
  <c r="AP160"/>
  <c r="AG160"/>
  <c r="AB160"/>
  <c r="E160"/>
  <c r="A160"/>
  <c r="BQ159"/>
  <c r="BO159"/>
  <c r="BL159"/>
  <c r="BI159"/>
  <c r="BE159"/>
  <c r="AP159"/>
  <c r="AG159"/>
  <c r="AB159"/>
  <c r="E159"/>
  <c r="A159"/>
  <c r="CB158"/>
  <c r="CA158"/>
  <c r="BZ158"/>
  <c r="BY158"/>
  <c r="BX158"/>
  <c r="BW158"/>
  <c r="BV158"/>
  <c r="BU158"/>
  <c r="BT158"/>
  <c r="BS158"/>
  <c r="AP158"/>
  <c r="AG158"/>
  <c r="AB158"/>
  <c r="E158"/>
  <c r="A158"/>
  <c r="BT157"/>
  <c r="BS157"/>
  <c r="BQ157"/>
  <c r="BO157"/>
  <c r="BL157"/>
  <c r="BI157"/>
  <c r="BE157"/>
  <c r="AP157"/>
  <c r="AG157"/>
  <c r="AB157"/>
  <c r="E157"/>
  <c r="A157"/>
  <c r="BQ156"/>
  <c r="BO156"/>
  <c r="BL156"/>
  <c r="BI156"/>
  <c r="BE156"/>
  <c r="AP156"/>
  <c r="AG156"/>
  <c r="AB156"/>
  <c r="E156"/>
  <c r="A156"/>
  <c r="BQ155"/>
  <c r="BO155"/>
  <c r="BL155"/>
  <c r="BI155"/>
  <c r="BE155"/>
  <c r="AP155"/>
  <c r="AG155"/>
  <c r="AB155"/>
  <c r="E155"/>
  <c r="A155"/>
  <c r="BQ154"/>
  <c r="BO154"/>
  <c r="BL154"/>
  <c r="BI154"/>
  <c r="BE154"/>
  <c r="AP154"/>
  <c r="AG154"/>
  <c r="AB154"/>
  <c r="E154"/>
  <c r="A154"/>
  <c r="BQ153"/>
  <c r="BO153"/>
  <c r="BL153"/>
  <c r="BI153"/>
  <c r="BE153"/>
  <c r="AP153"/>
  <c r="AG153"/>
  <c r="AB153"/>
  <c r="E153"/>
  <c r="A153"/>
  <c r="BQ151"/>
  <c r="BO151"/>
  <c r="BL151"/>
  <c r="BI151"/>
  <c r="AP151"/>
  <c r="AG151"/>
  <c r="AB151"/>
  <c r="E151"/>
  <c r="A151"/>
  <c r="BV150"/>
  <c r="BU150"/>
  <c r="BT150"/>
  <c r="BS150"/>
  <c r="BQ150"/>
  <c r="BO150"/>
  <c r="BL150"/>
  <c r="BI150"/>
  <c r="BE150"/>
  <c r="AP150"/>
  <c r="AG150"/>
  <c r="AB150"/>
  <c r="E150"/>
  <c r="A150"/>
  <c r="BQ149"/>
  <c r="BO149"/>
  <c r="BL149"/>
  <c r="BI149"/>
  <c r="BE149"/>
  <c r="AP149"/>
  <c r="AG149"/>
  <c r="AB149"/>
  <c r="V149"/>
  <c r="E149"/>
  <c r="A149"/>
  <c r="BQ148"/>
  <c r="BO148"/>
  <c r="BL148"/>
  <c r="BI148"/>
  <c r="BE148"/>
  <c r="AP148"/>
  <c r="AG148"/>
  <c r="AB148"/>
  <c r="E148"/>
  <c r="A148"/>
  <c r="BQ147"/>
  <c r="BO147"/>
  <c r="BL147"/>
  <c r="BI147"/>
  <c r="BE147"/>
  <c r="AP147"/>
  <c r="AG147"/>
  <c r="AB147"/>
  <c r="E147"/>
  <c r="A147"/>
  <c r="BQ145"/>
  <c r="BO145"/>
  <c r="BL145"/>
  <c r="BI145"/>
  <c r="BE145"/>
  <c r="AP145"/>
  <c r="AG145"/>
  <c r="AB145"/>
  <c r="E145"/>
  <c r="A145"/>
  <c r="BV143"/>
  <c r="BU143"/>
  <c r="BT143"/>
  <c r="BS143"/>
  <c r="BQ143"/>
  <c r="BO143"/>
  <c r="BL143"/>
  <c r="BI143"/>
  <c r="BE143"/>
  <c r="AP143"/>
  <c r="AG143"/>
  <c r="AB143"/>
  <c r="E143"/>
  <c r="A143"/>
  <c r="BQ142"/>
  <c r="BO142"/>
  <c r="BL142"/>
  <c r="BI142"/>
  <c r="BE142"/>
  <c r="AP142"/>
  <c r="AG142"/>
  <c r="AB142"/>
  <c r="E142"/>
  <c r="A142"/>
  <c r="CJ141"/>
  <c r="CI141"/>
  <c r="CH141"/>
  <c r="CG141"/>
  <c r="CF141"/>
  <c r="CE141"/>
  <c r="CD141"/>
  <c r="CC141"/>
  <c r="CB141"/>
  <c r="CA141"/>
  <c r="BZ141"/>
  <c r="BY141"/>
  <c r="BX141"/>
  <c r="BW141"/>
  <c r="BV141"/>
  <c r="BU141"/>
  <c r="BT141"/>
  <c r="BS141"/>
  <c r="BQ141"/>
  <c r="BO141"/>
  <c r="BL141"/>
  <c r="BI141"/>
  <c r="BE141"/>
  <c r="AP141"/>
  <c r="AG141"/>
  <c r="AB141"/>
  <c r="E141"/>
  <c r="A141"/>
  <c r="BQ140"/>
  <c r="BO140"/>
  <c r="BL140"/>
  <c r="BI140"/>
  <c r="BE140"/>
  <c r="AP140"/>
  <c r="AG140"/>
  <c r="AB140"/>
  <c r="V140"/>
  <c r="E140"/>
  <c r="A140"/>
  <c r="CT139"/>
  <c r="CS139"/>
  <c r="CR139"/>
  <c r="CQ139"/>
  <c r="CP139"/>
  <c r="CO139"/>
  <c r="CN139"/>
  <c r="CM139"/>
  <c r="CL139"/>
  <c r="CK139"/>
  <c r="CJ139"/>
  <c r="CI139"/>
  <c r="CH139"/>
  <c r="CG139"/>
  <c r="CF139"/>
  <c r="CE139"/>
  <c r="CD139"/>
  <c r="CC139"/>
  <c r="CB139"/>
  <c r="CA139"/>
  <c r="BZ139"/>
  <c r="BY139"/>
  <c r="BX139"/>
  <c r="BW139"/>
  <c r="BV139"/>
  <c r="BU139"/>
  <c r="BT139"/>
  <c r="BS139"/>
  <c r="BQ139"/>
  <c r="BO139"/>
  <c r="BL139"/>
  <c r="BI139"/>
  <c r="BE139"/>
  <c r="AP139"/>
  <c r="AG139"/>
  <c r="AB139"/>
  <c r="E139"/>
  <c r="A139"/>
  <c r="CT138"/>
  <c r="CS138"/>
  <c r="CR138"/>
  <c r="CQ138"/>
  <c r="CP138"/>
  <c r="CO138"/>
  <c r="CN138"/>
  <c r="CM138"/>
  <c r="CL138"/>
  <c r="CK138"/>
  <c r="CJ138"/>
  <c r="CI138"/>
  <c r="CH138"/>
  <c r="CG138"/>
  <c r="CF138"/>
  <c r="CE138"/>
  <c r="CD138"/>
  <c r="CC138"/>
  <c r="CB138"/>
  <c r="CA138"/>
  <c r="BZ138"/>
  <c r="BY138"/>
  <c r="BX138"/>
  <c r="BW138"/>
  <c r="BV138"/>
  <c r="BU138"/>
  <c r="BT138"/>
  <c r="BS138"/>
  <c r="BQ138"/>
  <c r="BO138"/>
  <c r="BL138"/>
  <c r="BI138"/>
  <c r="BE138"/>
  <c r="AP138"/>
  <c r="AG138"/>
  <c r="AB138"/>
  <c r="E138"/>
  <c r="A138"/>
  <c r="BZ136"/>
  <c r="BY136"/>
  <c r="BX136"/>
  <c r="BW136"/>
  <c r="BV136"/>
  <c r="BU136"/>
  <c r="BT136"/>
  <c r="BS136"/>
  <c r="BQ136"/>
  <c r="AP136"/>
  <c r="AG136"/>
  <c r="AB136"/>
  <c r="E136"/>
  <c r="A136"/>
  <c r="BX135"/>
  <c r="BW135"/>
  <c r="BV135"/>
  <c r="BU135"/>
  <c r="BT135"/>
  <c r="BS135"/>
  <c r="BQ135"/>
  <c r="BO135"/>
  <c r="BL135"/>
  <c r="BI135"/>
  <c r="BE135"/>
  <c r="AP135"/>
  <c r="AG135"/>
  <c r="AB135"/>
  <c r="V135"/>
  <c r="E135"/>
  <c r="A135"/>
  <c r="BQ134"/>
  <c r="BO134"/>
  <c r="BL134"/>
  <c r="BI134"/>
  <c r="BE134"/>
  <c r="AP134"/>
  <c r="AG134"/>
  <c r="AB134"/>
  <c r="E134"/>
  <c r="A134"/>
  <c r="CV133"/>
  <c r="CU133"/>
  <c r="CT133"/>
  <c r="CS133"/>
  <c r="CR133"/>
  <c r="CQ133"/>
  <c r="CP133"/>
  <c r="CO133"/>
  <c r="CN133"/>
  <c r="CM133"/>
  <c r="CL133"/>
  <c r="CK133"/>
  <c r="CJ133"/>
  <c r="CI133"/>
  <c r="CH133"/>
  <c r="CG133"/>
  <c r="CF133"/>
  <c r="CE133"/>
  <c r="CD133"/>
  <c r="CC133"/>
  <c r="CB133"/>
  <c r="CA133"/>
  <c r="BZ133"/>
  <c r="BY133"/>
  <c r="BX133"/>
  <c r="BW133"/>
  <c r="BV133"/>
  <c r="BU133"/>
  <c r="BT133"/>
  <c r="BS133"/>
  <c r="BQ133"/>
  <c r="BO133"/>
  <c r="BL133"/>
  <c r="BI133"/>
  <c r="AP133"/>
  <c r="AG133"/>
  <c r="AB133"/>
  <c r="V133"/>
  <c r="E133"/>
  <c r="A133"/>
  <c r="CV132"/>
  <c r="CU132"/>
  <c r="CT132"/>
  <c r="CS132"/>
  <c r="CR132"/>
  <c r="CQ132"/>
  <c r="CP132"/>
  <c r="CO132"/>
  <c r="CN132"/>
  <c r="CM132"/>
  <c r="CL132"/>
  <c r="CK132"/>
  <c r="CJ132"/>
  <c r="CI132"/>
  <c r="CH132"/>
  <c r="CG132"/>
  <c r="CF132"/>
  <c r="CE132"/>
  <c r="CD132"/>
  <c r="CC132"/>
  <c r="CB132"/>
  <c r="CA132"/>
  <c r="BZ132"/>
  <c r="BY132"/>
  <c r="BX132"/>
  <c r="BW132"/>
  <c r="BV132"/>
  <c r="BU132"/>
  <c r="BT132"/>
  <c r="BS132"/>
  <c r="BQ132"/>
  <c r="BO132"/>
  <c r="BL132"/>
  <c r="BI132"/>
  <c r="AP132"/>
  <c r="AG132"/>
  <c r="AB132"/>
  <c r="V132"/>
  <c r="E132"/>
  <c r="A132"/>
  <c r="BZ131"/>
  <c r="BY131"/>
  <c r="BX131"/>
  <c r="BW131"/>
  <c r="BV131"/>
  <c r="BU131"/>
  <c r="BT131"/>
  <c r="BS131"/>
  <c r="BQ131"/>
  <c r="BO131"/>
  <c r="BL131"/>
  <c r="BI131"/>
  <c r="BE131"/>
  <c r="AP131"/>
  <c r="AG131"/>
  <c r="AB131"/>
  <c r="V131"/>
  <c r="E131"/>
  <c r="A131"/>
  <c r="BX130"/>
  <c r="BW130"/>
  <c r="BV130"/>
  <c r="BU130"/>
  <c r="BT130"/>
  <c r="BS130"/>
  <c r="BQ130"/>
  <c r="BO130"/>
  <c r="BL130"/>
  <c r="BI130"/>
  <c r="BE130"/>
  <c r="AP130"/>
  <c r="AG130"/>
  <c r="E130"/>
  <c r="A130"/>
  <c r="BQ129"/>
  <c r="BO129"/>
  <c r="BL129"/>
  <c r="BI129"/>
  <c r="BE129"/>
  <c r="AP129"/>
  <c r="AG129"/>
  <c r="AB129"/>
  <c r="E129"/>
  <c r="A129"/>
  <c r="CP128"/>
  <c r="CO128"/>
  <c r="CN128"/>
  <c r="CM128"/>
  <c r="CL128"/>
  <c r="CK128"/>
  <c r="CJ128"/>
  <c r="CI128"/>
  <c r="CH128"/>
  <c r="CG128"/>
  <c r="CF128"/>
  <c r="CE128"/>
  <c r="CD128"/>
  <c r="CC128"/>
  <c r="CB128"/>
  <c r="CA128"/>
  <c r="BZ128"/>
  <c r="BY128"/>
  <c r="BX128"/>
  <c r="BW128"/>
  <c r="BV128"/>
  <c r="BU128"/>
  <c r="BT128"/>
  <c r="BS128"/>
  <c r="BQ128"/>
  <c r="BO128"/>
  <c r="BL128"/>
  <c r="BI128"/>
  <c r="BE128"/>
  <c r="AP128"/>
  <c r="AG128"/>
  <c r="AB128"/>
  <c r="E128"/>
  <c r="A128"/>
  <c r="CP127"/>
  <c r="CO127"/>
  <c r="CN127"/>
  <c r="CM127"/>
  <c r="CL127"/>
  <c r="CK127"/>
  <c r="CJ127"/>
  <c r="CI127"/>
  <c r="CH127"/>
  <c r="CG127"/>
  <c r="CF127"/>
  <c r="CE127"/>
  <c r="CD127"/>
  <c r="CC127"/>
  <c r="CB127"/>
  <c r="CA127"/>
  <c r="BZ127"/>
  <c r="BY127"/>
  <c r="BX127"/>
  <c r="BW127"/>
  <c r="BV127"/>
  <c r="BU127"/>
  <c r="BT127"/>
  <c r="BS127"/>
  <c r="BQ127"/>
  <c r="BO127"/>
  <c r="BL127"/>
  <c r="BI127"/>
  <c r="BE127"/>
  <c r="AP127"/>
  <c r="AG127"/>
  <c r="AB127"/>
  <c r="V127"/>
  <c r="E127"/>
  <c r="A127"/>
  <c r="BQ126"/>
  <c r="BO126"/>
  <c r="BL126"/>
  <c r="BI126"/>
  <c r="BE126"/>
  <c r="AP126"/>
  <c r="AG126"/>
  <c r="AB126"/>
  <c r="V126"/>
  <c r="E126"/>
  <c r="A126"/>
  <c r="BQ125"/>
  <c r="BO125"/>
  <c r="BL125"/>
  <c r="BI125"/>
  <c r="BE125"/>
  <c r="AP125"/>
  <c r="AG125"/>
  <c r="V125"/>
  <c r="E125"/>
  <c r="A125"/>
  <c r="BQ124"/>
  <c r="BO124"/>
  <c r="BL124"/>
  <c r="BI124"/>
  <c r="BE124"/>
  <c r="AP124"/>
  <c r="AG124"/>
  <c r="AB124"/>
  <c r="V124"/>
  <c r="E124"/>
  <c r="A124"/>
  <c r="BQ123"/>
  <c r="BO123"/>
  <c r="BL123"/>
  <c r="BI123"/>
  <c r="BE123"/>
  <c r="AP123"/>
  <c r="AG123"/>
  <c r="AB123"/>
  <c r="V123"/>
  <c r="E123"/>
  <c r="A123"/>
  <c r="BQ121"/>
  <c r="BO121"/>
  <c r="BL121"/>
  <c r="BI121"/>
  <c r="BE121"/>
  <c r="AP121"/>
  <c r="AG121"/>
  <c r="AB121"/>
  <c r="E121"/>
  <c r="A121"/>
  <c r="BT119"/>
  <c r="BS119"/>
  <c r="BQ119"/>
  <c r="BO119"/>
  <c r="BL119"/>
  <c r="BI119"/>
  <c r="BE119"/>
  <c r="AP119"/>
  <c r="AG119"/>
  <c r="AB119"/>
  <c r="E119"/>
  <c r="A119"/>
  <c r="BV117"/>
  <c r="BU117"/>
  <c r="BT117"/>
  <c r="BS117"/>
  <c r="BQ117"/>
  <c r="BO117"/>
  <c r="BL117"/>
  <c r="BI117"/>
  <c r="BE117"/>
  <c r="AP117"/>
  <c r="AG117"/>
  <c r="AB117"/>
  <c r="E117"/>
  <c r="A117"/>
  <c r="BT116"/>
  <c r="BS116"/>
  <c r="BQ116"/>
  <c r="BO116"/>
  <c r="BL116"/>
  <c r="BI116"/>
  <c r="BE116"/>
  <c r="AP116"/>
  <c r="AG116"/>
  <c r="AB116"/>
  <c r="E116"/>
  <c r="A116"/>
  <c r="BQ115"/>
  <c r="BO115"/>
  <c r="BL115"/>
  <c r="BI115"/>
  <c r="BE115"/>
  <c r="AP115"/>
  <c r="AG115"/>
  <c r="AB115"/>
  <c r="E115"/>
  <c r="A115"/>
  <c r="BZ114"/>
  <c r="BY114"/>
  <c r="BX114"/>
  <c r="BW114"/>
  <c r="BV114"/>
  <c r="BU114"/>
  <c r="BT114"/>
  <c r="BS114"/>
  <c r="BQ114"/>
  <c r="BO114"/>
  <c r="BL114"/>
  <c r="BI114"/>
  <c r="BE114"/>
  <c r="AP114"/>
  <c r="AG114"/>
  <c r="AB114"/>
  <c r="E114"/>
  <c r="A114"/>
  <c r="CJ113"/>
  <c r="CI113"/>
  <c r="CH113"/>
  <c r="CG113"/>
  <c r="CF113"/>
  <c r="CE113"/>
  <c r="CD113"/>
  <c r="CC113"/>
  <c r="CB113"/>
  <c r="CA113"/>
  <c r="BZ113"/>
  <c r="BY113"/>
  <c r="BX113"/>
  <c r="BW113"/>
  <c r="BV113"/>
  <c r="BU113"/>
  <c r="BT113"/>
  <c r="BS113"/>
  <c r="BQ113"/>
  <c r="BO113"/>
  <c r="BL113"/>
  <c r="BI113"/>
  <c r="BE113"/>
  <c r="AP113"/>
  <c r="AG113"/>
  <c r="AB113"/>
  <c r="E113"/>
  <c r="A113"/>
  <c r="CJ112"/>
  <c r="CI112"/>
  <c r="CH112"/>
  <c r="CG112"/>
  <c r="CF112"/>
  <c r="CE112"/>
  <c r="CD112"/>
  <c r="CC112"/>
  <c r="CB112"/>
  <c r="CA112"/>
  <c r="BZ112"/>
  <c r="BY112"/>
  <c r="BX112"/>
  <c r="BW112"/>
  <c r="BV112"/>
  <c r="BU112"/>
  <c r="BT112"/>
  <c r="BS112"/>
  <c r="BQ112"/>
  <c r="BO112"/>
  <c r="BL112"/>
  <c r="BI112"/>
  <c r="BE112"/>
  <c r="AP112"/>
  <c r="AG112"/>
  <c r="AB112"/>
  <c r="E112"/>
  <c r="A112"/>
  <c r="BV111"/>
  <c r="BU111"/>
  <c r="BT111"/>
  <c r="BS111"/>
  <c r="BQ111"/>
  <c r="BO111"/>
  <c r="BL111"/>
  <c r="BI111"/>
  <c r="BE111"/>
  <c r="AP111"/>
  <c r="AG111"/>
  <c r="AB111"/>
  <c r="E111"/>
  <c r="A111"/>
  <c r="BQ110"/>
  <c r="BO110"/>
  <c r="BL110"/>
  <c r="BI110"/>
  <c r="BE110"/>
  <c r="AP110"/>
  <c r="AG110"/>
  <c r="AB110"/>
  <c r="E110"/>
  <c r="A110"/>
  <c r="CL109"/>
  <c r="CK109"/>
  <c r="CJ109"/>
  <c r="CI109"/>
  <c r="CH109"/>
  <c r="CG109"/>
  <c r="CF109"/>
  <c r="CE109"/>
  <c r="CD109"/>
  <c r="CC109"/>
  <c r="CB109"/>
  <c r="CA109"/>
  <c r="BZ109"/>
  <c r="BY109"/>
  <c r="BX109"/>
  <c r="BW109"/>
  <c r="BV109"/>
  <c r="BU109"/>
  <c r="BT109"/>
  <c r="BS109"/>
  <c r="BQ109"/>
  <c r="BO109"/>
  <c r="BL109"/>
  <c r="BI109"/>
  <c r="BE109"/>
  <c r="AP109"/>
  <c r="AG109"/>
  <c r="AB109"/>
  <c r="E109"/>
  <c r="A109"/>
  <c r="CL108"/>
  <c r="CK108"/>
  <c r="CJ108"/>
  <c r="CI108"/>
  <c r="CH108"/>
  <c r="CG108"/>
  <c r="CF108"/>
  <c r="CE108"/>
  <c r="CD108"/>
  <c r="CC108"/>
  <c r="CB108"/>
  <c r="CA108"/>
  <c r="BZ108"/>
  <c r="BY108"/>
  <c r="BX108"/>
  <c r="BW108"/>
  <c r="BV108"/>
  <c r="BU108"/>
  <c r="BT108"/>
  <c r="BS108"/>
  <c r="BQ108"/>
  <c r="BO108"/>
  <c r="BL108"/>
  <c r="BI108"/>
  <c r="BE108"/>
  <c r="AP108"/>
  <c r="AG108"/>
  <c r="AB108"/>
  <c r="E108"/>
  <c r="A108"/>
  <c r="BQ106"/>
  <c r="BO106"/>
  <c r="BL106"/>
  <c r="BI106"/>
  <c r="BE106"/>
  <c r="AP106"/>
  <c r="AG106"/>
  <c r="AB106"/>
  <c r="V106"/>
  <c r="E106"/>
  <c r="A106"/>
  <c r="BX105"/>
  <c r="BW105"/>
  <c r="BV105"/>
  <c r="BU105"/>
  <c r="BT105"/>
  <c r="BS105"/>
  <c r="BQ105"/>
  <c r="BO105"/>
  <c r="BL105"/>
  <c r="BI105"/>
  <c r="BE105"/>
  <c r="AP105"/>
  <c r="AG105"/>
  <c r="AB105"/>
  <c r="E105"/>
  <c r="A105"/>
  <c r="BT104"/>
  <c r="BS104"/>
  <c r="BQ104"/>
  <c r="BO104"/>
  <c r="BL104"/>
  <c r="BI104"/>
  <c r="BE104"/>
  <c r="AP104"/>
  <c r="AG104"/>
  <c r="AB104"/>
  <c r="E104"/>
  <c r="A104"/>
  <c r="BQ103"/>
  <c r="BO103"/>
  <c r="BL103"/>
  <c r="BI103"/>
  <c r="BE103"/>
  <c r="AP103"/>
  <c r="AG103"/>
  <c r="AB103"/>
  <c r="E103"/>
  <c r="A103"/>
  <c r="BV102"/>
  <c r="BU102"/>
  <c r="BT102"/>
  <c r="BS102"/>
  <c r="BQ102"/>
  <c r="BO102"/>
  <c r="BL102"/>
  <c r="BI102"/>
  <c r="BE102"/>
  <c r="AP102"/>
  <c r="AG102"/>
  <c r="AB102"/>
  <c r="E102"/>
  <c r="A102"/>
  <c r="BT101"/>
  <c r="BS101"/>
  <c r="BQ101"/>
  <c r="BO101"/>
  <c r="BL101"/>
  <c r="BI101"/>
  <c r="BE101"/>
  <c r="AP101"/>
  <c r="AG101"/>
  <c r="AB101"/>
  <c r="E101"/>
  <c r="A101"/>
  <c r="BX100"/>
  <c r="BW100"/>
  <c r="BV100"/>
  <c r="BU100"/>
  <c r="BT100"/>
  <c r="BS100"/>
  <c r="BQ100"/>
  <c r="BO100"/>
  <c r="BL100"/>
  <c r="BI100"/>
  <c r="BE100"/>
  <c r="AP100"/>
  <c r="AG100"/>
  <c r="AB100"/>
  <c r="E100"/>
  <c r="A100"/>
  <c r="BV97"/>
  <c r="BU97"/>
  <c r="BT97"/>
  <c r="BS97"/>
  <c r="BQ97"/>
  <c r="BO97"/>
  <c r="BL97"/>
  <c r="BI97"/>
  <c r="AP97"/>
  <c r="AG97"/>
  <c r="AB97"/>
  <c r="E97"/>
  <c r="A97"/>
  <c r="BQ95"/>
  <c r="BO95"/>
  <c r="BL95"/>
  <c r="BI95"/>
  <c r="AP95"/>
  <c r="AG95"/>
  <c r="AB95"/>
  <c r="E95"/>
  <c r="A95"/>
  <c r="BQ93"/>
  <c r="BO93"/>
  <c r="BL93"/>
  <c r="BI93"/>
  <c r="AP93"/>
  <c r="AG93"/>
  <c r="AB93"/>
  <c r="E93"/>
  <c r="A93"/>
  <c r="CL91"/>
  <c r="CK91"/>
  <c r="CJ91"/>
  <c r="CI91"/>
  <c r="CH91"/>
  <c r="CG91"/>
  <c r="CF91"/>
  <c r="CE91"/>
  <c r="CD91"/>
  <c r="CC91"/>
  <c r="CB91"/>
  <c r="CA91"/>
  <c r="BZ91"/>
  <c r="BY91"/>
  <c r="BX91"/>
  <c r="BW91"/>
  <c r="BV91"/>
  <c r="BU91"/>
  <c r="BT91"/>
  <c r="BS91"/>
  <c r="BQ91"/>
  <c r="BO91"/>
  <c r="BL91"/>
  <c r="BI91"/>
  <c r="AP91"/>
  <c r="AG91"/>
  <c r="AB91"/>
  <c r="E91"/>
  <c r="A91"/>
  <c r="CL90"/>
  <c r="CK90"/>
  <c r="CJ90"/>
  <c r="CI90"/>
  <c r="CH90"/>
  <c r="CG90"/>
  <c r="CF90"/>
  <c r="CE90"/>
  <c r="CD90"/>
  <c r="CC90"/>
  <c r="CB90"/>
  <c r="CA90"/>
  <c r="BZ90"/>
  <c r="BY90"/>
  <c r="BX90"/>
  <c r="BW90"/>
  <c r="BV90"/>
  <c r="BU90"/>
  <c r="BT90"/>
  <c r="BS90"/>
  <c r="BQ90"/>
  <c r="BO90"/>
  <c r="BL90"/>
  <c r="BI90"/>
  <c r="AP90"/>
  <c r="AG90"/>
  <c r="AB90"/>
  <c r="E90"/>
  <c r="A90"/>
  <c r="BQ88"/>
  <c r="BO88"/>
  <c r="BL88"/>
  <c r="BI88"/>
  <c r="AP88"/>
  <c r="AG88"/>
  <c r="AB88"/>
  <c r="E88"/>
  <c r="A88"/>
  <c r="CP86"/>
  <c r="CO86"/>
  <c r="CN86"/>
  <c r="CM86"/>
  <c r="CL8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Q86"/>
  <c r="BO86"/>
  <c r="BL86"/>
  <c r="BI86"/>
  <c r="BE86"/>
  <c r="AP86"/>
  <c r="AG86"/>
  <c r="AB86"/>
  <c r="E86"/>
  <c r="A86"/>
  <c r="CB85"/>
  <c r="CA85"/>
  <c r="BZ85"/>
  <c r="BY85"/>
  <c r="BX85"/>
  <c r="BW85"/>
  <c r="BV85"/>
  <c r="BU85"/>
  <c r="BT85"/>
  <c r="BS85"/>
  <c r="BQ85"/>
  <c r="BO85"/>
  <c r="BL85"/>
  <c r="BI85"/>
  <c r="BE85"/>
  <c r="AP85"/>
  <c r="AG85"/>
  <c r="AB85"/>
  <c r="E85"/>
  <c r="A85"/>
  <c r="CN84"/>
  <c r="CM84"/>
  <c r="CL84"/>
  <c r="CK84"/>
  <c r="CJ84"/>
  <c r="CI84"/>
  <c r="CH84"/>
  <c r="CG84"/>
  <c r="CF84"/>
  <c r="CE84"/>
  <c r="CD84"/>
  <c r="CC84"/>
  <c r="CB84"/>
  <c r="CA84"/>
  <c r="BZ84"/>
  <c r="BY84"/>
  <c r="BX84"/>
  <c r="BW84"/>
  <c r="BV84"/>
  <c r="BU84"/>
  <c r="BT84"/>
  <c r="BS84"/>
  <c r="BQ84"/>
  <c r="BO84"/>
  <c r="BL84"/>
  <c r="BI84"/>
  <c r="BE84"/>
  <c r="AP84"/>
  <c r="AG84"/>
  <c r="AB84"/>
  <c r="E84"/>
  <c r="A84"/>
  <c r="CR83"/>
  <c r="CQ83"/>
  <c r="CP83"/>
  <c r="CO83"/>
  <c r="CN83"/>
  <c r="CM83"/>
  <c r="CL83"/>
  <c r="CK83"/>
  <c r="CJ83"/>
  <c r="CI83"/>
  <c r="CH83"/>
  <c r="CG83"/>
  <c r="CF83"/>
  <c r="CE83"/>
  <c r="CD83"/>
  <c r="CC83"/>
  <c r="CB83"/>
  <c r="CA83"/>
  <c r="BZ83"/>
  <c r="BY83"/>
  <c r="BX83"/>
  <c r="BW83"/>
  <c r="BV83"/>
  <c r="BU83"/>
  <c r="BT83"/>
  <c r="BS83"/>
  <c r="BQ83"/>
  <c r="BO83"/>
  <c r="BL83"/>
  <c r="BI83"/>
  <c r="BE83"/>
  <c r="AP83"/>
  <c r="AG83"/>
  <c r="AB83"/>
  <c r="E83"/>
  <c r="A83"/>
  <c r="CR82"/>
  <c r="CQ82"/>
  <c r="CP82"/>
  <c r="CO82"/>
  <c r="CN82"/>
  <c r="CM82"/>
  <c r="CL82"/>
  <c r="CK82"/>
  <c r="CJ82"/>
  <c r="CI82"/>
  <c r="CH82"/>
  <c r="CG82"/>
  <c r="CF82"/>
  <c r="CE82"/>
  <c r="CD82"/>
  <c r="CC82"/>
  <c r="CB82"/>
  <c r="CA82"/>
  <c r="BZ82"/>
  <c r="BY82"/>
  <c r="BX82"/>
  <c r="BW82"/>
  <c r="BV82"/>
  <c r="BU82"/>
  <c r="BT82"/>
  <c r="BS82"/>
  <c r="BQ82"/>
  <c r="BO82"/>
  <c r="BL82"/>
  <c r="BI82"/>
  <c r="BE82"/>
  <c r="AP82"/>
  <c r="AG82"/>
  <c r="AB82"/>
  <c r="E82"/>
  <c r="A82"/>
  <c r="CL81"/>
  <c r="CK81"/>
  <c r="CJ81"/>
  <c r="CI81"/>
  <c r="CH81"/>
  <c r="CG81"/>
  <c r="CF81"/>
  <c r="CE81"/>
  <c r="CD81"/>
  <c r="CC81"/>
  <c r="CB81"/>
  <c r="CA81"/>
  <c r="BZ81"/>
  <c r="BY81"/>
  <c r="BX81"/>
  <c r="BW81"/>
  <c r="BV81"/>
  <c r="BU81"/>
  <c r="BT81"/>
  <c r="BS81"/>
  <c r="BQ81"/>
  <c r="BO81"/>
  <c r="BL81"/>
  <c r="BI81"/>
  <c r="BE81"/>
  <c r="AP81"/>
  <c r="AG81"/>
  <c r="AB81"/>
  <c r="E81"/>
  <c r="A81"/>
  <c r="CH80"/>
  <c r="CG80"/>
  <c r="CF80"/>
  <c r="CE80"/>
  <c r="CD80"/>
  <c r="CC80"/>
  <c r="CB80"/>
  <c r="CA80"/>
  <c r="BZ80"/>
  <c r="BY80"/>
  <c r="BX80"/>
  <c r="BW80"/>
  <c r="BV80"/>
  <c r="BU80"/>
  <c r="BT80"/>
  <c r="BS80"/>
  <c r="BQ80"/>
  <c r="BO80"/>
  <c r="BL80"/>
  <c r="BI80"/>
  <c r="BE80"/>
  <c r="AP80"/>
  <c r="AG80"/>
  <c r="AB80"/>
  <c r="E80"/>
  <c r="A80"/>
  <c r="CP79"/>
  <c r="CO79"/>
  <c r="CN79"/>
  <c r="CM79"/>
  <c r="CL79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Q79"/>
  <c r="BO79"/>
  <c r="BL79"/>
  <c r="BI79"/>
  <c r="BE79"/>
  <c r="AP79"/>
  <c r="AG79"/>
  <c r="AB79"/>
  <c r="E79"/>
  <c r="A79"/>
  <c r="CP78"/>
  <c r="CO78"/>
  <c r="CN78"/>
  <c r="CM78"/>
  <c r="CL78"/>
  <c r="CK78"/>
  <c r="CJ78"/>
  <c r="CI78"/>
  <c r="CH78"/>
  <c r="CG78"/>
  <c r="CF78"/>
  <c r="CE78"/>
  <c r="CD78"/>
  <c r="CC78"/>
  <c r="CB78"/>
  <c r="CA78"/>
  <c r="BZ78"/>
  <c r="BY78"/>
  <c r="BX78"/>
  <c r="BW78"/>
  <c r="BV78"/>
  <c r="BU78"/>
  <c r="BT78"/>
  <c r="BS78"/>
  <c r="BQ78"/>
  <c r="BO78"/>
  <c r="BL78"/>
  <c r="BI78"/>
  <c r="BE78"/>
  <c r="AP78"/>
  <c r="AG78"/>
  <c r="AB78"/>
  <c r="E78"/>
  <c r="A78"/>
  <c r="CN77"/>
  <c r="CM77"/>
  <c r="CL77"/>
  <c r="CK77"/>
  <c r="CJ77"/>
  <c r="CI77"/>
  <c r="CH77"/>
  <c r="CG77"/>
  <c r="CF77"/>
  <c r="CE77"/>
  <c r="CD77"/>
  <c r="CC77"/>
  <c r="CB77"/>
  <c r="CA77"/>
  <c r="BZ77"/>
  <c r="BY77"/>
  <c r="BX77"/>
  <c r="BW77"/>
  <c r="BV77"/>
  <c r="BU77"/>
  <c r="BT77"/>
  <c r="BS77"/>
  <c r="BQ77"/>
  <c r="BO77"/>
  <c r="BL77"/>
  <c r="BI77"/>
  <c r="BE77"/>
  <c r="AP77"/>
  <c r="AG77"/>
  <c r="AB77"/>
  <c r="E77"/>
  <c r="A77"/>
  <c r="BQ74"/>
  <c r="BO74"/>
  <c r="BL74"/>
  <c r="BI74"/>
  <c r="BE74"/>
  <c r="AP74"/>
  <c r="AG74"/>
  <c r="AB74"/>
  <c r="E74"/>
  <c r="A74"/>
  <c r="CP73"/>
  <c r="CO73"/>
  <c r="CN73"/>
  <c r="CM73"/>
  <c r="CL73"/>
  <c r="CK73"/>
  <c r="CJ73"/>
  <c r="CI73"/>
  <c r="CH73"/>
  <c r="CG73"/>
  <c r="CF73"/>
  <c r="CE73"/>
  <c r="CD73"/>
  <c r="CC73"/>
  <c r="CB73"/>
  <c r="CA73"/>
  <c r="BZ73"/>
  <c r="BY73"/>
  <c r="BX73"/>
  <c r="BW73"/>
  <c r="BV73"/>
  <c r="BU73"/>
  <c r="BT73"/>
  <c r="BS73"/>
  <c r="BQ73"/>
  <c r="BO73"/>
  <c r="BL73"/>
  <c r="BI73"/>
  <c r="AP73"/>
  <c r="AG73"/>
  <c r="AB73"/>
  <c r="E73"/>
  <c r="A73"/>
  <c r="CH72"/>
  <c r="CG72"/>
  <c r="CF72"/>
  <c r="CE72"/>
  <c r="CD72"/>
  <c r="CC72"/>
  <c r="CB72"/>
  <c r="CA72"/>
  <c r="BZ72"/>
  <c r="BY72"/>
  <c r="BX72"/>
  <c r="BW72"/>
  <c r="BV72"/>
  <c r="BU72"/>
  <c r="BT72"/>
  <c r="BS72"/>
  <c r="BQ72"/>
  <c r="BO72"/>
  <c r="BL72"/>
  <c r="BI72"/>
  <c r="AP72"/>
  <c r="AG72"/>
  <c r="AB72"/>
  <c r="E72"/>
  <c r="A72"/>
  <c r="CV71"/>
  <c r="CU71"/>
  <c r="CT71"/>
  <c r="CS71"/>
  <c r="CR71"/>
  <c r="CQ71"/>
  <c r="CP71"/>
  <c r="CO71"/>
  <c r="CN71"/>
  <c r="CM71"/>
  <c r="CL71"/>
  <c r="CK71"/>
  <c r="CJ71"/>
  <c r="CI71"/>
  <c r="CH71"/>
  <c r="CG71"/>
  <c r="CF71"/>
  <c r="CE71"/>
  <c r="CD71"/>
  <c r="CC71"/>
  <c r="CB71"/>
  <c r="CA71"/>
  <c r="BZ71"/>
  <c r="BY71"/>
  <c r="BX71"/>
  <c r="BW71"/>
  <c r="BV71"/>
  <c r="BU71"/>
  <c r="BT71"/>
  <c r="BS71"/>
  <c r="BQ71"/>
  <c r="BO71"/>
  <c r="BL71"/>
  <c r="BI71"/>
  <c r="AP71"/>
  <c r="AG71"/>
  <c r="AB71"/>
  <c r="E71"/>
  <c r="A71"/>
  <c r="CN70"/>
  <c r="CM70"/>
  <c r="CL70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Q70"/>
  <c r="BO70"/>
  <c r="BL70"/>
  <c r="BI70"/>
  <c r="AP70"/>
  <c r="AG70"/>
  <c r="AB70"/>
  <c r="E70"/>
  <c r="A70"/>
  <c r="CT69"/>
  <c r="CS69"/>
  <c r="CR69"/>
  <c r="CQ69"/>
  <c r="CP69"/>
  <c r="CO69"/>
  <c r="CN69"/>
  <c r="CM69"/>
  <c r="CL69"/>
  <c r="CK69"/>
  <c r="CJ69"/>
  <c r="CI69"/>
  <c r="CH69"/>
  <c r="CG69"/>
  <c r="CF69"/>
  <c r="CE69"/>
  <c r="CD69"/>
  <c r="CC69"/>
  <c r="CB69"/>
  <c r="CA69"/>
  <c r="BZ69"/>
  <c r="BY69"/>
  <c r="BX69"/>
  <c r="BW69"/>
  <c r="BV69"/>
  <c r="BU69"/>
  <c r="BT69"/>
  <c r="BS69"/>
  <c r="BQ69"/>
  <c r="BO69"/>
  <c r="BL69"/>
  <c r="BI69"/>
  <c r="AP69"/>
  <c r="AG69"/>
  <c r="AB69"/>
  <c r="E69"/>
  <c r="A69"/>
  <c r="CV68"/>
  <c r="CU68"/>
  <c r="CT68"/>
  <c r="CS68"/>
  <c r="CR68"/>
  <c r="CQ68"/>
  <c r="CP68"/>
  <c r="CO68"/>
  <c r="CN68"/>
  <c r="CM68"/>
  <c r="CL68"/>
  <c r="CK68"/>
  <c r="CJ68"/>
  <c r="CI68"/>
  <c r="CH68"/>
  <c r="CG68"/>
  <c r="CF68"/>
  <c r="CE68"/>
  <c r="CD68"/>
  <c r="CC68"/>
  <c r="CB68"/>
  <c r="CA68"/>
  <c r="BZ68"/>
  <c r="BY68"/>
  <c r="BX68"/>
  <c r="BW68"/>
  <c r="BV68"/>
  <c r="BU68"/>
  <c r="BT68"/>
  <c r="BS68"/>
  <c r="BQ68"/>
  <c r="BO68"/>
  <c r="BL68"/>
  <c r="BI68"/>
  <c r="AP68"/>
  <c r="AG68"/>
  <c r="AB68"/>
  <c r="E68"/>
  <c r="A68"/>
  <c r="CV67"/>
  <c r="CU67"/>
  <c r="CT67"/>
  <c r="CS67"/>
  <c r="CR67"/>
  <c r="CQ67"/>
  <c r="CP67"/>
  <c r="CO67"/>
  <c r="CN67"/>
  <c r="CM67"/>
  <c r="CL67"/>
  <c r="CK67"/>
  <c r="CJ67"/>
  <c r="CI67"/>
  <c r="CH67"/>
  <c r="CG67"/>
  <c r="CF67"/>
  <c r="CE67"/>
  <c r="CD67"/>
  <c r="CC67"/>
  <c r="CB67"/>
  <c r="CA67"/>
  <c r="BZ67"/>
  <c r="BY67"/>
  <c r="BX67"/>
  <c r="BW67"/>
  <c r="BV67"/>
  <c r="BU67"/>
  <c r="BT67"/>
  <c r="BS67"/>
  <c r="BQ67"/>
  <c r="BO67"/>
  <c r="BL67"/>
  <c r="BI67"/>
  <c r="AP67"/>
  <c r="AG67"/>
  <c r="AB67"/>
  <c r="E67"/>
  <c r="A67"/>
  <c r="CV66"/>
  <c r="CU66"/>
  <c r="CT66"/>
  <c r="CS66"/>
  <c r="CR66"/>
  <c r="CQ66"/>
  <c r="CP66"/>
  <c r="CO66"/>
  <c r="CN66"/>
  <c r="CM66"/>
  <c r="CL66"/>
  <c r="CK66"/>
  <c r="CJ66"/>
  <c r="CI66"/>
  <c r="CH66"/>
  <c r="CG66"/>
  <c r="CF66"/>
  <c r="CE66"/>
  <c r="CD66"/>
  <c r="CC66"/>
  <c r="CB66"/>
  <c r="CA66"/>
  <c r="BZ66"/>
  <c r="BY66"/>
  <c r="BX66"/>
  <c r="BW66"/>
  <c r="BV66"/>
  <c r="BU66"/>
  <c r="BT66"/>
  <c r="BS66"/>
  <c r="BQ66"/>
  <c r="BO66"/>
  <c r="BL66"/>
  <c r="BI66"/>
  <c r="AP66"/>
  <c r="AG66"/>
  <c r="AB66"/>
  <c r="E66"/>
  <c r="A66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Q65"/>
  <c r="BO65"/>
  <c r="BL65"/>
  <c r="BI65"/>
  <c r="AP65"/>
  <c r="AG65"/>
  <c r="AB65"/>
  <c r="E65"/>
  <c r="A65"/>
  <c r="CF64"/>
  <c r="CE64"/>
  <c r="CD64"/>
  <c r="CC64"/>
  <c r="CB64"/>
  <c r="CA64"/>
  <c r="BZ64"/>
  <c r="BY64"/>
  <c r="BX64"/>
  <c r="BW64"/>
  <c r="BV64"/>
  <c r="BU64"/>
  <c r="BT64"/>
  <c r="BS64"/>
  <c r="BQ64"/>
  <c r="BO64"/>
  <c r="BL64"/>
  <c r="BI64"/>
  <c r="AP64"/>
  <c r="AG64"/>
  <c r="AB64"/>
  <c r="E64"/>
  <c r="A64"/>
  <c r="CL63"/>
  <c r="CK63"/>
  <c r="CJ63"/>
  <c r="CI63"/>
  <c r="CH63"/>
  <c r="CG63"/>
  <c r="CF63"/>
  <c r="CE63"/>
  <c r="CD63"/>
  <c r="CC63"/>
  <c r="CB63"/>
  <c r="CA63"/>
  <c r="BZ63"/>
  <c r="BY63"/>
  <c r="BX63"/>
  <c r="BW63"/>
  <c r="BV63"/>
  <c r="BU63"/>
  <c r="BT63"/>
  <c r="BS63"/>
  <c r="BQ63"/>
  <c r="BO63"/>
  <c r="BL63"/>
  <c r="BI63"/>
  <c r="AP63"/>
  <c r="AG63"/>
  <c r="AB63"/>
  <c r="E63"/>
  <c r="A63"/>
  <c r="CN62"/>
  <c r="CM62"/>
  <c r="CL62"/>
  <c r="CK62"/>
  <c r="CJ62"/>
  <c r="CI62"/>
  <c r="CH62"/>
  <c r="CG62"/>
  <c r="CF62"/>
  <c r="CE62"/>
  <c r="CD62"/>
  <c r="CC62"/>
  <c r="CB62"/>
  <c r="CA62"/>
  <c r="BZ62"/>
  <c r="BY62"/>
  <c r="BX62"/>
  <c r="BW62"/>
  <c r="BV62"/>
  <c r="BU62"/>
  <c r="BT62"/>
  <c r="BS62"/>
  <c r="BQ62"/>
  <c r="BO62"/>
  <c r="BL62"/>
  <c r="BI62"/>
  <c r="AP62"/>
  <c r="AG62"/>
  <c r="AB62"/>
  <c r="E62"/>
  <c r="A62"/>
  <c r="CR61"/>
  <c r="CQ61"/>
  <c r="CP61"/>
  <c r="CO61"/>
  <c r="CN61"/>
  <c r="CM61"/>
  <c r="CL61"/>
  <c r="CK61"/>
  <c r="CJ61"/>
  <c r="CI61"/>
  <c r="CH61"/>
  <c r="CG61"/>
  <c r="CF61"/>
  <c r="CE61"/>
  <c r="CD61"/>
  <c r="CC61"/>
  <c r="CB61"/>
  <c r="CA61"/>
  <c r="BZ61"/>
  <c r="BY61"/>
  <c r="BX61"/>
  <c r="BW61"/>
  <c r="BV61"/>
  <c r="BU61"/>
  <c r="BT61"/>
  <c r="BS61"/>
  <c r="BQ61"/>
  <c r="BO61"/>
  <c r="BL61"/>
  <c r="BI61"/>
  <c r="AP61"/>
  <c r="AG61"/>
  <c r="AB61"/>
  <c r="E61"/>
  <c r="A61"/>
  <c r="BT60"/>
  <c r="BS60"/>
  <c r="BQ60"/>
  <c r="BO60"/>
  <c r="BL60"/>
  <c r="BI60"/>
  <c r="AP60"/>
  <c r="AG60"/>
  <c r="AB60"/>
  <c r="E60"/>
  <c r="A60"/>
  <c r="CJ59"/>
  <c r="CI59"/>
  <c r="CH59"/>
  <c r="CG59"/>
  <c r="CF59"/>
  <c r="CE59"/>
  <c r="CD59"/>
  <c r="CC59"/>
  <c r="CB59"/>
  <c r="CA59"/>
  <c r="BZ59"/>
  <c r="BY59"/>
  <c r="BX59"/>
  <c r="BW59"/>
  <c r="BV59"/>
  <c r="BU59"/>
  <c r="BT59"/>
  <c r="BS59"/>
  <c r="BQ59"/>
  <c r="BO59"/>
  <c r="BL59"/>
  <c r="BI59"/>
  <c r="AP59"/>
  <c r="AG59"/>
  <c r="AB59"/>
  <c r="E59"/>
  <c r="A59"/>
  <c r="CB58"/>
  <c r="CA58"/>
  <c r="BZ58"/>
  <c r="BY58"/>
  <c r="BX58"/>
  <c r="BW58"/>
  <c r="BV58"/>
  <c r="BU58"/>
  <c r="BT58"/>
  <c r="BS58"/>
  <c r="BQ58"/>
  <c r="BO58"/>
  <c r="BL58"/>
  <c r="BI58"/>
  <c r="AP58"/>
  <c r="AG58"/>
  <c r="AB58"/>
  <c r="E58"/>
  <c r="A58"/>
  <c r="CP57"/>
  <c r="CO57"/>
  <c r="CN57"/>
  <c r="CM57"/>
  <c r="CL57"/>
  <c r="CK57"/>
  <c r="CJ57"/>
  <c r="CI57"/>
  <c r="CH57"/>
  <c r="CG57"/>
  <c r="CF57"/>
  <c r="CE57"/>
  <c r="CD57"/>
  <c r="CC57"/>
  <c r="CB57"/>
  <c r="CA57"/>
  <c r="BZ57"/>
  <c r="BY57"/>
  <c r="BX57"/>
  <c r="BW57"/>
  <c r="BV57"/>
  <c r="BU57"/>
  <c r="BT57"/>
  <c r="BS57"/>
  <c r="BQ57"/>
  <c r="BO57"/>
  <c r="BL57"/>
  <c r="BI57"/>
  <c r="AP57"/>
  <c r="AG57"/>
  <c r="AB57"/>
  <c r="E57"/>
  <c r="A57"/>
  <c r="CP56"/>
  <c r="CO56"/>
  <c r="CN56"/>
  <c r="CM56"/>
  <c r="CL56"/>
  <c r="CK56"/>
  <c r="CJ56"/>
  <c r="CI56"/>
  <c r="CH56"/>
  <c r="CG56"/>
  <c r="CF56"/>
  <c r="CE56"/>
  <c r="CD56"/>
  <c r="CC56"/>
  <c r="CB56"/>
  <c r="CA56"/>
  <c r="BZ56"/>
  <c r="BY56"/>
  <c r="BX56"/>
  <c r="BW56"/>
  <c r="BV56"/>
  <c r="BU56"/>
  <c r="BT56"/>
  <c r="BS56"/>
  <c r="BQ56"/>
  <c r="BO56"/>
  <c r="BL56"/>
  <c r="BI56"/>
  <c r="AP56"/>
  <c r="AG56"/>
  <c r="AB56"/>
  <c r="E56"/>
  <c r="A56"/>
  <c r="CD55"/>
  <c r="CC55"/>
  <c r="CB55"/>
  <c r="CA55"/>
  <c r="BZ55"/>
  <c r="BY55"/>
  <c r="BX55"/>
  <c r="BW55"/>
  <c r="BV55"/>
  <c r="BU55"/>
  <c r="BT55"/>
  <c r="BS55"/>
  <c r="BQ55"/>
  <c r="BO55"/>
  <c r="BL55"/>
  <c r="BI55"/>
  <c r="AP55"/>
  <c r="AG55"/>
  <c r="AB55"/>
  <c r="E55"/>
  <c r="A55"/>
  <c r="CH54"/>
  <c r="CG54"/>
  <c r="CF54"/>
  <c r="CE54"/>
  <c r="CD54"/>
  <c r="CC54"/>
  <c r="CB54"/>
  <c r="CA54"/>
  <c r="BZ54"/>
  <c r="BY54"/>
  <c r="BX54"/>
  <c r="BW54"/>
  <c r="BV54"/>
  <c r="BU54"/>
  <c r="BT54"/>
  <c r="BS54"/>
  <c r="BQ54"/>
  <c r="BO54"/>
  <c r="BL54"/>
  <c r="BI54"/>
  <c r="AP54"/>
  <c r="AG54"/>
  <c r="AB54"/>
  <c r="V54"/>
  <c r="E54"/>
  <c r="A54"/>
  <c r="CV53"/>
  <c r="CU53"/>
  <c r="CT53"/>
  <c r="CS53"/>
  <c r="CR53"/>
  <c r="CQ53"/>
  <c r="CP53"/>
  <c r="CO53"/>
  <c r="CN53"/>
  <c r="CM53"/>
  <c r="CL53"/>
  <c r="CK53"/>
  <c r="CJ53"/>
  <c r="CI53"/>
  <c r="CH53"/>
  <c r="CG53"/>
  <c r="CF53"/>
  <c r="CE53"/>
  <c r="CD53"/>
  <c r="CC53"/>
  <c r="CB53"/>
  <c r="CA53"/>
  <c r="BZ53"/>
  <c r="BY53"/>
  <c r="BX53"/>
  <c r="BW53"/>
  <c r="BV53"/>
  <c r="BU53"/>
  <c r="BT53"/>
  <c r="BS53"/>
  <c r="BQ53"/>
  <c r="BO53"/>
  <c r="BL53"/>
  <c r="BI53"/>
  <c r="AP53"/>
  <c r="AG53"/>
  <c r="AB53"/>
  <c r="E53"/>
  <c r="A53"/>
  <c r="CT52"/>
  <c r="CS52"/>
  <c r="CR52"/>
  <c r="CQ52"/>
  <c r="CP52"/>
  <c r="CO52"/>
  <c r="CN52"/>
  <c r="CM52"/>
  <c r="CL52"/>
  <c r="CK52"/>
  <c r="CJ52"/>
  <c r="CI52"/>
  <c r="CH52"/>
  <c r="CG52"/>
  <c r="CF52"/>
  <c r="CE52"/>
  <c r="CD52"/>
  <c r="CC52"/>
  <c r="CB52"/>
  <c r="CA52"/>
  <c r="BZ52"/>
  <c r="BY52"/>
  <c r="BX52"/>
  <c r="BW52"/>
  <c r="BV52"/>
  <c r="BU52"/>
  <c r="BT52"/>
  <c r="BS52"/>
  <c r="BQ52"/>
  <c r="BO52"/>
  <c r="BL52"/>
  <c r="BI52"/>
  <c r="AP52"/>
  <c r="AG52"/>
  <c r="AB52"/>
  <c r="E52"/>
  <c r="A52"/>
  <c r="CN51"/>
  <c r="CM51"/>
  <c r="CL51"/>
  <c r="CK51"/>
  <c r="CJ51"/>
  <c r="CI51"/>
  <c r="CH51"/>
  <c r="CG51"/>
  <c r="CF51"/>
  <c r="CE51"/>
  <c r="CD51"/>
  <c r="CC51"/>
  <c r="CB51"/>
  <c r="CA51"/>
  <c r="BZ51"/>
  <c r="BY51"/>
  <c r="BX51"/>
  <c r="BW51"/>
  <c r="BV51"/>
  <c r="BU51"/>
  <c r="BT51"/>
  <c r="BS51"/>
  <c r="BQ51"/>
  <c r="BO51"/>
  <c r="BL51"/>
  <c r="BI51"/>
  <c r="AP51"/>
  <c r="AG51"/>
  <c r="AB51"/>
  <c r="E51"/>
  <c r="A51"/>
  <c r="CN50"/>
  <c r="CM50"/>
  <c r="CL50"/>
  <c r="CK50"/>
  <c r="CJ50"/>
  <c r="CI50"/>
  <c r="CH50"/>
  <c r="CG50"/>
  <c r="CF50"/>
  <c r="CE50"/>
  <c r="CD50"/>
  <c r="CC50"/>
  <c r="CB50"/>
  <c r="CA50"/>
  <c r="BZ50"/>
  <c r="BY50"/>
  <c r="BX50"/>
  <c r="BW50"/>
  <c r="BV50"/>
  <c r="BU50"/>
  <c r="BT50"/>
  <c r="BS50"/>
  <c r="BQ50"/>
  <c r="BO50"/>
  <c r="BL50"/>
  <c r="BI50"/>
  <c r="AP50"/>
  <c r="AG50"/>
  <c r="AB50"/>
  <c r="E50"/>
  <c r="A50"/>
  <c r="CT49"/>
  <c r="CS49"/>
  <c r="CR49"/>
  <c r="CQ49"/>
  <c r="CP49"/>
  <c r="CO49"/>
  <c r="CN49"/>
  <c r="CM49"/>
  <c r="CL49"/>
  <c r="CK49"/>
  <c r="CJ49"/>
  <c r="CI49"/>
  <c r="CH49"/>
  <c r="CG49"/>
  <c r="CF49"/>
  <c r="CE49"/>
  <c r="CD49"/>
  <c r="CC49"/>
  <c r="CB49"/>
  <c r="CA49"/>
  <c r="BZ49"/>
  <c r="BY49"/>
  <c r="BX49"/>
  <c r="BW49"/>
  <c r="BV49"/>
  <c r="BU49"/>
  <c r="BT49"/>
  <c r="BS49"/>
  <c r="BQ49"/>
  <c r="BO49"/>
  <c r="BL49"/>
  <c r="BI49"/>
  <c r="AP49"/>
  <c r="AG49"/>
  <c r="AB49"/>
  <c r="E49"/>
  <c r="A49"/>
  <c r="CR48"/>
  <c r="CQ48"/>
  <c r="CP48"/>
  <c r="CO48"/>
  <c r="CN48"/>
  <c r="CM48"/>
  <c r="CL48"/>
  <c r="CK48"/>
  <c r="CJ48"/>
  <c r="CI48"/>
  <c r="CH48"/>
  <c r="CG48"/>
  <c r="CF48"/>
  <c r="CE48"/>
  <c r="CD48"/>
  <c r="CC48"/>
  <c r="CB48"/>
  <c r="CA48"/>
  <c r="BZ48"/>
  <c r="BY48"/>
  <c r="BX48"/>
  <c r="BW48"/>
  <c r="BV48"/>
  <c r="BU48"/>
  <c r="BT48"/>
  <c r="BS48"/>
  <c r="BQ48"/>
  <c r="BO48"/>
  <c r="BI48"/>
  <c r="AP48"/>
  <c r="AG48"/>
  <c r="AB48"/>
  <c r="E48"/>
  <c r="A48"/>
  <c r="CT47"/>
  <c r="CS47"/>
  <c r="CR47"/>
  <c r="CQ47"/>
  <c r="CP47"/>
  <c r="CO47"/>
  <c r="CN47"/>
  <c r="CM47"/>
  <c r="CL47"/>
  <c r="CK47"/>
  <c r="CJ47"/>
  <c r="CI47"/>
  <c r="CH47"/>
  <c r="CG47"/>
  <c r="CF47"/>
  <c r="CE47"/>
  <c r="CD47"/>
  <c r="CC47"/>
  <c r="CB47"/>
  <c r="CA47"/>
  <c r="BZ47"/>
  <c r="BY47"/>
  <c r="BX47"/>
  <c r="BW47"/>
  <c r="BV47"/>
  <c r="BU47"/>
  <c r="BT47"/>
  <c r="BS47"/>
  <c r="BQ47"/>
  <c r="BO47"/>
  <c r="BL47"/>
  <c r="BI47"/>
  <c r="AP47"/>
  <c r="AG47"/>
  <c r="AB47"/>
  <c r="E47"/>
  <c r="A47"/>
  <c r="CR46"/>
  <c r="CQ46"/>
  <c r="CP46"/>
  <c r="CO46"/>
  <c r="CN46"/>
  <c r="CM46"/>
  <c r="CL46"/>
  <c r="CK46"/>
  <c r="CJ46"/>
  <c r="CI46"/>
  <c r="CH46"/>
  <c r="CG46"/>
  <c r="CF46"/>
  <c r="CE46"/>
  <c r="CD46"/>
  <c r="CC46"/>
  <c r="CB46"/>
  <c r="CA46"/>
  <c r="BZ46"/>
  <c r="BY46"/>
  <c r="BX46"/>
  <c r="BW46"/>
  <c r="BV46"/>
  <c r="BU46"/>
  <c r="BT46"/>
  <c r="BS46"/>
  <c r="BQ46"/>
  <c r="BO46"/>
  <c r="BL46"/>
  <c r="BI46"/>
  <c r="AP46"/>
  <c r="AG46"/>
  <c r="AB46"/>
  <c r="E46"/>
  <c r="A46"/>
  <c r="CH45"/>
  <c r="CG45"/>
  <c r="CF45"/>
  <c r="CE45"/>
  <c r="CD45"/>
  <c r="CC45"/>
  <c r="CB45"/>
  <c r="CA45"/>
  <c r="BZ45"/>
  <c r="BY45"/>
  <c r="BX45"/>
  <c r="BW45"/>
  <c r="BV45"/>
  <c r="BU45"/>
  <c r="BT45"/>
  <c r="BS45"/>
  <c r="BQ45"/>
  <c r="BO45"/>
  <c r="BL45"/>
  <c r="BI45"/>
  <c r="AP45"/>
  <c r="AG45"/>
  <c r="AB45"/>
  <c r="E45"/>
  <c r="A45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Q44"/>
  <c r="BO44"/>
  <c r="BL44"/>
  <c r="BI44"/>
  <c r="AP44"/>
  <c r="AG44"/>
  <c r="AB44"/>
  <c r="E44"/>
  <c r="A44"/>
  <c r="CP43"/>
  <c r="CO43"/>
  <c r="CN43"/>
  <c r="CM43"/>
  <c r="CL43"/>
  <c r="CK43"/>
  <c r="CJ4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Q43"/>
  <c r="BO43"/>
  <c r="BL43"/>
  <c r="BI43"/>
  <c r="AP43"/>
  <c r="AG43"/>
  <c r="AB43"/>
  <c r="E43"/>
  <c r="A43"/>
  <c r="CV42"/>
  <c r="CU42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Q42"/>
  <c r="BO42"/>
  <c r="BL42"/>
  <c r="BI42"/>
  <c r="AP42"/>
  <c r="AG42"/>
  <c r="AB42"/>
  <c r="E42"/>
  <c r="A42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Q41"/>
  <c r="BO41"/>
  <c r="BL41"/>
  <c r="BI41"/>
  <c r="AP41"/>
  <c r="AG41"/>
  <c r="AB41"/>
  <c r="E41"/>
  <c r="A41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Q40"/>
  <c r="BO40"/>
  <c r="BL40"/>
  <c r="BI40"/>
  <c r="AP40"/>
  <c r="AG40"/>
  <c r="AB40"/>
  <c r="E40"/>
  <c r="A40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Q39"/>
  <c r="BO39"/>
  <c r="BL39"/>
  <c r="BI39"/>
  <c r="AP39"/>
  <c r="AG39"/>
  <c r="AB39"/>
  <c r="E39"/>
  <c r="A39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Q38"/>
  <c r="BO38"/>
  <c r="BL38"/>
  <c r="BI38"/>
  <c r="AP38"/>
  <c r="AG38"/>
  <c r="AB38"/>
  <c r="E38"/>
  <c r="A38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Q37"/>
  <c r="BO37"/>
  <c r="BL37"/>
  <c r="BI37"/>
  <c r="AP37"/>
  <c r="AG37"/>
  <c r="AB37"/>
  <c r="E37"/>
  <c r="A37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Q36"/>
  <c r="BO36"/>
  <c r="BL36"/>
  <c r="BI36"/>
  <c r="AP36"/>
  <c r="AG36"/>
  <c r="AB36"/>
  <c r="E36"/>
  <c r="A36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Q35"/>
  <c r="BO35"/>
  <c r="BL35"/>
  <c r="BI35"/>
  <c r="AP35"/>
  <c r="AG35"/>
  <c r="AB35"/>
  <c r="E35"/>
  <c r="A35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Q34"/>
  <c r="BO34"/>
  <c r="BL34"/>
  <c r="BI34"/>
  <c r="AP34"/>
  <c r="AG34"/>
  <c r="AB34"/>
  <c r="E34"/>
  <c r="A34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Q33"/>
  <c r="BO33"/>
  <c r="BL33"/>
  <c r="BI33"/>
  <c r="AP33"/>
  <c r="AG33"/>
  <c r="AB33"/>
  <c r="E33"/>
  <c r="A33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Q32"/>
  <c r="BO32"/>
  <c r="BL32"/>
  <c r="BI32"/>
  <c r="AP32"/>
  <c r="AG32"/>
  <c r="AB32"/>
  <c r="E32"/>
  <c r="A32"/>
  <c r="CH31"/>
  <c r="CG31"/>
  <c r="CF31"/>
  <c r="CE31"/>
  <c r="CD31"/>
  <c r="CC31"/>
  <c r="CB31"/>
  <c r="CA31"/>
  <c r="BZ31"/>
  <c r="BY31"/>
  <c r="BX31"/>
  <c r="BW31"/>
  <c r="BV31"/>
  <c r="BU31"/>
  <c r="BT31"/>
  <c r="BS31"/>
  <c r="BQ31"/>
  <c r="BO31"/>
  <c r="BL31"/>
  <c r="BI31"/>
  <c r="AP31"/>
  <c r="AG31"/>
  <c r="AB31"/>
  <c r="E31"/>
  <c r="A31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Q30"/>
  <c r="BO30"/>
  <c r="BL30"/>
  <c r="BI30"/>
  <c r="AP30"/>
  <c r="AG30"/>
  <c r="AB30"/>
  <c r="E30"/>
  <c r="A30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Q29"/>
  <c r="BO29"/>
  <c r="BL29"/>
  <c r="BI29"/>
  <c r="AP29"/>
  <c r="AG29"/>
  <c r="AB29"/>
  <c r="E29"/>
  <c r="A29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Q28"/>
  <c r="BO28"/>
  <c r="BL28"/>
  <c r="BI28"/>
  <c r="AP28"/>
  <c r="AG28"/>
  <c r="AB28"/>
  <c r="E28"/>
  <c r="A28"/>
  <c r="CH27"/>
  <c r="CG27"/>
  <c r="CF27"/>
  <c r="CE27"/>
  <c r="CD27"/>
  <c r="CC27"/>
  <c r="CB27"/>
  <c r="CA27"/>
  <c r="BZ27"/>
  <c r="BY27"/>
  <c r="BX27"/>
  <c r="BW27"/>
  <c r="BV27"/>
  <c r="BU27"/>
  <c r="BT27"/>
  <c r="BS27"/>
  <c r="BQ27"/>
  <c r="BO27"/>
  <c r="BL27"/>
  <c r="BI27"/>
  <c r="AP27"/>
  <c r="AG27"/>
  <c r="AB27"/>
  <c r="E27"/>
  <c r="A27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Q26"/>
  <c r="BO26"/>
  <c r="BL26"/>
  <c r="BI26"/>
  <c r="AP26"/>
  <c r="AG26"/>
  <c r="AB26"/>
  <c r="E26"/>
  <c r="A26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Q25"/>
  <c r="BO25"/>
  <c r="BL25"/>
  <c r="BI25"/>
  <c r="AP25"/>
  <c r="AG25"/>
  <c r="AB25"/>
  <c r="E25"/>
  <c r="A25"/>
  <c r="CV24"/>
  <c r="CU24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Q24"/>
  <c r="BO24"/>
  <c r="BL24"/>
  <c r="BI24"/>
  <c r="AP24"/>
  <c r="AG24"/>
  <c r="AB24"/>
  <c r="E24"/>
  <c r="A24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Q23"/>
  <c r="BO23"/>
  <c r="BL23"/>
  <c r="BI23"/>
  <c r="AP23"/>
  <c r="AG23"/>
  <c r="AB23"/>
  <c r="E23"/>
  <c r="A23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Q22"/>
  <c r="BO22"/>
  <c r="BL22"/>
  <c r="BI22"/>
  <c r="AP22"/>
  <c r="AG22"/>
  <c r="AB22"/>
  <c r="E22"/>
  <c r="A22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Q21"/>
  <c r="BO21"/>
  <c r="BL21"/>
  <c r="BI21"/>
  <c r="AP21"/>
  <c r="AG21"/>
  <c r="AB21"/>
  <c r="E21"/>
  <c r="A21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Q20"/>
  <c r="BO20"/>
  <c r="BL20"/>
  <c r="BI20"/>
  <c r="AP20"/>
  <c r="AG20"/>
  <c r="AB20"/>
  <c r="E20"/>
  <c r="A20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Q19"/>
  <c r="BO19"/>
  <c r="BL19"/>
  <c r="BI19"/>
  <c r="AP19"/>
  <c r="AG19"/>
  <c r="AB19"/>
  <c r="E19"/>
  <c r="A19"/>
  <c r="CV18"/>
  <c r="CU18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Q18"/>
  <c r="BO18"/>
  <c r="BL18"/>
  <c r="BI18"/>
  <c r="AP18"/>
  <c r="AG18"/>
  <c r="AB18"/>
  <c r="E18"/>
  <c r="A18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Q17"/>
  <c r="BO17"/>
  <c r="BL17"/>
  <c r="BI17"/>
  <c r="AP17"/>
  <c r="AG17"/>
  <c r="AB17"/>
  <c r="E17"/>
  <c r="A17"/>
  <c r="CN16"/>
  <c r="CM16"/>
  <c r="CL16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Q16"/>
  <c r="BO16"/>
  <c r="BL16"/>
  <c r="BI16"/>
  <c r="AP16"/>
  <c r="AG16"/>
  <c r="AB16"/>
  <c r="E16"/>
  <c r="A16"/>
  <c r="CV15"/>
  <c r="CU15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Q15"/>
  <c r="BO15"/>
  <c r="BL15"/>
  <c r="BI15"/>
  <c r="AP15"/>
  <c r="AG15"/>
  <c r="AB15"/>
  <c r="E15"/>
  <c r="A15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Q14"/>
  <c r="BO14"/>
  <c r="BL14"/>
  <c r="BI14"/>
  <c r="BE14"/>
  <c r="AP14"/>
  <c r="AG14"/>
  <c r="AB14"/>
  <c r="E14"/>
  <c r="A14"/>
  <c r="CV13"/>
  <c r="CU13"/>
  <c r="CT13"/>
  <c r="CS13"/>
  <c r="CR13"/>
  <c r="CQ13"/>
  <c r="CP13"/>
  <c r="CO13"/>
  <c r="CN13"/>
  <c r="CM13"/>
  <c r="CL13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Q13"/>
  <c r="BO13"/>
  <c r="BL13"/>
  <c r="BI13"/>
  <c r="AP13"/>
  <c r="AG13"/>
  <c r="AB13"/>
  <c r="E13"/>
  <c r="A13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Q12"/>
  <c r="BO12"/>
  <c r="BL12"/>
  <c r="BI12"/>
  <c r="AP12"/>
  <c r="AG12"/>
  <c r="AB12"/>
  <c r="E12"/>
  <c r="A12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Q11"/>
  <c r="BO11"/>
  <c r="BL11"/>
  <c r="BI11"/>
  <c r="BE11"/>
  <c r="AP11"/>
  <c r="AG11"/>
  <c r="AB11"/>
  <c r="E11"/>
  <c r="A11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Q10"/>
  <c r="BO10"/>
  <c r="BL10"/>
  <c r="BI10"/>
  <c r="AP10"/>
  <c r="AG10"/>
  <c r="AB10"/>
  <c r="E10"/>
  <c r="A10"/>
  <c r="CV9"/>
  <c r="CU9"/>
  <c r="CT9"/>
  <c r="CS9"/>
  <c r="CR9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Q9"/>
  <c r="BO9"/>
  <c r="BL9"/>
  <c r="BI9"/>
  <c r="AP9"/>
  <c r="AG9"/>
  <c r="AB9"/>
  <c r="E9"/>
  <c r="A9"/>
  <c r="CV8"/>
  <c r="CU8"/>
  <c r="CT8"/>
  <c r="CS8"/>
  <c r="CR8"/>
  <c r="CQ8"/>
  <c r="CP8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Q8"/>
  <c r="BO8"/>
  <c r="BL8"/>
  <c r="BI8"/>
  <c r="AP8"/>
  <c r="AG8"/>
  <c r="AB8"/>
  <c r="E8"/>
  <c r="A8"/>
  <c r="CV7"/>
  <c r="CU7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Q7"/>
  <c r="BO7"/>
  <c r="BL7"/>
  <c r="BI7"/>
  <c r="AP7"/>
  <c r="AG7"/>
  <c r="AB7"/>
  <c r="E7"/>
  <c r="A7"/>
  <c r="CT6"/>
  <c r="CS6"/>
  <c r="CR6"/>
  <c r="CQ6"/>
  <c r="CP6"/>
  <c r="CO6"/>
  <c r="CN6"/>
  <c r="CM6"/>
  <c r="CL6"/>
  <c r="CK6"/>
  <c r="CJ6"/>
  <c r="CI6"/>
  <c r="CH6"/>
  <c r="CG6"/>
  <c r="CF6"/>
  <c r="CE6"/>
  <c r="CD6"/>
  <c r="CC6"/>
  <c r="CB6"/>
  <c r="CA6"/>
  <c r="BZ6"/>
  <c r="BY6"/>
  <c r="BX6"/>
  <c r="BW6"/>
  <c r="BV6"/>
  <c r="BU6"/>
  <c r="BT6"/>
  <c r="BS6"/>
  <c r="BQ6"/>
  <c r="BO6"/>
  <c r="BL6"/>
  <c r="BI6"/>
  <c r="AP6"/>
  <c r="AG6"/>
  <c r="AB6"/>
  <c r="E6"/>
  <c r="A6"/>
  <c r="CV5"/>
  <c r="CU5"/>
  <c r="CT5"/>
  <c r="CS5"/>
  <c r="CR5"/>
  <c r="CQ5"/>
  <c r="CP5"/>
  <c r="CO5"/>
  <c r="CN5"/>
  <c r="CM5"/>
  <c r="CL5"/>
  <c r="CK5"/>
  <c r="CJ5"/>
  <c r="CI5"/>
  <c r="CH5"/>
  <c r="CG5"/>
  <c r="CF5"/>
  <c r="CE5"/>
  <c r="CD5"/>
  <c r="CC5"/>
  <c r="CB5"/>
  <c r="CA5"/>
  <c r="BZ5"/>
  <c r="BY5"/>
  <c r="BX5"/>
  <c r="BW5"/>
  <c r="BV5"/>
  <c r="BU5"/>
  <c r="BT5"/>
  <c r="BS5"/>
  <c r="BQ5"/>
  <c r="BO5"/>
  <c r="BL5"/>
  <c r="BI5"/>
  <c r="AP5"/>
  <c r="AG5"/>
  <c r="AB5"/>
  <c r="E5"/>
  <c r="A5"/>
  <c r="CV4"/>
  <c r="CU4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Q4"/>
  <c r="BO4"/>
  <c r="BL4"/>
  <c r="BI4"/>
  <c r="AP4"/>
  <c r="AG4"/>
  <c r="AB4"/>
  <c r="E4"/>
  <c r="A4"/>
  <c r="AM460" l="1"/>
  <c r="AB1"/>
  <c r="K227"/>
  <c r="K225"/>
  <c r="K163"/>
  <c r="BR14" l="1"/>
  <c r="BP14"/>
  <c r="BM14"/>
  <c r="BJ14"/>
  <c r="AQ14"/>
  <c r="AI14"/>
  <c r="AH14"/>
  <c r="BR186"/>
  <c r="BP186"/>
  <c r="BJ186"/>
  <c r="AQ186"/>
  <c r="AI186"/>
  <c r="AH186"/>
  <c r="BR345"/>
  <c r="BP345"/>
  <c r="BM345"/>
  <c r="BJ345"/>
  <c r="AQ345"/>
  <c r="AI345"/>
  <c r="AH345"/>
  <c r="BR306"/>
  <c r="BP306"/>
  <c r="BM306"/>
  <c r="AQ306"/>
  <c r="AI306"/>
  <c r="AH306"/>
  <c r="BR228"/>
  <c r="BP228"/>
  <c r="BM228"/>
  <c r="BJ228"/>
  <c r="AQ228"/>
  <c r="AI228"/>
  <c r="AH228"/>
  <c r="BR422"/>
  <c r="BP422"/>
  <c r="BM422"/>
  <c r="AQ422"/>
  <c r="AI422"/>
  <c r="AH422"/>
  <c r="BR360"/>
  <c r="BP360"/>
  <c r="AQ360"/>
  <c r="AI360"/>
  <c r="AH360"/>
  <c r="BR108"/>
  <c r="BP108"/>
  <c r="BM108"/>
  <c r="BJ108"/>
  <c r="AQ108"/>
  <c r="AI108"/>
  <c r="AH108"/>
  <c r="BR299"/>
  <c r="BP299"/>
  <c r="BM299"/>
  <c r="BJ299"/>
  <c r="AQ299"/>
  <c r="AI299"/>
  <c r="AH299"/>
  <c r="BR166"/>
  <c r="BP166"/>
  <c r="BM166"/>
  <c r="BJ166"/>
  <c r="AQ166"/>
  <c r="AI166"/>
  <c r="AH166"/>
  <c r="BR373"/>
  <c r="BM373"/>
  <c r="BJ373"/>
  <c r="AQ373"/>
  <c r="AI373"/>
  <c r="AH373"/>
  <c r="BR241"/>
  <c r="BM241"/>
  <c r="BJ241"/>
  <c r="AQ241"/>
  <c r="AI241"/>
  <c r="AH241"/>
  <c r="BR130"/>
  <c r="BP130"/>
  <c r="BM130"/>
  <c r="BJ130"/>
  <c r="AQ130"/>
  <c r="AI130"/>
  <c r="AH130"/>
  <c r="BR183"/>
  <c r="BP183"/>
  <c r="BM183"/>
  <c r="BJ183"/>
  <c r="AQ183"/>
  <c r="AI183"/>
  <c r="AH183"/>
  <c r="BR95"/>
  <c r="BP95"/>
  <c r="BM95"/>
  <c r="BJ95"/>
  <c r="AQ95"/>
  <c r="AI95"/>
  <c r="AH95"/>
  <c r="BR17"/>
  <c r="BP17"/>
  <c r="BM17"/>
  <c r="BJ17"/>
  <c r="AQ17"/>
  <c r="AI17"/>
  <c r="AH17"/>
  <c r="BR53"/>
  <c r="BP53"/>
  <c r="BM53"/>
  <c r="BJ53"/>
  <c r="AQ53"/>
  <c r="AI53"/>
  <c r="AH53"/>
  <c r="BR21"/>
  <c r="BP21"/>
  <c r="BM21"/>
  <c r="BJ21"/>
  <c r="AQ21"/>
  <c r="AI21"/>
  <c r="AH21"/>
  <c r="BR42"/>
  <c r="BP42"/>
  <c r="BM42"/>
  <c r="BJ42"/>
  <c r="AQ42"/>
  <c r="AI42"/>
  <c r="AH42"/>
  <c r="BR37"/>
  <c r="BP37"/>
  <c r="BM37"/>
  <c r="BJ37"/>
  <c r="AQ37"/>
  <c r="AI37"/>
  <c r="AH37"/>
  <c r="BR8"/>
  <c r="BP8"/>
  <c r="BM8"/>
  <c r="BJ8"/>
  <c r="AQ8"/>
  <c r="AI8"/>
  <c r="AH8"/>
  <c r="BR54"/>
  <c r="BP54"/>
  <c r="BM54"/>
  <c r="BJ54"/>
  <c r="AQ54"/>
  <c r="AI54"/>
  <c r="AH54"/>
  <c r="BR352"/>
  <c r="BM352"/>
  <c r="BJ352"/>
  <c r="AQ352"/>
  <c r="AI352"/>
  <c r="AH352"/>
  <c r="BR386"/>
  <c r="BP386"/>
  <c r="BM386"/>
  <c r="AQ386"/>
  <c r="AI386"/>
  <c r="AH386"/>
  <c r="BR289"/>
  <c r="BP289"/>
  <c r="BM289"/>
  <c r="BJ289"/>
  <c r="AQ289"/>
  <c r="AI289"/>
  <c r="AH289"/>
  <c r="BR424"/>
  <c r="BP424"/>
  <c r="BM424"/>
  <c r="AQ424"/>
  <c r="AI424"/>
  <c r="AH424"/>
  <c r="BR286"/>
  <c r="BM286"/>
  <c r="AQ286"/>
  <c r="AI286"/>
  <c r="AH286"/>
  <c r="BR35"/>
  <c r="BP35"/>
  <c r="BM35"/>
  <c r="BJ35"/>
  <c r="AQ35"/>
  <c r="AI35"/>
  <c r="AH35"/>
  <c r="BR86"/>
  <c r="BP86"/>
  <c r="BM86"/>
  <c r="BJ86"/>
  <c r="AQ86"/>
  <c r="AI86"/>
  <c r="AH86"/>
  <c r="BR385"/>
  <c r="BP385"/>
  <c r="BM385"/>
  <c r="BJ385"/>
  <c r="AQ385"/>
  <c r="AI385"/>
  <c r="AH385"/>
  <c r="BR342"/>
  <c r="BP342"/>
  <c r="BM342"/>
  <c r="BJ342"/>
  <c r="AQ342"/>
  <c r="AI342"/>
  <c r="AH342"/>
  <c r="BR364"/>
  <c r="BP364"/>
  <c r="BJ364"/>
  <c r="AQ364"/>
  <c r="AI364"/>
  <c r="AH364"/>
  <c r="BR395"/>
  <c r="BP395"/>
  <c r="BM395"/>
  <c r="AQ395"/>
  <c r="AI395"/>
  <c r="AH395"/>
  <c r="BR413"/>
  <c r="BP413"/>
  <c r="BJ413"/>
  <c r="AQ413"/>
  <c r="AI413"/>
  <c r="AH413"/>
  <c r="BR415"/>
  <c r="BP415"/>
  <c r="BM415"/>
  <c r="AQ415"/>
  <c r="AI415"/>
  <c r="AH415"/>
  <c r="BR236"/>
  <c r="BM236"/>
  <c r="AQ236"/>
  <c r="AI236"/>
  <c r="AH236"/>
  <c r="BR85"/>
  <c r="BP85"/>
  <c r="BM85"/>
  <c r="BJ85"/>
  <c r="AQ85"/>
  <c r="AI85"/>
  <c r="AH85"/>
  <c r="BR374"/>
  <c r="BP374"/>
  <c r="BM374"/>
  <c r="BJ374"/>
  <c r="AQ374"/>
  <c r="AI374"/>
  <c r="AH374"/>
  <c r="BR398"/>
  <c r="BM398"/>
  <c r="AQ398"/>
  <c r="AI398"/>
  <c r="AH398"/>
  <c r="BR243"/>
  <c r="BP243"/>
  <c r="BM243"/>
  <c r="BJ243"/>
  <c r="AQ243"/>
  <c r="AI243"/>
  <c r="AH243"/>
  <c r="BR109"/>
  <c r="BP109"/>
  <c r="BM109"/>
  <c r="BJ109"/>
  <c r="AQ109"/>
  <c r="AI109"/>
  <c r="AH109"/>
  <c r="BR10"/>
  <c r="BP10"/>
  <c r="BM10"/>
  <c r="BJ10"/>
  <c r="AQ10"/>
  <c r="AI10"/>
  <c r="AH10"/>
  <c r="BR142"/>
  <c r="BP142"/>
  <c r="BM142"/>
  <c r="BJ142"/>
  <c r="AQ142"/>
  <c r="AI142"/>
  <c r="AH142"/>
  <c r="BR225"/>
  <c r="BP225"/>
  <c r="BM225"/>
  <c r="BJ225"/>
  <c r="AQ225"/>
  <c r="AI225"/>
  <c r="AH225"/>
  <c r="BR161"/>
  <c r="BP161"/>
  <c r="BM161"/>
  <c r="BJ161"/>
  <c r="AQ161"/>
  <c r="AI161"/>
  <c r="AH161"/>
  <c r="BR196"/>
  <c r="BP196"/>
  <c r="BM196"/>
  <c r="BJ196"/>
  <c r="AQ196"/>
  <c r="AI196"/>
  <c r="AH196"/>
  <c r="BR113"/>
  <c r="BP113"/>
  <c r="BM113"/>
  <c r="BJ113"/>
  <c r="AQ113"/>
  <c r="AI113"/>
  <c r="AH113"/>
  <c r="BR6"/>
  <c r="BP6"/>
  <c r="BM6"/>
  <c r="BJ6"/>
  <c r="AQ6"/>
  <c r="AI6"/>
  <c r="AH6"/>
  <c r="BR223"/>
  <c r="BP223"/>
  <c r="BM223"/>
  <c r="BJ223"/>
  <c r="AQ223"/>
  <c r="AI223"/>
  <c r="AH223"/>
  <c r="BR277"/>
  <c r="BP277"/>
  <c r="BM277"/>
  <c r="BJ277"/>
  <c r="AQ277"/>
  <c r="AI277"/>
  <c r="AH277"/>
  <c r="BR61"/>
  <c r="BP61"/>
  <c r="BM61"/>
  <c r="BJ61"/>
  <c r="AQ61"/>
  <c r="AI61"/>
  <c r="AH61"/>
  <c r="BR270"/>
  <c r="BP270"/>
  <c r="BM270"/>
  <c r="BJ270"/>
  <c r="AQ270"/>
  <c r="AI270"/>
  <c r="AH270"/>
  <c r="BR455"/>
  <c r="BP455"/>
  <c r="BM455"/>
  <c r="BJ455"/>
  <c r="AQ455"/>
  <c r="AI455"/>
  <c r="AH455"/>
  <c r="BR447"/>
  <c r="BP447"/>
  <c r="BM447"/>
  <c r="BJ447"/>
  <c r="AQ447"/>
  <c r="AI447"/>
  <c r="AH447"/>
  <c r="BR148"/>
  <c r="BP148"/>
  <c r="BM148"/>
  <c r="BJ148"/>
  <c r="AQ148"/>
  <c r="AI148"/>
  <c r="AH148"/>
  <c r="BR180"/>
  <c r="BP180"/>
  <c r="BM180"/>
  <c r="BJ180"/>
  <c r="AQ180"/>
  <c r="AI180"/>
  <c r="AH180"/>
  <c r="BR59"/>
  <c r="BP59"/>
  <c r="BM59"/>
  <c r="BJ59"/>
  <c r="AQ59"/>
  <c r="AI59"/>
  <c r="AH59"/>
  <c r="BR252"/>
  <c r="BP252"/>
  <c r="BM252"/>
  <c r="BJ252"/>
  <c r="AQ252"/>
  <c r="AI252"/>
  <c r="AH252"/>
  <c r="BR22"/>
  <c r="BP22"/>
  <c r="BM22"/>
  <c r="BJ22"/>
  <c r="AQ22"/>
  <c r="AI22"/>
  <c r="AH22"/>
  <c r="BR75"/>
  <c r="BP75"/>
  <c r="BM75"/>
  <c r="BJ75"/>
  <c r="AQ75"/>
  <c r="AI75"/>
  <c r="AH75"/>
  <c r="BR262"/>
  <c r="BP262"/>
  <c r="BM262"/>
  <c r="BJ262"/>
  <c r="AQ262"/>
  <c r="AI262"/>
  <c r="AH262"/>
  <c r="BR182"/>
  <c r="BP182"/>
  <c r="BM182"/>
  <c r="BJ182"/>
  <c r="AQ182"/>
  <c r="AI182"/>
  <c r="AH182"/>
  <c r="BR167"/>
  <c r="BP167"/>
  <c r="BM167"/>
  <c r="BJ167"/>
  <c r="AQ167"/>
  <c r="AI167"/>
  <c r="AH167"/>
  <c r="BR249"/>
  <c r="BP249"/>
  <c r="BM249"/>
  <c r="BJ249"/>
  <c r="AQ249"/>
  <c r="AI249"/>
  <c r="AH249"/>
  <c r="BR100"/>
  <c r="BP100"/>
  <c r="BM100"/>
  <c r="BJ100"/>
  <c r="AQ100"/>
  <c r="AI100"/>
  <c r="AH100"/>
  <c r="BR250"/>
  <c r="BP250"/>
  <c r="BM250"/>
  <c r="BJ250"/>
  <c r="AQ250"/>
  <c r="AI250"/>
  <c r="AH250"/>
  <c r="BR65"/>
  <c r="BP65"/>
  <c r="BM65"/>
  <c r="BJ65"/>
  <c r="AQ65"/>
  <c r="AI65"/>
  <c r="AH65"/>
  <c r="BR93"/>
  <c r="BP93"/>
  <c r="BM93"/>
  <c r="BJ93"/>
  <c r="AQ93"/>
  <c r="AI93"/>
  <c r="AH93"/>
  <c r="BR72"/>
  <c r="BP72"/>
  <c r="BM72"/>
  <c r="BJ72"/>
  <c r="AQ72"/>
  <c r="AI72"/>
  <c r="AH72"/>
  <c r="BR276"/>
  <c r="BP276"/>
  <c r="BM276"/>
  <c r="BJ276"/>
  <c r="AQ276"/>
  <c r="AI276"/>
  <c r="AH276"/>
  <c r="BR202"/>
  <c r="BP202"/>
  <c r="BM202"/>
  <c r="BJ202"/>
  <c r="AQ202"/>
  <c r="AI202"/>
  <c r="AH202"/>
  <c r="BR70"/>
  <c r="BP70"/>
  <c r="BM70"/>
  <c r="BJ70"/>
  <c r="AQ70"/>
  <c r="AI70"/>
  <c r="AH70"/>
  <c r="BR264"/>
  <c r="BP264"/>
  <c r="BM264"/>
  <c r="BJ264"/>
  <c r="AQ264"/>
  <c r="AI264"/>
  <c r="AH264"/>
  <c r="BR220"/>
  <c r="BP220"/>
  <c r="BM220"/>
  <c r="BJ220"/>
  <c r="AQ220"/>
  <c r="AI220"/>
  <c r="AH220"/>
  <c r="BR36"/>
  <c r="BP36"/>
  <c r="BM36"/>
  <c r="BJ36"/>
  <c r="AQ36"/>
  <c r="AI36"/>
  <c r="AH36"/>
  <c r="BR259"/>
  <c r="BP259"/>
  <c r="BM259"/>
  <c r="BJ259"/>
  <c r="AQ259"/>
  <c r="AI259"/>
  <c r="AH259"/>
  <c r="BR365"/>
  <c r="BP365"/>
  <c r="BM365"/>
  <c r="BJ365"/>
  <c r="AQ365"/>
  <c r="AI365"/>
  <c r="AH365"/>
  <c r="BR271"/>
  <c r="BP271"/>
  <c r="BM271"/>
  <c r="BJ271"/>
  <c r="AQ271"/>
  <c r="AI271"/>
  <c r="AH271"/>
  <c r="BR321"/>
  <c r="BP321"/>
  <c r="BM321"/>
  <c r="BJ321"/>
  <c r="AQ321"/>
  <c r="AI321"/>
  <c r="AH321"/>
  <c r="BR229"/>
  <c r="BP229"/>
  <c r="BM229"/>
  <c r="BJ229"/>
  <c r="AQ229"/>
  <c r="AI229"/>
  <c r="AH229"/>
  <c r="BR335"/>
  <c r="BP335"/>
  <c r="BM335"/>
  <c r="BJ335"/>
  <c r="AQ335"/>
  <c r="AI335"/>
  <c r="AH335"/>
  <c r="BR208"/>
  <c r="BP208"/>
  <c r="BM208"/>
  <c r="BJ208"/>
  <c r="AQ208"/>
  <c r="AI208"/>
  <c r="AH208"/>
  <c r="BR443"/>
  <c r="BM443"/>
  <c r="BJ443"/>
  <c r="AQ443"/>
  <c r="AI443"/>
  <c r="AH443"/>
  <c r="BR309"/>
  <c r="BP309"/>
  <c r="BM309"/>
  <c r="BJ309"/>
  <c r="AQ309"/>
  <c r="AI309"/>
  <c r="AH309"/>
  <c r="BR213"/>
  <c r="BP213"/>
  <c r="BM213"/>
  <c r="BJ213"/>
  <c r="AQ213"/>
  <c r="AI213"/>
  <c r="AH213"/>
  <c r="BR334"/>
  <c r="BP334"/>
  <c r="BM334"/>
  <c r="BJ334"/>
  <c r="AQ334"/>
  <c r="AI334"/>
  <c r="AH334"/>
  <c r="BR216"/>
  <c r="BP216"/>
  <c r="BM216"/>
  <c r="BJ216"/>
  <c r="AQ216"/>
  <c r="AI216"/>
  <c r="AH216"/>
  <c r="BR303"/>
  <c r="BP303"/>
  <c r="BM303"/>
  <c r="BJ303"/>
  <c r="AQ303"/>
  <c r="AI303"/>
  <c r="AH303"/>
  <c r="BR336"/>
  <c r="BP336"/>
  <c r="BM336"/>
  <c r="BJ336"/>
  <c r="AQ336"/>
  <c r="AI336"/>
  <c r="AH336"/>
  <c r="BR234"/>
  <c r="BP234"/>
  <c r="BM234"/>
  <c r="BJ234"/>
  <c r="AQ234"/>
  <c r="AI234"/>
  <c r="AH234"/>
  <c r="BR104"/>
  <c r="BP104"/>
  <c r="BM104"/>
  <c r="BJ104"/>
  <c r="AQ104"/>
  <c r="AI104"/>
  <c r="AH104"/>
  <c r="BR363"/>
  <c r="BP363"/>
  <c r="BM363"/>
  <c r="BJ363"/>
  <c r="AQ363"/>
  <c r="AI363"/>
  <c r="AH363"/>
  <c r="BR133"/>
  <c r="BP133"/>
  <c r="BM133"/>
  <c r="BJ133"/>
  <c r="AQ133"/>
  <c r="AI133"/>
  <c r="AH133"/>
  <c r="BR237"/>
  <c r="BP237"/>
  <c r="BM237"/>
  <c r="BJ237"/>
  <c r="AQ237"/>
  <c r="AI237"/>
  <c r="AH237"/>
  <c r="BR369"/>
  <c r="BP369"/>
  <c r="BJ369"/>
  <c r="AQ369"/>
  <c r="AI369"/>
  <c r="AH369"/>
  <c r="BR333"/>
  <c r="BM333"/>
  <c r="AQ333"/>
  <c r="AI333"/>
  <c r="AH333"/>
  <c r="BR300"/>
  <c r="BP300"/>
  <c r="BM300"/>
  <c r="BJ300"/>
  <c r="AQ300"/>
  <c r="AI300"/>
  <c r="AH300"/>
  <c r="BR34"/>
  <c r="BP34"/>
  <c r="BM34"/>
  <c r="BJ34"/>
  <c r="AQ34"/>
  <c r="AI34"/>
  <c r="AH34"/>
  <c r="BR52"/>
  <c r="BP52"/>
  <c r="BM52"/>
  <c r="BJ52"/>
  <c r="AQ52"/>
  <c r="AI52"/>
  <c r="AH52"/>
  <c r="BR45"/>
  <c r="BP45"/>
  <c r="BM45"/>
  <c r="BJ45"/>
  <c r="AQ45"/>
  <c r="AI45"/>
  <c r="AH45"/>
  <c r="BR294"/>
  <c r="BP294"/>
  <c r="BM294"/>
  <c r="BJ294"/>
  <c r="AQ294"/>
  <c r="AI294"/>
  <c r="AH294"/>
  <c r="BP211"/>
  <c r="BM211"/>
  <c r="BJ211"/>
  <c r="AQ211"/>
  <c r="AI211"/>
  <c r="AH211"/>
  <c r="BR84"/>
  <c r="BP84"/>
  <c r="BM84"/>
  <c r="BJ84"/>
  <c r="AQ84"/>
  <c r="AI84"/>
  <c r="AH84"/>
  <c r="BR77"/>
  <c r="BP77"/>
  <c r="BM77"/>
  <c r="BJ77"/>
  <c r="AQ77"/>
  <c r="AI77"/>
  <c r="AH77"/>
  <c r="BR78"/>
  <c r="BP78"/>
  <c r="BM78"/>
  <c r="BJ78"/>
  <c r="AQ78"/>
  <c r="AI78"/>
  <c r="AH78"/>
  <c r="BR69"/>
  <c r="BP69"/>
  <c r="BM69"/>
  <c r="BJ69"/>
  <c r="AQ69"/>
  <c r="AI69"/>
  <c r="AH69"/>
  <c r="BR265"/>
  <c r="BP265"/>
  <c r="BM265"/>
  <c r="BJ265"/>
  <c r="AQ265"/>
  <c r="AI265"/>
  <c r="AH265"/>
  <c r="BR115"/>
  <c r="BP115"/>
  <c r="BM115"/>
  <c r="BJ115"/>
  <c r="AQ115"/>
  <c r="AI115"/>
  <c r="AH115"/>
  <c r="BR27"/>
  <c r="BP27"/>
  <c r="BM27"/>
  <c r="BJ27"/>
  <c r="AQ27"/>
  <c r="AI27"/>
  <c r="AH27"/>
  <c r="BR205"/>
  <c r="BP205"/>
  <c r="BM205"/>
  <c r="BJ205"/>
  <c r="AQ205"/>
  <c r="AI205"/>
  <c r="AH205"/>
  <c r="BR329"/>
  <c r="BP329"/>
  <c r="BM329"/>
  <c r="BJ329"/>
  <c r="AQ329"/>
  <c r="AI329"/>
  <c r="AH329"/>
  <c r="BR179"/>
  <c r="BP179"/>
  <c r="BM179"/>
  <c r="BJ179"/>
  <c r="AQ179"/>
  <c r="AI179"/>
  <c r="AH179"/>
  <c r="BR159"/>
  <c r="BP159"/>
  <c r="BM159"/>
  <c r="BJ159"/>
  <c r="AQ159"/>
  <c r="AI159"/>
  <c r="AH159"/>
  <c r="BR55"/>
  <c r="BP55"/>
  <c r="BM55"/>
  <c r="BJ55"/>
  <c r="AQ55"/>
  <c r="AI55"/>
  <c r="AH55"/>
  <c r="BR449"/>
  <c r="BP449"/>
  <c r="BM449"/>
  <c r="BJ449"/>
  <c r="AQ449"/>
  <c r="AI449"/>
  <c r="AH449"/>
  <c r="BR82"/>
  <c r="BP82"/>
  <c r="BM82"/>
  <c r="BJ82"/>
  <c r="AQ82"/>
  <c r="AI82"/>
  <c r="AH82"/>
  <c r="BR209"/>
  <c r="BP209"/>
  <c r="BM209"/>
  <c r="BJ209"/>
  <c r="AQ209"/>
  <c r="AI209"/>
  <c r="AH209"/>
  <c r="BR47"/>
  <c r="BP47"/>
  <c r="BM47"/>
  <c r="BJ47"/>
  <c r="AQ47"/>
  <c r="AI47"/>
  <c r="AH47"/>
  <c r="BR64"/>
  <c r="BP64"/>
  <c r="BM64"/>
  <c r="BJ64"/>
  <c r="AQ64"/>
  <c r="AI64"/>
  <c r="AH64"/>
  <c r="BR143"/>
  <c r="BP143"/>
  <c r="BM143"/>
  <c r="BJ143"/>
  <c r="AQ143"/>
  <c r="AI143"/>
  <c r="AH143"/>
  <c r="BR331"/>
  <c r="BP331"/>
  <c r="BM331"/>
  <c r="BJ331"/>
  <c r="AQ331"/>
  <c r="AI331"/>
  <c r="AH331"/>
  <c r="BR197"/>
  <c r="BP197"/>
  <c r="BM197"/>
  <c r="BJ197"/>
  <c r="AQ197"/>
  <c r="AI197"/>
  <c r="AH197"/>
  <c r="BR397"/>
  <c r="BP397"/>
  <c r="BM397"/>
  <c r="BJ397"/>
  <c r="AQ397"/>
  <c r="AI397"/>
  <c r="AH397"/>
  <c r="BR204"/>
  <c r="BP204"/>
  <c r="BM204"/>
  <c r="BJ204"/>
  <c r="AQ204"/>
  <c r="AI204"/>
  <c r="AH204"/>
  <c r="BR441"/>
  <c r="BP441"/>
  <c r="BM441"/>
  <c r="BJ441"/>
  <c r="AQ441"/>
  <c r="AI441"/>
  <c r="AH441"/>
  <c r="BR338"/>
  <c r="BP338"/>
  <c r="BM338"/>
  <c r="BJ338"/>
  <c r="AQ338"/>
  <c r="AI338"/>
  <c r="AH338"/>
  <c r="BR117"/>
  <c r="BP117"/>
  <c r="BM117"/>
  <c r="BJ117"/>
  <c r="AQ117"/>
  <c r="AI117"/>
  <c r="AH117"/>
  <c r="BR379"/>
  <c r="BP379"/>
  <c r="BM379"/>
  <c r="AQ379"/>
  <c r="AI379"/>
  <c r="AH379"/>
  <c r="BR230"/>
  <c r="BP230"/>
  <c r="BM230"/>
  <c r="BJ230"/>
  <c r="AQ230"/>
  <c r="AI230"/>
  <c r="AH230"/>
  <c r="BR400"/>
  <c r="BP400"/>
  <c r="BM400"/>
  <c r="BJ400"/>
  <c r="AQ400"/>
  <c r="AI400"/>
  <c r="AH400"/>
  <c r="BR428"/>
  <c r="BP428"/>
  <c r="BM428"/>
  <c r="AQ428"/>
  <c r="AI428"/>
  <c r="AH428"/>
  <c r="BR218"/>
  <c r="BP218"/>
  <c r="BM218"/>
  <c r="BJ218"/>
  <c r="AQ218"/>
  <c r="AI218"/>
  <c r="AH218"/>
  <c r="BR421"/>
  <c r="BP421"/>
  <c r="BM421"/>
  <c r="BJ421"/>
  <c r="AQ421"/>
  <c r="AI421"/>
  <c r="AH421"/>
  <c r="BR391"/>
  <c r="BM391"/>
  <c r="BJ391"/>
  <c r="AQ391"/>
  <c r="AI391"/>
  <c r="AH391"/>
  <c r="BR194"/>
  <c r="BP194"/>
  <c r="BM194"/>
  <c r="BJ194"/>
  <c r="AQ194"/>
  <c r="AI194"/>
  <c r="AH194"/>
  <c r="BR358"/>
  <c r="BP358"/>
  <c r="BJ358"/>
  <c r="AQ358"/>
  <c r="AI358"/>
  <c r="AH358"/>
  <c r="BR442"/>
  <c r="BP442"/>
  <c r="BM442"/>
  <c r="BJ442"/>
  <c r="AQ442"/>
  <c r="AI442"/>
  <c r="AH442"/>
  <c r="BR344"/>
  <c r="BP344"/>
  <c r="AQ344"/>
  <c r="AI344"/>
  <c r="AH344"/>
  <c r="BR101"/>
  <c r="BP101"/>
  <c r="BM101"/>
  <c r="BJ101"/>
  <c r="AQ101"/>
  <c r="AI101"/>
  <c r="AH101"/>
  <c r="BR293"/>
  <c r="AQ293"/>
  <c r="AI293"/>
  <c r="AH293"/>
  <c r="BP305"/>
  <c r="AQ305"/>
  <c r="AI305"/>
  <c r="AH305"/>
  <c r="BR313"/>
  <c r="BP313"/>
  <c r="BM313"/>
  <c r="BJ313"/>
  <c r="AQ313"/>
  <c r="AI313"/>
  <c r="AH313"/>
  <c r="BJ356"/>
  <c r="AI356"/>
  <c r="AH356"/>
  <c r="BR390"/>
  <c r="BP390"/>
  <c r="BJ390"/>
  <c r="AQ390"/>
  <c r="AI390"/>
  <c r="AH390"/>
  <c r="BR135"/>
  <c r="BP135"/>
  <c r="BM135"/>
  <c r="BJ135"/>
  <c r="AQ135"/>
  <c r="AI135"/>
  <c r="AH135"/>
  <c r="BR245"/>
  <c r="BP245"/>
  <c r="BM245"/>
  <c r="BJ245"/>
  <c r="AQ245"/>
  <c r="AI245"/>
  <c r="AH245"/>
  <c r="BR134"/>
  <c r="BP134"/>
  <c r="BM134"/>
  <c r="BJ134"/>
  <c r="AQ134"/>
  <c r="AI134"/>
  <c r="AH134"/>
  <c r="BR420"/>
  <c r="BP420"/>
  <c r="BM420"/>
  <c r="BJ420"/>
  <c r="AQ420"/>
  <c r="AI420"/>
  <c r="AH420"/>
  <c r="BR88"/>
  <c r="BP88"/>
  <c r="BM88"/>
  <c r="BJ88"/>
  <c r="AQ88"/>
  <c r="AI88"/>
  <c r="AH88"/>
  <c r="BR408"/>
  <c r="BP408"/>
  <c r="BM408"/>
  <c r="BJ408"/>
  <c r="AQ408"/>
  <c r="AI408"/>
  <c r="AH408"/>
  <c r="BR339"/>
  <c r="BP339"/>
  <c r="BM339"/>
  <c r="BJ339"/>
  <c r="AQ339"/>
  <c r="AI339"/>
  <c r="AH339"/>
  <c r="BR315"/>
  <c r="BP315"/>
  <c r="BM315"/>
  <c r="BJ315"/>
  <c r="AQ315"/>
  <c r="AI315"/>
  <c r="AH315"/>
  <c r="BR284"/>
  <c r="BP284"/>
  <c r="BM284"/>
  <c r="BJ284"/>
  <c r="AQ284"/>
  <c r="AI284"/>
  <c r="AH284"/>
  <c r="BR366"/>
  <c r="BP366"/>
  <c r="BM366"/>
  <c r="BJ366"/>
  <c r="AQ366"/>
  <c r="AI366"/>
  <c r="AH366"/>
  <c r="BR139"/>
  <c r="BP139"/>
  <c r="BM139"/>
  <c r="BJ139"/>
  <c r="AQ139"/>
  <c r="AI139"/>
  <c r="AH139"/>
  <c r="BR164"/>
  <c r="BP164"/>
  <c r="BM164"/>
  <c r="BJ164"/>
  <c r="AQ164"/>
  <c r="AI164"/>
  <c r="AH164"/>
  <c r="BR138"/>
  <c r="BP138"/>
  <c r="BM138"/>
  <c r="BJ138"/>
  <c r="AQ138"/>
  <c r="AI138"/>
  <c r="AH138"/>
  <c r="BR153"/>
  <c r="BP153"/>
  <c r="BM153"/>
  <c r="BJ153"/>
  <c r="AQ153"/>
  <c r="AI153"/>
  <c r="AH153"/>
  <c r="BR147"/>
  <c r="BP147"/>
  <c r="BM147"/>
  <c r="BJ147"/>
  <c r="AQ147"/>
  <c r="AI147"/>
  <c r="AH147"/>
  <c r="BR123"/>
  <c r="BP123"/>
  <c r="BM123"/>
  <c r="BJ123"/>
  <c r="AQ123"/>
  <c r="AI123"/>
  <c r="AH123"/>
  <c r="BR11"/>
  <c r="BP11"/>
  <c r="BM11"/>
  <c r="BJ11"/>
  <c r="AQ11"/>
  <c r="AI11"/>
  <c r="AH11"/>
  <c r="BR16"/>
  <c r="BP16"/>
  <c r="BM16"/>
  <c r="BJ16"/>
  <c r="AQ16"/>
  <c r="AI16"/>
  <c r="AH16"/>
  <c r="BR175"/>
  <c r="BP175"/>
  <c r="BM175"/>
  <c r="BJ175"/>
  <c r="AQ175"/>
  <c r="AI175"/>
  <c r="AH175"/>
  <c r="BR38"/>
  <c r="BP38"/>
  <c r="BM38"/>
  <c r="BJ38"/>
  <c r="AQ38"/>
  <c r="AI38"/>
  <c r="AH38"/>
  <c r="BR20"/>
  <c r="BP20"/>
  <c r="BM20"/>
  <c r="BJ20"/>
  <c r="AQ20"/>
  <c r="AI20"/>
  <c r="AH20"/>
  <c r="BR15"/>
  <c r="BP15"/>
  <c r="BM15"/>
  <c r="BJ15"/>
  <c r="AQ15"/>
  <c r="AI15"/>
  <c r="AH15"/>
  <c r="BR67"/>
  <c r="BP67"/>
  <c r="BM67"/>
  <c r="BJ67"/>
  <c r="AQ67"/>
  <c r="AI67"/>
  <c r="AH67"/>
  <c r="BR68"/>
  <c r="BP68"/>
  <c r="BM68"/>
  <c r="BJ68"/>
  <c r="AQ68"/>
  <c r="AI68"/>
  <c r="AH68"/>
  <c r="BR39"/>
  <c r="BP39"/>
  <c r="BM39"/>
  <c r="BJ39"/>
  <c r="AQ39"/>
  <c r="AI39"/>
  <c r="AH39"/>
  <c r="BR7"/>
  <c r="BP7"/>
  <c r="BM7"/>
  <c r="BJ7"/>
  <c r="AQ7"/>
  <c r="AI7"/>
  <c r="AH7"/>
  <c r="BR4"/>
  <c r="BP4"/>
  <c r="BM4"/>
  <c r="BJ4"/>
  <c r="AQ4"/>
  <c r="AI4"/>
  <c r="AH4"/>
  <c r="BR24"/>
  <c r="BP24"/>
  <c r="BM24"/>
  <c r="BJ24"/>
  <c r="AQ24"/>
  <c r="AI24"/>
  <c r="AH24"/>
  <c r="BR5"/>
  <c r="BP5"/>
  <c r="BM5"/>
  <c r="BJ5"/>
  <c r="AQ5"/>
  <c r="AI5"/>
  <c r="AH5"/>
  <c r="BR66"/>
  <c r="BP66"/>
  <c r="BM66"/>
  <c r="BJ66"/>
  <c r="AQ66"/>
  <c r="AI66"/>
  <c r="AH66"/>
  <c r="BR49"/>
  <c r="BP49"/>
  <c r="BM49"/>
  <c r="BJ49"/>
  <c r="AQ49"/>
  <c r="AI49"/>
  <c r="AH49"/>
  <c r="BR23"/>
  <c r="BP23"/>
  <c r="BM23"/>
  <c r="BJ23"/>
  <c r="AQ23"/>
  <c r="AI23"/>
  <c r="AH23"/>
  <c r="BR174"/>
  <c r="BP174"/>
  <c r="BM174"/>
  <c r="BJ174"/>
  <c r="AQ174"/>
  <c r="AI174"/>
  <c r="AH174"/>
  <c r="BR173"/>
  <c r="BP173"/>
  <c r="BM173"/>
  <c r="BJ173"/>
  <c r="AQ173"/>
  <c r="AI173"/>
  <c r="AH173"/>
  <c r="BR33"/>
  <c r="BP33"/>
  <c r="BM33"/>
  <c r="BJ33"/>
  <c r="AQ33"/>
  <c r="AI33"/>
  <c r="AH33"/>
  <c r="BR258"/>
  <c r="BP258"/>
  <c r="BM258"/>
  <c r="BJ258"/>
  <c r="AQ258"/>
  <c r="AI258"/>
  <c r="AH258"/>
  <c r="BR172"/>
  <c r="BP172"/>
  <c r="BM172"/>
  <c r="BJ172"/>
  <c r="AQ172"/>
  <c r="AI172"/>
  <c r="AH172"/>
  <c r="BR171"/>
  <c r="BP171"/>
  <c r="BM171"/>
  <c r="BJ171"/>
  <c r="AQ171"/>
  <c r="AI171"/>
  <c r="AH171"/>
  <c r="BR458"/>
  <c r="BP458"/>
  <c r="BM458"/>
  <c r="BJ458"/>
  <c r="AQ458"/>
  <c r="AI458"/>
  <c r="AH458"/>
  <c r="BR251"/>
  <c r="BP251"/>
  <c r="BM251"/>
  <c r="BJ251"/>
  <c r="AQ251"/>
  <c r="AI251"/>
  <c r="AH251"/>
  <c r="BR178"/>
  <c r="BP178"/>
  <c r="BM178"/>
  <c r="BJ178"/>
  <c r="AQ178"/>
  <c r="AI178"/>
  <c r="AH178"/>
  <c r="BR319"/>
  <c r="BP319"/>
  <c r="BJ319"/>
  <c r="AQ319"/>
  <c r="AI319"/>
  <c r="AH319"/>
  <c r="BR298"/>
  <c r="BP298"/>
  <c r="BJ298"/>
  <c r="AQ298"/>
  <c r="AI298"/>
  <c r="AH298"/>
  <c r="BR238"/>
  <c r="BP238"/>
  <c r="BM238"/>
  <c r="BJ238"/>
  <c r="AQ238"/>
  <c r="AI238"/>
  <c r="AH238"/>
  <c r="BR193"/>
  <c r="BP193"/>
  <c r="BM193"/>
  <c r="BJ193"/>
  <c r="AQ193"/>
  <c r="AI193"/>
  <c r="AH193"/>
  <c r="BR28"/>
  <c r="BP28"/>
  <c r="BM28"/>
  <c r="BJ28"/>
  <c r="AQ28"/>
  <c r="AI28"/>
  <c r="AH28"/>
  <c r="BR192"/>
  <c r="BP192"/>
  <c r="BM192"/>
  <c r="BJ192"/>
  <c r="AQ192"/>
  <c r="AI192"/>
  <c r="AH192"/>
  <c r="BR274"/>
  <c r="BP274"/>
  <c r="BM274"/>
  <c r="BJ274"/>
  <c r="AQ274"/>
  <c r="AI274"/>
  <c r="AH274"/>
  <c r="BR440"/>
  <c r="BP440"/>
  <c r="BM440"/>
  <c r="BJ440"/>
  <c r="AQ440"/>
  <c r="AI440"/>
  <c r="AH440"/>
  <c r="BR426"/>
  <c r="BP426"/>
  <c r="BM426"/>
  <c r="BJ426"/>
  <c r="AQ426"/>
  <c r="AI426"/>
  <c r="AH426"/>
  <c r="BR417"/>
  <c r="BP417"/>
  <c r="BJ417"/>
  <c r="AQ417"/>
  <c r="AI417"/>
  <c r="AH417"/>
  <c r="BR332"/>
  <c r="BP332"/>
  <c r="BM332"/>
  <c r="AQ332"/>
  <c r="AI332"/>
  <c r="AH332"/>
  <c r="BR401"/>
  <c r="BP401"/>
  <c r="BM401"/>
  <c r="AQ401"/>
  <c r="AI401"/>
  <c r="AH401"/>
  <c r="BR240"/>
  <c r="BP240"/>
  <c r="BM240"/>
  <c r="AQ240"/>
  <c r="AI240"/>
  <c r="AH240"/>
  <c r="BR239"/>
  <c r="BP239"/>
  <c r="BM239"/>
  <c r="AQ239"/>
  <c r="AI239"/>
  <c r="AH239"/>
  <c r="BR295"/>
  <c r="BP295"/>
  <c r="AQ295"/>
  <c r="AI295"/>
  <c r="AH295"/>
  <c r="BR168"/>
  <c r="BM168"/>
  <c r="BJ168"/>
  <c r="AQ168"/>
  <c r="AI168"/>
  <c r="AH168"/>
  <c r="BR402"/>
  <c r="BP402"/>
  <c r="AQ402"/>
  <c r="AI402"/>
  <c r="AH402"/>
  <c r="BR405"/>
  <c r="AQ405"/>
  <c r="AI405"/>
  <c r="AH405"/>
  <c r="BR48"/>
  <c r="BP48"/>
  <c r="BJ48"/>
  <c r="AQ48"/>
  <c r="AI48"/>
  <c r="AH48"/>
  <c r="BR18"/>
  <c r="BP18"/>
  <c r="BM18"/>
  <c r="BJ18"/>
  <c r="AQ18"/>
  <c r="AI18"/>
  <c r="AH18"/>
  <c r="BR9"/>
  <c r="BP9"/>
  <c r="BM9"/>
  <c r="BJ9"/>
  <c r="AQ9"/>
  <c r="AI9"/>
  <c r="AH9"/>
  <c r="BR71"/>
  <c r="BP71"/>
  <c r="BM71"/>
  <c r="BJ71"/>
  <c r="AQ71"/>
  <c r="AI71"/>
  <c r="AH71"/>
  <c r="BR103"/>
  <c r="BP103"/>
  <c r="BM103"/>
  <c r="BJ103"/>
  <c r="AQ103"/>
  <c r="AI103"/>
  <c r="AH103"/>
  <c r="BR106"/>
  <c r="BP106"/>
  <c r="BM106"/>
  <c r="BJ106"/>
  <c r="AQ106"/>
  <c r="AI106"/>
  <c r="AH106"/>
  <c r="BR40"/>
  <c r="BP40"/>
  <c r="BM40"/>
  <c r="BJ40"/>
  <c r="AQ40"/>
  <c r="AI40"/>
  <c r="AH40"/>
  <c r="BR111"/>
  <c r="BP111"/>
  <c r="BM111"/>
  <c r="BJ111"/>
  <c r="AQ111"/>
  <c r="AI111"/>
  <c r="AH111"/>
  <c r="BR184"/>
  <c r="BP184"/>
  <c r="BM184"/>
  <c r="BJ184"/>
  <c r="AQ184"/>
  <c r="AI184"/>
  <c r="AH184"/>
  <c r="BR160"/>
  <c r="BP160"/>
  <c r="BM160"/>
  <c r="BJ160"/>
  <c r="AQ160"/>
  <c r="AI160"/>
  <c r="AH160"/>
  <c r="BR376"/>
  <c r="BP376"/>
  <c r="BM376"/>
  <c r="BJ376"/>
  <c r="AQ376"/>
  <c r="AI376"/>
  <c r="AH376"/>
  <c r="BR325"/>
  <c r="BP325"/>
  <c r="BM325"/>
  <c r="AQ325"/>
  <c r="AI325"/>
  <c r="AH325"/>
  <c r="BR324"/>
  <c r="BP324"/>
  <c r="BM324"/>
  <c r="BJ324"/>
  <c r="AQ324"/>
  <c r="AI324"/>
  <c r="AH324"/>
  <c r="BR396"/>
  <c r="BP396"/>
  <c r="BM396"/>
  <c r="BJ396"/>
  <c r="AQ396"/>
  <c r="AI396"/>
  <c r="AH396"/>
  <c r="BR425"/>
  <c r="BM425"/>
  <c r="AQ425"/>
  <c r="AI425"/>
  <c r="AH425"/>
  <c r="BR392"/>
  <c r="AQ392"/>
  <c r="AI392"/>
  <c r="AH392"/>
  <c r="BR404"/>
  <c r="BP404"/>
  <c r="AI404"/>
  <c r="AH404"/>
  <c r="BR381"/>
  <c r="BP381"/>
  <c r="AQ381"/>
  <c r="AI381"/>
  <c r="AH381"/>
  <c r="AQ414"/>
  <c r="AI414"/>
  <c r="AH414"/>
  <c r="BR399"/>
  <c r="BP399"/>
  <c r="BM399"/>
  <c r="BJ399"/>
  <c r="AQ399"/>
  <c r="AI399"/>
  <c r="AH399"/>
  <c r="BR74"/>
  <c r="BP74"/>
  <c r="BM74"/>
  <c r="BJ74"/>
  <c r="AQ74"/>
  <c r="AI74"/>
  <c r="AH74"/>
  <c r="BR302"/>
  <c r="BP302"/>
  <c r="BM302"/>
  <c r="BJ302"/>
  <c r="AQ302"/>
  <c r="AI302"/>
  <c r="AH302"/>
  <c r="BM297"/>
  <c r="AQ297"/>
  <c r="AI297"/>
  <c r="AH297"/>
  <c r="BR330"/>
  <c r="BP330"/>
  <c r="BM330"/>
  <c r="BJ330"/>
  <c r="AQ330"/>
  <c r="AI330"/>
  <c r="AH330"/>
  <c r="BR128"/>
  <c r="BP128"/>
  <c r="BM128"/>
  <c r="BJ128"/>
  <c r="AQ128"/>
  <c r="AI128"/>
  <c r="AH128"/>
  <c r="BR248"/>
  <c r="BP248"/>
  <c r="BM248"/>
  <c r="BJ248"/>
  <c r="AQ248"/>
  <c r="AI248"/>
  <c r="AH248"/>
  <c r="BR151"/>
  <c r="BP151"/>
  <c r="BM151"/>
  <c r="BJ151"/>
  <c r="AQ151"/>
  <c r="AI151"/>
  <c r="AH151"/>
  <c r="BR140"/>
  <c r="BP140"/>
  <c r="BM140"/>
  <c r="BJ140"/>
  <c r="AQ140"/>
  <c r="AI140"/>
  <c r="AH140"/>
  <c r="BR187"/>
  <c r="BP187"/>
  <c r="BM187"/>
  <c r="BJ187"/>
  <c r="AQ187"/>
  <c r="AI187"/>
  <c r="AH187"/>
  <c r="BR163"/>
  <c r="BP163"/>
  <c r="BM163"/>
  <c r="BJ163"/>
  <c r="AQ163"/>
  <c r="AI163"/>
  <c r="AH163"/>
  <c r="BR112"/>
  <c r="BP112"/>
  <c r="BM112"/>
  <c r="BJ112"/>
  <c r="AQ112"/>
  <c r="AI112"/>
  <c r="AH112"/>
  <c r="BR191"/>
  <c r="BP191"/>
  <c r="BM191"/>
  <c r="BJ191"/>
  <c r="AQ191"/>
  <c r="AI191"/>
  <c r="AH191"/>
  <c r="BR247"/>
  <c r="BP247"/>
  <c r="BM247"/>
  <c r="BJ247"/>
  <c r="AQ247"/>
  <c r="AI247"/>
  <c r="AH247"/>
  <c r="BR141"/>
  <c r="BP141"/>
  <c r="BM141"/>
  <c r="BJ141"/>
  <c r="AQ141"/>
  <c r="AI141"/>
  <c r="AH141"/>
  <c r="BR154"/>
  <c r="BP154"/>
  <c r="BM154"/>
  <c r="BJ154"/>
  <c r="AQ154"/>
  <c r="AI154"/>
  <c r="AH154"/>
  <c r="BR201"/>
  <c r="BP201"/>
  <c r="BM201"/>
  <c r="BJ201"/>
  <c r="AQ201"/>
  <c r="AI201"/>
  <c r="AH201"/>
  <c r="BR448"/>
  <c r="BP448"/>
  <c r="BM448"/>
  <c r="BJ448"/>
  <c r="AQ448"/>
  <c r="AI448"/>
  <c r="AH448"/>
  <c r="BR256"/>
  <c r="BP256"/>
  <c r="BM256"/>
  <c r="BJ256"/>
  <c r="AQ256"/>
  <c r="AI256"/>
  <c r="AH256"/>
  <c r="BR73"/>
  <c r="BP73"/>
  <c r="BM73"/>
  <c r="BJ73"/>
  <c r="AQ73"/>
  <c r="AI73"/>
  <c r="AH73"/>
  <c r="BR79"/>
  <c r="BP79"/>
  <c r="BM79"/>
  <c r="BJ79"/>
  <c r="AQ79"/>
  <c r="AI79"/>
  <c r="AH79"/>
  <c r="BR32"/>
  <c r="BP32"/>
  <c r="BM32"/>
  <c r="BJ32"/>
  <c r="AQ32"/>
  <c r="AI32"/>
  <c r="AH32"/>
  <c r="BR450"/>
  <c r="BP450"/>
  <c r="BM450"/>
  <c r="BJ450"/>
  <c r="AQ450"/>
  <c r="AI450"/>
  <c r="AH450"/>
  <c r="BR43"/>
  <c r="BP43"/>
  <c r="BM43"/>
  <c r="BJ43"/>
  <c r="AQ43"/>
  <c r="AI43"/>
  <c r="AH43"/>
  <c r="BR30"/>
  <c r="BP30"/>
  <c r="BM30"/>
  <c r="BJ30"/>
  <c r="AQ30"/>
  <c r="AI30"/>
  <c r="AH30"/>
  <c r="BR56"/>
  <c r="BP56"/>
  <c r="BM56"/>
  <c r="BJ56"/>
  <c r="AQ56"/>
  <c r="AI56"/>
  <c r="AH56"/>
  <c r="BR244"/>
  <c r="BP244"/>
  <c r="BM244"/>
  <c r="BJ244"/>
  <c r="AQ244"/>
  <c r="AI244"/>
  <c r="AH244"/>
  <c r="BR165"/>
  <c r="BP165"/>
  <c r="BM165"/>
  <c r="BJ165"/>
  <c r="AQ165"/>
  <c r="AI165"/>
  <c r="AH165"/>
  <c r="BR25"/>
  <c r="BP25"/>
  <c r="BM25"/>
  <c r="BJ25"/>
  <c r="AQ25"/>
  <c r="AI25"/>
  <c r="AH25"/>
  <c r="BR452"/>
  <c r="BP452"/>
  <c r="BM452"/>
  <c r="BJ452"/>
  <c r="AQ452"/>
  <c r="AI452"/>
  <c r="AH452"/>
  <c r="BR81"/>
  <c r="BP81"/>
  <c r="BM81"/>
  <c r="BJ81"/>
  <c r="AQ81"/>
  <c r="AI81"/>
  <c r="AH81"/>
  <c r="BR199"/>
  <c r="BP199"/>
  <c r="BM199"/>
  <c r="BJ199"/>
  <c r="AQ199"/>
  <c r="AI199"/>
  <c r="AH199"/>
  <c r="BR254"/>
  <c r="BP254"/>
  <c r="BM254"/>
  <c r="BJ254"/>
  <c r="AQ254"/>
  <c r="AI254"/>
  <c r="AH254"/>
  <c r="BR217"/>
  <c r="BP217"/>
  <c r="BM217"/>
  <c r="BJ217"/>
  <c r="AQ217"/>
  <c r="AI217"/>
  <c r="AH217"/>
  <c r="BR41"/>
  <c r="BP41"/>
  <c r="BM41"/>
  <c r="BJ41"/>
  <c r="AQ41"/>
  <c r="AI41"/>
  <c r="AH41"/>
  <c r="BR19"/>
  <c r="BP19"/>
  <c r="BM19"/>
  <c r="BJ19"/>
  <c r="AQ19"/>
  <c r="AI19"/>
  <c r="AH19"/>
  <c r="BR114"/>
  <c r="BP114"/>
  <c r="BM114"/>
  <c r="BJ114"/>
  <c r="AQ114"/>
  <c r="AI114"/>
  <c r="AH114"/>
  <c r="BR177"/>
  <c r="BP177"/>
  <c r="BM177"/>
  <c r="BJ177"/>
  <c r="AQ177"/>
  <c r="AI177"/>
  <c r="AH177"/>
  <c r="BR125"/>
  <c r="BP125"/>
  <c r="BM125"/>
  <c r="BJ125"/>
  <c r="AQ125"/>
  <c r="AI125"/>
  <c r="AH125"/>
  <c r="BR341"/>
  <c r="BP341"/>
  <c r="BM341"/>
  <c r="BJ341"/>
  <c r="AQ341"/>
  <c r="AI341"/>
  <c r="AH341"/>
  <c r="BR272"/>
  <c r="BP272"/>
  <c r="BM272"/>
  <c r="BJ272"/>
  <c r="AQ272"/>
  <c r="AI272"/>
  <c r="AH272"/>
  <c r="BR169"/>
  <c r="BP169"/>
  <c r="BM169"/>
  <c r="BJ169"/>
  <c r="AQ169"/>
  <c r="AI169"/>
  <c r="AH169"/>
  <c r="BR346"/>
  <c r="BP346"/>
  <c r="BM346"/>
  <c r="BJ346"/>
  <c r="AQ346"/>
  <c r="AI346"/>
  <c r="AH346"/>
  <c r="BR57"/>
  <c r="BP57"/>
  <c r="BM57"/>
  <c r="BJ57"/>
  <c r="AQ57"/>
  <c r="AI57"/>
  <c r="AH57"/>
  <c r="BR207"/>
  <c r="BP207"/>
  <c r="BM207"/>
  <c r="BJ207"/>
  <c r="AQ207"/>
  <c r="AI207"/>
  <c r="AH207"/>
  <c r="BR162"/>
  <c r="BP162"/>
  <c r="BM162"/>
  <c r="BJ162"/>
  <c r="AQ162"/>
  <c r="AI162"/>
  <c r="AH162"/>
  <c r="BR451"/>
  <c r="BP451"/>
  <c r="BM451"/>
  <c r="BJ451"/>
  <c r="AQ451"/>
  <c r="AI451"/>
  <c r="AH451"/>
  <c r="BR145"/>
  <c r="BP145"/>
  <c r="BM145"/>
  <c r="BJ145"/>
  <c r="AQ145"/>
  <c r="AI145"/>
  <c r="AH145"/>
  <c r="BR266"/>
  <c r="BP266"/>
  <c r="BM266"/>
  <c r="BJ266"/>
  <c r="AQ266"/>
  <c r="AI266"/>
  <c r="AH266"/>
  <c r="BR110"/>
  <c r="BP110"/>
  <c r="BM110"/>
  <c r="BJ110"/>
  <c r="AQ110"/>
  <c r="AI110"/>
  <c r="AH110"/>
  <c r="BR418"/>
  <c r="BP418"/>
  <c r="BM418"/>
  <c r="BJ418"/>
  <c r="AQ418"/>
  <c r="AI418"/>
  <c r="AH418"/>
  <c r="BR58"/>
  <c r="BP58"/>
  <c r="BM58"/>
  <c r="BJ58"/>
  <c r="AQ58"/>
  <c r="AI58"/>
  <c r="AH58"/>
  <c r="BR419"/>
  <c r="BP419"/>
  <c r="BM419"/>
  <c r="BJ419"/>
  <c r="AQ419"/>
  <c r="AI419"/>
  <c r="AH419"/>
  <c r="BR44"/>
  <c r="BP44"/>
  <c r="BM44"/>
  <c r="BJ44"/>
  <c r="AQ44"/>
  <c r="AI44"/>
  <c r="AH44"/>
  <c r="BR210"/>
  <c r="BP210"/>
  <c r="BM210"/>
  <c r="BJ210"/>
  <c r="AQ210"/>
  <c r="AI210"/>
  <c r="AH210"/>
  <c r="BR255"/>
  <c r="BP255"/>
  <c r="BM255"/>
  <c r="BJ255"/>
  <c r="AQ255"/>
  <c r="AI255"/>
  <c r="AH255"/>
  <c r="BR445"/>
  <c r="BP445"/>
  <c r="BM445"/>
  <c r="BJ445"/>
  <c r="AQ445"/>
  <c r="AI445"/>
  <c r="AH445"/>
  <c r="BR188"/>
  <c r="BP188"/>
  <c r="BM188"/>
  <c r="BJ188"/>
  <c r="AQ188"/>
  <c r="AI188"/>
  <c r="AH188"/>
  <c r="BR97"/>
  <c r="BP97"/>
  <c r="BM97"/>
  <c r="BJ97"/>
  <c r="AQ97"/>
  <c r="AI97"/>
  <c r="AH97"/>
  <c r="BR253"/>
  <c r="BP253"/>
  <c r="BM253"/>
  <c r="BJ253"/>
  <c r="AQ253"/>
  <c r="AI253"/>
  <c r="AH253"/>
  <c r="BR219"/>
  <c r="BP219"/>
  <c r="BM219"/>
  <c r="BJ219"/>
  <c r="AQ219"/>
  <c r="AI219"/>
  <c r="AH219"/>
  <c r="BR198"/>
  <c r="BP198"/>
  <c r="BM198"/>
  <c r="BJ198"/>
  <c r="AQ198"/>
  <c r="AI198"/>
  <c r="AH198"/>
  <c r="BR129"/>
  <c r="BP129"/>
  <c r="BM129"/>
  <c r="BJ129"/>
  <c r="AQ129"/>
  <c r="AI129"/>
  <c r="AH129"/>
  <c r="BR278"/>
  <c r="BP278"/>
  <c r="BM278"/>
  <c r="BJ278"/>
  <c r="AQ278"/>
  <c r="AI278"/>
  <c r="AH278"/>
  <c r="BR367"/>
  <c r="BP367"/>
  <c r="BM367"/>
  <c r="BJ367"/>
  <c r="AQ367"/>
  <c r="AI367"/>
  <c r="AH367"/>
  <c r="BR80"/>
  <c r="BP80"/>
  <c r="BM80"/>
  <c r="BJ80"/>
  <c r="AQ80"/>
  <c r="AI80"/>
  <c r="AH80"/>
  <c r="BR119"/>
  <c r="BP119"/>
  <c r="BM119"/>
  <c r="BJ119"/>
  <c r="AQ119"/>
  <c r="AI119"/>
  <c r="AH119"/>
  <c r="BR189"/>
  <c r="BP189"/>
  <c r="BM189"/>
  <c r="BJ189"/>
  <c r="AQ189"/>
  <c r="AI189"/>
  <c r="AH189"/>
  <c r="BR403"/>
  <c r="BP403"/>
  <c r="BM403"/>
  <c r="BJ403"/>
  <c r="AQ403"/>
  <c r="AI403"/>
  <c r="AH403"/>
  <c r="BR149"/>
  <c r="BP149"/>
  <c r="BM149"/>
  <c r="BJ149"/>
  <c r="AQ149"/>
  <c r="AI149"/>
  <c r="AH149"/>
  <c r="BR372"/>
  <c r="BP372"/>
  <c r="BM372"/>
  <c r="BJ372"/>
  <c r="AQ372"/>
  <c r="AI372"/>
  <c r="AH372"/>
  <c r="BR263"/>
  <c r="BP263"/>
  <c r="BM263"/>
  <c r="BJ263"/>
  <c r="AQ263"/>
  <c r="AI263"/>
  <c r="AH263"/>
  <c r="BR317"/>
  <c r="BM317"/>
  <c r="AQ317"/>
  <c r="AI317"/>
  <c r="AH317"/>
  <c r="BR203"/>
  <c r="BP203"/>
  <c r="BM203"/>
  <c r="BJ203"/>
  <c r="AQ203"/>
  <c r="AI203"/>
  <c r="AH203"/>
  <c r="BR423"/>
  <c r="BP423"/>
  <c r="BJ423"/>
  <c r="AQ423"/>
  <c r="AI423"/>
  <c r="AH423"/>
  <c r="BR150"/>
  <c r="BP150"/>
  <c r="BM150"/>
  <c r="BJ150"/>
  <c r="AQ150"/>
  <c r="AI150"/>
  <c r="AH150"/>
  <c r="BR233"/>
  <c r="BP233"/>
  <c r="BM233"/>
  <c r="BJ233"/>
  <c r="AQ233"/>
  <c r="AI233"/>
  <c r="AH233"/>
  <c r="BR62"/>
  <c r="BP62"/>
  <c r="BM62"/>
  <c r="BJ62"/>
  <c r="AQ62"/>
  <c r="AI62"/>
  <c r="AH62"/>
  <c r="BR412"/>
  <c r="BM412"/>
  <c r="BJ412"/>
  <c r="AQ412"/>
  <c r="AI412"/>
  <c r="AH412"/>
  <c r="BR222"/>
  <c r="BP222"/>
  <c r="BM222"/>
  <c r="BJ222"/>
  <c r="AQ222"/>
  <c r="AI222"/>
  <c r="AH222"/>
  <c r="BR279"/>
  <c r="BP279"/>
  <c r="BM279"/>
  <c r="BJ279"/>
  <c r="AQ279"/>
  <c r="AI279"/>
  <c r="AH279"/>
  <c r="BR304"/>
  <c r="BP304"/>
  <c r="BM304"/>
  <c r="BJ304"/>
  <c r="AQ304"/>
  <c r="AI304"/>
  <c r="AH304"/>
  <c r="BR281"/>
  <c r="BP281"/>
  <c r="BM281"/>
  <c r="BJ281"/>
  <c r="AQ281"/>
  <c r="AI281"/>
  <c r="AH281"/>
  <c r="BR121"/>
  <c r="BP121"/>
  <c r="BM121"/>
  <c r="BJ121"/>
  <c r="AQ121"/>
  <c r="AI121"/>
  <c r="AH121"/>
  <c r="BR371"/>
  <c r="BP371"/>
  <c r="BM371"/>
  <c r="AQ371"/>
  <c r="AI371"/>
  <c r="AH371"/>
  <c r="BR285"/>
  <c r="BP285"/>
  <c r="BM285"/>
  <c r="BJ285"/>
  <c r="AQ285"/>
  <c r="AI285"/>
  <c r="AH285"/>
  <c r="BR351"/>
  <c r="BP351"/>
  <c r="BM351"/>
  <c r="BJ351"/>
  <c r="AQ351"/>
  <c r="AI351"/>
  <c r="AH351"/>
  <c r="BR221"/>
  <c r="BP221"/>
  <c r="BM221"/>
  <c r="BJ221"/>
  <c r="AQ221"/>
  <c r="AI221"/>
  <c r="AH221"/>
  <c r="BR232"/>
  <c r="BP232"/>
  <c r="BM232"/>
  <c r="BJ232"/>
  <c r="AQ232"/>
  <c r="AI232"/>
  <c r="AH232"/>
  <c r="BR132"/>
  <c r="BP132"/>
  <c r="BM132"/>
  <c r="BJ132"/>
  <c r="AQ132"/>
  <c r="AI132"/>
  <c r="AH132"/>
  <c r="BR326"/>
  <c r="BM326"/>
  <c r="BJ326"/>
  <c r="AQ326"/>
  <c r="AI326"/>
  <c r="AH326"/>
  <c r="BR235"/>
  <c r="BP235"/>
  <c r="BM235"/>
  <c r="BJ235"/>
  <c r="AQ235"/>
  <c r="AI235"/>
  <c r="AH235"/>
  <c r="BR370"/>
  <c r="BJ370"/>
  <c r="AQ370"/>
  <c r="AI370"/>
  <c r="AH370"/>
  <c r="BR389"/>
  <c r="BP389"/>
  <c r="BM389"/>
  <c r="BJ389"/>
  <c r="AQ389"/>
  <c r="AI389"/>
  <c r="AH389"/>
  <c r="BR361"/>
  <c r="AI361"/>
  <c r="AH361"/>
  <c r="BR337"/>
  <c r="BP337"/>
  <c r="BM337"/>
  <c r="BJ337"/>
  <c r="AQ337"/>
  <c r="AI337"/>
  <c r="AH337"/>
  <c r="BP439"/>
  <c r="BJ439"/>
  <c r="AQ439"/>
  <c r="AI439"/>
  <c r="AH439"/>
  <c r="BR308"/>
  <c r="BP308"/>
  <c r="BJ308"/>
  <c r="AQ308"/>
  <c r="AI308"/>
  <c r="AH308"/>
  <c r="BR427"/>
  <c r="BJ427"/>
  <c r="AI427"/>
  <c r="AH427"/>
  <c r="BR116"/>
  <c r="BP116"/>
  <c r="BM116"/>
  <c r="BJ116"/>
  <c r="AQ116"/>
  <c r="AI116"/>
  <c r="AH116"/>
  <c r="BR328"/>
  <c r="BM328"/>
  <c r="AQ328"/>
  <c r="AI328"/>
  <c r="AH328"/>
  <c r="BR327"/>
  <c r="AI327"/>
  <c r="AH327"/>
  <c r="BR340"/>
  <c r="BP340"/>
  <c r="BM340"/>
  <c r="BJ340"/>
  <c r="AQ340"/>
  <c r="AI340"/>
  <c r="AH340"/>
  <c r="AQ355"/>
  <c r="AI355"/>
  <c r="AH355"/>
  <c r="BR126"/>
  <c r="BP126"/>
  <c r="BM126"/>
  <c r="BJ126"/>
  <c r="AQ126"/>
  <c r="AI126"/>
  <c r="AH126"/>
  <c r="BR438"/>
  <c r="AQ438"/>
  <c r="AI438"/>
  <c r="AH438"/>
  <c r="BR453"/>
  <c r="BP453"/>
  <c r="BM453"/>
  <c r="BJ453"/>
  <c r="AQ453"/>
  <c r="AI453"/>
  <c r="AH453"/>
  <c r="BR83"/>
  <c r="BP83"/>
  <c r="BM83"/>
  <c r="BJ83"/>
  <c r="AQ83"/>
  <c r="AI83"/>
  <c r="AH83"/>
  <c r="BR430"/>
  <c r="BM430"/>
  <c r="AQ430"/>
  <c r="AI430"/>
  <c r="AH430"/>
  <c r="BR283"/>
  <c r="BP283"/>
  <c r="BM283"/>
  <c r="BJ283"/>
  <c r="AQ283"/>
  <c r="AI283"/>
  <c r="AH283"/>
  <c r="BR436"/>
  <c r="BP436"/>
  <c r="BM436"/>
  <c r="BJ436"/>
  <c r="AQ436"/>
  <c r="AI436"/>
  <c r="AH436"/>
  <c r="BR434"/>
  <c r="BP434"/>
  <c r="BM434"/>
  <c r="BJ434"/>
  <c r="AQ434"/>
  <c r="AI434"/>
  <c r="AH434"/>
  <c r="BR432"/>
  <c r="BP432"/>
  <c r="BM432"/>
  <c r="AQ432"/>
  <c r="AI432"/>
  <c r="AH432"/>
  <c r="BR320"/>
  <c r="AQ320"/>
  <c r="AI320"/>
  <c r="AH320"/>
  <c r="AQ362"/>
  <c r="AI362"/>
  <c r="AH362"/>
  <c r="BR382"/>
  <c r="AQ382"/>
  <c r="AI382"/>
  <c r="AH382"/>
  <c r="BR393"/>
  <c r="BJ393"/>
  <c r="AQ393"/>
  <c r="AI393"/>
  <c r="AH393"/>
  <c r="BR387"/>
  <c r="BP387"/>
  <c r="BM387"/>
  <c r="BJ387"/>
  <c r="AQ387"/>
  <c r="AI387"/>
  <c r="AH387"/>
  <c r="BR359"/>
  <c r="BM359"/>
  <c r="BJ359"/>
  <c r="AI359"/>
  <c r="AH359"/>
  <c r="BR411"/>
  <c r="BP411"/>
  <c r="AQ411"/>
  <c r="AI411"/>
  <c r="AH411"/>
  <c r="BR287"/>
  <c r="BM287"/>
  <c r="AQ287"/>
  <c r="AI287"/>
  <c r="AH287"/>
  <c r="BR437"/>
  <c r="BM437"/>
  <c r="BJ437"/>
  <c r="AQ437"/>
  <c r="AI437"/>
  <c r="AH437"/>
  <c r="BR378"/>
  <c r="AQ378"/>
  <c r="AI378"/>
  <c r="AH378"/>
  <c r="BR354"/>
  <c r="BM354"/>
  <c r="AQ354"/>
  <c r="AI354"/>
  <c r="AH354"/>
  <c r="AQ158"/>
  <c r="AI158"/>
  <c r="AH158"/>
  <c r="AQ343"/>
  <c r="AI343"/>
  <c r="AH343"/>
  <c r="BR384"/>
  <c r="AQ384"/>
  <c r="AI384"/>
  <c r="AH384"/>
  <c r="AQ311"/>
  <c r="AI311"/>
  <c r="AH311"/>
  <c r="BR348"/>
  <c r="AQ348"/>
  <c r="AI348"/>
  <c r="AH348"/>
  <c r="AQ350"/>
  <c r="AI350"/>
  <c r="AH350"/>
  <c r="AQ431"/>
  <c r="AI431"/>
  <c r="AH431"/>
  <c r="AQ410"/>
  <c r="AI410"/>
  <c r="AH410"/>
  <c r="AI383"/>
  <c r="AH383"/>
  <c r="BM307"/>
  <c r="AQ307"/>
  <c r="AI307"/>
  <c r="AH307"/>
  <c r="AQ368"/>
  <c r="AI368"/>
  <c r="AH368"/>
  <c r="BR416"/>
  <c r="BP416"/>
  <c r="BM416"/>
  <c r="BJ416"/>
  <c r="AQ416"/>
  <c r="AI416"/>
  <c r="AH416"/>
  <c r="BR435"/>
  <c r="BM435"/>
  <c r="BJ435"/>
  <c r="AQ435"/>
  <c r="AI435"/>
  <c r="AH435"/>
  <c r="AQ282"/>
  <c r="AI282"/>
  <c r="AH282"/>
  <c r="BR433"/>
  <c r="BM433"/>
  <c r="AQ433"/>
  <c r="AI433"/>
  <c r="AH433"/>
  <c r="BR377"/>
  <c r="BP377"/>
  <c r="BM377"/>
  <c r="BJ377"/>
  <c r="AQ377"/>
  <c r="AI377"/>
  <c r="AH377"/>
  <c r="BR310"/>
  <c r="BP310"/>
  <c r="BM310"/>
  <c r="BJ310"/>
  <c r="AQ310"/>
  <c r="AI310"/>
  <c r="AH310"/>
  <c r="BR353"/>
  <c r="AQ353"/>
  <c r="AI353"/>
  <c r="AH353"/>
  <c r="BR267"/>
  <c r="BP267"/>
  <c r="BM267"/>
  <c r="BJ267"/>
  <c r="AQ267"/>
  <c r="AI267"/>
  <c r="AH267"/>
  <c r="BR26"/>
  <c r="BP26"/>
  <c r="BM26"/>
  <c r="BJ26"/>
  <c r="AQ26"/>
  <c r="AI26"/>
  <c r="AH26"/>
  <c r="BR90"/>
  <c r="BP90"/>
  <c r="BM90"/>
  <c r="BJ90"/>
  <c r="AQ90"/>
  <c r="AI90"/>
  <c r="AH90"/>
  <c r="BR226"/>
  <c r="BP226"/>
  <c r="BM226"/>
  <c r="BJ226"/>
  <c r="AQ226"/>
  <c r="AI226"/>
  <c r="AH226"/>
  <c r="BR388"/>
  <c r="BP388"/>
  <c r="BM388"/>
  <c r="BJ388"/>
  <c r="AQ388"/>
  <c r="AI388"/>
  <c r="AH388"/>
  <c r="BR224"/>
  <c r="BJ224"/>
  <c r="AQ224"/>
  <c r="AI224"/>
  <c r="AH224"/>
  <c r="BR349"/>
  <c r="BP349"/>
  <c r="AQ349"/>
  <c r="AI349"/>
  <c r="AH349"/>
  <c r="BM316"/>
  <c r="AQ316"/>
  <c r="AI316"/>
  <c r="AH316"/>
  <c r="BR375"/>
  <c r="BP375"/>
  <c r="BM375"/>
  <c r="BJ375"/>
  <c r="AQ375"/>
  <c r="AI375"/>
  <c r="AH375"/>
  <c r="BR12"/>
  <c r="BP12"/>
  <c r="BM12"/>
  <c r="BJ12"/>
  <c r="AQ12"/>
  <c r="AI12"/>
  <c r="AH12"/>
  <c r="BR260"/>
  <c r="BP260"/>
  <c r="BM260"/>
  <c r="BJ260"/>
  <c r="AQ260"/>
  <c r="AI260"/>
  <c r="AH260"/>
  <c r="BR60"/>
  <c r="BP60"/>
  <c r="BM60"/>
  <c r="BJ60"/>
  <c r="AQ60"/>
  <c r="AI60"/>
  <c r="AH60"/>
  <c r="BP314"/>
  <c r="BM314"/>
  <c r="AQ314"/>
  <c r="AI314"/>
  <c r="AH314"/>
  <c r="BR273"/>
  <c r="BP273"/>
  <c r="BM273"/>
  <c r="BJ273"/>
  <c r="AQ273"/>
  <c r="AI273"/>
  <c r="AH273"/>
  <c r="BR406"/>
  <c r="BP406"/>
  <c r="BM406"/>
  <c r="BJ406"/>
  <c r="AQ406"/>
  <c r="AI406"/>
  <c r="AH406"/>
  <c r="BR246"/>
  <c r="BP246"/>
  <c r="BM246"/>
  <c r="BJ246"/>
  <c r="AQ246"/>
  <c r="AI246"/>
  <c r="AH246"/>
  <c r="BR227"/>
  <c r="BP227"/>
  <c r="BM227"/>
  <c r="BJ227"/>
  <c r="AQ227"/>
  <c r="AI227"/>
  <c r="AH227"/>
  <c r="BR269"/>
  <c r="BP269"/>
  <c r="BM269"/>
  <c r="BJ269"/>
  <c r="AQ269"/>
  <c r="AI269"/>
  <c r="AH269"/>
  <c r="BR185"/>
  <c r="BP185"/>
  <c r="BM185"/>
  <c r="BJ185"/>
  <c r="AQ185"/>
  <c r="AI185"/>
  <c r="AH185"/>
  <c r="BR318"/>
  <c r="BP318"/>
  <c r="BM318"/>
  <c r="BJ318"/>
  <c r="AQ318"/>
  <c r="AI318"/>
  <c r="AH318"/>
  <c r="BR200"/>
  <c r="BP200"/>
  <c r="BM200"/>
  <c r="BJ200"/>
  <c r="AQ200"/>
  <c r="AI200"/>
  <c r="AH200"/>
  <c r="BR13"/>
  <c r="BP13"/>
  <c r="BM13"/>
  <c r="BJ13"/>
  <c r="AQ13"/>
  <c r="AI13"/>
  <c r="AH13"/>
  <c r="BR195"/>
  <c r="BP195"/>
  <c r="BM195"/>
  <c r="BJ195"/>
  <c r="AQ195"/>
  <c r="AI195"/>
  <c r="AH195"/>
  <c r="BR454"/>
  <c r="BP454"/>
  <c r="BM454"/>
  <c r="BJ454"/>
  <c r="AQ454"/>
  <c r="AI454"/>
  <c r="AH454"/>
  <c r="BR206"/>
  <c r="BP206"/>
  <c r="BM206"/>
  <c r="BJ206"/>
  <c r="AQ206"/>
  <c r="AI206"/>
  <c r="AH206"/>
  <c r="BR51"/>
  <c r="BP51"/>
  <c r="BM51"/>
  <c r="BJ51"/>
  <c r="AQ51"/>
  <c r="AI51"/>
  <c r="AH51"/>
  <c r="BR46"/>
  <c r="BP46"/>
  <c r="BM46"/>
  <c r="BJ46"/>
  <c r="AQ46"/>
  <c r="AI46"/>
  <c r="AH46"/>
  <c r="BR190"/>
  <c r="BP190"/>
  <c r="BM190"/>
  <c r="BJ190"/>
  <c r="AQ190"/>
  <c r="AI190"/>
  <c r="AH190"/>
  <c r="BR176"/>
  <c r="BP176"/>
  <c r="BM176"/>
  <c r="BJ176"/>
  <c r="AQ176"/>
  <c r="AI176"/>
  <c r="AH176"/>
  <c r="BR102"/>
  <c r="BP102"/>
  <c r="BM102"/>
  <c r="BJ102"/>
  <c r="AQ102"/>
  <c r="AI102"/>
  <c r="AH102"/>
  <c r="BR214"/>
  <c r="BP214"/>
  <c r="BM214"/>
  <c r="BJ214"/>
  <c r="AQ214"/>
  <c r="AI214"/>
  <c r="AH214"/>
  <c r="BR446"/>
  <c r="BP446"/>
  <c r="BM446"/>
  <c r="BJ446"/>
  <c r="AQ446"/>
  <c r="AI446"/>
  <c r="AH446"/>
  <c r="BR155"/>
  <c r="BP155"/>
  <c r="BM155"/>
  <c r="BJ155"/>
  <c r="AQ155"/>
  <c r="AI155"/>
  <c r="AH155"/>
  <c r="BR275"/>
  <c r="BP275"/>
  <c r="BM275"/>
  <c r="BJ275"/>
  <c r="AQ275"/>
  <c r="AI275"/>
  <c r="AH275"/>
  <c r="BR29"/>
  <c r="BP29"/>
  <c r="BM29"/>
  <c r="BJ29"/>
  <c r="AQ29"/>
  <c r="AI29"/>
  <c r="AH29"/>
  <c r="BR215"/>
  <c r="BP215"/>
  <c r="BM215"/>
  <c r="BJ215"/>
  <c r="AQ215"/>
  <c r="AI215"/>
  <c r="AH215"/>
  <c r="BR31"/>
  <c r="BP31"/>
  <c r="BM31"/>
  <c r="BJ31"/>
  <c r="AQ31"/>
  <c r="AI31"/>
  <c r="AH31"/>
  <c r="BR63"/>
  <c r="BP63"/>
  <c r="BM63"/>
  <c r="BJ63"/>
  <c r="AQ63"/>
  <c r="AI63"/>
  <c r="AH63"/>
  <c r="BR131"/>
  <c r="BP131"/>
  <c r="BM131"/>
  <c r="BJ131"/>
  <c r="AQ131"/>
  <c r="AI131"/>
  <c r="AH131"/>
  <c r="BR301"/>
  <c r="BP301"/>
  <c r="BM301"/>
  <c r="BJ301"/>
  <c r="AQ301"/>
  <c r="AI301"/>
  <c r="AH301"/>
  <c r="BR50"/>
  <c r="BP50"/>
  <c r="BM50"/>
  <c r="BJ50"/>
  <c r="AQ50"/>
  <c r="AI50"/>
  <c r="AH50"/>
  <c r="BR456"/>
  <c r="BP456"/>
  <c r="BM456"/>
  <c r="BJ456"/>
  <c r="AQ456"/>
  <c r="AI456"/>
  <c r="AH456"/>
  <c r="BR156"/>
  <c r="BP156"/>
  <c r="BM156"/>
  <c r="BJ156"/>
  <c r="AQ156"/>
  <c r="AI156"/>
  <c r="AH156"/>
  <c r="BR292"/>
  <c r="BP292"/>
  <c r="BM292"/>
  <c r="BJ292"/>
  <c r="AQ292"/>
  <c r="AI292"/>
  <c r="AH292"/>
  <c r="BR290"/>
  <c r="BP290"/>
  <c r="BM290"/>
  <c r="BJ290"/>
  <c r="AQ290"/>
  <c r="AI290"/>
  <c r="AH290"/>
  <c r="BR312"/>
  <c r="BP312"/>
  <c r="BM312"/>
  <c r="BJ312"/>
  <c r="AQ312"/>
  <c r="AI312"/>
  <c r="AH312"/>
  <c r="BR231"/>
  <c r="BP231"/>
  <c r="BM231"/>
  <c r="BJ231"/>
  <c r="AQ231"/>
  <c r="AI231"/>
  <c r="AH231"/>
  <c r="BR105"/>
  <c r="BP105"/>
  <c r="BM105"/>
  <c r="BJ105"/>
  <c r="AQ105"/>
  <c r="AI105"/>
  <c r="AH105"/>
  <c r="BR212"/>
  <c r="BP212"/>
  <c r="BM212"/>
  <c r="BJ212"/>
  <c r="AQ212"/>
  <c r="AI212"/>
  <c r="AH212"/>
  <c r="BR380"/>
  <c r="AQ380"/>
  <c r="AI380"/>
  <c r="AH380"/>
  <c r="BR407"/>
  <c r="BP407"/>
  <c r="BM407"/>
  <c r="BJ407"/>
  <c r="AQ407"/>
  <c r="AI407"/>
  <c r="AH407"/>
  <c r="BR323"/>
  <c r="BP323"/>
  <c r="BM323"/>
  <c r="BJ323"/>
  <c r="AQ323"/>
  <c r="AI323"/>
  <c r="AH323"/>
  <c r="BP91"/>
  <c r="BM91"/>
  <c r="BJ91"/>
  <c r="AQ91"/>
  <c r="AI91"/>
  <c r="AH91"/>
  <c r="BR296"/>
  <c r="BM296"/>
  <c r="AQ296"/>
  <c r="AI296"/>
  <c r="AH296"/>
  <c r="BR347"/>
  <c r="BP347"/>
  <c r="BM347"/>
  <c r="BJ347"/>
  <c r="AQ347"/>
  <c r="AI347"/>
  <c r="AH347"/>
  <c r="BR291"/>
  <c r="AQ291"/>
  <c r="AI291"/>
  <c r="AH291"/>
  <c r="BR394"/>
  <c r="BP394"/>
  <c r="BJ394"/>
  <c r="AQ394"/>
  <c r="AI394"/>
  <c r="AH394"/>
  <c r="BR181"/>
  <c r="BP181"/>
  <c r="BM181"/>
  <c r="BJ181"/>
  <c r="AQ181"/>
  <c r="AI181"/>
  <c r="AH181"/>
  <c r="BR322"/>
  <c r="BJ322"/>
  <c r="AQ322"/>
  <c r="AI322"/>
  <c r="AH322"/>
  <c r="BP429"/>
  <c r="BM429"/>
  <c r="BJ429"/>
  <c r="AQ429"/>
  <c r="AI429"/>
  <c r="AH429"/>
  <c r="BR288"/>
  <c r="BP288"/>
  <c r="BM288"/>
  <c r="BJ288"/>
  <c r="AQ288"/>
  <c r="AI288"/>
  <c r="AH288"/>
  <c r="BR357"/>
  <c r="BM357"/>
  <c r="BJ357"/>
  <c r="AQ357"/>
  <c r="AI357"/>
  <c r="AH357"/>
  <c r="BR157"/>
  <c r="BP157"/>
  <c r="BM157"/>
  <c r="BJ157"/>
  <c r="AQ157"/>
  <c r="AI157"/>
  <c r="AH157"/>
  <c r="BR124"/>
  <c r="BP124"/>
  <c r="BM124"/>
  <c r="BJ124"/>
  <c r="AQ124"/>
  <c r="AI124"/>
  <c r="AH124"/>
  <c r="BR127"/>
  <c r="BP127"/>
  <c r="BM127"/>
  <c r="BJ127"/>
  <c r="AQ127"/>
  <c r="AI127"/>
  <c r="AH127"/>
  <c r="BR409"/>
  <c r="BP409"/>
  <c r="BM409"/>
  <c r="BJ409"/>
  <c r="AQ409"/>
  <c r="AI409"/>
  <c r="AH409"/>
  <c r="BR136"/>
  <c r="AQ136"/>
  <c r="AI136"/>
  <c r="AH136"/>
</calcChain>
</file>

<file path=xl/sharedStrings.xml><?xml version="1.0" encoding="utf-8"?>
<sst xmlns="http://schemas.openxmlformats.org/spreadsheetml/2006/main" count="10657" uniqueCount="1950">
  <si>
    <t>First residue</t>
  </si>
  <si>
    <t>Seq size</t>
  </si>
  <si>
    <t>Description</t>
  </si>
  <si>
    <t>*</t>
  </si>
  <si>
    <t>A</t>
  </si>
  <si>
    <t xml:space="preserve"> </t>
  </si>
  <si>
    <t>G</t>
  </si>
  <si>
    <t>H</t>
  </si>
  <si>
    <t>F</t>
  </si>
  <si>
    <t>M</t>
  </si>
  <si>
    <t>P</t>
  </si>
  <si>
    <t>Y</t>
  </si>
  <si>
    <t>T</t>
  </si>
  <si>
    <t>Q</t>
  </si>
  <si>
    <t>K</t>
  </si>
  <si>
    <t>L</t>
  </si>
  <si>
    <t>D</t>
  </si>
  <si>
    <t>R</t>
  </si>
  <si>
    <t>S</t>
  </si>
  <si>
    <t>E</t>
  </si>
  <si>
    <t>N</t>
  </si>
  <si>
    <t>X</t>
  </si>
  <si>
    <t>I</t>
  </si>
  <si>
    <t>C</t>
  </si>
  <si>
    <t>W</t>
  </si>
  <si>
    <t>Best match to NR protein database</t>
  </si>
  <si>
    <t>E value</t>
  </si>
  <si>
    <t>Match</t>
  </si>
  <si>
    <t>Score</t>
  </si>
  <si>
    <t>Extent of match</t>
  </si>
  <si>
    <t>Length of best match</t>
  </si>
  <si>
    <t>% identity</t>
  </si>
  <si>
    <t>% Coverage</t>
  </si>
  <si>
    <t>Mismatches</t>
  </si>
  <si>
    <t>Gaps</t>
  </si>
  <si>
    <t>First residue of match</t>
  </si>
  <si>
    <t>First residue of sequence</t>
  </si>
  <si>
    <t>Number of segments</t>
  </si>
  <si>
    <t xml:space="preserve">Species of best match </t>
  </si>
  <si>
    <t>Best match to SWISSP protein database</t>
  </si>
  <si>
    <t>Best match to GO database</t>
  </si>
  <si>
    <t>Function descriptors</t>
  </si>
  <si>
    <t>Function parent</t>
  </si>
  <si>
    <t>Function second parent</t>
  </si>
  <si>
    <t>Best match to CDD database</t>
  </si>
  <si>
    <t xml:space="preserve">All CDD domains </t>
  </si>
  <si>
    <t>Best match to KOG database</t>
  </si>
  <si>
    <t>General class</t>
  </si>
  <si>
    <t>Best match to PFAM database</t>
  </si>
  <si>
    <t xml:space="preserve">E value </t>
  </si>
  <si>
    <t>Best match to SMART database</t>
  </si>
  <si>
    <t>Streptococcus mitis B6</t>
  </si>
  <si>
    <t>sp|Q8D2P6|PDXB_WIGBR</t>
  </si>
  <si>
    <t>Wigglesworthia glossinidia brevipalpis</t>
  </si>
  <si>
    <t>Pediculus humanus corporis</t>
  </si>
  <si>
    <t>sp|P18357|BLAR_STAAU</t>
  </si>
  <si>
    <t>Staphylococcus aureus</t>
  </si>
  <si>
    <t>rim_protein |</t>
  </si>
  <si>
    <t>Inorganic ion transport and metabolism, Signal transduction mechanisms</t>
  </si>
  <si>
    <t>Triatoma dimidiata</t>
  </si>
  <si>
    <t>sp|P29876|COX2_ONCFA</t>
  </si>
  <si>
    <t>Oncopeltus fasciatus</t>
  </si>
  <si>
    <t>mitochondrial Cytochrome c oxidase subunit II - Drosophila melanogaster - cytochrome-c oxidase activity - mitochondrial respiratory chain complex IV - mitochondrion - mitochondrial inner membrane - mitochondrial electron transport, cytochrome c to oxygen - respiratory electron transport chain - electron carrier activity - heme binding - copper ion binding - integral to membrane</t>
  </si>
  <si>
    <t>transporter activity</t>
  </si>
  <si>
    <t>COX2 e-101| COX2 3e-087| COX2 3e-083| COX2 9e-082| COX2 7e-081| COX2 6e-080| COX2 8e-080| COX2 2e-079| COX2 1e-078| COX2 6e-078|</t>
  </si>
  <si>
    <t>Energy production and conversion</t>
  </si>
  <si>
    <t>sp|P00418|COX3_DROYA</t>
  </si>
  <si>
    <t>Drosophila yakuba</t>
  </si>
  <si>
    <t>mitochondrial Cytochrome c oxidase subunit III - Drosophila melanogaster - mitochondrial respiratory chain complex IV - mitochondrion - cytochrome-c oxidase activity - mitochondrial electron transport, cytochrome c to oxygen - membrane</t>
  </si>
  <si>
    <t>COX3 e-120| COX3 e-113| COX3 e-112| COX3 e-105| COX3 e-105| COX3 e-104| COX3 e-104| COX3 e-103| COX3 e-102| COX3 6e-096|</t>
  </si>
  <si>
    <t>Schizosaccharomyces pombe (strain ATCC 38366 / 972)</t>
  </si>
  <si>
    <t>Arabidopsis thaliana</t>
  </si>
  <si>
    <t>Posttranslational modification, protein turnover, chaperones</t>
  </si>
  <si>
    <t>Botryllus schlosseri</t>
  </si>
  <si>
    <t>sp|P45878|FKBP2_MOUSE</t>
  </si>
  <si>
    <t>Mus musculus</t>
  </si>
  <si>
    <t>FK506 binding protein 2 - Rattus norvegicus - protein peptidyl-prolyl isomerization - peptidyl-prolyl cis-trans isomerase activity - FK506 binding - protein folding - membrane - isomerase activity - peptidyl-proline modification</t>
  </si>
  <si>
    <t>catalytic activity</t>
  </si>
  <si>
    <t>isomerase activity</t>
  </si>
  <si>
    <t>FKBP_C 0.003| FkpA 0.013| PRK11570 | PRK10902 |</t>
  </si>
  <si>
    <t>Triatoma infestans</t>
  </si>
  <si>
    <t>sp|Q95V39|RL8_SPOFR</t>
  </si>
  <si>
    <t>Spodoptera frugiperda</t>
  </si>
  <si>
    <t>PTZ00180 | Pat_SDP1-like | rpl2p | ALDH_DhaS |</t>
  </si>
  <si>
    <t>Translation, ribosomal structure and biogenesis</t>
  </si>
  <si>
    <t>Naegleria gruberi</t>
  </si>
  <si>
    <t>sp|Q7LKX0|ELOH2_SCHPO</t>
  </si>
  <si>
    <t>ELO |</t>
  </si>
  <si>
    <t>Lipid transport and metabolism</t>
  </si>
  <si>
    <t>Acyrthosiphon pisum</t>
  </si>
  <si>
    <t>sp|Q4KDI2|RGMG_PSEF5</t>
  </si>
  <si>
    <t>Pseudomonas fluorescens (strain Pf-5 / ATCC BAA-477)</t>
  </si>
  <si>
    <t>TMPIT | RbsD_FucU |</t>
  </si>
  <si>
    <t>Inorganic ion transport and metabolism, Secondary metabolites biosynthesis, transport and catabolism</t>
  </si>
  <si>
    <t>sp|A5PK40|CTL3_BOVIN</t>
  </si>
  <si>
    <t>Bos taurus</t>
  </si>
  <si>
    <t>General function prediction only</t>
  </si>
  <si>
    <t>Trypanosoma brucei gambiense DAL972</t>
  </si>
  <si>
    <t>sp|Q55GG1|CPND_DICDI</t>
  </si>
  <si>
    <t>Dictyostelium discoideum</t>
  </si>
  <si>
    <t>glmM |</t>
  </si>
  <si>
    <t>Amphimedon queenslandica</t>
  </si>
  <si>
    <t>sp|P59669|UBIQP_GEOCY</t>
  </si>
  <si>
    <t>Geodia cydonium</t>
  </si>
  <si>
    <t>Polyubiquitin-C - Sus scrofa - nucleus - cytoplasm</t>
  </si>
  <si>
    <t>&lt;molecular_function</t>
  </si>
  <si>
    <t>Ubiquitin 3e-016| ubiquitin 4e-011| UBL 3e-009| Nedd8 8e-009| PTZ00044 3e-007| UBQ 4e-007| Scythe_N 1e-006| Rad60-SLD 2e-006| AN1_N 2e-005| GDX_N 4e-005|</t>
  </si>
  <si>
    <t>Daphnia pulex</t>
  </si>
  <si>
    <t>sp|P08428|ATPA_XENLA</t>
  </si>
  <si>
    <t>Xenopus laevis</t>
  </si>
  <si>
    <t>ATP synthase, H+ transporting, mitochondrial F1 complex, alpha subunit 1, cardiac muscle - Danio rerio - proton-transporting two-sector ATPase complex - proton-transporting two-sector ATPase complex, catalytic domain - hydrogen ion transporting ATP synthase activity, rotational mechanism - proton-transporting ATPase activity, rotational mechanism - ATP binding - ATP hydrolysis coupled proton transport - proton-transporting ATP synthase complex, catalytic core F(1) - ATP metabolic process - ATP synthesis coupled proton transport - proton transport - hydrolase activity, acting on acid anhydrides, catalyzing transmembrane movement of substances - ion transport - nucleotide binding - ATP biosynthetic process - transport - MHC class I protein binding - negative regulation of endothelial cell proliferation - plasma membrane - ATPase activity - eukaryotic cell surface binding - mitochondrial proton-transporting ATP synthase complex - plasma membrane ATP synthesis coupled proton transport</t>
  </si>
  <si>
    <t>PRK09281 7e-005| atpA 0.004| AtpA | uvrA | EscV |</t>
  </si>
  <si>
    <t>Lepilemur sahamalazensis</t>
  </si>
  <si>
    <t>sp|Q20FR8|CYB_LEPSH</t>
  </si>
  <si>
    <t>Marchantia polymorpha</t>
  </si>
  <si>
    <t>sp|P12214|CCSA_MARPO</t>
  </si>
  <si>
    <t>PLDc_PSS_G_neg_2 | pssA | PLDc_CDP-OH_P_transf_II_2 | NMT_C | TrmU |</t>
  </si>
  <si>
    <t>Inorganic ion transport and metabolism</t>
  </si>
  <si>
    <t>sp|Q59606|MTF7_NEIGO</t>
  </si>
  <si>
    <t>Neisseria gonorrhoeae</t>
  </si>
  <si>
    <t>Triatoma matogrossensis</t>
  </si>
  <si>
    <t>sp|P16419|MYPC2_CHICK</t>
  </si>
  <si>
    <t>Gallus gallus</t>
  </si>
  <si>
    <t>NR_LBD_PXR_like |</t>
  </si>
  <si>
    <t>Cell cycle control, cell division, chromosome partitioning</t>
  </si>
  <si>
    <t>Anopheles gambiae str. PEST</t>
  </si>
  <si>
    <t>sp|Q8ITC3|RS19_AEQIR</t>
  </si>
  <si>
    <t>Aequipecten irradians</t>
  </si>
  <si>
    <t>Ribosomal_S19e 0.026| Glyco_hydro_26 | DUF3260 |</t>
  </si>
  <si>
    <t>sp|P51556|DGKA_RAT</t>
  </si>
  <si>
    <t>Rattus norvegicus</t>
  </si>
  <si>
    <t>Cwf_Cwc_15 |</t>
  </si>
  <si>
    <t>Lipid transport and metabolism, Signal transduction mechanisms</t>
  </si>
  <si>
    <t>Proteromonas lacertae</t>
  </si>
  <si>
    <t>sp|Q9ZDS0|Y255_RICPR</t>
  </si>
  <si>
    <t>Rickettsia prowazekii (strain Madrid E)</t>
  </si>
  <si>
    <t>sp|Q962R2|RS17_SPOFR</t>
  </si>
  <si>
    <t>Ribosomal protein S17 - Drosophila melanogaster - structural constituent of ribosome - translation - cytosolic small ribosomal subunit - ribosome - lipid particle</t>
  </si>
  <si>
    <t>structural constituent of ribosome||structural molecule activity</t>
  </si>
  <si>
    <t>structural molecule activity</t>
  </si>
  <si>
    <t>structural constituent of ribosome</t>
  </si>
  <si>
    <t>Ribosomal_S17e 2e-012| PTZ00154 1e-008| KIP1 | PLN02966 |</t>
  </si>
  <si>
    <t>Camponotus floridanus</t>
  </si>
  <si>
    <t>sp|Q1HPU0|TPM1_BOMMO</t>
  </si>
  <si>
    <t>Bombyx mori</t>
  </si>
  <si>
    <t>Tropomyosin-1 - Bombyx mori - molecular_function - cellular_component - biological_process</t>
  </si>
  <si>
    <t>Tropomyosin 2e-011| PRK03992 | Fe-ADH6 | 46 | Paralemmin | PRK05658 | PV-1 | DUF3166 | F-BAR_PACSIN |</t>
  </si>
  <si>
    <t>Cytoskeleton</t>
  </si>
  <si>
    <t>Xenopsylla cheopis</t>
  </si>
  <si>
    <t>sp|Q06559|RS3_DROME</t>
  </si>
  <si>
    <t>Drosophila melanogaster</t>
  </si>
  <si>
    <t>ribosomal protein S3 - Danio rerio - RNA binding - structural constituent of ribosome - intracellular - ribosome - translation - small ribosomal subunit - ribonucleoprotein complex - activation of caspase activity - protein kinase binding - NF-kappaB binding - cytoplasm - induction of apoptosis - negative regulation of DNA repair - negative regulation of NF-kappaB transcription factor activity - endonuclease activity - mRNA binding - nucleus - cytosolic small ribosomal subunit - ruffle membrane - damaged DNA binding - DNA-(apurinic or apyrimidinic site) lyase activity - embryo development</t>
  </si>
  <si>
    <t>RNA binding||nucleic acid binding||binding</t>
  </si>
  <si>
    <t>binding</t>
  </si>
  <si>
    <t>nucleic acid binding</t>
  </si>
  <si>
    <t>PTZ00084 1e-017| rpsC_E_A 0.003| RpsC 0.011| Ribosomal_S3_C 0.061| rps3p |</t>
  </si>
  <si>
    <t>Maconellicoccus hirsutus</t>
  </si>
  <si>
    <t>sp|Q5RF26|NUCL_PONAB</t>
  </si>
  <si>
    <t>Pongo abelii</t>
  </si>
  <si>
    <t>Candida albicans - catalytic activity - cellular_component - biological_process</t>
  </si>
  <si>
    <t>PTZ00415 | 2A1904 | Nop14 | XAP5 | COG5406 | Nucleoplasmin | IFT57 | PRK02315 |</t>
  </si>
  <si>
    <t>Paramecium tetraurelia</t>
  </si>
  <si>
    <t>sp|Q8SYV9|MTH14_DROME</t>
  </si>
  <si>
    <t>Sir1 | Bac_export_1 |</t>
  </si>
  <si>
    <t>Intracellular trafficking, secretion, and vesicular transport</t>
  </si>
  <si>
    <t>Danio rerio</t>
  </si>
  <si>
    <t>sp|Q9PR32|Y112_UREPA</t>
  </si>
  <si>
    <t>Ureaplasma parvum</t>
  </si>
  <si>
    <t>COG3102 |</t>
  </si>
  <si>
    <t>Locusta migratoria</t>
  </si>
  <si>
    <t>sp|O18598|GST1_BLAGE</t>
  </si>
  <si>
    <t>Blattella germanica</t>
  </si>
  <si>
    <t>Probable glutathione S-transferase 7 - Caenorhabditis elegans - protein binding - cellular_component - biological_process</t>
  </si>
  <si>
    <t>protein binding||binding</t>
  </si>
  <si>
    <t>protein binding</t>
  </si>
  <si>
    <t>GST_N_Sigma_like 8e-007| GST_N 1e-006| GST_N_family 0.002| PTZ00057 0.003| GST_N_Mu 0.005| GST_N_Phi 0.006| GST_N_Pi 0.016| GST_N_Zeta | GST_N_Alpha | GST_N_GTT1_like |</t>
  </si>
  <si>
    <t>Trypanosoma cruzi</t>
  </si>
  <si>
    <t>sp|Q6A333|ALY2_ARATH</t>
  </si>
  <si>
    <t>Cytochrom_B558a |</t>
  </si>
  <si>
    <t>Signal transduction mechanisms</t>
  </si>
  <si>
    <t>sp|Q9U6R6|PRCLN_TRIPT</t>
  </si>
  <si>
    <t>Triatoma protracta</t>
  </si>
  <si>
    <t>Triabin 0.002| Lipocalin | PRK05270 | PRK09191 | PRK10095 | PRK15390 | ExoVII_LU_OBF | galT_2 |</t>
  </si>
  <si>
    <t>sp|P02251|H13_RABIT</t>
  </si>
  <si>
    <t>Oryctolagus cuniculus</t>
  </si>
  <si>
    <t>Uncharacterized protein - Bos taurus - nucleosome - DNA binding - intermediate filament - nucleosome assembly</t>
  </si>
  <si>
    <t>DNA binding||nucleic acid binding||binding</t>
  </si>
  <si>
    <t>PTZ00144 0.003| PRK14954 | PRK11633 | PRK12372 | PTZ00121 | PRK04950 |</t>
  </si>
  <si>
    <t>Replication, recombination and repair</t>
  </si>
  <si>
    <t>Triatoma rubida</t>
  </si>
  <si>
    <t>sp|B0FWD8|NU1M_AEDAE</t>
  </si>
  <si>
    <t>Aedes aegypti</t>
  </si>
  <si>
    <t>mitochondrial NADH-ubiquinone oxidoreductase chain 1 - Drosophila melanogaster - NADH dehydrogenase (ubiquinone) activity - mitochondrial respiratory chain complex I - mitochondrion - membrane - oxidation-reduction process</t>
  </si>
  <si>
    <t>oxidoreductase activity</t>
  </si>
  <si>
    <t>ND1 3e-025| NADHdh 5e-023| ND1 1e-021| ND1 4e-021| ND1 8e-020| ND1 5e-019| ND1 7e-019| ND1 9e-018| ND1 1e-016| ND1 2e-016|</t>
  </si>
  <si>
    <t>Triabin 5e-007| IGv | hflC | Lipocalin |</t>
  </si>
  <si>
    <t>Secondary metabolites biosynthesis, transport and catabolism</t>
  </si>
  <si>
    <t>Triabin 2e-006| Lipocalin 0.004| Gem_osc_para_1 | PHA02789 | FmdE | flgE |</t>
  </si>
  <si>
    <t>sp|Q9CR47|NSA2_MOUSE</t>
  </si>
  <si>
    <t>RCG44568 - Rattus norvegicus - nucleus</t>
  </si>
  <si>
    <t>PTZ00388 2e-060| Ribosomal_S8e 7e-022| RPS8A 2e-018| PRK04049 6e-008| S8e 2e-005| PRK15217 | COG4716 | Rad17 | PRK14989 | eukary_SO_Moco |</t>
  </si>
  <si>
    <t>sp|P80007|CRA2_HOMGA</t>
  </si>
  <si>
    <t>Homarus gammarus</t>
  </si>
  <si>
    <t>Triabin 2e-009| AvrB_AvrC 0.067| rpa1 | PRK03762 | PRK00180 | RGS_RGS17 | ruvB | PHA02695 | RuvB_N | PRK14515 |</t>
  </si>
  <si>
    <t>sp|Q02722|Q300_MOUSE</t>
  </si>
  <si>
    <t>Papilloma_E5 | Sa_S2_E_A | AmoC | PLN02672 | PRK10703 | DUF2968 | PBP1_GntR_like_1 | PRT_C | ALDH_AAS00426 | ND6 |</t>
  </si>
  <si>
    <t>RNA processing and modification</t>
  </si>
  <si>
    <t>sp|Q9UHD9|UBQL2_HUMAN</t>
  </si>
  <si>
    <t>Homo sapiens</t>
  </si>
  <si>
    <t>Ubiquilin - Drosophila melanogaster - amyloid precursor protein metabolic process</t>
  </si>
  <si>
    <t>protein domain specific binding||protein binding||binding</t>
  </si>
  <si>
    <t>UBA 9e-006| UBA 1e-005| UBA 5e-005| TMR_SDR_a | PLN02305 | PRK14298 | CUE | PTZ00166 | NmrA_TMR_like_1_SDR_a | Baculo_ODV-E27 |</t>
  </si>
  <si>
    <t>Posttranslational modification, protein turnover, chaperones, General function prediction only</t>
  </si>
  <si>
    <t>sp|P56336|IF5A4_SOLTU</t>
  </si>
  <si>
    <t>Solanum tuberosum</t>
  </si>
  <si>
    <t>Translation elongation factor eIF-5A - Saccharomyces cerevisiae - translation elongation factor activity - cytoplasm - translation - peptidyl-lysine modification to hypusine - translational elongation - RNA binding - ribosome binding - positive regulation of translational elongation - cytosolic ribosome - translational frameshifting - positive regulation of translational termination</t>
  </si>
  <si>
    <t>translation regulator activity</t>
  </si>
  <si>
    <t>PTZ00328 4e-054| PLN03107 6e-031| eIF_5A 6e-025| PRK03999 2e-015| Efp 4e-015| eIF-5a 8e-009| S1_eIF5A 1e-007| ATPase-IIC_X-K 0.017| efp | PRK00529 |</t>
  </si>
  <si>
    <t>Solenopsis invicta</t>
  </si>
  <si>
    <t>sp|Q2YGT9|RL6_PIG</t>
  </si>
  <si>
    <t>Sus scrofa</t>
  </si>
  <si>
    <t>Ribosomal protein L6 - Drosophila melanogaster - cytosolic large ribosomal subunit - translation - structural constituent of ribosome - lipid particle - mitotic spindle organization - mitotic spindle elongation</t>
  </si>
  <si>
    <t>Ribosomal_L6e 2e-041| RPL14A 0.004| PLPDE_III_Bif_AspK_DapDC | PRK09751 | pgi | mRNA_cap_enzyme | PRK08961 | gatB | PRK11359 | COG5423 |</t>
  </si>
  <si>
    <t>Hydra magnipapillata</t>
  </si>
  <si>
    <t>sp|Q01588|RFA1_XENLA</t>
  </si>
  <si>
    <t>Uncharacterized protein - Sus scrofa - nucleotide-excision repair, DNA damage removal - DNA binding - nucleus - nucleoplasm - DNA replication factor A complex - cytoplasm - DNA replication - nucleotide-excision repair, DNA gap filling - actin cytoskeleton - PML body</t>
  </si>
  <si>
    <t>rpa1 5e-035| Rep_fac-A_C 3e-034| RPA1_DBD_C 6e-027| COG5036 | Paf1 | Peptidase_C37 | glu_cys_lig_pln | DUF2465 | COG3513 | COG4857 |</t>
  </si>
  <si>
    <t>sp|Q6XIM8|RS15A_DROYA</t>
  </si>
  <si>
    <t>Ribosomal protein S15Aa - Drosophila melanogaster - structural constituent of ribosome - translation - cytosolic small ribosomal subunit - ribosome - lipid particle - mitotic spindle organization - mitotic spindle elongation</t>
  </si>
  <si>
    <t>PTZ00158 9e-067| PLN00146 1e-060| rps8p 6e-042| RpsH 2e-029| Ribosomal_S8 2e-027| rpsH 7e-010| rps8 1e-006| PLN02972 | Herpes_TAF50 | DUF1995 |</t>
  </si>
  <si>
    <t>Harpegnathos saltator</t>
  </si>
  <si>
    <t>sp|Q962T5|RL24_SPOFR</t>
  </si>
  <si>
    <t>Ribosomal protein L24 - Drosophila melanogaster - structural constituent of ribosome - cytosolic large ribosomal subunit - translation - lipid particle - mitotic spindle elongation - mitotic spindle organization</t>
  </si>
  <si>
    <t>PTZ00033 1e-005| Ribosomal_L24e 6e-005| PRK11642 0.018| RPL24A 0.096| Ribosomal_L24e_L24 | PRK00247 | PRK00409 | PRK11778 | valS | PTZ00121 |</t>
  </si>
  <si>
    <t>sp|P51910|APOD_MOUSE</t>
  </si>
  <si>
    <t>Triabin 4e-010| cysW 0.073| ATPase-IIIB_Mg | GT_2_WfgS_like | GH16_laminarinase_like | Med24_N | ArgD | STKc_Nek10 | Pox_E2-like | Lipocalin |</t>
  </si>
  <si>
    <t>Triatoma brasiliensis</t>
  </si>
  <si>
    <t>Triabin 2e-014| PTKc_Jak_rpt2 | PLN00191 | flgD |</t>
  </si>
  <si>
    <t>Cell wall/membrane/envelope biogenesis</t>
  </si>
  <si>
    <t>Cimex lectularius</t>
  </si>
  <si>
    <t>sp|Q90YW2|RL7A_ICTPU</t>
  </si>
  <si>
    <t>Ictalurus punctatus</t>
  </si>
  <si>
    <t>Uncharacterized protein - Rattus norvegicus - ribosome biogenesis</t>
  </si>
  <si>
    <t>PTZ00365 1e-037| PTZ00222 4e-025| Ribosomal_L7Ae 1e-017| RPL8A 1e-012| rpl7ae 5e-012| rpl7ae 1e-011| nfrB | PFL2_DhaB_BssA | Adeno_E1B_19K | UvrD |</t>
  </si>
  <si>
    <t>sp|Q7S9H0|NUF2_NEUCR</t>
  </si>
  <si>
    <t>Neurospora crassa (strain ATCC 24698 / 74-OR23-1A / CBS 708.71 / DSM 1257 / FGSC 987)</t>
  </si>
  <si>
    <t>BADH 0.019| SKIP_SNW | cyt_b5_reduct_like | Exo70 | Pex16 | PRK05809 | Chlide_reductase_Y | PRK08664 | mtc |</t>
  </si>
  <si>
    <t>sp|P46222|RL11_DROME</t>
  </si>
  <si>
    <t>Ribosomal protein L11 - Drosophila melanogaster - structural constituent of ribosome - cytosolic large ribosomal subunit - translation - ribosome - protein binding - lipid particle - mitotic spindle elongation - mitotic spindle organization</t>
  </si>
  <si>
    <t>PTZ00156 5e-070| rpl5p 9e-041| RplE 3e-026| Ribosomal_L5_C 8e-022| rplE 3e-005| rpl5 1e-004| Ribosomal_L5 | NAD_binding_4 | PHA03173 | PRK09599 |</t>
  </si>
  <si>
    <t>Triabin 3e-015| EF1G | DUF1681 |</t>
  </si>
  <si>
    <t>Transcription</t>
  </si>
  <si>
    <t>Ribosomal protein S3 - Drosophila melanogaster - nuclear matrix - DNA-(apurinic or apyrimidinic site) lyase activity - nucleus - DNA repair - oxidized purine base lesion DNA N-glycosylase activity - cytosolic small ribosomal subunit - structural constituent of ribosome - translation - cytoplasm - ribosome - RNA binding - negative regulation of neuron apoptosis - lipid particle - microtubule associated complex - mitosis - response to DNA damage stimulus</t>
  </si>
  <si>
    <t>lyase activity</t>
  </si>
  <si>
    <t>PTZ00084 6e-061| rpsC_E_A 9e-034| RpsC 2e-024| rps3p 8e-023| Ribosomal_S3_C 9e-019| rpsC_bact | NrdA | rps3 | tRNA_synt_2f | glyS |</t>
  </si>
  <si>
    <t>sp|E7QJS8|TDA7_YEASZ</t>
  </si>
  <si>
    <t>Saccharomyces cerevisiae (strain Zymaflore VL3)</t>
  </si>
  <si>
    <t>NDP-sugDHase 4e-004| UDPG_MGDP_dh_N 0.008| WecC | Ugd | PRK11619 | NAD_bind_m-THF_DH | UxaC | PRK06349 | LDH-like_MDH | Chor_lyase |</t>
  </si>
  <si>
    <t>sp|Q962S0|RS7_SPOFR</t>
  </si>
  <si>
    <t>ribosomal protein S7 - Danio rerio - structural constituent of ribosome - translation - intracellular - ribosome - ribonucleoprotein complex - regulation of cell cycle - rRNA processing - ribosomal small subunit biogenesis - nucleolus - cytosolic small ribosomal subunit</t>
  </si>
  <si>
    <t>Ribosomal_S7e 5e-070| PTZ00389 9e-049| PIF1 | PRK14192 | GldM_C | PRK09236 | PRK14190 | dnaE | PRK05182 | PRK12360 |</t>
  </si>
  <si>
    <t>sp|Q5SQH8|CF136_HUMAN</t>
  </si>
  <si>
    <t>Uncharacterized protein C6orf136 - Homo sapiens - mitochondrion</t>
  </si>
  <si>
    <t>DUF2358 7e-014| KISc_CENP_E | Leo1 | COX1 | PRK04914 | flgK | RPN2 | Kinesin | KISc | KISc_KHC_KIF5 |</t>
  </si>
  <si>
    <t>Function unknown</t>
  </si>
  <si>
    <t>Bombus terrestris</t>
  </si>
  <si>
    <t>sp|P29341|PABP1_MOUSE</t>
  </si>
  <si>
    <t>Uncharacterized protein - Gallus gallus - nucleotide binding - RNA binding</t>
  </si>
  <si>
    <t>nucleotide binding||binding</t>
  </si>
  <si>
    <t>nucleotide binding</t>
  </si>
  <si>
    <t>PABP-1234 2e-031| PABP 3e-027| PolyA 1e-021| PRK07764 2e-006| kgd 3e-004| PRK14951 0.001| PRK13875 0.001| PRK07003 0.002| PRK07994 0.008| PRK12678 0.011|</t>
  </si>
  <si>
    <t>RNA processing and modification, Translation, ribosomal structure and biogenesis</t>
  </si>
  <si>
    <t>sp|P23416|GLRA2_HUMAN</t>
  </si>
  <si>
    <t>Drosophila melanogaster - extracellular-glycine-gated ion channel activity - ion transport - integral to membrane - postsynaptic membrane - phagocytosis, engulfment</t>
  </si>
  <si>
    <t>LIC 1e-032| Neur_chan_memb 5e-025| ORC2 | Macoilin | DUF1742 | DAHP_synth_2 | CaM_binding | PLN03211 | DNA_pol3_alpha |</t>
  </si>
  <si>
    <t>Culex quinquefasciatus</t>
  </si>
  <si>
    <t>sp|A6H6W9|SDS3_BOVIN</t>
  </si>
  <si>
    <t>PRK06975 | COG4012 | PLN03232 | PRK14955 |</t>
  </si>
  <si>
    <t>sp|C0ZLE1|DNAA_RHOE4</t>
  </si>
  <si>
    <t>Rhodococcus erythropolis (strain PR4 / NBRC 100887)</t>
  </si>
  <si>
    <t>neyo - Drosophila melanogaster - regulation of embryonic cell shape</t>
  </si>
  <si>
    <t>Herpes_glycop | bacteriocin_ABC | DUF1509 | Monooxygenase_B | PHA00735 | PRK11377 | Vpu | PiuB | DUF456 | PRK04081 |</t>
  </si>
  <si>
    <t>Prochlorococcus marinus str. AS9601</t>
  </si>
  <si>
    <t>sp|Q7TF75|VP8_FDVS</t>
  </si>
  <si>
    <t>Fiji disease virus (isolate Sugarcane)</t>
  </si>
  <si>
    <t>sp|A8G1J1|PCKA_SHESH</t>
  </si>
  <si>
    <t>Shewanella sediminis (strain HAW-EB3)</t>
  </si>
  <si>
    <t>GT1_PIG-A_like | TDH | PRK09102 | PRK13608 | tdh | rad23 |</t>
  </si>
  <si>
    <t>Nasonia vitripennis</t>
  </si>
  <si>
    <t>sp|Q61SK8|MEP1_CAEBR</t>
  </si>
  <si>
    <t>Caenorhabditis briggsae</t>
  </si>
  <si>
    <t>Drosophila melanogaster - zinc ion binding - dendrite morphogenesis - ATPase activity, coupled - NuRD complex - polytene chromosome</t>
  </si>
  <si>
    <t>zinc ion binding||transition metal ion binding||metal ion binding||cation binding||ion binding||binding</t>
  </si>
  <si>
    <t>ion binding</t>
  </si>
  <si>
    <t>FlgH | PRK12267 | DUF82 | PHA02768 | PRK07218 | PRK11453 | PRK09521 | flgH | FlgH | SprT-like |</t>
  </si>
  <si>
    <t>Triabin 6e-011| PHA00729 | DUF3491 | MGT | Lipocalin | PHA03231 | PRK08271 | MetK | Kin17_mid |</t>
  </si>
  <si>
    <t>Pan troglodytes</t>
  </si>
  <si>
    <t>sp|Q03744|CR1AD_BACTA</t>
  </si>
  <si>
    <t>Bacillus thuringiensis subsp. aizawai</t>
  </si>
  <si>
    <t>A2M_N_2 | Sig70_famx2 | yieM | PRK13024 |</t>
  </si>
  <si>
    <t>Acromyrmex echinatior</t>
  </si>
  <si>
    <t>sp|Q5BJC2|KISHA_DANRE</t>
  </si>
  <si>
    <t>Apis mellifera</t>
  </si>
  <si>
    <t>sp|Q5XI06|MYST1_RAT</t>
  </si>
  <si>
    <t>Salmonella typhimurium</t>
  </si>
  <si>
    <t>Georissus sp. APV-2005</t>
  </si>
  <si>
    <t>sp|P17078|RL35_RAT</t>
  </si>
  <si>
    <t>ribosomal protein L35 - Rattus norvegicus - structural constituent of ribosome - intracellular - cytoplasm - cytosol - ribosome - translation - translational elongation</t>
  </si>
  <si>
    <t>TIGR03766 |</t>
  </si>
  <si>
    <t>Xenopus (Silurana) tropicalis</t>
  </si>
  <si>
    <t>sp|Q69VD5|PNH1_ORYSJ</t>
  </si>
  <si>
    <t>Oryza sativa subsp. japonica</t>
  </si>
  <si>
    <t>PRK11930 |</t>
  </si>
  <si>
    <t>Sipunculus nudus</t>
  </si>
  <si>
    <t>sp|P49180|RL35A_CAEEL</t>
  </si>
  <si>
    <t>Caenorhabditis elegans</t>
  </si>
  <si>
    <t>Caenorhabditis elegans - structural constituent of ribosome - intracellular - ribosome - translation - positive regulation of growth rate - embryo development ending in birth or egg hatching - positive regulation of locomotion - reproduction - growth - nematode larval development</t>
  </si>
  <si>
    <t>PTZ00041 3e-013| Ribosomal_L35Ae 5e-013| COG2451 7e-008| PRK04337 6e-005| PRK00106 |</t>
  </si>
  <si>
    <t>TTQ_mauG | NAD_binding_6 | TIGR02677 | NR_LBD_PXR_like |</t>
  </si>
  <si>
    <t>sp|O42930|VPS10_SCHPO</t>
  </si>
  <si>
    <t>Triabin 2e-008| AvrB_AvrC 0.011| ATPase-IIIB_Mg | PRK13698 | PRK15122 | PRK08163 | PHA02695 | FMT_core_Formyl-FH4-Hydrolase_C | torD | Pox_E2-like |</t>
  </si>
  <si>
    <t>sp|B2RY56|RBM25_MOUSE</t>
  </si>
  <si>
    <t>Uncharacterized protein - Gallus gallus - nucleotide binding - nucleic acid binding - mRNA processing</t>
  </si>
  <si>
    <t>mRNA binding||RNA binding||nucleic acid binding||binding</t>
  </si>
  <si>
    <t>PWI 7e-020| PWI 2e-015| nagA | PRK07233 | PRK06398 | PRK09331 | Rv0697 | Phage_connect_1 | DUF3203 | cas3_GSU0051 |</t>
  </si>
  <si>
    <t>Mycobacterium tuberculosis 210</t>
  </si>
  <si>
    <t>sp|Q54GV3|Y6140_DICDI</t>
  </si>
  <si>
    <t>Heterodera glycines</t>
  </si>
  <si>
    <t>sp|P58145|ROAA_ASTLO</t>
  </si>
  <si>
    <t>Astasia longa</t>
  </si>
  <si>
    <t>NC |</t>
  </si>
  <si>
    <t>sp|Q8NGE5|O10A7_HUMAN</t>
  </si>
  <si>
    <t>PLN03140 | conj_TOL_TraD | Transposase_28 |</t>
  </si>
  <si>
    <t>Puccinia graminis f. sp. tritici CRL 75-36-700-3</t>
  </si>
  <si>
    <t>sp|P41470|Y070_NPVAC</t>
  </si>
  <si>
    <t>Autographa californica nuclear polyhedrosis virus</t>
  </si>
  <si>
    <t>Arabidopsis lyrata subsp. lyrata</t>
  </si>
  <si>
    <t>sp|O13760|YF2A_SCHPO</t>
  </si>
  <si>
    <t>Gemella sanguinis M325</t>
  </si>
  <si>
    <t>sp|Q89AR2|PBPB_BUCBP</t>
  </si>
  <si>
    <t>Buchnera aphidicola subsp. Baizongia pistaciae (strain Bp)</t>
  </si>
  <si>
    <t>PRK14850 |</t>
  </si>
  <si>
    <t>Drosophila persimilis</t>
  </si>
  <si>
    <t>sp|Q05518|PAL1_YEAST</t>
  </si>
  <si>
    <t>Saccharomyces cerevisiae (strain ATCC 204508 / S288c)</t>
  </si>
  <si>
    <t>G2F | DUF2713 |</t>
  </si>
  <si>
    <t>Plasmodium berghei</t>
  </si>
  <si>
    <t>sp|P53245|YG2C_YEAST</t>
  </si>
  <si>
    <t>sp|Q54Q42|Y8578_DICDI</t>
  </si>
  <si>
    <t>Lycorma delicatula</t>
  </si>
  <si>
    <t>sp|Q54UX2|Y8253_DICDI</t>
  </si>
  <si>
    <t>Plasmodium chabaudi chabaudi</t>
  </si>
  <si>
    <t>sp|P53122|YGN8_YEAST</t>
  </si>
  <si>
    <t>sp|Q54JN2|Y9294_DICDI</t>
  </si>
  <si>
    <t>sp|Q54MI8|Y5861_DICDI</t>
  </si>
  <si>
    <t>Guillardia theta</t>
  </si>
  <si>
    <t>Streptomyces clavuligerus ATCC 27064</t>
  </si>
  <si>
    <t>Xenopus tropicalis</t>
  </si>
  <si>
    <t>sp|Q9GHE1|MATK_DISSE</t>
  </si>
  <si>
    <t>Disporum sessile</t>
  </si>
  <si>
    <t>Panonychus citri</t>
  </si>
  <si>
    <t>sp|P15577|NU2M_PARTE</t>
  </si>
  <si>
    <t>Plasmodium yoelii yoelii</t>
  </si>
  <si>
    <t>sp|A6MMQ5|YCF1_DIOEL</t>
  </si>
  <si>
    <t>Dioscorea elephantipes</t>
  </si>
  <si>
    <t>Dictyostelium discoideum AX4</t>
  </si>
  <si>
    <t>Streptomyces lividans TK24</t>
  </si>
  <si>
    <t>sp|Q99401|YP238_YEAST</t>
  </si>
  <si>
    <t>PEP_integral |</t>
  </si>
  <si>
    <t>sp|Q54VG6|Y6530_DICDI</t>
  </si>
  <si>
    <t>Theileria annulata</t>
  </si>
  <si>
    <t>sp|P21451|EDNRB_RAT</t>
  </si>
  <si>
    <t>Bacillus subtilis</t>
  </si>
  <si>
    <t>Populus trichocarpa</t>
  </si>
  <si>
    <t>PLN03189 |</t>
  </si>
  <si>
    <t>sp|Q6P9F0|CCD62_HUMAN</t>
  </si>
  <si>
    <t>PLN02974 | thrA |</t>
  </si>
  <si>
    <t>Thiobacillus denitrificans ATCC 25259</t>
  </si>
  <si>
    <t>sp|P44811|GLPX_HAEIN</t>
  </si>
  <si>
    <t>Haemophilus influenzae (strain ATCC 51907 / DSM 11121 / KW20 / Rd)</t>
  </si>
  <si>
    <t>PRK09116 | PRK05297 | glnD | HTH_CadR-PbrR |</t>
  </si>
  <si>
    <t>Clavelina lepadiformis</t>
  </si>
  <si>
    <t>sp|P41426|Y021_NPVAC</t>
  </si>
  <si>
    <t>Carbohydrate transport and metabolism</t>
  </si>
  <si>
    <t>Ichthyophthirius multifiliis</t>
  </si>
  <si>
    <t>sp|P57538|Y466_BUCAI</t>
  </si>
  <si>
    <t>Buchnera aphidicola subsp. Acyrthosiphon pisum</t>
  </si>
  <si>
    <t>Oryza sativa Japonica Group</t>
  </si>
  <si>
    <t>sp|P38834|YHT0_YEAST</t>
  </si>
  <si>
    <t>Rickettsiella grylli</t>
  </si>
  <si>
    <t>sp|P22219|VPS15_YEAST</t>
  </si>
  <si>
    <t>TraD_Ftype | PRK10153 |</t>
  </si>
  <si>
    <t>sp|P80255|HEMT2_HEDDI</t>
  </si>
  <si>
    <t>Hediste diversicolor</t>
  </si>
  <si>
    <t>PTZ00327 | eIF2_gamma | PHA00368 | SLD3 |</t>
  </si>
  <si>
    <t>Staphylococcus aureus A8117</t>
  </si>
  <si>
    <t>sp|O34378|YTEU_BACSU</t>
  </si>
  <si>
    <t>TLD | PRK11715 |</t>
  </si>
  <si>
    <t>sp|Q9ET66|PI16_MOUSE</t>
  </si>
  <si>
    <t>Drosophila melanogaster - extracellular region</t>
  </si>
  <si>
    <t>SCP_PRY1_like 3e-010| SCP 2e-009| SCP_GAPR-1_like 5e-009| SCP_euk 2e-008| SCP_PR-1_like 3e-007| SCP_GLIPR-1_like 9e-007| SCP_HrTT-1 1e-006| SCP 3e-006| SCP_CRISP 1e-005| CAP 1e-005|</t>
  </si>
  <si>
    <t>sp|Q4R5Q0|RL3_MACFA</t>
  </si>
  <si>
    <t>Macaca fascicularis</t>
  </si>
  <si>
    <t>Uncharacterized protein - Homo sapiens - structural constituent of ribosome - intracellular - ribosome - translation</t>
  </si>
  <si>
    <t>PTZ00103 4e-042| rpl3p 2e-012| L3_arch 4e-012| PRK05035 3e-004| RplC 0.020| Ribosomal_L3 0.025| PLN03086 | PRK06991 | zntB | DUF404 |</t>
  </si>
  <si>
    <t>Tetrahymena thermophila SB210</t>
  </si>
  <si>
    <t>sp|Q46JD9|PLSY_PROMT</t>
  </si>
  <si>
    <t>Prochlorococcus marinus (strain NATL2A)</t>
  </si>
  <si>
    <t>sp|Q9MGL5|CYB_DROSE</t>
  </si>
  <si>
    <t>Drosophila sechellia</t>
  </si>
  <si>
    <t>mitochondrial Cytochrome b - Drosophila melanogaster - mitochondrial respiratory chain complex III - ubiquinol-cytochrome-c reductase activity - membrane - electron carrier activity - respiratory electron transport chain - oxidoreductase activity</t>
  </si>
  <si>
    <t>CYTB e-146| CYTB e-130| CYTB e-128| CYTB e-124| CYTB e-122| CYTB e-120| CYTB e-119| CYTB e-119| CYTB e-116| CYTB e-107|</t>
  </si>
  <si>
    <t>Streptomyces griseoflavus Tu4000</t>
  </si>
  <si>
    <t>Nematostella vectensis</t>
  </si>
  <si>
    <t>sp|P91914|RL27_CAEEL</t>
  </si>
  <si>
    <t>Ribosomal_L27e | PTZ00471 |</t>
  </si>
  <si>
    <t>Trichinella spiralis</t>
  </si>
  <si>
    <t>sp|Q0E959|RM34_DROME</t>
  </si>
  <si>
    <t>Amino acid transport and metabolism</t>
  </si>
  <si>
    <t>Pseudomonas aeruginosa</t>
  </si>
  <si>
    <t>Nucleotide transport and metabolism</t>
  </si>
  <si>
    <t>sp|P28755|SODC_CERCA</t>
  </si>
  <si>
    <t>Ceratitis capitata</t>
  </si>
  <si>
    <t>AT2G28190 - Arabidopsis thaliana - copper ion binding - zinc ion binding - removal of superoxide radicals - chloroplast - response to oxidative stress - response to copper ion - thylakoid - response to stress - response to iron ion - apoplast - chloroplast stroma - superoxide dismutase activity - response to light stimulus</t>
  </si>
  <si>
    <t>copper ion binding||transition metal ion binding||metal ion binding||cation binding||ion binding||binding</t>
  </si>
  <si>
    <t>PLN02386 5e-006| PLN02642 4e-005| Cu-Zn_Superoxide_Dismutase 0.021| Sod_Cu 0.033| SodC |</t>
  </si>
  <si>
    <t>PRK06930 |</t>
  </si>
  <si>
    <t>Graphocephala atropunctata</t>
  </si>
  <si>
    <t>sp|Q62425|NDUA4_MOUSE</t>
  </si>
  <si>
    <t>Drosophila melanogaster - mitochondrial electron transport, NADH to ubiquinone - mitochondrial respiratory chain complex I - NADH dehydrogenase activity</t>
  </si>
  <si>
    <t>B12D 0.004|</t>
  </si>
  <si>
    <t>gatB |</t>
  </si>
  <si>
    <t>sp|C0MG44|SSTT_STRS7</t>
  </si>
  <si>
    <t>Streptococcus equi subsp. zooepidemicus (strain H70)</t>
  </si>
  <si>
    <t>Triabin | PRK08626 |</t>
  </si>
  <si>
    <t>Tetraodon nigroviridis</t>
  </si>
  <si>
    <t>Entamoeba dispar SAW760</t>
  </si>
  <si>
    <t>sp|Q64686|SIA7C_RAT</t>
  </si>
  <si>
    <t>PLN02715 | murD | PRK06922 | FhuE | PLN02309 | MCM |</t>
  </si>
  <si>
    <t>Epulopiscium sp. 'N.t. morphotype B'</t>
  </si>
  <si>
    <t>sp|Q06SF4|RPOB2_STIHE</t>
  </si>
  <si>
    <t>Stigeoclonium helveticum</t>
  </si>
  <si>
    <t>nifE |</t>
  </si>
  <si>
    <t>sp|Q56FG8|RL18_LYSTE</t>
  </si>
  <si>
    <t>Lysiphlebus testaceipes</t>
  </si>
  <si>
    <t>60S ribosomal protein L18 - Drosophila pseudoobscura pseudoobscura - molecular_function - cellular_component - biological_process</t>
  </si>
  <si>
    <t>PTZ00469 5e-008| PTZ00195 0.051|</t>
  </si>
  <si>
    <t>sp|Q8VDP2|CX056_MOUSE</t>
  </si>
  <si>
    <t>PRK12411 | cyt_deam_tetra | Cdd |</t>
  </si>
  <si>
    <t>sp|P34856|NU6M_ANOGA</t>
  </si>
  <si>
    <t>Anopheles gambiae</t>
  </si>
  <si>
    <t>ND6 0.002| ND6 |</t>
  </si>
  <si>
    <t>sp|Q7SYU0|RS8_XENLA</t>
  </si>
  <si>
    <t>ribosomal protein S8 - Rattus norvegicus - maturation of SSU-rRNA from tricistronic rRNA transcript (SSU-rRNA, 5.8S rRNA, LSU-rRNA) - molecular_function - structural constituent of ribosome - intracellular - cytoplasm - cytosol - ribosome - translational elongation - biological_process - cytosolic small ribosomal subunit - ribonucleoprotein complex</t>
  </si>
  <si>
    <t>PTZ00148 4e-020| Ribosomal_S8e 0.001| S8e 0.037| RPS8A |</t>
  </si>
  <si>
    <t>Saccoglossus kowalevskii</t>
  </si>
  <si>
    <t>sp|P58374|RL30_BRABE</t>
  </si>
  <si>
    <t>Branchiostoma belcheri</t>
  </si>
  <si>
    <t>ribosomal protein L30 - Rattus norvegicus - structural constituent of ribosome - intracellular - cytoplasm - cytosol - ribosome - translation - translational elongation</t>
  </si>
  <si>
    <t>PTZ00106 6e-015| RPL30 4e-009| PRK01018 4e-007| Ribosomal_L7Ae 6e-006| RPL8A 0.011| TM4SF8_like_LEL |</t>
  </si>
  <si>
    <t>sp|D4N500|DIOX1_PAPSO</t>
  </si>
  <si>
    <t>Papaver somniferum</t>
  </si>
  <si>
    <t>PLN02216 0.029| PLN02597 |</t>
  </si>
  <si>
    <t>sp|Q02749|YP068_YEAST</t>
  </si>
  <si>
    <t>LANC_like |</t>
  </si>
  <si>
    <t>Radopholus similis</t>
  </si>
  <si>
    <t>sp|Q56NH2|BPTA2_BORGA</t>
  </si>
  <si>
    <t>Borrelia garinii</t>
  </si>
  <si>
    <t>sp|P28337|GCST_CHICK</t>
  </si>
  <si>
    <t>Aminomethyltransferase, mitochondrial - Gallus gallus - aminomethyltransferase activity - cytoplasm - mitochondrion - glycine catabolic process - transaminase activity - transferase activity</t>
  </si>
  <si>
    <t>transferase activity</t>
  </si>
  <si>
    <t>gcvT 5e-011| GcvT 2e-010| gcvT 2e-009| PLN02319 6e-009| GCV_T_C 2e-008| gcvT 2e-008| PRK14341 | flgE_epsilon |</t>
  </si>
  <si>
    <t>sp|Q37376|NU2M_ACACA</t>
  </si>
  <si>
    <t>Acanthamoeba castellanii</t>
  </si>
  <si>
    <t>Staph_a_para_1 |</t>
  </si>
  <si>
    <t>Bacillus thuringiensis IBL 4222</t>
  </si>
  <si>
    <t>sp|P36084|MUD2_YEAST</t>
  </si>
  <si>
    <t>Radical_SAM_N | SAM_YgiQ | fbiC | 7TM_GPCR_Srab |</t>
  </si>
  <si>
    <t>Lachancea thermotolerans</t>
  </si>
  <si>
    <t>sp|Q9UQ35|SRRM2_HUMAN</t>
  </si>
  <si>
    <t>serine/arginine repetitive matrix 2 - Rattus norvegicus - Cajal body - nuclear speck - protein N-terminus binding - C2H2 zinc finger domain binding - catalytic step 2 spliceosome</t>
  </si>
  <si>
    <t>TT_ORF1 | Hepatitis_core | PHA02778 | PHA03328 | SF-CC1 | U2AF_lg | Daxx |</t>
  </si>
  <si>
    <t>Lygus lineolaris</t>
  </si>
  <si>
    <t>sp|Q95ZE8|RL14_DROVI</t>
  </si>
  <si>
    <t>Drosophila virilis</t>
  </si>
  <si>
    <t>Ribosomal protein L14 - Drosophila melanogaster - translation - cytosolic large ribosomal subunit - structural constituent of ribosome - cytosolic ribosome - ribosome - negative regulation of neuron apoptosis - lipid particle - mitotic spindle elongation - mitotic spindle organization</t>
  </si>
  <si>
    <t>SHR3_chaperone | PRK07561 | Peptidase_S49_N | valS |</t>
  </si>
  <si>
    <t>Taeniopygia guttata</t>
  </si>
  <si>
    <t>sp|Q29P71|MYO7A_DROPS</t>
  </si>
  <si>
    <t>Drosophila pseudoobscura pseudoobscura</t>
  </si>
  <si>
    <t>NrdE_NrdA |</t>
  </si>
  <si>
    <t>Coenzyme transport and metabolism</t>
  </si>
  <si>
    <t>PHA00729 | Triabin | DUF3491 | PRK08271 |</t>
  </si>
  <si>
    <t>sp|P32429|RL7A_CHICK</t>
  </si>
  <si>
    <t>Uncharacterized protein - Gallus gallus - ribonucleoprotein complex - ribosome biogenesis</t>
  </si>
  <si>
    <t>PTZ00365 4e-007| PTZ00222 0.057| PFL2_DhaB_BssA | Adeno_E1B_19K | SbmA_BacA | pepcterm_ChnLen |</t>
  </si>
  <si>
    <t>sp|Q9VDE6|EXOC6_DROME</t>
  </si>
  <si>
    <t>sec15 - Drosophila melanogaster - exocyst - synaptic vesicle docking involved in exocytosis - synaptic vesicle targeting - neurotransmitter secretion - vesicle-mediated transport - phototaxis - axon guidance - bristle development - endosome - endocytic recycling - cytoplasmic vesicle - axon terminus - border follicle cell migration</t>
  </si>
  <si>
    <t>Nup88 |</t>
  </si>
  <si>
    <t>Anopheles darlingi</t>
  </si>
  <si>
    <t>sp|P0C2N1|YOPT1_YEREN</t>
  </si>
  <si>
    <t>Yersinia enterocolitica</t>
  </si>
  <si>
    <t>PRK14439 |</t>
  </si>
  <si>
    <t>sp|Q7KF90|RL31_SPOFR</t>
  </si>
  <si>
    <t>ribosomal protein L31 - Rattus norvegicus - structural constituent of ribosome - intracellular - cytosol - ribosome - translation - translational elongation</t>
  </si>
  <si>
    <t>Ribosomal_L31e 1e-010| PTZ00193 7e-009| RPL31A | PRK01192 | purC |</t>
  </si>
  <si>
    <t>Heterodera cardiolata</t>
  </si>
  <si>
    <t>sp|Q96DI7|SNR40_HUMAN</t>
  </si>
  <si>
    <t>small nuclear ribonucleoprotein 40 (U5) - Rattus norvegicus - nucleus - cytoplasm - RNA splicing - catalytic step 2 spliceosome - nucleolus</t>
  </si>
  <si>
    <t>WD40 7e-011| WD40 1e-005| WD40 1e-005| COG2319 6e-005| PTZ00420 0.072| PLN00181 | PTZ00287 | Rnase_HI_RT_non_LTR | PRK13958 | PLN03162 |</t>
  </si>
  <si>
    <t>Geobacillus sp. Y412MC52</t>
  </si>
  <si>
    <t>sp|O19062|CRP_PIG</t>
  </si>
  <si>
    <t>bacteriophage_lambda_lysozyme | PRK11278 | NuoF |</t>
  </si>
  <si>
    <t>sp|Q5RB31|SC61B_PONAB</t>
  </si>
  <si>
    <t>Sec61 beta subunit - Rattus norvegicus - protein import into nucleus, translocation - molecular_function - cellular_component - biological_process - ER-associated protein catabolic process - retrograde protein transport, ER to cytosol - ribosome binding - epidermal growth factor binding</t>
  </si>
  <si>
    <t>Sec61_beta 1e-013| PRK01253 0.002| rbsC | SBH1 | PRK09039 | bcl-2I13 | PLN02517 |</t>
  </si>
  <si>
    <t>Candidatus Zinderia insecticola CARI</t>
  </si>
  <si>
    <t>sp|Q9ZJY0|Y1168_HELPJ</t>
  </si>
  <si>
    <t>Helicobacter pylori J99</t>
  </si>
  <si>
    <t>RNA_pol_I_A49 |</t>
  </si>
  <si>
    <t>Hyalomma marginatum rufipes</t>
  </si>
  <si>
    <t>sp|Q962Q5|RS25_SPOFR</t>
  </si>
  <si>
    <t>Ribosomal protein S25 - Drosophila melanogaster - cytosolic small ribosomal subunit - structural constituent of ribosome - translation - ribosome</t>
  </si>
  <si>
    <t>Ribosomal_S25 2e-024| COG4901 7e-010| PRK09334 2e-004| selA | PRK04311 | COG2865 | RNA_pol_Rpc34 | DEP | PRK05937 | HTH_DTXR |</t>
  </si>
  <si>
    <t>sp|Q5S1U6|IFRD1_PIG</t>
  </si>
  <si>
    <t>Drosophila melanogaster - binding</t>
  </si>
  <si>
    <t>IFRD_C 1e-010| Mis6 | NAD_synthase | PRK07004 |</t>
  </si>
  <si>
    <t>SCP_PRY1_like | SCP | SCP_PR-1_like | SCP_euk | SCP_HrTT-1 | F-protein |</t>
  </si>
  <si>
    <t>Schizophyllum commune H4-8</t>
  </si>
  <si>
    <t>sp|P24892|NU4M_CAEEL</t>
  </si>
  <si>
    <t>COG1604 | DUF3439 | cas_TM1791_cmr6 | Cmr6_III-B | ACC_central | DUF2623 | Herpes_V23 |</t>
  </si>
  <si>
    <t>sp|Q09733|GEF2_SCHPO</t>
  </si>
  <si>
    <t>COG4111 | DUF414 |</t>
  </si>
  <si>
    <t>Nuclear structure, Intracellular trafficking, secretion, and vesicular transport</t>
  </si>
  <si>
    <t>sp|P52503|NDUS6_MOUSE</t>
  </si>
  <si>
    <t>Drosophila melanogaster - NADH dehydrogenase (ubiquinone) activity - mitochondrial respiratory chain complex I</t>
  </si>
  <si>
    <t>zf-CHCC 1e-010| COG4391 4e-004| COX1 | PLN02294 | RsuA | COX1 | COX1 | Cyt_c_Oxidase_I | COX1 | PRK14346 |</t>
  </si>
  <si>
    <t>Chrysomela tremulae</t>
  </si>
  <si>
    <t>Ribosomal protein L35 - Drosophila melanogaster - translation - structural constituent of ribosome - cytosolic large ribosomal subunit - lipid particle - mitotic spindle elongation - mitotic spindle organization</t>
  </si>
  <si>
    <t>ALDH_F3AB | ALDH_F3-13-14_CALDH-like | PTZ00381 | PP2Cc | Peptidase_C14 | ALDH_YwdH-P39616 |</t>
  </si>
  <si>
    <t>sp|O76756|RS8_APIME</t>
  </si>
  <si>
    <t>PTZ00148 7e-023| Ribosomal_S8e 0.005| S8e | CPSF73-100_C | COG0618 | Calsarcin | PRK07062 | RPS8A | PRK10549 |</t>
  </si>
  <si>
    <t>sp|P12815|PDCD6_MOUSE</t>
  </si>
  <si>
    <t>Uncharacterized protein - Gallus gallus - calcium ion binding</t>
  </si>
  <si>
    <t>calcium ion binding||metal ion binding||cation binding||ion binding||binding</t>
  </si>
  <si>
    <t>FRQ1 6e-004| EFh 0.014| TIGR03607 0.022| PTZ00183 0.026| efhand | S-100 | PDI_a_ERdj5_N | PTZ00184 | PRK09939 | EFh |</t>
  </si>
  <si>
    <t>sp|Q5B8G3|NOP58_EMENI</t>
  </si>
  <si>
    <t>Emericella nidulans</t>
  </si>
  <si>
    <t>argC | Semialdhyde_dh | pylS | UbiB | PTZ00217 | PLN03142 |</t>
  </si>
  <si>
    <t>sp|P42899|RLA2_BOVIN</t>
  </si>
  <si>
    <t>Uncharacterized protein - Canis lupus familiaris - structural constituent of ribosome - intracellular - ribosome - translational elongation</t>
  </si>
  <si>
    <t>Ribosomal_P2 2e-016| PLN00138 4e-012| Ribosomal_P1 1e-007| PTZ00135 6e-007| Ribosomal_P1_P2_L12p 3e-006| PTZ00373 6e-006| Ribosomal_60s 2e-005| RPP1A 4e-004| PTZ00240 0.008| rpl12p 0.040|</t>
  </si>
  <si>
    <t>sp|P55828|RS20_DROME</t>
  </si>
  <si>
    <t>Ribosomal protein S20 - Drosophila melanogaster - structural constituent of ribosome - translation - cytosolic small ribosomal subunit - ribosome - RNA binding - lipid particle</t>
  </si>
  <si>
    <t>PTZ00039 2e-025| S10_Arc_S20_Euk 4e-017| Ribosomal_S10 9e-016| rps10p 3e-012| RpsJ 6e-012| rpsJ 3e-004| rpsJ_bact 0.003| osq_cycl | mycothiol_MshA | PLN02408 |</t>
  </si>
  <si>
    <t>sp|P41822|FRI_AEDAE</t>
  </si>
  <si>
    <t>Ferritin 1 heavy chain homologue - Drosophila melanogaster - intracellular ferritin complex - cellular iron ion homeostasis - ferrous iron binding - oxidoreductase activity - ferric iron binding - iron ion transport - oxidation-reduction process - Golgi apparatus - microtubule associated complex - fusome</t>
  </si>
  <si>
    <t>ferrous iron binding||iron ion binding||transition metal ion binding||metal ion binding||cation binding||ion binding||binding</t>
  </si>
  <si>
    <t>Euk_Ferritin 7e-017| Ferritin 2e-004| Ferritin 0.002| DUF2267 | glycerol3P_GlpA | Flu_NS1 | DENN | UvrB | TIGR03034 |</t>
  </si>
  <si>
    <t>sp|P36241|RL19_DROME</t>
  </si>
  <si>
    <t>Ribosomal protein L19 - Drosophila melanogaster - cytosolic large ribosomal subunit - structural constituent of ribosome - translation - ribosome - mitotic spindle elongation</t>
  </si>
  <si>
    <t>PTZ00097 1e-013| Ribosomal_L19e_E 6e-011| Ribosomal_L19e 4e-007| PTZ00436 7e-007| Ribosomal_L19e 7e-005| RPL19A | rpl19e | DUF1682 | PTZ00121 |</t>
  </si>
  <si>
    <t>sp|Q09779|YATE_SCHPO</t>
  </si>
  <si>
    <t>Triabin 4e-007| AvrB_AvrC 0.064| rpa1 | DUF2750 | RGS_RGS19 | GH16_laminarinase_like | Acyl_ACP_Desat | RGS_RGS17 | PRK03762 | PTZ00480 |</t>
  </si>
  <si>
    <t>sp|Q54KR5|ELOF1_DICDI</t>
  </si>
  <si>
    <t>arabinose_DH_like | DUF2085 | Zn_ADH5 | PLN03113 | COG3910 | PLN02932 | Zn_ADH_like1 | PRK12563 | spr | RP_DDI |</t>
  </si>
  <si>
    <t>sp|Q5ECE3|LOPAP_LONON</t>
  </si>
  <si>
    <t>Lonomia obliqua</t>
  </si>
  <si>
    <t>Triabin 0.012| YidC 0.060| Lipocalin | PurB | bcl-2I13 | PRK06555 | PLN02195 | PIN_MtRv0301 |</t>
  </si>
  <si>
    <t>Haemophilus influenzae PittEE</t>
  </si>
  <si>
    <t>sp|Q92212|STE20_CANAL</t>
  </si>
  <si>
    <t>Candida albicans</t>
  </si>
  <si>
    <t>PRK15065 | PTZ00441 | ectoine_ehuA |</t>
  </si>
  <si>
    <t>sp|Q93113|GST1D_ANOGA</t>
  </si>
  <si>
    <t>Glutathione S transferase D4 - Drosophila melanogaster - glutathione transferase activity</t>
  </si>
  <si>
    <t>GST_C_Delta_Epsilon 3e-019| GST_C_1 9e-008| Gst 2e-004| GST_C_Theta 2e-004| GST_C_family 5e-004| GST_C_Ure2p_like 0.002| GST_C_7 0.003| GST_C_GTT1_like 0.005| GST_C_Zeta 0.008| GST_C_Beta 0.009|</t>
  </si>
  <si>
    <t>sp|Q9SA98|ALKBH_ARATH</t>
  </si>
  <si>
    <t>AlkB - Drosophila melanogaster - oxidation-reduction process - oxidoreductase activity, acting on paired donors, with incorporation or reduction of molecular oxygen, 2-oxoglutarate as one donor, and incorporation of one atom each of oxygen into both donors</t>
  </si>
  <si>
    <t>alkb 2e-004| PRK15401 0.065| AlkB | STKc_myosinIIIB | cbiO | SPT15 | PRK09599 | pheT_bact | GutQ | DUF694 |</t>
  </si>
  <si>
    <t>sp|Q6DV01|SYF2_GECJA</t>
  </si>
  <si>
    <t>Gecko japonicus</t>
  </si>
  <si>
    <t>SYF2 homolog, RNA splicing factor (S. cerevisiae) - Rattus norvegicus - nucleus - spliceosomal complex - mRNA processing - RNA splicing - catalytic step 2 spliceosome</t>
  </si>
  <si>
    <t>SYF2 3e-025| PTZ00009 | PRK06541 | PLN03213 | PHA03096 | PRK08192 | dnaK |</t>
  </si>
  <si>
    <t>Cell cycle control, cell division, chromosome partitioning, RNA processing and modification</t>
  </si>
  <si>
    <t>sp|C6C0A2|NAGB_DESAD</t>
  </si>
  <si>
    <t>Desulfovibrio salexigens (strain ATCC 14822 / DSM 2638 / NCIB 8403 / VKM B-1763)</t>
  </si>
  <si>
    <t>Probable glucosamine-6-phosphate isomerase - Caenorhabditis elegans - protein binding</t>
  </si>
  <si>
    <t>PTZ00285 6e-020| nagB 2e-018| nagB 2e-015| GlcN6P_deaminase 3e-011| NagB 7e-008| PRK02122 8e-008| PRK12358 7e-006| PRK09762 0.025| SugarP_isomerase | arg_catab_AstA |</t>
  </si>
  <si>
    <t>sp|Q27245|YH24_CAEEL</t>
  </si>
  <si>
    <t>zgc:152830 - Danio rerio - aminopeptidase activity - cytoplasm - metalloexopeptidase activity - protein metabolic process - proteolysis - manganese ion binding - intracellular</t>
  </si>
  <si>
    <t>hydrolase activity</t>
  </si>
  <si>
    <t>Peptidase_M17 2e-005| Peptidase_M17 | PRK00913 | PRK09059 | PRK10829 | PRK06213 | PepB | LuxQ-periplasm |</t>
  </si>
  <si>
    <t>sp|P30736|RL15_CHITE</t>
  </si>
  <si>
    <t>Chironomus tentans</t>
  </si>
  <si>
    <t>zgc:153668 - Danio rerio - structural constituent of ribosome - intracellular - ribosome - translation - ribonucleoprotein complex</t>
  </si>
  <si>
    <t>PTZ00026 4e-036| Ribosomal_L15e 1e-035| RPL15A 8e-021| PRK04243 1e-020| COBRA1 | Bunya_RdRp | PRK14843 | DEP_PLEK2 | ALDH_ACDHII-AcoD | COG0729 |</t>
  </si>
  <si>
    <t>sp|P49291|LAZA_SCHAM</t>
  </si>
  <si>
    <t>Schistocerca americana</t>
  </si>
  <si>
    <t>Triabin 2e-005| DUF2165 | DUF198 | PRK08262 | GldG | PRK12857 | PLN02587 | eIF-3_zeta |</t>
  </si>
  <si>
    <t>Buchnera aphidicola str. Cc (Cinara cedri)</t>
  </si>
  <si>
    <t>sp|A5DSI2|NAR1_LODEL</t>
  </si>
  <si>
    <t>Lodderomyces elongisporus (strain ATCC 11503 / CBS 2605 / JCM 1781 / NBRC 1676 / NRRL YB-4239)</t>
  </si>
  <si>
    <t>PTZ00200 |</t>
  </si>
  <si>
    <t>sp|Q9V3P6|PSMD1_DROME</t>
  </si>
  <si>
    <t>Rpn2 - Drosophila melanogaster - proteasome regulatory particle, base subcomplex - proteolysis - proteasome regulatory particle - endopeptidase activity - binding - enzyme regulator activity - regulation of protein catabolic process - response to DNA damage stimulus</t>
  </si>
  <si>
    <t>RPN2 3e-004| PLN00181 | PHA03067 | Pox_E6 | Pox_I6 | PHA03000 | PLN00141 | PRK08156 | PLPDE_III_DSD_D-TA_like_2 | PTZ00399 |</t>
  </si>
  <si>
    <t>sp|Q6AXS5|PAIRB_RAT</t>
  </si>
  <si>
    <t>vasa intronic gene - Drosophila melanogaster - mRNA binding - RNA interference - RNA-induced silencing complex - nucleus - heterochromatin organization - polytene chromosome - cytoplasm - polytene chromosome puff</t>
  </si>
  <si>
    <t>PRK04537 0.001| PTZ00482 | alkPPc | PTZ00146 | gltX | PRK05733 | gltX_arch | COG5598 | PRK08763 | tldD |</t>
  </si>
  <si>
    <t>sp|O01367|HOW_DROME</t>
  </si>
  <si>
    <t>PLN03174 | PRK09121 | PRK04375 | COG1817 | nifA | Mit_ribos_Mrp51 | DMB-PRT_CobT | COG0313 | AroG | cobN |</t>
  </si>
  <si>
    <t>sp|Q9U505|AT5G_MANSE</t>
  </si>
  <si>
    <t>Manduca sexta</t>
  </si>
  <si>
    <t>Drosophila melanogaster - hydrogen-exporting ATPase activity, phosphorylative mechanism - proton transport - mitochondrial proton-transporting ATP synthase complex, coupling factor F(o) - ATP hydrolysis coupled proton transport - ATP synthesis coupled proton transport</t>
  </si>
  <si>
    <t>ATP9 2e-028| PRK07558 6e-014| PRK07159 5e-009| ATP-synt_C 7e-007| PRK13469 5e-006| AtpE 1e-004| PRK07874 4e-004| PRK13471 0.001| atpH 0.009| ATP_synt_c 0.032|</t>
  </si>
  <si>
    <t>sp|P18101|RL40_DROME</t>
  </si>
  <si>
    <t>Ribosomal protein L40 - Drosophila melanogaster - translation - structural constituent of ribosome - protein modification process - ubiquitin-dependent protein catabolic process - cytosolic large ribosomal subunit - ribosome - ribosome biogenesis - cytoplasm - regulation of transcription, DNA-dependent - nucleus - response to stress - proteolysis - chromatin organization - lipid particle - microtubule associated complex</t>
  </si>
  <si>
    <t>Ubiquitin 3e-032| ubiquitin 2e-023| Nedd8 2e-019| UBL 3e-019| Ribosomal_L40e 1e-018| UBQ 2e-017| PTZ00044 2e-015| Rad60-SLD 1e-012| AN1_N 5e-012| Scythe_N 2e-011|</t>
  </si>
  <si>
    <t>sp|O70537|CP3AV_MESAU</t>
  </si>
  <si>
    <t>Mesocricetus auratus</t>
  </si>
  <si>
    <t>cytochrome P450, family 3, subfamily a, polypeptide 2 - Rattus norvegicus - monooxygenase activity - steroid binding - iron ion binding - cytoplasm - endoplasmic reticulum membrane - microsome - steroid catabolic process - steroid metabolic process - steroid hydroxylase activity - electron carrier activity - alkaloid catabolic process - cell surface - monoterpenoid metabolic process - oxidoreductase activity - oxidoreductase activity, acting on paired donors, with incorporation or reduction of molecular oxygen, reduced flavin or flavoprotein as one donor, and incorporation of one atom of oxygen - drug metabolic process - oxygen binding - enzyme binding - heme binding - vitamin D3 25-hydroxylase activity - demethylase activity - caffeine oxidase activity - drug catabolic process - exogenous drug catabolic process - heterocycle metabolic process - testosterone 6-beta-hydroxylase activity - oxidation-reduction process - vitamin D 24-hydroxylase activity - oxidative demethylation</t>
  </si>
  <si>
    <t>monooxygenase activity||oxidoreductase activity||catalytic activity</t>
  </si>
  <si>
    <t>p450 4e-023| CypX 4e-014| PLN02936 2e-011| PLN02290 2e-011| PTZ00404 2e-009| PLN02738 4e-009| PLN02987 5e-008| PLN02302 8e-008| PLN02655 1e-007| PLN02500 4e-007|</t>
  </si>
  <si>
    <t>Triabin 2e-006| DUF198 | Lipocalin | Pat17_PNPLA8_PNPLA9_like4 | Sina | STKc_GRK3 | STKc_beta_ARK | COG5643 | Bac_thur_toxin | SPT16 |</t>
  </si>
  <si>
    <t>Triabin 3e-013| MutL | ABC_sbcCD | CRT10 | conj_TIGR03755 | Lipocalin | DUF2165 | Rab40 | Bromo_polybromo_IV | Neur_chan_LBD |</t>
  </si>
  <si>
    <t>sp|P62752|RL23A_RAT</t>
  </si>
  <si>
    <t>similar to 60S ribosomal protein L23a - Rattus norvegicus - nucleotide binding - RNA binding - structural constituent of ribosome - intracellular - ribosome - translation</t>
  </si>
  <si>
    <t>PTZ00191 5e-044| PRK14548 1e-026| L23_arch 3e-023| RplW 3e-016| rplW 4e-013| Ribosomal_L23 3e-011| Ribosomal_L23eN 7e-009| rplW 2e-007| rpl23 2e-005| bacter_Pnkp |</t>
  </si>
  <si>
    <t>Physcomitrella patens subsp. patens</t>
  </si>
  <si>
    <t>sp|P12036|NFH_HUMAN</t>
  </si>
  <si>
    <t>Neurofilament heavy polypeptide - Homo sapiens - microtubule cytoskeleton organization - molecular_function - mitochondrion - neurofilament - nervous system development - cell death - axon - intermediate filament cytoskeleton organization</t>
  </si>
  <si>
    <t>PRK05035 0.024| PTZ00121 0.035| PRK04950 0.042| Borrelia_P83 | PRK10819 | PRK13808 |</t>
  </si>
  <si>
    <t>sp|O96647|RL10_BOMMA</t>
  </si>
  <si>
    <t>Bombyx mandarina</t>
  </si>
  <si>
    <t>Ribosomal protein L10 - Drosophila melanogaster - translation - cytosolic large ribosomal subunit - structural constituent of ribosome - ribosome - lipid particle - mitotic spindle organization - mitotic spindle elongation - cytoplasm - neuronal cell body</t>
  </si>
  <si>
    <t>PTZ00173 3e-058| L10e 6e-028| rpl10e 2e-022| Ribosomal_L16_L10e 1e-014| Ribosomal_L16 7e-013| RplP 2e-010| COPIIcoated_ERV | SEC21 | PTKc_EphR_B | tonB_Cterm |</t>
  </si>
  <si>
    <t>SCP_PRY1_like 2e-012| SCP 8e-012| SCP_GAPR-1_like 5e-011| SCP_euk 8e-011| SCP_PR-1_like 1e-009| SCP_GLIPR-1_like 4e-009| SCP 7e-009| SCP_HrTT-1 6e-008| SCP_CRISP 3e-007| CAP 7e-007|</t>
  </si>
  <si>
    <t>sp|Q54CS7|JMJCE_DICDI</t>
  </si>
  <si>
    <t>transcription factor jumonji, jmjC domain-containing protein - Dictyostelium discoideum - molecular_function - cellular_component - biological_process</t>
  </si>
  <si>
    <t>PRK15315 | dut | AGE | PLN02582 |</t>
  </si>
  <si>
    <t>Triabin 1e-017| MutL | Nitrophorin | Rab40 | CRT10 | Lipocalin | DUF2165 | Bromo_polybromo_IV | CRC_subunit |</t>
  </si>
  <si>
    <t>sp|Q6P8D9|UBC12_XENTR</t>
  </si>
  <si>
    <t>NEDD8-conjugating enzyme Ubc12 - Xenopus (Silurana) tropicalis - ubiquitin-protein ligase activity - protein modification process - protein ubiquitination - ribosomal S6-glutamic acid ligase activity - NEDD8 ligase activity - protein neddylation</t>
  </si>
  <si>
    <t>UQ_con 3e-040| COG5078 3e-033| UBCc 3e-029| UBCc 5e-028| PLN00172 8e-022| PTZ00390 4e-019| galT_2 | RWD | RWD | PRK14151 |</t>
  </si>
  <si>
    <t>sp|P61023|CHP1_RAT</t>
  </si>
  <si>
    <t>ethanol sensitive with low memory - Drosophila melanogaster - calcium ion binding</t>
  </si>
  <si>
    <t>FRQ1 6e-008| EFh 1e-006| PTZ00184 1e-006| PTZ00183 0.016| efhand | EFh | EH | efhand_3 | PHA03374 | 2A067 |</t>
  </si>
  <si>
    <t>Triabin 2e-005| DUF198 | DUF2165 | Sina | GldG | PRK13674 | PRK12857 |</t>
  </si>
  <si>
    <t>Triabin 3e-014| NDP-sugDHase | Lipocalin | PRK05270 | PRK14990 | PH_oxysterol_bp | PRK07318 | RHO_alpha_C_1 | RgfB-like | PHA03007 |</t>
  </si>
  <si>
    <t>sp|Q27049|TRIA_TRIPA</t>
  </si>
  <si>
    <t>Triatoma pallidipennis</t>
  </si>
  <si>
    <t>Triabin 1e-012| Nitrophorin | AvrB_AvrC | ATPase-IIIB_Mg | AdoHcyase_NAD | Lipocalin | cysW | RdRP_1 | Pox_E2-like | PTZ00480 |</t>
  </si>
  <si>
    <t>sp|P58525|MTOX_SALTY</t>
  </si>
  <si>
    <t>PRK11260 | SURF4 | NTP_transf_3 | NGN_SP_AnfA1 | MobA |</t>
  </si>
  <si>
    <t>Triabin 2e-014| NDP-sugDHase | Lipocalin | PRK05270 | PRK14990 | PH_oxysterol_bp | PRK07318 | RgfB-like | RHO_alpha_C_1 | PHA03007 |</t>
  </si>
  <si>
    <t>sp|P81657|VA5_VESMA</t>
  </si>
  <si>
    <t>Vespa mandarinia</t>
  </si>
  <si>
    <t>SCP 2e-017| SCP_euk 6e-017| SCP_GAPR-1_like 2e-013| SCP_PRY1_like 9e-013| SCP_PR-1_like 1e-011| SCP_CRISP 2e-010| SCP 3e-010| SCP_HrTT-1 8e-010| SCP_GLIPR-1_like 1e-009| CAP 5e-009|</t>
  </si>
  <si>
    <t>Triabin 5e-011| DUF198 | Sina | DUF2165 | GldG | RAG2 |</t>
  </si>
  <si>
    <t>Plautia stali</t>
  </si>
  <si>
    <t>sp|Q868N5|VIT_APIME</t>
  </si>
  <si>
    <t>Vitellogenin-3 - Solenopsis invicta - molecular_function - extracellular region - biological_process</t>
  </si>
  <si>
    <t>PLN02896 | Phycobilisome | cpeA | SGNH_hydrolase_like_4 | ygeW | PRK14502 |</t>
  </si>
  <si>
    <t>Transcription, Signal transduction mechanisms</t>
  </si>
  <si>
    <t>sp|Q2RMS0|IF2_RHORT</t>
  </si>
  <si>
    <t>Rhodospirillum rubrum (strain ATCC 11170 / NCIB 8255)</t>
  </si>
  <si>
    <t>PTZ00491 0.018| M28 | MTHFS_bact | PRK06169 | PBP2_CrgA_like |</t>
  </si>
  <si>
    <t>sp|Q0PXX8|RSSA_DIACI</t>
  </si>
  <si>
    <t>Diaphorina citri</t>
  </si>
  <si>
    <t>stubarista - Drosophila melanogaster - structural constituent of ribosome - cytosolic small ribosomal subunit - translation - ribosome - lipid particle - mitotic spindle organization - mitotic spindle elongation - microtubule associated complex</t>
  </si>
  <si>
    <t>PTZ00254 2e-049| Sa_S2_E_A 1e-036| RPS2 1e-026| Ribosomal_S2 7e-026| rps2P 2e-024| RpsB 8e-022| rpsB 1e-008| rpsB_bact 1e-008| rps2 0.011| PRK08506 0.043|</t>
  </si>
  <si>
    <t>Tribolium castaneum</t>
  </si>
  <si>
    <t>sp|P54399|PDI_DROME</t>
  </si>
  <si>
    <t>Protein disulfide isomerase - Drosophila melanogaster - protein folding - protein disulfide isomerase activity - endoplasmic reticulum - endoplasmic reticulum lumen - cell redox homeostasis - electron carrier activity - glycerol ether metabolic process - protein disulfide oxidoreductase activity - lipid particle - nuclear envelope - rough endoplasmic reticulum - cell pole - spindle envelope - cytoplasm - perinuclear region of cytoplasm - neuronal cell body - fusome</t>
  </si>
  <si>
    <t>ER_PDI_fam 5e-048| PDI_a_PDI_a'_C 4e-036| pdi_dom 2e-030| PTZ00102 4e-030| PDI_a_family 2e-029| PDI_a_ERp38 5e-029| Thioredoxin 6e-028| PDI_a_P5 2e-020| PDI_a_ERp46 2e-018| PDI_a_PDIR 1e-017|</t>
  </si>
  <si>
    <t>sp|O08699|PGDH_RAT</t>
  </si>
  <si>
    <t>Uncharacterized protein - Gallus gallus - binding - oxidoreductase activity</t>
  </si>
  <si>
    <t>ADH_SDR_c_like 1e-030| SDR_c 3e-025| COG4221 2e-018| FabG 6e-018| DltE 1e-016| 17beta-HSD-like_SDR_c 1e-016| fabG 5e-016| fabG 5e-016| 3beta-17beta-HSD_like_SDR_c 7e-016| Ga5DH-like_SDR_c 8e-016|</t>
  </si>
  <si>
    <t>Lipid transport and metabolism, General function prediction only</t>
  </si>
  <si>
    <t>sp|Q8VCH8|UBXN4_MOUSE</t>
  </si>
  <si>
    <t>UBX domain protein 4 - Mus musculus - nucleus - membrane - cellular_component - response to unfolded protein - endoplasmic reticulum - biological_process - molecular_function</t>
  </si>
  <si>
    <t>UBX 9e-014| UBX 2e-011| UBX 9e-011| SAKS1_UBX 1e-010| Faf1_UBX 7e-005| Faf1_like1_UBX | p47_UBX | PHA02732 | Endonuc-BsobI | PRK04781 |</t>
  </si>
  <si>
    <t>sp|P31009|RS2_DROME</t>
  </si>
  <si>
    <t>Ribosomal protein S2 - Drosophila melanogaster - translation - cytosolic small ribosomal subunit - structural constituent of ribosome - ribosome - RNA binding - lipid particle</t>
  </si>
  <si>
    <t>PTZ00070 e-105| rpsE_arch 6e-077| rps5p 6e-057| RpsE 2e-040| Ribosomal_S5 4e-024| Ribosomal_S5_C 8e-019| rpsE 5e-018| rpsE_bact 1e-017| rps5 1e-008| PRK14338 |</t>
  </si>
  <si>
    <t>sp|Q9V4U9|C6A13_DROME</t>
  </si>
  <si>
    <t>Cyp6a13 - Drosophila melanogaster - microsome - electron carrier activity - membrane - oxidation-reduction process - heme binding - oxidoreductase activity, acting on paired donors, with incorporation or reduction of molecular oxygen</t>
  </si>
  <si>
    <t>electron carrier activity</t>
  </si>
  <si>
    <t>p450 7e-047| CypX 2e-019| PLN02290 2e-019| PTZ00404 5e-019| PLN02302 1e-016| PLN02936 1e-016| PLN02183 3e-015| PLN02655 2e-014| PLN02394 2e-014| PLN02738 9e-014|</t>
  </si>
  <si>
    <t>sp|P60901|PSA6_RAT</t>
  </si>
  <si>
    <t>Proteasome subunit alpha type - Gallus gallus - threonine-type endopeptidase activity - nucleus - cytoplasm - ubiquitin-dependent protein catabolic process - peptidase activity - proteasome core complex, alpha-subunit complex - proteolysis involved in cellular protein catabolic process</t>
  </si>
  <si>
    <t>proteasome_alpha_type_6 3e-085| proteasome_alpha 3e-066| proteasome_protease_HslV 4e-040| Proteasome 6e-040| PRK03996 2e-034| PRE1 4e-034| proteasome_alpha_type_2 9e-033| arc_protsome_A 9e-032| proteasome_alpha_archeal 5e-031| proteasome_alpha_type_1 3e-029|</t>
  </si>
  <si>
    <t>sp|A6YPJ8|RS3A_TRIIF</t>
  </si>
  <si>
    <t>Ribosomal protein S3A - Drosophila melanogaster - structural constituent of ribosome - cytosolic small ribosomal subunit - translation - cytosolic ribosome - oogenesis - lipid particle - mitotic spindle elongation - mitotic spindle organization</t>
  </si>
  <si>
    <t>Ribosomal_S3Ae 1e-064| RPS1A 1e-039| PRK04057 2e-027| PTZ00296 | PHA02716 | PRK14586 | accA | 3a01203 | Peptidase_M17 | PLN02612 |</t>
  </si>
  <si>
    <t>sp|A1L3X0|ELOV7_HUMAN</t>
  </si>
  <si>
    <t>Drosophila melanogaster - fatty acid biosynthetic process - very long-chain fatty acid metabolic process - integral to membrane</t>
  </si>
  <si>
    <t>ELO 1e-039| PTZ00251 3e-008| MgtA | TATR | spoVE |</t>
  </si>
  <si>
    <t>sp|Q8C190|CP007_MOUSE</t>
  </si>
  <si>
    <t>MopB_DMSOR-BSOR-TMAOR | PV-1 | PRK06466 | TonB-hemlactrns | ALDH_F3AB | nusA | PTZ00381 | PTZ00440 | phageshock_pspA | Adaptin_N |</t>
  </si>
  <si>
    <t>sp|Q9H8V3|ECT2_HUMAN</t>
  </si>
  <si>
    <t>pebble - Drosophila melanogaster - guanyl-nucleotide exchange factor activity - cytokinesis - nucleus - Malpighian tubule morphogenesis - cytokinesis, actomyosin contractile ring assembly - Rho guanyl-nucleotide exchange factor activity - peripheral nervous system development - cell adhesion - regulation of cell shape - regulation of Rho protein signal transduction - intracellular - cytokinesis after meiosis II - cytokinesis after meiosis I - spindle assembly - mesoderm migration involved in gastrulation - mesodermal cell migration - regulation of axonogenesis - establishment of protein localization - nervous system development</t>
  </si>
  <si>
    <t>enzyme regulator activity</t>
  </si>
  <si>
    <t>PH_etc2 5e-037| RhoGEF 2e-028| RhoGEF 3e-023| RhoGEF 1e-018| ROM1 6e-006| DUF3453 | PTZ00127 | dnaE |</t>
  </si>
  <si>
    <t>COX2 3e-089| COX2 2e-077| COX2 1e-073| COX2 4e-073| COX2 3e-072| COX2 4e-072| COX2 6e-072| COX2 3e-070| COX2 7e-070| COX2 1e-069|</t>
  </si>
  <si>
    <t>Colwellia psychrerythraea 34H</t>
  </si>
  <si>
    <t>sp|Q3UZB0|ARMX5_MOUSE</t>
  </si>
  <si>
    <t>PLN03157 | nuoE_fam | TPP_PFOR_porB_like |</t>
  </si>
  <si>
    <t>Bacillus coahuilensis m4-4</t>
  </si>
  <si>
    <t>sp|P58182|O12D2_HUMAN</t>
  </si>
  <si>
    <t>sp|P38073|EDS1_YEAST</t>
  </si>
  <si>
    <t>2A0127 |</t>
  </si>
  <si>
    <t>sp|Q9HCN8|SDF2L_HUMAN</t>
  </si>
  <si>
    <t>Drosophila melanogaster - membrane</t>
  </si>
  <si>
    <t>MIR 0.010| PRK02391 |</t>
  </si>
  <si>
    <t>Roseburia inulinivorans DSM 16841</t>
  </si>
  <si>
    <t>sp|Q5WKF5|CYSH_BACSK</t>
  </si>
  <si>
    <t>Bacillus clausii (strain KSM-K16)</t>
  </si>
  <si>
    <t>PRK05035 | liver_ADH_like1 | TIGR00052 |</t>
  </si>
  <si>
    <t>Plasmodium vivax</t>
  </si>
  <si>
    <t>sp|Q03525|TMA23_YEAST</t>
  </si>
  <si>
    <t>sp|Q057X9|SYI_BUCCC</t>
  </si>
  <si>
    <t>Buchnera aphidicola subsp. Cinara cedri</t>
  </si>
  <si>
    <t>Bartonella schoenbuchensis R1</t>
  </si>
  <si>
    <t>sp|C6KSS5|LRR2_PLAF7</t>
  </si>
  <si>
    <t>Plasmodium falciparum (isolate 3D7)</t>
  </si>
  <si>
    <t>sp|A9L9E2|YCF1_LEMMI</t>
  </si>
  <si>
    <t>Lemna minor</t>
  </si>
  <si>
    <t>Vanderwaltozyma polyspora DSM 70294</t>
  </si>
  <si>
    <t>sp|A1CE56|BGALC_ASPCL</t>
  </si>
  <si>
    <t>Aspergillus clavatus (strain ATCC 1007 / CBS 513.65 / DSM 816 / NCTC 3887 / NRRL 1)</t>
  </si>
  <si>
    <t>COG1449 | PLN02268 |</t>
  </si>
  <si>
    <t>Arcobacter butzleri JV22</t>
  </si>
  <si>
    <t>sp|Q6L6X6|IL6_TAKRU</t>
  </si>
  <si>
    <t>Takifugu rubripes</t>
  </si>
  <si>
    <t>CheR |</t>
  </si>
  <si>
    <t>Intracellular trafficking, secretion, and vesicular transport, Amino acid transport and metabolism</t>
  </si>
  <si>
    <t>Candidatus Carsonella ruddii PV</t>
  </si>
  <si>
    <t>sp|Q05FY9|MNME_CARRP</t>
  </si>
  <si>
    <t>Carsonella ruddii (strain PV)</t>
  </si>
  <si>
    <t>Baculo_RING |</t>
  </si>
  <si>
    <t>sp|Q86HG9|Y9871_DICDI</t>
  </si>
  <si>
    <t>PRK14510 | PRK12365 | Baculo_ODV-E27 | PRK10833 | GATase_2 |</t>
  </si>
  <si>
    <t>sp|P0CG48|UBC_HUMAN</t>
  </si>
  <si>
    <t>Polyubiquitin-C - Homo sapiens - cell cycle checkpoint - G1/S transition of mitotic cell cycle - S phase of mitotic cell cycle - activation of MAPK activity - protein polyubiquitination - M/G1 transition of mitotic cell cycle - mitotic cell cycle - activation of innate immune response - toll-like receptor signaling pathway - antigen processing and presentation of peptide antigen via MHC class I - MyD88-dependent toll-like receptor signaling pathway - MyD88-independent toll-like receptor signaling pathway - ubiquitin-protein ligase activity - protein binding - nucleus - nucleoplasm - cytoplasm - cytosol - plasma membrane - DNA repair - apoptosis - anti-apoptosis - DNA damage response, signal transduction by p53 class mediator resulting in cell cycle arrest - epidermal growth factor receptor signaling pathway - I-kappaB kinase/NF-kappaB cascade - JNK cascade - Toll signaling pathway - induction of apoptosis by extracellular signals - endosome membrane - viral reproduction - cellular membrane organization - RNA metabolic process - mRNA metabolic process - endosome transport - endocytic vesicle membrane - anaphase-promoting complex-dependent proteasomal ubiquitin-dependent protein catabolic process - negative regulation of type I interferon production - toll-like receptor 1 signaling pathway - toll-like receptor 2 signaling pathway - toll-like receptor 3 signaling pathway - toll-like receptor 4 signaling pathway - negative regulation of epidermal growth factor receptor signaling pathway - regulation of apoptosis - positive regulation of I-kappaB kinase/NF-kappaB cascade - innate immune response - nerve growth factor receptor signaling pathway - T cell receptor signaling pathway - positive regulation of NF-kappaB transcription factor activity - stress-activated MAPK cascade - negative regulation of ubiquitin-protein ligase activity involved in mitotic cell cycle - positive regulation of ubiquitin-protein ligase activity involved in mitotic cell cycle - regulation of ubiquitin-protein ligase activity involved in mitotic cell cycle - nucleotide-binding oligomerization domain containing signaling pathway</t>
  </si>
  <si>
    <t>ligase activity</t>
  </si>
  <si>
    <t>Ubiquitin 2e-013| ubiquitin 4e-006| PTZ00044 1e-005| Nedd8 1e-005| UBL 2e-005| RAD23_N 7e-005| UBQ 8e-005| AN1_N 1e-004| rad23 0.002| Fubi 0.005|</t>
  </si>
  <si>
    <t>sp|Q00277|GPX1_SCHMA</t>
  </si>
  <si>
    <t>Schistosoma mansoni</t>
  </si>
  <si>
    <t>glutathione peroxidase 4b - Danio rerio - oxidation-reduction process - response to oxidative stress - glutathione peroxidase activity - oxidoreductase activity - peroxidase activity</t>
  </si>
  <si>
    <t>GSH_Peroxidase 1e-037| BtuE 6e-033| PLN02412 4e-029| PLN02399 6e-029| PTZ00256 3e-022| btuE 3e-020| PTZ00056 2e-018| GSHPx 3e-018| gpx7 2e-016| COG2348 |</t>
  </si>
  <si>
    <t>Triabin 2e-008| PTKc_Jak_rpt2 | PRK09723 | COG4922 | PRK14328 | PEP_mutase |</t>
  </si>
  <si>
    <t>sp|Q5I0D6|NOSTN_RAT</t>
  </si>
  <si>
    <t>nitric oxide synthase trafficker - Rattus norvegicus - molecular_function - DNA binding - cellular_component - nucleus - cytoplasm - plasma membrane - endocytosis - biological_process - cytoplasmic membrane-bounded vesicle - negative regulation of transcription, DNA-dependent</t>
  </si>
  <si>
    <t>SH3 3e-008| SH3 3e-008| SH3_1 4e-006| SH3_2 3e-004| PRK12764 | DUF1957 | Inhibitor_I24 | PLN02906 | Crl | Tas |</t>
  </si>
  <si>
    <t>Signal transduction mechanisms, Intracellular trafficking, secretion, and vesicular transport</t>
  </si>
  <si>
    <t>sp|P52273|TBA_BOMMO</t>
  </si>
  <si>
    <t>alpha-Tubulin at 84D - Drosophila melanogaster - GTP binding - microtubule - tubulin complex - structural constituent of cytoskeleton - microtubule-based process - protein polymerization - microtubule-based movement - GTPase activity - structural molecule activity - GTP catabolic process - cellular process - cytokinesis - lipid particle - protein binding</t>
  </si>
  <si>
    <t>GTP binding||guanyl ribonucleotide binding||purine ribonucleotide binding||purine nucleotide binding||nucleotide binding||binding</t>
  </si>
  <si>
    <t>alpha_tubulin 2e-084| PLN00221 7e-084| PTZ00335 7e-084| COG5023 9e-053| Tubulin 1e-035| Tubulin_C 2e-033| beta_tubulin 2e-021| PLN00220 2e-020| PTZ00010 1e-019| epsilon_tubulin 2e-017|</t>
  </si>
  <si>
    <t>Triabin 4e-015| RHO_alpha_C_1 0.062| PRK10750 | Lipocalin | PRK13824 | Syndecan | PRK02999 | Tweety_N | nagB | PRK11014 |</t>
  </si>
  <si>
    <t>Triabin 7e-014| RHO_alpha_C_1 0.098| PRK10750 | Laminin_N | PLN02693 | Lipocalin | Syndecan | PRK11014 | DUF3289 | RgfB-like |</t>
  </si>
  <si>
    <t>Triabin 8e-014| RHO_alpha_C_1 | PRK10750 | PRK06690 | Laminin_N | PRK14279 | Syndecan | Lipocalin | PRK11014 | DUF3289 |</t>
  </si>
  <si>
    <t>sp|Q6PQK2|NP7_RHOPR</t>
  </si>
  <si>
    <t>Rhodnius prolixus</t>
  </si>
  <si>
    <t>Triabin 2e-014| AvrB_AvrC | Pox_E2-like | ATPase-IIIB_Mg | Med24_N | DUF1849 | rpa1 | GH16_laminarinase_like | Nitrophorin | PHA02695 |</t>
  </si>
  <si>
    <t>Bacteriovorax marinus SJ</t>
  </si>
  <si>
    <t>sp|Q60301|Y3402_METJA</t>
  </si>
  <si>
    <t>Methanocaldococcus jannaschii (strain ATCC 43067 / DSM 2661 / JAL-1 / JCM 10045 / NBRC 100440)</t>
  </si>
  <si>
    <t>sp|Q9JI66|S4A4_RAT</t>
  </si>
  <si>
    <t>Chromatin structure and dynamics</t>
  </si>
  <si>
    <t>sp|P48601|PRS4_DROME</t>
  </si>
  <si>
    <t>Proteasome 26S subunit subunit 4 ATPase - Drosophila melanogaster - ubiquitin-dependent protein catabolic process - proteasome complex - ATPase activity - proteolysis - proteasome regulatory particle - proteasome regulatory particle, base subcomplex - endopeptidase activity - ATP binding - cytoplasm - protein catabolic process - cellular process - mitotic spindle elongation - cell proliferation - mitotic spindle organization - response to DNA damage stimulus</t>
  </si>
  <si>
    <t>PTZ00361 7e-011| RPT1 3e-005| PRK03992 7e-004| 26Sp45 0.010| CDC48 0.044| PTZ00454 0.058| SpoVK |</t>
  </si>
  <si>
    <t>Sulfolobus acidocaldarius DSM 639</t>
  </si>
  <si>
    <t>sp|B9EB26|CTAA_MACCJ</t>
  </si>
  <si>
    <t>Macrococcus caseolyticus (strain JCSC5402)</t>
  </si>
  <si>
    <t>Bacteroides sp. 3_1_19</t>
  </si>
  <si>
    <t>sp|Q9C0K1|S39A8_HUMAN</t>
  </si>
  <si>
    <t>sp|Q9BBN6|YCF1_LOTJA</t>
  </si>
  <si>
    <t>Lotus japonicus</t>
  </si>
  <si>
    <t>Cynopterus sphinx</t>
  </si>
  <si>
    <t>sp|P0C628|O5AC1_HUMAN</t>
  </si>
  <si>
    <t>Nomascus leucogenys</t>
  </si>
  <si>
    <t>sp|Q9UPM8|AP4E1_HUMAN</t>
  </si>
  <si>
    <t>PRK07207 | PTZ00425 |</t>
  </si>
  <si>
    <t>sp|Q98TR3|RENT1_TAKRU</t>
  </si>
  <si>
    <t>DGOK | RNAP_D |</t>
  </si>
  <si>
    <t>Signal transduction mechanisms, Chromatin structure and dynamics, Replication, recombination and repair, Cell cycle control, cell division, chromosome partitioning</t>
  </si>
  <si>
    <t>Bunostomum phlebotomum</t>
  </si>
  <si>
    <t>sp|Q9HDT7|YJ52_SCHPO</t>
  </si>
  <si>
    <t>PRK09970 | COG5371 |</t>
  </si>
  <si>
    <t>sp|Q5BKM6|MIDA_XENTR</t>
  </si>
  <si>
    <t>Uncharacterized protein - Sus scrofa - mitochondrion - enzyme binding - mitochondrial respiratory chain complex I assembly</t>
  </si>
  <si>
    <t>enzyme binding||protein binding||binding</t>
  </si>
  <si>
    <t>COG1565 | Glucan_synthase | cas_TM1811_Csm1 | PRK14844 |</t>
  </si>
  <si>
    <t>sp|P14130|RS14_DROME</t>
  </si>
  <si>
    <t>40S ribosomal protein S14a - Drosophila yakuba - molecular_function - cellular_component - biological_process</t>
  </si>
  <si>
    <t>PTZ00129 7e-047| rps11p 1e-041| arch_S11P 2e-033| Ribosomal_S11 2e-023| RpsK 8e-021| PRK05309 1e-010| bact_S11 3e-010| rps11 3e-007| DUF3110 | PTZ00090 |</t>
  </si>
  <si>
    <t>Triabin 2e-014| Lipocalin 0.068| PRK05270 | PRK15390 | RgfB-like |</t>
  </si>
  <si>
    <t>Papilio xuthus</t>
  </si>
  <si>
    <t>sp|O16797|RL3_DROME</t>
  </si>
  <si>
    <t>Ribosomal protein L3 - Drosophila melanogaster - cytosolic large ribosomal subunit - structural constituent of ribosome - translation - cytosolic ribosome - mitotic spindle elongation - mitotic spindle organization</t>
  </si>
  <si>
    <t>PTZ00103 e-129| rpl3p 7e-051| Ribosomal_L3 8e-049| L3_arch 1e-047| RplC 4e-029| L3_bact 0.002| rplC 0.002| rpl3 0.086| GD_AH_C | carB |</t>
  </si>
  <si>
    <t>sp|Q1HPK6|EF2_BOMMO</t>
  </si>
  <si>
    <t>Translation elongation factor 2 - Bombyx mori - molecular_function - cellular_component - biological_process</t>
  </si>
  <si>
    <t>PTZ00416 1e-046| PLN00116 3e-046| EF2 2e-033| PRK07560 1e-026| aEF-2 5e-018| GTP_translation_factor 1e-016| FusA 3e-016| GTP_EFTU 3e-016| LepA 9e-016| lepA 8e-015|</t>
  </si>
  <si>
    <t>Medicago truncatula</t>
  </si>
  <si>
    <t>sp|P32874|HFA1_YEAST</t>
  </si>
  <si>
    <t>VLCAD |</t>
  </si>
  <si>
    <t>Ixodes scapularis</t>
  </si>
  <si>
    <t>sp|Q9QYK7|RNF11_MOUSE</t>
  </si>
  <si>
    <t>SDP_N | PhnV | GH18_chitobiase |</t>
  </si>
  <si>
    <t>sp|Q6TAW2|SERP2_MOUSE</t>
  </si>
  <si>
    <t>Drosophila melanogaster - ribosome - endoplasmic reticulum - protein modification process</t>
  </si>
  <si>
    <t>RAMP4 1e-024| DUF2500 | ATPase_gene1 | glut_syn_euk |</t>
  </si>
  <si>
    <t>sp|Q24117|DYL1_DROME</t>
  </si>
  <si>
    <t>cut up - Drosophila melanogaster - cytoskeleton - cytoplasmic dynein complex - microtubule motor activity - microtubule-based movement - dynein complex - ATPase activity, coupled - microtubule-based process - imaginal disc-derived wing morphogenesis - spermatogenesis - bristle morphogenesis - sperm individualization - spermatid nucleus elongation - actin filament bundle assembly - protein binding - dynein intermediate chain binding - protein homodimerization activity - autophagy - salivary gland cell autophagic cell death</t>
  </si>
  <si>
    <t>PTZ00059 9e-049| Dynein_light 1e-043| PLN03058 2e-016| sdhA | SpoIIIAH | Viral_DNA_bp | PLN02959 | DUF1852 | PRK07682 | ATP-sulfurylase |</t>
  </si>
  <si>
    <t>sp|Q77373|POL_HV1AN</t>
  </si>
  <si>
    <t>Human immunodeficiency virus type 1 group O (isolate ANT70)</t>
  </si>
  <si>
    <t>Rnase_HI_RT_non_LTR 5e-011| RNase_H 5e-006| RnhA 0.006| RNase_HI_eukaryote_like 0.007| RNase_HI_prokaryote_like 0.007| RNase_HI_bacteria_HBD 0.023| rnhA 0.097| PRK08719 0.099| DUF521 | bioB |</t>
  </si>
  <si>
    <t>Hister sp. APV-2005</t>
  </si>
  <si>
    <t>sp|Q9NB33|RL44_AEDTR</t>
  </si>
  <si>
    <t>Aedes triseriatus</t>
  </si>
  <si>
    <t>Ribosomal protein L36A - Drosophila melanogaster - cytosolic large ribosomal subunit - structural constituent of ribosome - translation - mitotic spindle organization - mitotic spindle elongation</t>
  </si>
  <si>
    <t>PTZ00157 8e-023| Ribosomal_L44 2e-020| RPL42A 1e-015| rpl44e 7e-013| PHA03235 | rpoB | PRK06298 | Baculo_ME53 |</t>
  </si>
  <si>
    <t>sp|Q962T2|RL28_SPOFR</t>
  </si>
  <si>
    <t>Ribosomal protein L28 - Drosophila melanogaster - translation - cytosolic large ribosomal subunit - structural constituent of ribosome - mitotic spindle organization - mitotic spindle elongation</t>
  </si>
  <si>
    <t>Ribosomal_L28e 3e-021| PTZ00197 0.075| PLN03144 | PLN00156 | PBP2_IciA_ArgP | STKc_MEKK1 | M1_APN_1 | Ntn_CGH | salvage_mtnA | SEC6 |</t>
  </si>
  <si>
    <t>sp|Q6GPQ6|EDF1_XENLA</t>
  </si>
  <si>
    <t>Endothelial differentiation-related factor 1 homolog - Gallus gallus - transcription coactivator activity - nucleus - transcription factor TFIID complex - nucleolus - cytoplasm - regulation of transcription, DNA-dependent - positive regulation of DNA binding - sequence-specific DNA binding</t>
  </si>
  <si>
    <t>transcription coactivator activity||transcription cofactor activity||transcription factor binding||protein binding||binding</t>
  </si>
  <si>
    <t>MBF1 2e-019| COG1813 5e-010| HTH_XRE 8e-007| HTH_3 1e-006| HTH_XRE 3e-005| TIGR00270 2e-004| COG1709 0.032| HipB | GH18_CFLE_spore_hydrolase | PRK06424 |</t>
  </si>
  <si>
    <t>Triabin 2e-020| Nitrophorin 0.001| MutL | PRK12767 | PLN02372 | Lipocalin | restrict_Alw26I | Bromo_polybromo_IV | major_cap_HK97 |</t>
  </si>
  <si>
    <t>sp|P61255|RL26_MOUSE</t>
  </si>
  <si>
    <t>Ribosomal protein L26 - Drosophila melanogaster - cytosolic large ribosomal subunit - structural constituent of ribosome - translation - mitotic spindle elongation - mitotic spindle organization</t>
  </si>
  <si>
    <t>PTZ00194 6e-044| rplX_A_E 2e-032| rpl24p 9e-027| RplX 5e-004| rplX 0.020| KOW 0.023| rplX_bact | rpl24 | KOW | S_layer_rel_Mac |</t>
  </si>
  <si>
    <t>sp|P15357|RS27A_DROME</t>
  </si>
  <si>
    <t>Uncharacterized protein - Sus scrofa - structural constituent of ribosome - intracellular - ribosome - translation</t>
  </si>
  <si>
    <t>Ubiquitin 1e-038| ubiquitin 2e-024| Nedd8 1e-022| UBL 2e-021| Ribosomal_S27 2e-020| UBQ 3e-019| PTZ00044 4e-019| AN1_N 4e-016| Rad60-SLD 2e-015| Fubi 3e-013|</t>
  </si>
  <si>
    <t>Triabin 7e-011| DUF3491 | Nitrophorin | MGT | PHA03231 | ATE_C | Lipocalin |</t>
  </si>
  <si>
    <t>Triabin 9e-009| PHA00729 | Lipocalin | PRK04250 | trehalose_TreY | Nitrophorin | PRK12507 | DUF3491 | GH25_BacA-like | deoxycytidylate_deaminase |</t>
  </si>
  <si>
    <t>Triabin 1e-013| NDP-sugDHase | Lipocalin | PRK14990 | PH_oxysterol_bp | PRK07318 | RHO_alpha_C_1 | RgfB-like |</t>
  </si>
  <si>
    <t>Triabin 2e-015| RHO_alpha_C_1 0.066| Syndecan | Lipocalin | PRK10750 | PRK14990 | PRK13824 | PRK03699 | STKc_ROCK1 | chap_CCT_zeta |</t>
  </si>
  <si>
    <t>Triabin 2e-014| Lipocalin 0.083| PRK05270 | PRK15390 | RgfB-like |</t>
  </si>
  <si>
    <t>Triabin 1e-014| Lipocalin 0.069| NDP-sugDHase | PRK14990 | PH_oxysterol_bp | PRK05270 | FNR_iron_sulfur_binding | PRK07318 | RHO_alpha_C_1 | RgfB-like |</t>
  </si>
  <si>
    <t>Triabin 2e-014| Lipocalin 0.077| PRK05270 | PRK15390 | RgfB-like |</t>
  </si>
  <si>
    <t>Triabin 9e-015| Lipocalin 0.069| NDP-sugDHase | PRK14990 | PRK05270 | PH_oxysterol_bp | PRK07318 | RHO_alpha_C_1 | RgfB-like | Tweety_N |</t>
  </si>
  <si>
    <t>Triabin 2e-016| RHO_alpha_C_1 0.080| Lipocalin | Syndecan | PRK10750 | PRK14990 | PRK03699 | PRK05270 | chap_CCT_zeta | STKc_ROCK1 |</t>
  </si>
  <si>
    <t>Triabin 1e-014| Lipocalin 0.060| NDP-sugDHase | PH_oxysterol_bp | PRK05270 | RgfB-like | PRK14990 | PRK07318 | FNR_iron_sulfur_binding | Syndecan |</t>
  </si>
  <si>
    <t>Triabin 4e-013| NDP-sugDHase | sit | Lipocalin | PHA03007 | PRK05270 | RgfB-like | PrpD | MmgE_PrpD |</t>
  </si>
  <si>
    <t>Triabin 2e-013| Lipocalin | PRK05270 | HsdR | RgfB-like | PRK09191 |</t>
  </si>
  <si>
    <t>Triabin 1e-014| Lipocalin 0.045| PRK05934 | PRK05270 | PRK15390 | RgfB-like |</t>
  </si>
  <si>
    <t>sp|P55935|RS9_DROME</t>
  </si>
  <si>
    <t>Ribosomal protein S9 - Drosophila melanogaster - cytosolic small ribosomal subunit - translation - structural constituent of ribosome - ribosome - rRNA binding - mitotic spindle organization - mitotic spindle elongation</t>
  </si>
  <si>
    <t>PTZ00155 4e-082| PLN00189 3e-078| rpsD_arch 8e-059| rps4p 4e-042| RpsD 1e-022| Ribosomal_S4 2e-018| rpsD 5e-008| S4 8e-008| rps4 8e-008| rpsD_bact 6e-007|</t>
  </si>
  <si>
    <t>Triabin 1e-015| Nitrophorin 0.040| DUF198 | Sina | Lipocalin | narG | DUF2165 | PRK14408 |</t>
  </si>
  <si>
    <t>Nitrophorin-7 - Rhodnius prolixus - extracellular region - nitric oxide homeostasis - response to histamine - positive regulation of vasodilation - negative regulation of coagulation - histamine binding - nitric oxide binding - platelet aggregation</t>
  </si>
  <si>
    <t>histamine binding||amine binding||binding</t>
  </si>
  <si>
    <t>amine binding</t>
  </si>
  <si>
    <t>Triabin 1e-019| Nitrophorin | AvrB_AvrC | PRK03762 | rpa1 | DUF2750 | Lipocalin | RGS_RGS17 | PRK11855 | F-actin_cap_A |</t>
  </si>
  <si>
    <t>sp|P00851|ATP6_DROYA</t>
  </si>
  <si>
    <t>mitochondrial ATPase subunit 6 - Drosophila melanogaster - mitochondrion - hydrogen-exporting ATPase activity, phosphorylative mechanism - mitochondrial proton-transporting ATP synthase complex, coupling factor F(o) - ATP synthesis coupled proton transport - proton-transporting ATP synthase complex, coupling factor F(o) - neuron homeostasis - muscle cell homeostasis - mitochondrial ATP synthesis coupled proton transport - locomotion - hydrogen ion transporting ATP synthase activity, rotational mechanism - determination of adult lifespan - neurological system process - regulation of ATPase activity</t>
  </si>
  <si>
    <t>ATP6 3e-071| ATP_synt_6_or_A 1e-038| ATP6 1e-036| ATP-synt_A 4e-033| ATP6 1e-032| ATP6 1e-031| ATP6 2e-029| ATP6 3e-029| ATP6 5e-028| ATP6 1e-027|</t>
  </si>
  <si>
    <t>sp|Q2TBL9|TPPC4_BOVIN</t>
  </si>
  <si>
    <t>Drosophila melanogaster - TRAPP complex - vesicle-mediated transport - ER to Golgi vesicle-mediated transport - cis-Golgi network</t>
  </si>
  <si>
    <t>Sybindin 1e-040| TRS23 5e-023| Sedlin_N 1e-005| oorB | PDZ_CTP_protease | PDZ | PDZ | TRS20 | PRK05808 | hydrog_prot |</t>
  </si>
  <si>
    <t>sp|Q1HR36|1433Z_AEDAE</t>
  </si>
  <si>
    <t>14-3-3zeta - Drosophila melanogaster - Ras protein signal transduction - activation of tryptophan 5-monooxygenase activity - protein kinase C inhibitor activity - tryptophan hydroxylase activator activity - protein binding - compound eye photoreceptor cell differentiation - cell proliferation - olfactory learning - chromosome segregation - mitotic cell cycle, embryonic - nucleus - learning or memory - oocyte microtubule cytoskeleton polarization - germline ring canal - germarium-derived oocyte fate determination - protein domain specific binding - protein stabilization - protein folding - microtubule associated complex - protein homodimerization activity - protein heterodimerization activity</t>
  </si>
  <si>
    <t>protein kinase C inhibitor activity||protein serine/threonine kinase inhibitor activity||protein kinase inhibitor activity||protein kinase regulator activity||kinase regulator activity||enzyme regulator activity</t>
  </si>
  <si>
    <t>kinase regulator activity</t>
  </si>
  <si>
    <t>14-3-3 e-108| 14_3_3 1e-083| BMH1 2e-080| PRK06407 | cysJ | DHQS | NurA | YCCS_YHJK | CC3_like_SDR_a | PRK09181 |</t>
  </si>
  <si>
    <t>sp|Q8MJY8|PGDH_MACFA</t>
  </si>
  <si>
    <t>ADH_SDR_c_like 3e-047| SDR_c 5e-039| FabG 8e-032| fabG 4e-031| fabG 1e-030| fabG 6e-030| secoisolariciresinol-DH_like_SDR_c 1e-029| 3beta-17beta-HSD_like_SDR_c 2e-029| DltE 3e-029| COG4221 5e-029|</t>
  </si>
  <si>
    <t>Anolis carolinensis</t>
  </si>
  <si>
    <t>sp|P99026|PSB4_MOUSE</t>
  </si>
  <si>
    <t>Proteasome subunit beta type - Canis lupus familiaris - threonine-type endopeptidase activity - nucleus - cytoplasm - proteasome core complex - peptidase activity - proteolysis involved in cellular protein catabolic process</t>
  </si>
  <si>
    <t>proteasome_beta_type_4 4e-067| proteasome_beta 9e-035| proteasome_protease_HslV 5e-027| PRE1 6e-023| Proteasome 3e-019| proteasome_beta_archeal 4e-015| Ntn_hydrolase 5e-015| arc_protsome_B 1e-013| proteasome_beta_type_6 3e-009| proteasome_beta_type_1 3e-008|</t>
  </si>
  <si>
    <t>sp|Q8VCC1|PGDH_MOUSE</t>
  </si>
  <si>
    <t>ADH_SDR_c_like 1e-051| SDR_c 1e-042| fabG 2e-034| FabG 6e-034| fabG 1e-032| secoisolariciresinol-DH_like_SDR_c 4e-031| fabG 4e-031| COG4221 5e-031| 3beta-17beta-HSD_like_SDR_c 2e-030| DltE 2e-029|</t>
  </si>
  <si>
    <t>Eubacterium eligens ATCC 27750</t>
  </si>
  <si>
    <t>sp|Q61151|2A5E_MOUSE</t>
  </si>
  <si>
    <t>PRK10711 | Herpes_UL6 | PLN02748 |</t>
  </si>
  <si>
    <t>sp|Q05FH8|RPOB_CARRP</t>
  </si>
  <si>
    <t>PLN00162 | 7TM_GPCR_Srt |</t>
  </si>
  <si>
    <t>sp|Q55FI4|NOP58_DICDI</t>
  </si>
  <si>
    <t>hypothetical protein LOC100363336 - Rattus norvegicus - nucleosome - DNA binding - nucleosome assembly</t>
  </si>
  <si>
    <t>Bap31 | PRK11192 | PRK12704 |</t>
  </si>
  <si>
    <t>Fusobacterium sp. 2_1_31</t>
  </si>
  <si>
    <t>sp|Q8WWZ4|ABCAA_HUMAN</t>
  </si>
  <si>
    <t>PTS-IIBC-Tre | 2a38euk |</t>
  </si>
  <si>
    <t>Caenorhabditis remanei</t>
  </si>
  <si>
    <t>sp|E7R7R2|KEX1_PICAD</t>
  </si>
  <si>
    <t>Pichia angusta (strain ATCC 26012 / NRRL Y-7560 / DL-1)</t>
  </si>
  <si>
    <t>FTR1 | Fe-ADH3 | degP_htrA_DO | Herpes_UL47 | PHA03195 | ycf46 | PHA03308 |</t>
  </si>
  <si>
    <t>RNA processing and modification, General function prediction only</t>
  </si>
  <si>
    <t>sp|P29240|5NTD_DISOM</t>
  </si>
  <si>
    <t>Discopyge ommata</t>
  </si>
  <si>
    <t>5_nucleotid_C 0.076| ushA | deacetyl_PgaB | PRK09419 | DEAH_box_HrpA | UshA | PRK11131 | pyrG | Arabinose_Iso_C | hmsF |</t>
  </si>
  <si>
    <t>sp|Q03277|PO11_SCICO</t>
  </si>
  <si>
    <t>Sciara coprophila</t>
  </si>
  <si>
    <t>PLN02740 | PHA03259 | M14_Nna1_like_2 | RNase_P_pop3 | TIP49 | ScNTA1_like | Anticodon_Ia_Arg | TIP49 | ycf1 |</t>
  </si>
  <si>
    <t>Ectocarpus siliculosus</t>
  </si>
  <si>
    <t>sp|P38060|HMGCL_MOUSE</t>
  </si>
  <si>
    <t>3-hydroxymethyl-3-methylglutaryl-Coenzyme A lyase - Rattus norvegicus - fatty-acyl-CoA binding - liver development - hydroxymethylglutaryl-CoA lyase activity - mitochondrion - mitochondrial inner membrane - mitochondrial matrix - acyl-CoA metabolic process - mitochondrion organization - response to nutrient - embryo development - lyase activity - carboxylic acid binding - response to starvation - metal ion binding - ketone body biosynthetic process - response to fatty acid</t>
  </si>
  <si>
    <t>carboxylic acid binding</t>
  </si>
  <si>
    <t>PLN02746 9e-045| DRE_TIM_HMGL 9e-043| PRK05692 5e-040| DRE_TIM_metallolyase 6e-027| LeuA 3e-017| HMGL-like 4e-013| 4OH_2_O_val_ald 1e-010| DRE_TIM_HOA 1e-009| PRK08195 3e-009| DRE_TIM_PC_TC_5S 2e-007|</t>
  </si>
  <si>
    <t>Energy production and conversion, Amino acid transport and metabolism</t>
  </si>
  <si>
    <t>FRQ1 4e-007| PTZ00184 7e-006| EFh 9e-006| PTZ00183 | PRK09350 | efhand_3 | PHA03374 | 2A067 | EH | Orbi_VP5 |</t>
  </si>
  <si>
    <t>sp|Q1HRS5|ATP6_AEDAE</t>
  </si>
  <si>
    <t>ATP6 7e-013| ATP_synt_6_or_A 3e-006| ATP6 3e-006| ATP6 5e-006| ATP6 5e-005| PRK05815 2e-004| ATP-synt_A 7e-004| ATP6 7e-004| ATP6 0.001| ATP6 0.002|</t>
  </si>
  <si>
    <t>Euphydryas aurinia</t>
  </si>
  <si>
    <t>Ribosomal_S7e |</t>
  </si>
  <si>
    <t>PTZ00328 0.078|</t>
  </si>
  <si>
    <t>sp|Q7Q0U1|RL38_ANOGA</t>
  </si>
  <si>
    <t>Ribosomal_L38e 0.049|</t>
  </si>
  <si>
    <t>sp|Q9U5N0|VATH_MANSE</t>
  </si>
  <si>
    <t>sp|Q96PH1|NOX5_HUMAN</t>
  </si>
  <si>
    <t>Litopenaeus vannamei</t>
  </si>
  <si>
    <t>sp|Q8STF0|CALM_STRIE</t>
  </si>
  <si>
    <t>Strongylocentrotus intermedius</t>
  </si>
  <si>
    <t>Calmodulin - Drosophila melanogaster - rhabdomere - cytoplasm - rhodopsin mediated signaling pathway - protein phosphorylation - regulation of light-activated channel activity - metarhodopsin inactivation - detection of calcium ion - deactivation of rhodopsin mediated signaling - adaptation of rhodopsin mediated signaling - calcium ion binding - myosin heavy chain binding - myosin VI complex - myosin VI head/neck binding - mitotic spindle organization - spindle pole - positive regulation of NFAT protein import into nucleus - kinetochore organization - microtubule associated complex - centriole replication - calmodulin binding</t>
  </si>
  <si>
    <t>PTZ00184 1e-010| PTZ00183 3e-005| FRQ1 3e-004| EFh 5e-004| EFh 5e-004| efhand 0.002| S-100 0.065| PLN02964 | EH | efhand_3 |</t>
  </si>
  <si>
    <t>sp|O08550|MLL4_MOUSE</t>
  </si>
  <si>
    <t>Achromobacter xylosoxidans A8</t>
  </si>
  <si>
    <t>sp|Q6C5K4|SDS23_YARLI</t>
  </si>
  <si>
    <t>Yarrowia lipolytica (strain CLIB 122 / E 150)</t>
  </si>
  <si>
    <t>Clostridium novyi NT</t>
  </si>
  <si>
    <t>sp|Q6IQX7|CHSS2_MOUSE</t>
  </si>
  <si>
    <t>DUF1836 |</t>
  </si>
  <si>
    <t>sp|Q9W334|RS28_DROME</t>
  </si>
  <si>
    <t>Ribosomal protein S28b - Drosophila melanogaster - cytosolic small ribosomal subunit - structural constituent of ribosome - translation - lipid particle</t>
  </si>
  <si>
    <t>S1_S28E 8e-013| PTZ00085 2e-012| Ribosomal_S28e 6e-012| rps28e 3e-007| RPS28A 4e-007| cyt_deam_tetra | Cdd | PRK12411 | IDH | COG3263 |</t>
  </si>
  <si>
    <t>Haloquadratum walsbyi C23</t>
  </si>
  <si>
    <t>sp|A0M284|HIS4_GRAFK</t>
  </si>
  <si>
    <t>Gramella forsetii (strain KT0803)</t>
  </si>
  <si>
    <t>PRK06066 |</t>
  </si>
  <si>
    <t>Hyphomonas neptunium ATCC 15444</t>
  </si>
  <si>
    <t>sp|P39143|GUTR_BACSU</t>
  </si>
  <si>
    <t>HypE |</t>
  </si>
  <si>
    <t>sp|Q962T1|RL32_SPOFR</t>
  </si>
  <si>
    <t>Ribosomal protein L32 - Drosophila melanogaster - translation - structural constituent of ribosome - cytosolic large ribosomal subunit - ribosome - mitotic spindle organization - mitotic spindle elongation</t>
  </si>
  <si>
    <t>PTZ00159 3e-017| Ribosomal_L32e 1e-011| Ribosomal_L32_L32e 5e-010| RPL32 6e-004| rpl32e 0.086| PHA03311 | DUF3422 | PRK04031 | TT_ORF1 |</t>
  </si>
  <si>
    <t>sp|O35889|AFAD_RAT</t>
  </si>
  <si>
    <t>sp|B2UR52|ILVD_AKKM8</t>
  </si>
  <si>
    <t>Akkermansia muciniphila (strain ATCC BAA-835)</t>
  </si>
  <si>
    <t>PRK05035 | TIGR00052 | liver_ADH_like1 |</t>
  </si>
  <si>
    <t>sp|P29314|RS9_RAT</t>
  </si>
  <si>
    <t>ribosomal protein S9 - Rattus norvegicus - molecular_function - structural constituent of ribosome - intracellular - nucleolus - cytoplasm - cytosol - translation - translational elongation - regulation of translation - biological_process - positive regulation of cell proliferation - rRNA binding - cytosolic small ribosomal subunit - ribonucleoprotein complex - translation regulator activity</t>
  </si>
  <si>
    <t>PLN00189 3e-015| PTZ00155 1e-013| rpsD_arch 6e-005| RpsD | glgA | Oxysterol_BP |</t>
  </si>
  <si>
    <t>Babesia bovis</t>
  </si>
  <si>
    <t>sp|A1L0Z0|MED1_XENTR</t>
  </si>
  <si>
    <t>sp|P82711|C6A19_DROME</t>
  </si>
  <si>
    <t>Cyp6a19 - Drosophila melanogaster - microsome - electron carrier activity - membrane - oxidation-reduction process - monooxygenase activity - heme binding - oxidoreductase activity, acting on paired donors, with incorporation or reduction of molecular oxygen</t>
  </si>
  <si>
    <t>p450 3e-006| PTZ00404 0.007| PLN02290 0.096| CypX | PLN02738 | PLN02302 | PLN02500 | PLN02936 | DUF2341 | PLN02169 |</t>
  </si>
  <si>
    <t>sp|Q90257|ES1_DANRE</t>
  </si>
  <si>
    <t>es1 protein - Danio rerio - mitochondrion</t>
  </si>
  <si>
    <t>GATase1_ES1 8e-008| PRK11780 9e-005| MauG | ElbB | PRK14701 | cdh | ABC_sub_bind | YagB_YeeU_YfjZ | xseA |</t>
  </si>
  <si>
    <t>Acetobacter tropicalis NBRC 101654</t>
  </si>
  <si>
    <t>sp|Q8BLV3|SL9A7_MOUSE</t>
  </si>
  <si>
    <t>COG5395 | PRK05339 | DUF299 |</t>
  </si>
  <si>
    <t>sp|P49963|SRP19_DROME</t>
  </si>
  <si>
    <t>Signal recognition particle protein 19 - Drosophila melanogaster - SRP-dependent cotranslational protein targeting to membrane - signal recognition particle, endoplasmic reticulum targeting - 7S RNA binding</t>
  </si>
  <si>
    <t>7S RNA binding||RNA binding||nucleic acid binding||binding</t>
  </si>
  <si>
    <t>SRP19 1e-004| PTZ00303 0.065| COG4907 0.075| III | Rot1 | PTZ00146 | PLN03138 | API5 | Phage_hub_GP28 | Ebp2 |</t>
  </si>
  <si>
    <t>sp|P09750|SHU6_ECOLX</t>
  </si>
  <si>
    <t>Escherichia coli</t>
  </si>
  <si>
    <t>PBP2_NikA | PTZ00092 | rplB |</t>
  </si>
  <si>
    <t>Chromatin structure and dynamics, Transcription</t>
  </si>
  <si>
    <t>sp|P08570|RLA1_DROME</t>
  </si>
  <si>
    <t>Ribosomal protein LP1 - Drosophila melanogaster - cytosolic large ribosomal subunit - structural constituent of ribosome - translation - translational elongation - lipid particle</t>
  </si>
  <si>
    <t>Ribosomal_P1 4e-016| Ribosomal_P2 1e-008| Ribosomal_60s 3e-008| Ribosomal_P1_P2_L12p 3e-007| RPP1A 3e-006| PTZ00135 1e-005| PLN00138 2e-005| PTZ00373 3e-005| rpl12p 0.004| PRK06214 0.032|</t>
  </si>
  <si>
    <t>Arthroderma benhamiae CBS 112371</t>
  </si>
  <si>
    <t>sp|Q86YZ3|HORN_HUMAN</t>
  </si>
  <si>
    <t>PHA03368 | Nodulin-21_like_2 | HpcH | Herpes_LMP2 | PRK10128 |</t>
  </si>
  <si>
    <t>sp|Q5M8N4|D39U1_MOUSE</t>
  </si>
  <si>
    <t>Drosophila melanogaster - catalytic activity - cellular metabolic process - coenzyme binding</t>
  </si>
  <si>
    <t>SDR_a8 4e-019| yfcH 6e-016| COG1090 2e-014| DUF1731 9e-009| PRK07586 | M14_ASTE_ASPA_like_5 | xylanase_inhibitor_I_like | DUF2100 | PLN02405 | PRK07053 |</t>
  </si>
  <si>
    <t>Triabin 8e-005| Lipocalin | PRK13341 | PTZ00110 |</t>
  </si>
  <si>
    <t>Triabin 1e-006| rpa1 | AvrB_AvrC | PRK00180 | PHA02695 | PRK14515 | ruvB | RuvB_N | RGS_RGS17 | Acyl_ACP_Desat |</t>
  </si>
  <si>
    <t>sp|Q8BMB3|IF4E2_MOUSE</t>
  </si>
  <si>
    <t>Uncharacterized protein - Homo sapiens - RNA binding - translation initiation factor activity - cytoplasm</t>
  </si>
  <si>
    <t>IF4E 4e-025| CDC33 5e-005| PRK09169 | PTZ00249 | PRK15026 | ThiW | glyS_dimeric | TROVE | GRS1 | putA |</t>
  </si>
  <si>
    <t>SCP_PRY1_like 5e-011| SCP 5e-011| SCP_GAPR-1_like 2e-010| SCP_euk 5e-010| SCP_PR-1_like 1e-008| SCP_GLIPR-1_like 4e-008| SCP 2e-007| SCP_HrTT-1 2e-007| SCP_CRISP 4e-007| CAP 4e-007|</t>
  </si>
  <si>
    <t>sp|Q2U0E0|PPID_ASPOR</t>
  </si>
  <si>
    <t>Aspergillus oryzae (strain ATCC 42149 / RIB 40)</t>
  </si>
  <si>
    <t>cysS | PLN02981 | HypE | PRK01077 | CobB | LPO | V_HD-PTP_like | PurL_repeat1 | W2 | BicD |</t>
  </si>
  <si>
    <t>Transcription, General function prediction only, Signal transduction mechanisms</t>
  </si>
  <si>
    <t>sp|P80029|CRC1_HOMGA</t>
  </si>
  <si>
    <t>Triabin 0.007| FliH_bacil | ARV1 | DUF3764 | GT2_GlmU_N_bac | Lipocalin | PRK12416 | GDPD_Rv2277c_like | PRK15198 |</t>
  </si>
  <si>
    <t>sp|Q9ES34|UBE3B_MOUSE</t>
  </si>
  <si>
    <t>Drosophila melanogaster - ubiquitin-protein ligase activity - protein modification process - intracellular</t>
  </si>
  <si>
    <t>HECTc 2e-024| HECTc 8e-022| HECT 6e-021| HUL4 6e-017| DUF2306 | PRK07051 | MOZ_SAS | PRK15249 |</t>
  </si>
  <si>
    <t>Ribosomal_L31e 8e-033| PTZ00193 2e-019| RPL31A 9e-015| PRK01192 1e-010| DUF3267 | PRK05283 | PRK14153 | purC | Peptidase_M14-like_5 | GH31_xylosidase_YicI |</t>
  </si>
  <si>
    <t>sp|Q9V5M6|LOLA5_DROME</t>
  </si>
  <si>
    <t>LanC_like | PTZ00287 | PLN02758 | AAA-ATPase_like |</t>
  </si>
  <si>
    <t>sp|Q4GXU6|RS4_CARGR</t>
  </si>
  <si>
    <t>Carabus granulatus</t>
  </si>
  <si>
    <t>Ribosomal protein S4 - Drosophila melanogaster - cytosolic small ribosomal subunit - structural constituent of ribosome - translation - ribosome - RNA binding - lipid particle - mitotic spindle elongation - mitotic spindle organization</t>
  </si>
  <si>
    <t>PLN00036 2e-053| PTZ00118 7e-041| PTZ00223 2e-033| RPS4A 2e-026| PRK04313 9e-016| Ribosomal_S4e 2e-009| GH64-GluB-like | KOW | rfaE_dom_II | RdRP_2 |</t>
  </si>
  <si>
    <t>sp|Q5F3G6|P20L1_CHICK</t>
  </si>
  <si>
    <t>Triabin 1e-016| gcw_chp | flgA | PTZ00290 | PCI_Csn8 |</t>
  </si>
  <si>
    <t>sp|P17336|CATA_DROME</t>
  </si>
  <si>
    <t>Catalase - Drosophila melanogaster - catalase activity - response to hydrogen peroxide - peroxisome - calcium-dependent cell-cell adhesion - plasma membrane - response to oxidative stress - heme binding - determination of adult lifespan - antioxidant activity - aging - oxidation-reduction process</t>
  </si>
  <si>
    <t>catalase_clade_3 7e-060| catalase_fungal 2e-047| Catalase 3e-045| catalase_clade_1 7e-042| KatE 2e-041| catalase 2e-039| PLN02609 4e-037| catalase_clade_2 1e-029| katE 2e-028| catalase_like 2e-005|</t>
  </si>
  <si>
    <t>sp|O46036|CTBP_DROME</t>
  </si>
  <si>
    <t>C-terminal Binding Protein - Drosophila melanogaster - embryonic development via the syncytial blastoderm - protein binding - protein C-terminus binding - transcription corepressor activity - nucleus - negative regulation of transcription from RNA polymerase II promoter - oxidation-reduction process - oxidoreductase activity, acting on the CH-OH group of donors, NAD or NADP as acceptor - NAD binding - transcription coactivator activity - Wnt receptor signaling pathway - transcription factor binding - bristle development - regulation of transcription from RNA polymerase II promoter - wing disc development - protein homodimerization activity - regulation of transcription, DNA-dependent - regulation of Wnt receptor signaling pathway</t>
  </si>
  <si>
    <t>2-Hacid_dh 3e-007| SerA 0.002| LdhA 0.033| PRK12438 0.038| DUF3292 0.053| PRK06932 0.085| PRK03427 | PRK07994 | PAT1 | PRK07764 |</t>
  </si>
  <si>
    <t>Triabin 2e-014| Lipocalin 0.040| NDP-sugDHase | PRK05270 | PRK14990 | PH_oxysterol_bp | PRK07318 | PRK15390 | RgfB-like | RHO_alpha_C_1 |</t>
  </si>
  <si>
    <t>sp|B2MVK7|VA5_RHYBR</t>
  </si>
  <si>
    <t>Rhynchium brunneum</t>
  </si>
  <si>
    <t>SCP 9e-023| SCP_euk 1e-021| SCP_PRY1_like 4e-016| SCP_GAPR-1_like 3e-015| SCP_GLIPR-1_like 2e-014| SCP_CRISP 2e-014| SCP_PR-1_like 6e-014| SCP_HrTT-1 2e-013| SCP 3e-013| CAP 2e-012|</t>
  </si>
  <si>
    <t>sp|P10736|VA52_DOLMA</t>
  </si>
  <si>
    <t>Dolichovespula maculata</t>
  </si>
  <si>
    <t>SCP 3e-023| SCP_euk 4e-022| SCP_PRY1_like 8e-017| SCP_GAPR-1_like 7e-016| SCP_GLIPR-1_like 3e-015| SCP_CRISP 6e-015| SCP_HrTT-1 4e-014| SCP_PR-1_like 1e-013| SCP 8e-013| CAP 9e-013|</t>
  </si>
  <si>
    <t>SCP 1e-023| SCP_euk 5e-023| SCP_HrTT-1 2e-016| SCP_CRISP 2e-015| SCP_PRY1_like 6e-015| SCP_GLIPR-1_like 6e-015| SCP_GAPR-1_like 7e-015| SCP 6e-014| SCP_PR-1_like 2e-013| CAP 1e-012|</t>
  </si>
  <si>
    <t>sp|Q962S4|RL39_SPOFR</t>
  </si>
  <si>
    <t>Caenorhabditis elegans - structural constituent of ribosome - intracellular - ribosome - translation - positive regulation of growth rate - reproduction - embryo development ending in birth or egg hatching - growth - nematode larval development - positive regulation of multicellular organism growth</t>
  </si>
  <si>
    <t>Ribosomal_L39 2e-005| rpl39e 0.010| RPL39 0.052|</t>
  </si>
  <si>
    <t>Vitis vinifera</t>
  </si>
  <si>
    <t>sp|O29624|Y631_ARCFU</t>
  </si>
  <si>
    <t>Archaeoglobus fulgidus (strain ATCC 49558 / VC-16 / DSM 4304 / JCM 9628 / NBRC 100126)</t>
  </si>
  <si>
    <t>TerB | GATase1_CobB | PRK08197 | PAP2_containing_1_like |</t>
  </si>
  <si>
    <t>sp|P54962|BLG4_BLAGE</t>
  </si>
  <si>
    <t>Triabin 5e-010| nudC | PRK12372 | SH3BGR | NADH_pyrophosphatase | gcw_chp | PRK15029 |</t>
  </si>
  <si>
    <t>Triabin 4e-014| Lipocalin | Syndecan | RHO_alpha_C_1 | PRK05270 | Tweety_N | hisD | efp_adjacent_2 | PRK03881 |</t>
  </si>
  <si>
    <t>Triabin 6e-015| RHO_alpha_C_1 0.079| Syndecan | PRK10750 | Lipocalin | PRK13824 | Laminin_N | Tweety_N | PTZ00272 | DUF2691 |</t>
  </si>
  <si>
    <t>Drosophila willistoni</t>
  </si>
  <si>
    <t>sp|Q5R439|VIGLN_PONAB</t>
  </si>
  <si>
    <t>Dodeca-satellite-binding protein 1 - Drosophila melanogaster - polytene chromosome chromocenter - nucleus - heterochromatin - single-stranded DNA binding - satellite DNA binding - chromosome segregation - chromosome condensation - heterochromatin formation - lipid particle - mRNA 3'-UTR binding - positive regulation of translation - ribonucleoprotein complex</t>
  </si>
  <si>
    <t>vigilin_like_KH 2e-005| KH_1 0.001| KH 0.001| KH-I 0.008| DUF1676 | PRK11596 |</t>
  </si>
  <si>
    <t>Periplaneta americana</t>
  </si>
  <si>
    <t>sp|P41496|FABPM_SCHGR</t>
  </si>
  <si>
    <t>Schistocerca gregaria</t>
  </si>
  <si>
    <t>sp|Q6BVY9|TIM50_DEBHA</t>
  </si>
  <si>
    <t>Debaryomyces hansenii (strain ATCC 36239 / CBS 767 / JCM 1990 / NBRC 0083 / IGC 2968)</t>
  </si>
  <si>
    <t>PRK05632 |</t>
  </si>
  <si>
    <t>sp|Q94624|RS6_MANSE</t>
  </si>
  <si>
    <t>Ribosomal protein S6 - Drosophila melanogaster - translation - structural constituent of ribosome - cytosolic small ribosomal subunit - ribosome - immune response - lipid particle - mitotic spindle elongation - mitotic spindle organization</t>
  </si>
  <si>
    <t>PHA02697 | PRK09426 |</t>
  </si>
  <si>
    <t>ND6 5e-004| ND6 |</t>
  </si>
  <si>
    <t>Achromobacter piechaudii ATCC 43553</t>
  </si>
  <si>
    <t>sp|C1DCM3|THIE_LARHH</t>
  </si>
  <si>
    <t>Laribacter hongkongensis (strain HLHK9)</t>
  </si>
  <si>
    <t>CARM1 | Med23 |</t>
  </si>
  <si>
    <t>sp|P35122|UCHL_DROME</t>
  </si>
  <si>
    <t>Ubiquitin carboxy-terminal hydrolase - Drosophila melanogaster - protein deubiquitination - ubiquitin thiolesterase activity - ubiquitin-dependent protein catabolic process - microtubule associated complex</t>
  </si>
  <si>
    <t>Peptidase_C12_UCH_L1_L3 1e-014| Peptidase_C12 1e-008| Peptidase_C12_UCH37_BAP1 0.038| sucr_synth |</t>
  </si>
  <si>
    <t>sp|Q9VFE4|RS5B_DROME</t>
  </si>
  <si>
    <t>Ribosomal protein S5b - Drosophila melanogaster - cytosolic small ribosomal subunit - translation - structural constituent of ribosome - RNA binding - lipid particle - microtubule associated complex</t>
  </si>
  <si>
    <t>PTZ00091 2e-021| S7_S5_E_A 5e-018| PRK04027 4e-015| Ribosomal_S7 5e-010| RpsG 5e-007| PRK05302 1e-004| rps7 0.002| rpsG_bact 0.002|</t>
  </si>
  <si>
    <t>Gordonia bronchialis DSM 43247</t>
  </si>
  <si>
    <t>sp|Q9S793|FRS8_ARATH</t>
  </si>
  <si>
    <t>COG3957 | PRK10513 | uvrA | DUF1028 |</t>
  </si>
  <si>
    <t>sp|Q9R0E1|PLOD3_MOUSE</t>
  </si>
  <si>
    <t>PLN02521 0.035| PTZ00396 |</t>
  </si>
  <si>
    <t>sp|P48159|RL23_DROME</t>
  </si>
  <si>
    <t>Ribosomal protein L23 - Drosophila melanogaster - cytosolic large ribosomal subunit - translation - structural constituent of ribosome - ribosome - mitotic spindle organization - mitotic spindle elongation - protein binding</t>
  </si>
  <si>
    <t>PTZ00054 7e-026| Ribosomal_L14 1e-014| rpl14p 2e-014| RplN 2e-014| rpl14p_arch 5e-014| rplN 1e-008| rpl14 3e-007| rplN_bact 9e-007| amiF | PRK06850 |</t>
  </si>
  <si>
    <t>Streptomyces sp. FR-008</t>
  </si>
  <si>
    <t>sp|Q96RJ3|TR13C_HUMAN</t>
  </si>
  <si>
    <t>PRK14725 |</t>
  </si>
  <si>
    <t>PTZ00054 2e-025| Ribosomal_L14 9e-015| rpl14p 1e-014| RplN 3e-014| rpl14p_arch 4e-014| rplN 6e-008| rpl14 5e-007| rplN_bact 2e-006| aliphatic_amidase | PHA03271 |</t>
  </si>
  <si>
    <t>sp|Q9I0S1|TAM_PSEAE</t>
  </si>
  <si>
    <t>PLN02503 | PulE | PRK09247 | PRK14333 |</t>
  </si>
  <si>
    <t>Yersinia mollaretii ATCC 43969</t>
  </si>
  <si>
    <t>sp|Q8INZ1|GR36D_DROME</t>
  </si>
  <si>
    <t>SRPBCC_PITPNC1_like | ycf35 | PRK12721 |</t>
  </si>
  <si>
    <t>Intracellular trafficking, secretion, and vesicular transport, Posttranslational modification, protein turnover, chaperones</t>
  </si>
  <si>
    <t>sp|Q9NB34|RL34_AEDTR</t>
  </si>
  <si>
    <t>Ribosomal protein L34b - Drosophila melanogaster - cytosolic large ribosomal subunit - structural constituent of ribosome - translation</t>
  </si>
  <si>
    <t>PTZ00074 1e-010| Ribosomal_L34e 3e-007| RPL34A 2e-004| PLN03166 0.001| rpl34e | PLN02526 | Cas10_III |</t>
  </si>
  <si>
    <t>Acetobacter pomorum DM001</t>
  </si>
  <si>
    <t>sp|Q7TUG9|GSHB_PROMP</t>
  </si>
  <si>
    <t>Prochlorococcus marinus subsp. pastoris (strain CCMP1986 / MED4)</t>
  </si>
  <si>
    <t>PRK07429 | PRK14242 | rocD |</t>
  </si>
  <si>
    <t>sp|Q962U0|RL13A_SPOFR</t>
  </si>
  <si>
    <t>Ribosomal protein L13A - Drosophila melanogaster - cytosolic large ribosomal subunit - translation - structural constituent of ribosome - Notch signaling pathway - bristle morphogenesis</t>
  </si>
  <si>
    <t>PTZ00068 3e-008| polc | 24 | PLN02312 | PRK10747 | UPF0075 | nifD | L13_A_E | DUF3698 | AAD_C |</t>
  </si>
  <si>
    <t>sp|Q27533|YH2M_CAEEL</t>
  </si>
  <si>
    <t>PRK07318 | PLN02457 | PRK11404 |</t>
  </si>
  <si>
    <t>sp|Q9W2H1|TM2D1_DROME</t>
  </si>
  <si>
    <t>Drosophila melanogaster - cellular_component - molecular_function - biological_process</t>
  </si>
  <si>
    <t>PHA01886 0.001| TM2 0.001| Aconitase | XynA | PRK06124 | LeuC | MM_CoA_mutase_beta | PLN02244 | Toxin_trans | acidobact_VWFA |</t>
  </si>
  <si>
    <t>sp|Q6GQE1|T184C_XENLA</t>
  </si>
  <si>
    <t>aroFGH | KISc_KIP3_like | pola | Hit |</t>
  </si>
  <si>
    <t>transcriptional coactivator, multiprotein bridging factor Mbf1 - Schizosaccharomyces pombe - nucleus - DNA binding - transcription coactivator activity - positive regulation of transcription from RNA polymerase II promoter - nucleolus - cytosol - sequence-specific DNA binding</t>
  </si>
  <si>
    <t>COG1813 4e-011| HTH_3 1e-007| HTH_XRE 1e-007| HTH_XRE 3e-006| TIGR00270 8e-006| HipB 0.011| PRK06424 0.013| COG1709 0.016| PHA01976 0.023| COG2944 |</t>
  </si>
  <si>
    <t>Triabin | Lipocalin | DUF3491 | PRK04250 | PHA03231 | PHA00729 | M20_ArgE_DapE_like | ATE_C |</t>
  </si>
  <si>
    <t>Ribosomal protein S19a - Drosophila melanogaster - translation - cytosolic small ribosomal subunit - structural constituent of ribosome - ribosome - lipid particle</t>
  </si>
  <si>
    <t>Ribosomal_S19e 4e-014| RPS19A 5e-007| PRK09333 4e-006| PTZ00095 7e-004| DUF3260 | PRK12423 | Blc | DUF3529 | Dxr | HTH_DTXR |</t>
  </si>
  <si>
    <t>sp|Q9CZL5|PHS2_MOUSE</t>
  </si>
  <si>
    <t>pterin 4 alpha carbinolamine dehydratase/dimerization cofactor of hepatocyte nuclear factor 1 alpha (TCF1) 2 - Rattus norvegicus - phenylalanine 4-monooxygenase activity - nucleus - mitochondrion - tetrahydrobiopterin biosynthetic process - 4-alpha-hydroxytetrahydrobiopterin dehydratase activity - positive regulation of transcription, DNA-dependent - protein homotetramerization - protein heterooligomerization</t>
  </si>
  <si>
    <t>PCD_DCoH_subfamily_b 2e-025| phhB 6e-024| Pterin_4a 3e-023| PCD_DCoH 4e-020| COG2154 9e-019| PCD_DCoH_subfamily_a 3e-009| COG4255 | PLN02219 | TSPN |</t>
  </si>
  <si>
    <t>Triabin | PHA03231 | PRK09191 | PRK15138 | DUF1285 | PRK05849 | trpG_papA | Arch_flagellin |</t>
  </si>
  <si>
    <t>Ornithodoros parkeri</t>
  </si>
  <si>
    <t>sp|Q86FP7|RS23_DERVA</t>
  </si>
  <si>
    <t>Dermacentor variabilis</t>
  </si>
  <si>
    <t>ribosomal protein S23 - Danio rerio - structural constituent of ribosome - translation - intracellular - ribosome - small ribosomal subunit - ribonucleoprotein complex - cytosolic small ribosomal subunit</t>
  </si>
  <si>
    <t>PTZ00067 1e-039| Ribosomal_S23 2e-034| rps12P 2e-028| S23_S12_E_A 8e-024| Ribosomal_S12 6e-017| Ribosomal_S12_like 6e-017| RpsL 3e-016| rps12 8e-005| Ribosomal_S12 4e-004| rpsL 0.003|</t>
  </si>
  <si>
    <t>sp|Q5XHJ5|RSRC2_XENTR</t>
  </si>
  <si>
    <t>arginine/serine-rich coiled-coil 2 - Mus musculus - cellular_component - molecular_function - biological_process</t>
  </si>
  <si>
    <t>PRK11863 | PTKc_VEGFR2 | ddl | PRK10564 | HpnI | PLN03221 | STEVOR |</t>
  </si>
  <si>
    <t>Nuclear structure</t>
  </si>
  <si>
    <t>Triabin 1e-004| COG1512 | Collagen_bind_2 | PRK10750 | PRK13824 | Lipocalin | nagB | PHA03295 | DUF2691 | cas_NE0113 |</t>
  </si>
  <si>
    <t>sp|Q9NXD2|MTMRA_HUMAN</t>
  </si>
  <si>
    <t>PRK06228 | PRK06249 | Sec10 | PTZ00102 |</t>
  </si>
  <si>
    <t>Triabin 6e-008| CRT10 | Lipocalin | DUF2165 | PRK05270 | Neur_chan_LBD | galT_2 | CRC_subunit |</t>
  </si>
  <si>
    <t>sp|Q5I085|PP1B_XENTR</t>
  </si>
  <si>
    <t>protein phosphatase 1, catalytic subunit, beta isoform - Rattus norvegicus - protein phosphatase type 1 complex - phosphoprotein phosphatase activity - protein serine/threonine phosphatase activity - protein binding - nucleus - nucleoplasm - nucleolus - cytoplasm - cytosol - carbohydrate metabolic process - glycogen metabolic process - regulation of glycogen biosynthetic process - regulation of glycogen catabolic process - protein dephosphorylation - cell cycle - hydrolase activity - myosin phosphatase activity - glycogen granule - metal ion binding - myosin-light-chain-phosphatase activity - cell division - MLL5-L complex - PTW/PP1 phosphatase complex</t>
  </si>
  <si>
    <t>MPP_PP1_PPKL 1e-041| PTZ00480 5e-032| PP2Ac 4e-025| PTZ00244 9e-023| MPP_PP2A_PP4_PP6 1e-017| PTZ00239 3e-014| MPP_Bsu1_C 3e-012| MPP_PPP_family 4e-011| MPP_PP5_C 2e-010| MPP_PP2B 6e-010|</t>
  </si>
  <si>
    <t>Signal transduction mechanisms, General function prediction only</t>
  </si>
  <si>
    <t>sp|Q60UW4|TPM_CAEBR</t>
  </si>
  <si>
    <t>Tropomyosin isoforms c/e - Caenorhabditis elegans - cytoplasm - actin filament organization - embryo development - spicule insertion - locomotion - actin filament binding</t>
  </si>
  <si>
    <t>actin filament binding||actin binding||cytoskeletal protein binding||protein binding||binding</t>
  </si>
  <si>
    <t>Tropomyosin 5e-016| BAR_MUG137_fungi | Med21 | valS | Smc | SerS | PTZ00121 | Myosin_tail_1 | DUF869 | F-BAR_FCHO |</t>
  </si>
  <si>
    <t>sp|Q5XIA8|GHITM_RAT</t>
  </si>
  <si>
    <t>growth hormone inducible transmembrane protein - Rattus norvegicus - mitochondrion - mitochondrial inner membrane - apoptosis - membrane - integral to membrane</t>
  </si>
  <si>
    <t>BI-1-like 2e-011| Bax1-I 1e-008| COG0670 0.007| PRK06131 | narH | DUF3487 | PRK12369 | PRK12649 |</t>
  </si>
  <si>
    <t>sp|P51665|PSD7_HUMAN</t>
  </si>
  <si>
    <t>proteasome (prosome, macropain) 26S subunit, non-ATPase, 7 (Mov34 homolog) - Danio rerio - central nervous system morphogenesis - proteasome complex</t>
  </si>
  <si>
    <t>MPN_RPN7_8 2e-033| PLN03246 3e-027| MPN_CSN6 1e-005| MPN_eIF3f 0.007| Ribosomal_P1 | Ribosomal_60s | PRK11281 | rplP0 | Ribosomal_P2 | PTZ00373 |</t>
  </si>
  <si>
    <t>sp|P23403|RS20_XENLA</t>
  </si>
  <si>
    <t>ribosomal protein S20 - Danio rerio - structural constituent of ribosome - intracellular - translation - RNA binding - ribosome - small ribosomal subunit - cytosolic small ribosomal subunit</t>
  </si>
  <si>
    <t>PTZ00039 2e-041| S10_Arc_S20_Euk 7e-033| Ribosomal_S10 2e-025| RpsJ 2e-020| rps10p 2e-020| rpsJ 2e-010| rps10 2e-009| rpsJ_bact 9e-009| DUF3623 | Glo_EDI_BRP_like_24 |</t>
  </si>
  <si>
    <t>sp|Q9W3Y0|ZN593_DROME</t>
  </si>
  <si>
    <t>Drosophila melanogaster - biological_process - intracellular - nucleic acid binding - zinc ion binding</t>
  </si>
  <si>
    <t>nucleic acid binding||binding</t>
  </si>
  <si>
    <t>UFD2 2e-014| zf-C2H2_jaz 3e-006| ZnF_U1 6e-004| zf-met | S1_CSL4 | PRP9 | zf-C2H2_2 | PRK05279 | PLN03123 | DUF2077 |</t>
  </si>
  <si>
    <t>HypF | NahD | PLN00015 |</t>
  </si>
  <si>
    <t>Triabin 7e-007| PTZ00416 | PRK13462 | intradiol_dioxygenase_like | PRK13607 | PLN02587 | LAGLIDADG_2 | APP-like |</t>
  </si>
  <si>
    <t>sp|Q9VLM5|DAD1_DROME</t>
  </si>
  <si>
    <t>Drosophila melanogaster - oligosaccharyltransferase complex - oligosaccharyl transferase activity - negative regulation of apoptosis - anti-apoptosis - plasma membrane - integral to membrane</t>
  </si>
  <si>
    <t>DAD 8e-042| D1pyr5carbox1 | ALDH_F4-17_P5CDH | PRK15402 | PRK12651 | AAA-ATPase_like | PRK10649 |</t>
  </si>
  <si>
    <t>Cell cycle control, cell division, chromosome partitioning, Posttranslational modification, protein turnover, chaperones</t>
  </si>
  <si>
    <t>sp|B7J0N3|PTH_BORBZ</t>
  </si>
  <si>
    <t>Borrelia burgdorferi (strain ZS7)</t>
  </si>
  <si>
    <t>Triabin | rpa1 | AvrB_AvrC | PRK00180 | RGS_RGS17 | PRK09943 | PRK11536 | PRK14515 | PRK08673 | V_HD-PTP_like |</t>
  </si>
  <si>
    <t>sp|Q962R1|RS18_SPOFR</t>
  </si>
  <si>
    <t>Ribosomal protein S18 - Drosophila melanogaster - translation - structural constituent of ribosome - cytosolic small ribosomal subunit - translational initiation - ribosome - RNA binding - lipid particle - mitotic spindle organization - mitotic spindle elongation</t>
  </si>
  <si>
    <t>PTZ00134 3e-052| rps13p 3e-034| arch_S13P 8e-030| Ribosomal_S13 4e-023| RpsM 7e-019| rpsM 3e-008| bact_S13 7e-008| rps13 7e-004| PHA_depoly_arom | TIGR00275 |</t>
  </si>
  <si>
    <t>Branchiostoma floridae</t>
  </si>
  <si>
    <t>sp|B5XGE7|TPC2L_SALSA</t>
  </si>
  <si>
    <t>Salmo salar</t>
  </si>
  <si>
    <t>trafficking protein particle complex 2-like - Mus musculus - intracellular - cytoplasm - Golgi apparatus - transport - endoplasmic reticulum - vesicle-mediated transport - ER to Golgi vesicle-mediated transport</t>
  </si>
  <si>
    <t>Sedlin_N 4e-026| TRS20 5e-006| Sybindin 3e-005| Lipoprotein_16 0.080| TRS23 | PLN02981 | Transketolase_N | PLN02549 | SufC | purF |</t>
  </si>
  <si>
    <t>sp|Q12019|MDN1_YEAST</t>
  </si>
  <si>
    <t>PRK04517 | ALDH | alpha_CA_VI_IX_XII_XIV | ALDH_ABALDH-YdcW | rps13p | DUF1517 | Ribosomal_S13 | PRK07429 | Dicty_REP | cas_HTH |</t>
  </si>
  <si>
    <t>BADH 0.016| SKIP_SNW | cyt_b5_reduct_like | Exo70 | Pex16 | Chlide_reductase_Y | PRK05809 | PRK08664 | mtc |</t>
  </si>
  <si>
    <t>sp|Q96MG7|MAGG1_HUMAN</t>
  </si>
  <si>
    <t>Uncharacterized protein - Sus scrofa - regulation of transcription, DNA-dependent</t>
  </si>
  <si>
    <t>MAGE 4e-008| DUF1157 | kup | Pumilio | pk1 | PRK05629 | RasGAP | cemA |</t>
  </si>
  <si>
    <t>sp|Q8SR30|PABP_ENCCU</t>
  </si>
  <si>
    <t>Encephalitozoon cuniculi (strain GB-M1)</t>
  </si>
  <si>
    <t>Triabin 1e-009| AvrB_AvrC 0.065| ATPase-IIIB_Mg | PRK13698 | torD | PRK15122 | PRK08163 | Pox_E2-like | FMT_core_Formyl-FH4-Hydrolase_C | PHA02695 |</t>
  </si>
  <si>
    <t>sp|Q92805|GOGA1_HUMAN</t>
  </si>
  <si>
    <t>centrosomin's beautiful sister - Drosophila melanogaster - centrosome - cytoplasm - chromatin - spindle - perinuclear region of cytoplasm - centrosome cycle</t>
  </si>
  <si>
    <t>Grip 2e-007| GRIP 2e-006| KpsE | type_III_yscE | RNAP_II_RPB3 | PRK05218 | Sec2p | PRK10246 | PRK12705 | mukB |</t>
  </si>
  <si>
    <t>PTZ00416 3e-080| PLN00116 6e-078| eEF2_snRNP_like_C 7e-038| FusA 1e-034| PRK07560 5e-032| eEF2_C_snRNP 3e-026| Elongation_Factor_C 5e-025| EFG_C 8e-024| EFG_C 2e-020| aEF-2 3e-019|</t>
  </si>
  <si>
    <t>Triabin 1e-008| PHA00729 | Lipocalin | PRK04250 | DUF3491 | bact_immun_7tm | Nitrophorin | PRK08271 |</t>
  </si>
  <si>
    <t>sp|Q9V4U7|C6A14_DROME</t>
  </si>
  <si>
    <t>p450 1e-033| CypX 9e-017| PLN02302 6e-014| PLN02936 7e-014| PLN02290 5e-013| PLN02738 6e-013| PTZ00404 1e-011| PLN02394 4e-011| PLN03141 5e-011| PLN02196 2e-010|</t>
  </si>
  <si>
    <t>sp|P50887|RL22_DROME</t>
  </si>
  <si>
    <t>Ribosomal protein L22 - Drosophila melanogaster - structural constituent of ribosome - translation - cytosolic large ribosomal subunit - ribosome - lipid particle - mitotic spindle elongation - mitotic spindle organization</t>
  </si>
  <si>
    <t>Ribosomal_L22e 6e-043| PTZ00198 1e-032| osq_cycl | PRK08311 | UvrA | DUF3418 | misato | PHA02875 | Rap_GAP | REX1_like |</t>
  </si>
  <si>
    <t>Peptidase_M17 6e-025| Peptidase_M17 3e-011| PepB 2e-010| PRK00913 4e-007| PTZ00412 3e-006| PRK05015 9e-005| COG4449 | IgaA | PRK09059 | COG2258 |</t>
  </si>
  <si>
    <t>PABP-1234 2e-031| PABP 3e-027| PolyA 2e-021| PRK07764 3e-006| kgd 7e-005| PRK07003 5e-004| PRK14951 0.001| PRK13875 0.001| PRK09111 0.005| PRK07994 0.015|</t>
  </si>
  <si>
    <t>sp|Q86AW9|GUAD_DICDI</t>
  </si>
  <si>
    <t>Dihydropterin deaminase - Drosophila melanogaster - dihydropteridine metabolic process - dihydropterin deaminase activity - guanine deaminase activity - zinc ion binding - guanine metabolic process - eye pigment biosynthetic process</t>
  </si>
  <si>
    <t>GDEase 5e-055| guan_deamin 2e-045| PRK09228 5e-038| SsnA 7e-028| PRK09045 2e-022| ATZ_TRZ_like 3e-022| PRK08393 3e-019| PRK07228 1e-018| PRK06038 3e-016| Met_dep_hydrolase_D 1e-013|</t>
  </si>
  <si>
    <t>Nucleotide transport and metabolism, Secondary metabolites biosynthesis, transport and catabolism</t>
  </si>
  <si>
    <t>Triabin 5e-016| RE_LlaMI | aspS_arch | COG4803 | PRK14408 | PLN02610 | Tubulin |</t>
  </si>
  <si>
    <t>sp|P79896|ADHX_SPAAU</t>
  </si>
  <si>
    <t>Sparus aurata</t>
  </si>
  <si>
    <t>alcohol dehydrogenase 5 - Danio rerio - oxidoreductase activity - S-(hydroxymethyl)glutathione dehydrogenase activity - oxidation-reduction process - binding - zinc ion binding - ethanol oxidation - metal ion binding - formaldehyde dehydrogenase activity - response to redox state - fatty acid binding</t>
  </si>
  <si>
    <t>alcohol_DH_class_III e-107| alcohol_DH_class_I_II_IV 1e-088| adh_III_F_hyde 2e-082| liver_alcohol_DH_like 5e-082| Zn_ADH1 1e-080| alcohol_DH_plants 1e-080| AdhC 4e-069| PLN02740 8e-060| PLN02827 3e-053| Zn_ADH_class_III 6e-047|</t>
  </si>
  <si>
    <t>sp|O18640|GBLP_DROME</t>
  </si>
  <si>
    <t>Receptor of activated protein kinase C 1 - Drosophila melanogaster - protein kinase C binding - oogenesis - wing disc development - cuticle development - cytoplasm - locomotory behavior - oviposition - microtubule associated complex - precatalytic spliceosome - nuclear mRNA splicing, via spliceosome - catalytic step 2 spliceosome</t>
  </si>
  <si>
    <t>protein kinase C binding||protein kinase binding||kinase binding||enzyme binding||protein binding||binding</t>
  </si>
  <si>
    <t>WD40 8e-062| COG2319 3e-024| PLN00181 9e-006| PTZ00421 1e-005| WD40 1e-005| WD40 5e-005| PTZ00420 0.013| VESA1_N 0.044| PRK13616 | yieM |</t>
  </si>
  <si>
    <t>Blattabacterium sp. (Blattella germanica) str. Bge</t>
  </si>
  <si>
    <t>sp|P0C6D7|ALDH_VIBCH</t>
  </si>
  <si>
    <t>Vibrio cholerae</t>
  </si>
  <si>
    <t>Ajellomyces capsulatus NAm1</t>
  </si>
  <si>
    <t>sp|Q9HGP4|YK82_SCHPO</t>
  </si>
  <si>
    <t>VI_minor_1 | rhamnulo_kin | hsdM | PRK08271 | DUF3533 |</t>
  </si>
  <si>
    <t>sp|P35760|VA5_VESMC</t>
  </si>
  <si>
    <t>Vespula maculifrons</t>
  </si>
  <si>
    <t>SCP_euk 2e-017| SCP 4e-015| SCP_GLIPR-1_like 4e-010| SCP_CRISP 6e-009| SCP_HrTT-1 3e-008| SCP 4e-007| SCP_GAPR-1_like 2e-006| CAP 8e-005| SCP_PRY1_like 1e-004| SCP_PR-1_like 0.012|</t>
  </si>
  <si>
    <t>sp|Q90YU9|RL18A_ICTPU</t>
  </si>
  <si>
    <t>Vibrio angustum S14</t>
  </si>
  <si>
    <t>sp|Q9STY3|PME33_ARATH</t>
  </si>
  <si>
    <t>Tetrahymena paravorax</t>
  </si>
  <si>
    <t>sp|Q08409|AUS1_YEAST</t>
  </si>
  <si>
    <t>DUF3160 |</t>
  </si>
  <si>
    <t>Rhodococcus erythropolis SK121</t>
  </si>
  <si>
    <t>sp|Q9WUD9|SRC_RAT</t>
  </si>
  <si>
    <t>sp|P32206|VC13_SWPVK</t>
  </si>
  <si>
    <t>Swinepox virus (strain Kasza)</t>
  </si>
  <si>
    <t>PLN02960 |</t>
  </si>
  <si>
    <t>sp|Q9NSI6|BRWD1_HUMAN</t>
  </si>
  <si>
    <t>PRK07122 |</t>
  </si>
  <si>
    <t>Neurospora tetrasperma FGSC 2508</t>
  </si>
  <si>
    <t>sp|Q1MKH6|RNH_RHIL3</t>
  </si>
  <si>
    <t>Rhizobium leguminosarum bv. viciae (strain 3841)</t>
  </si>
  <si>
    <t>Rnase_HI_RT_non_LTR 4e-004| RnhA 0.031| RNase_H | RNase_HI_eukaryote_like | rnhA | GlgB | RNase_HI_prokaryote_like | PRK06548 | PRK12313 | PRK14706 |</t>
  </si>
  <si>
    <t>SCP 9e-008| SCP_PRY1_like 1e-007| SCP_euk 2e-006| SCP_GAPR-1_like 2e-006| SCP_PR-1_like 5e-006| SCP_HrTT-1 4e-005| CAP 2e-004| SCP_GLIPR-1_like 4e-004| SCP 4e-004| SCP_CRISP 0.003|</t>
  </si>
  <si>
    <t>Triabin 0.002| PHA00729 | DUF3491 | MGT | PRK15419 | Lipocalin | PHA03231 | gltX | MetK |</t>
  </si>
  <si>
    <t>Dinoroseobacter shibae DFL 12</t>
  </si>
  <si>
    <t>sp|O34341|YEBC_BACSU</t>
  </si>
  <si>
    <t>Giardia intestinalis ATCC 50581</t>
  </si>
  <si>
    <t>sp|Q4V8I3|TENS4_RAT</t>
  </si>
  <si>
    <t>Paenibacillus polymyxa E681</t>
  </si>
  <si>
    <t>sp|Q09203|SRA1_CAEEL</t>
  </si>
  <si>
    <t>PRK11824 |</t>
  </si>
  <si>
    <t>sp|P41910|MAF1_YEAST</t>
  </si>
  <si>
    <t>Plasmodium falciparum 3D7</t>
  </si>
  <si>
    <t>sp|A1E9R5|RPOC1_SORBI</t>
  </si>
  <si>
    <t>Sorghum bicolor</t>
  </si>
  <si>
    <t>sucr_P_syn_N |</t>
  </si>
  <si>
    <t>Triabin 0.079| PRK09116 | PRK13824 | MalG | nagB | Wzb | PRK03881 | HTH_16 |</t>
  </si>
  <si>
    <t>Triabin 3e-009| AvrB_AvrC 0.054| rpa1 | PRK03762 | PRK00180 | RGS_RGS17 | PHA02695 | ruvB | RuvB_N | PRK14515 |</t>
  </si>
  <si>
    <t>Triabin 5e-013| EF1G | DUF1681 |</t>
  </si>
  <si>
    <t>Triabin 2e-014| RHO_alpha_C_1 0.015| PRK14990 | Lipocalin | PRK10750 | PRK13824 | Tweety_N | PRK11014 | cas_NE0113 | PRK03881 |</t>
  </si>
  <si>
    <t>Triabin 2e-012| PLN03215 | PRK08332 | Lipocalin | DUF3048 | LAGLIDADG_2 |</t>
  </si>
  <si>
    <t>Triabin 5e-014| RHO_alpha_C_1 | PRK10750 | PLN02693 | Lipocalin | Laminin_N | PRK11014 | PBP1_Nba_like | DUF3289 | Syndecan |</t>
  </si>
  <si>
    <t>Triabin 4e-014| PRK10750 | Lipocalin | RHO_alpha_C_1 | Syndecan | Laminin_N | RgfB-like | PRK11014 |</t>
  </si>
  <si>
    <t>sp|Q01033|VG48_SHV21</t>
  </si>
  <si>
    <t>Saimiriine herpesvirus 2 (strain 11)</t>
  </si>
  <si>
    <t>COG3264 | DUF3527 | 2A1904 | COG3154 | PRK08187 | SLAP | PLN00152 | TSA |</t>
  </si>
  <si>
    <t>Ribosomal_L22e 4e-054| PTZ00198 4e-038| PRK12323 1e-010| PRK07764 4e-009| PRK07003 3e-008| kgd 4e-008| PRK14951 3e-007| PRK07994 4e-007| PHA03247 9e-007| PHA03269 2e-006|</t>
  </si>
  <si>
    <t>Glossina morsitans morsitans</t>
  </si>
  <si>
    <t>sp|Q66XS7|NDUS4_GECJA</t>
  </si>
  <si>
    <t>NADH dehydrogenase - Gallus gallus - mitochondrial inner membrane - oxidoreductase activity, acting on NADH or NADPH - electron transport chain</t>
  </si>
  <si>
    <t>ETC_C1_NDUFA4 1e-013| lysidine_TilS_N | PRK09088 | PP-ATPase | ATP_bind_3 | caiC | PHA02992 | COG2419 |</t>
  </si>
  <si>
    <t>sp|Q9WUA2|SYFB_MOUSE</t>
  </si>
  <si>
    <t>phenylalanyl-tRNA synthetase, beta subunit - Rattus norvegicus - nucleotide binding - magnesium ion binding - RNA binding - phenylalanine-tRNA ligase activity - ATP binding - cytoplasm - cytosol - translation - phenylalanyl-tRNA aminoacylation</t>
  </si>
  <si>
    <t>PLN02265 1e-009| PheRS_beta_core 3e-006| pheT_arch 4e-006| PheT 8e-006| pheT 1e-004| pheT 2e-004| pheT_bact 0.028| Nudix_hydrolase_3 |</t>
  </si>
  <si>
    <t>sp|Q4R3D4|EF1D_MACFA</t>
  </si>
  <si>
    <t>PHA03244 | serS |</t>
  </si>
  <si>
    <t>sp|P34067|PSB4_RAT</t>
  </si>
  <si>
    <t>proteasome (prosome, macropain) subunit, beta type 4 - Rattus norvegicus - lipopolysaccharide binding - negative regulation of inflammatory response to antigenic stimulus - threonine-type endopeptidase activity - nucleus - cytoplasm - proteasome core complex - peptidase activity - anaphase-promoting complex-dependent proteasomal ubiquitin-dependent protein catabolic process - negative regulation of ubiquitin-protein ligase activity involved in mitotic cell cycle - positive regulation of ubiquitin-protein ligase activity involved in mitotic cell cycle - proteolysis involved in cellular protein catabolic process</t>
  </si>
  <si>
    <t>lipopolysaccharide binding||binding</t>
  </si>
  <si>
    <t>lipopolysaccharide binding</t>
  </si>
  <si>
    <t>proteasome_beta_type_4 7e-023| proteasome_beta 4e-009| proteasome_protease_HslV 9e-004| PRE1 9e-004| Proteasome 0.008| arc_protsome_B | proteasome_beta_archeal | COG4272 | COG3459 | RhoGAP_ARHGAP27_15_12_9 |</t>
  </si>
  <si>
    <t>sp|P47065|PT130_YEAST</t>
  </si>
  <si>
    <t>PRK09296 | PTS_IIB_mannitol | PTKc_Yes | COG2166 | SufE | MtlA | rpsP | PRK11857 | PRK12367 |</t>
  </si>
  <si>
    <t>alcohol_DH_class_III e-150| alcohol_DH_class_I_II_IV e-119| adh_III_F_hyde e-115| liver_alcohol_DH_like e-113| Zn_ADH1 e-110| alcohol_DH_plants e-108| AdhC e-100| PLN02740 2e-079| Zn_ADH_class_III 4e-071| PLN02827 2e-070|</t>
  </si>
  <si>
    <t>Erycina pumilio</t>
  </si>
  <si>
    <t>sp|Q3BAR2|MATK_PHAAO</t>
  </si>
  <si>
    <t>Phalaenopsis aphrodite subsp. formosana</t>
  </si>
  <si>
    <t>Bacteroides sp. 1_1_30</t>
  </si>
  <si>
    <t>sp|Q962Q7|RS23_SPOFR</t>
  </si>
  <si>
    <t>Ribosomal protein S23 - Drosophila melanogaster - translation - structural constituent of ribosome - cytosolic small ribosomal subunit</t>
  </si>
  <si>
    <t>PTZ00067 4e-013| Ribosomal_S23 3e-010| rps12P 1e-007| S23_S12_E_A 7e-006| RpsL 7e-004| Ribosomal_S12 0.007| Ribosomal_S12_like 0.012|</t>
  </si>
  <si>
    <t>Streptococcus pyogenes M49 591</t>
  </si>
  <si>
    <t>sp|Q8HEC1|NU2M_CAEBR</t>
  </si>
  <si>
    <t>Oceanobacter sp. RED65</t>
  </si>
  <si>
    <t>sp|C0LGG4|Y1518_ARATH</t>
  </si>
  <si>
    <t>C2_Intersectin |</t>
  </si>
  <si>
    <t>sp|Q6PAL7|AHDC1_MOUSE</t>
  </si>
  <si>
    <t>G6PD_C | PLN02289 | zwf | PLN03025 |</t>
  </si>
  <si>
    <t>Triabin 4e-017| Nitrophorin 0.006| PRK03762 | AvrB_AvrC | ATPase-IIIB_Mg | MopB_3 | Pox_E2-like | Sec6 | PRK09194 | addB_Gpos |</t>
  </si>
  <si>
    <t>class</t>
  </si>
  <si>
    <t>met/energy</t>
  </si>
  <si>
    <t>uk</t>
  </si>
  <si>
    <t>pm</t>
  </si>
  <si>
    <t>ps</t>
  </si>
  <si>
    <t>s/cral</t>
  </si>
  <si>
    <t>cs</t>
  </si>
  <si>
    <t>bac</t>
  </si>
  <si>
    <t>s/lip</t>
  </si>
  <si>
    <t>uc</t>
  </si>
  <si>
    <t>st</t>
  </si>
  <si>
    <t>tf</t>
  </si>
  <si>
    <t>tm</t>
  </si>
  <si>
    <t>s/ag5</t>
  </si>
  <si>
    <t>detox/ox</t>
  </si>
  <si>
    <t>met/aa</t>
  </si>
  <si>
    <t>pe</t>
  </si>
  <si>
    <t>imm</t>
  </si>
  <si>
    <t>st/apoptosis</t>
  </si>
  <si>
    <t>s/tm</t>
  </si>
  <si>
    <t>storage/</t>
  </si>
  <si>
    <t>detox</t>
  </si>
  <si>
    <t>nr</t>
  </si>
  <si>
    <t>pm/protease</t>
  </si>
  <si>
    <t>prot</t>
  </si>
  <si>
    <t>met/lipd</t>
  </si>
  <si>
    <t>te</t>
  </si>
  <si>
    <t>s/apyrase</t>
  </si>
  <si>
    <t>s/trial</t>
  </si>
  <si>
    <t>met/nuc</t>
  </si>
  <si>
    <t>s/hemo</t>
  </si>
  <si>
    <t>Trypanosomal sequences</t>
  </si>
  <si>
    <t>Housekeeping products</t>
  </si>
  <si>
    <t>number of ESTs</t>
  </si>
  <si>
    <t>Cytoskeletal</t>
  </si>
  <si>
    <t>Detoxification</t>
  </si>
  <si>
    <t>Immunity-related</t>
  </si>
  <si>
    <t>Metabolism, amino acid</t>
  </si>
  <si>
    <t>Metabolism, energy</t>
  </si>
  <si>
    <t>Metabolism, lipid</t>
  </si>
  <si>
    <t>Nuclear regulation</t>
  </si>
  <si>
    <t>Protein export</t>
  </si>
  <si>
    <t>Protein modification</t>
  </si>
  <si>
    <t>Protein synthesis</t>
  </si>
  <si>
    <t>Putative secreted proteins</t>
  </si>
  <si>
    <t>SigP Result</t>
  </si>
  <si>
    <t>Cleavage Position</t>
  </si>
  <si>
    <t>MW</t>
  </si>
  <si>
    <t>pI</t>
  </si>
  <si>
    <t>Mature MW</t>
  </si>
  <si>
    <t xml:space="preserve"> 35-36</t>
  </si>
  <si>
    <t xml:space="preserve"> 38-39</t>
  </si>
  <si>
    <t xml:space="preserve"> 17-18</t>
  </si>
  <si>
    <t xml:space="preserve"> 24-25</t>
  </si>
  <si>
    <t xml:space="preserve"> 18-19</t>
  </si>
  <si>
    <t xml:space="preserve"> 19-20</t>
  </si>
  <si>
    <t xml:space="preserve"> 21-22</t>
  </si>
  <si>
    <t xml:space="preserve"> 28-29</t>
  </si>
  <si>
    <t xml:space="preserve"> 25-26</t>
  </si>
  <si>
    <t xml:space="preserve"> 42-43</t>
  </si>
  <si>
    <t xml:space="preserve"> 16-17</t>
  </si>
  <si>
    <t xml:space="preserve"> 39-40</t>
  </si>
  <si>
    <t xml:space="preserve"> 20-21</t>
  </si>
  <si>
    <t xml:space="preserve"> 14-15</t>
  </si>
  <si>
    <t xml:space="preserve"> 27-28</t>
  </si>
  <si>
    <t xml:space="preserve"> 33-34</t>
  </si>
  <si>
    <t xml:space="preserve"> 12-13</t>
  </si>
  <si>
    <t>mTP</t>
  </si>
  <si>
    <t>SP</t>
  </si>
  <si>
    <t>other</t>
  </si>
  <si>
    <t xml:space="preserve">Relative confidence (1 is best) </t>
  </si>
  <si>
    <t>TMHMM result</t>
  </si>
  <si>
    <t>Predicted helices</t>
  </si>
  <si>
    <t>% membrane</t>
  </si>
  <si>
    <t>% outside</t>
  </si>
  <si>
    <t>% inside</t>
  </si>
  <si>
    <t>Possible GPI?</t>
  </si>
  <si>
    <t xml:space="preserve">Length of peptide after last membrane helix </t>
  </si>
  <si>
    <t>Percent Ser+Thr</t>
  </si>
  <si>
    <t>Percent Gly</t>
  </si>
  <si>
    <t xml:space="preserve">Percent Pro </t>
  </si>
  <si>
    <t xml:space="preserve">ProP furin cleavage predictions </t>
  </si>
  <si>
    <t>_</t>
  </si>
  <si>
    <t>ExpAA=0.01 First60=0.01 PredHel=0 Topology=o</t>
  </si>
  <si>
    <t>ExpAA=0.00 First60=0.00 PredHel=0 Topology=o</t>
  </si>
  <si>
    <t>ExpAA=6.88 First60=6.87 PredHel=0 Topology=o</t>
  </si>
  <si>
    <t>ExpAA=0.01 First60=0.00 PredHel=0 Topology=o</t>
  </si>
  <si>
    <t>ExpAA=0.23 First60=0.23 PredHel=0 Topology=o</t>
  </si>
  <si>
    <t>ExpAA=0.34 First60=0.19 PredHel=0 Topology=o</t>
  </si>
  <si>
    <t>ExpAA=7.80 First60=7.72 PredHel=0 Topology=o</t>
  </si>
  <si>
    <t>ExpAA=0.89 First60=0.89 PredHel=0 Topology=o</t>
  </si>
  <si>
    <t>ExpAA=0.85 First60=0.84 PredHel=0 Topology=o</t>
  </si>
  <si>
    <t>ExpAA=0.15 First60=0.13 PredHel=0 Topology=o</t>
  </si>
  <si>
    <t>ExpAA=0.07 First60=0.07 PredHel=0 Topology=o</t>
  </si>
  <si>
    <t>ExpAA=22.58 First60=12.76 PredHel=0 Topology=o</t>
  </si>
  <si>
    <t>ExpAA=6.72 First60=6.69 PredHel=0 Topology=o</t>
  </si>
  <si>
    <t>ExpAA=8.31 First60=8.23 PredHel=0 Topology=o</t>
  </si>
  <si>
    <t>ExpAA=7.82 First60=7.77 PredHel=0 Topology=o</t>
  </si>
  <si>
    <t>ExpAA=8.53 First60=8.44 PredHel=0 Topology=o</t>
  </si>
  <si>
    <t>ExpAA=8.03 First60=7.97 PredHel=0 Topology=o</t>
  </si>
  <si>
    <t>ExpAA=8.27 First60=8.22 PredHel=0 Topology=o</t>
  </si>
  <si>
    <t>ExpAA=8.29 First60=8.18 PredHel=0 Topology=o</t>
  </si>
  <si>
    <t>ExpAA=7.01 First60=6.95 PredHel=0 Topology=o</t>
  </si>
  <si>
    <t>ExpAA=16.32 First60=16.17 PredHel=0 Topology=o</t>
  </si>
  <si>
    <t>ExpAA=0.07 First60=0.01 PredHel=0 Topology=o</t>
  </si>
  <si>
    <t>ExpAA=0.04 First60=0.00 PredHel=0 Topology=o</t>
  </si>
  <si>
    <t>ExpAA=0.28 First60=0.28 PredHel=0 Topology=o</t>
  </si>
  <si>
    <t>ExpAA=0.26 First60=0.26 PredHel=0 Topology=o</t>
  </si>
  <si>
    <t>ExpAA=0.03 First60=0.00 PredHel=0 Topology=o</t>
  </si>
  <si>
    <t>ExpAA=0.02 First60=0.00 PredHel=0 Topology=o</t>
  </si>
  <si>
    <t>ExpAA=0.14 First60=0.00 PredHel=0 Topology=i</t>
  </si>
  <si>
    <t>ExpAA=0.08 First60=0.00 PredHel=0 Topology=o</t>
  </si>
  <si>
    <t>ExpAA=0.05 First60=0.00 PredHel=0 Topology=o</t>
  </si>
  <si>
    <t>ExpAA=0.27 First60=0.00 PredHel=0 Topology=o</t>
  </si>
  <si>
    <t>ExpAA=0.21 First60=0.11 PredHel=0 Topology=o</t>
  </si>
  <si>
    <t>ExpAA=0.01 First60=0.01 PredHel=0 Topology=i</t>
  </si>
  <si>
    <t>ExpAA=20.83 First60=20.43 PredHel=1 Topology=o38-60i</t>
  </si>
  <si>
    <t>ExpAA=0.20 First60=0.15 PredHel=0 Topology=o</t>
  </si>
  <si>
    <t>ExpAA=0.00 First60=0.00 PredHel=0 Topology=i</t>
  </si>
  <si>
    <t>ExpAA=0.03 First60=0.03 PredHel=0 Topology=o</t>
  </si>
  <si>
    <t>ExpAA=0.02 First60=0.02 PredHel=0 Topology=i</t>
  </si>
  <si>
    <t>ExpAA=0.89 First60=0.85 PredHel=0 Topology=i</t>
  </si>
  <si>
    <t>ExpAA=0.07 First60=0.07 PredHel=0 Topology=i</t>
  </si>
  <si>
    <t>ExpAA=0.06 First60=0.05 PredHel=0 Topology=o</t>
  </si>
  <si>
    <t>ExpAA=0.02 First60=0.01 PredHel=0 Topology=i</t>
  </si>
  <si>
    <t>ExpAA=0.04 First60=0.04 PredHel=0 Topology=o</t>
  </si>
  <si>
    <t>ExpAA=0.08 First60=0.08 PredHel=0 Topology=o</t>
  </si>
  <si>
    <t>ExpAA=2.71 First60=2.71 PredHel=0 Topology=o</t>
  </si>
  <si>
    <t>ExpAA=0.11 First60=0.11 PredHel=0 Topology=i</t>
  </si>
  <si>
    <t>ExpAA=0.04 First60=0.00 PredHel=0 Topology=i</t>
  </si>
  <si>
    <t xml:space="preserve">. </t>
  </si>
  <si>
    <t xml:space="preserve">1 | 89    EIQRHWR|WI  0.551 *ProP*  | </t>
  </si>
  <si>
    <t>ExpAA=0.06 First60=0.06 PredHel=0 Topology=i</t>
  </si>
  <si>
    <t>ExpAA=19.96 First60=0.01 PredHel=1 Topology=o108-127i</t>
  </si>
  <si>
    <t>ExpAA=1.03 First60=0.05 PredHel=0 Topology=o</t>
  </si>
  <si>
    <t>ExpAA=6.93 First60=6.93 PredHel=0 Topology=o</t>
  </si>
  <si>
    <t>ExpAA=0.09 First60=0.09 PredHel=0 Topology=i</t>
  </si>
  <si>
    <t>ExpAA=2.50 First60=2.38 PredHel=0 Topology=o</t>
  </si>
  <si>
    <t>ExpAA=0.21 First60=0.04 PredHel=0 Topology=o</t>
  </si>
  <si>
    <t>ExpAA=0.02 First60=0.02 PredHel=0 Topology=o</t>
  </si>
  <si>
    <t>ExpAA=1.46 First60=1.46 PredHel=0 Topology=o</t>
  </si>
  <si>
    <t>ExpAA=102.73 First60=26.06 PredHel=4 Topology=i5-24o55-77i82-104o174-196i</t>
  </si>
  <si>
    <t>ExpAA=127.51 First60=19.69 PredHel=6 Topology=o23-41i62-84o112-134i146-165o180-202i222-244o</t>
  </si>
  <si>
    <t>ExpAA=46.65 First60=6.42 PredHel=2 Topology=o56-78i91-113o</t>
  </si>
  <si>
    <t>ExpAA=152.13 First60=40.21 PredHel=7 Topology=i12-34o38-60i81-103o123-145i191-210o225-243i250-272o</t>
  </si>
  <si>
    <t>ExpAA=22.62 First60=22.49 PredHel=1 Topology=o10-32i</t>
  </si>
  <si>
    <t>ExpAA=0.03 First60=0.01 PredHel=0 Topology=o</t>
  </si>
  <si>
    <t xml:space="preserve">1 | 13    TDYRLAR|FV  0.669 *ProP*  | </t>
  </si>
  <si>
    <t>ExpAA=65.24 First60=42.62 PredHel=3 Topology=o10-32i37-59o69-91i</t>
  </si>
  <si>
    <t>ExpAA=22.44 First60=22.44 PredHel=1 Topology=o15-37i</t>
  </si>
  <si>
    <t>ExpAA=22.49 First60=22.49 PredHel=1 Topology=i13-35o</t>
  </si>
  <si>
    <t>ExpAA=9.64 First60=9.43 PredHel=0 Topology=o</t>
  </si>
  <si>
    <t>ExpAA=24.66 First60=24.66 PredHel=1 Topology=o23-45i</t>
  </si>
  <si>
    <t>.</t>
  </si>
  <si>
    <t>ExpAA=0.27 First60=0.06 PredHel=0 Topology=o</t>
  </si>
  <si>
    <t>ExpAA=0.13 First60=0.09 PredHel=0 Topology=o</t>
  </si>
  <si>
    <t>ExpAA=103.23 First60=21.90 PredHel=5 Topology=o26-48i107-129o135-157i164-186o201-223i</t>
  </si>
  <si>
    <t>ExpAA=0.34 First60=0.00 PredHel=0 Topology=o</t>
  </si>
  <si>
    <t>ExpAA=0.47 First60=0.47 PredHel=0 Topology=o</t>
  </si>
  <si>
    <t>ExpAA=0.26 First60=0.01 PredHel=0 Topology=o</t>
  </si>
  <si>
    <t>ExpAA=22.48 First60=19.42 PredHel=1 Topology=o41-63i</t>
  </si>
  <si>
    <t>ExpAA=0.11 First60=0.00 PredHel=0 Topology=o</t>
  </si>
  <si>
    <t xml:space="preserve">1 | 66    NDFRARR|LV  0.661 *ProP*  | </t>
  </si>
  <si>
    <t>ExpAA=2.39 First60=2.39 PredHel=0 Topology=o</t>
  </si>
  <si>
    <t>ExpAA=0.41 First60=0.41 PredHel=0 Topology=i</t>
  </si>
  <si>
    <t>ExpAA=0.08 First60=0.05 PredHel=0 Topology=i</t>
  </si>
  <si>
    <t>ExpAA=0.19 First60=0.19 PredHel=0 Topology=o</t>
  </si>
  <si>
    <t>ExpAA=1.40 First60=0.85 PredHel=0 Topology=o</t>
  </si>
  <si>
    <t>ExpAA=7.83 First60=3.52 PredHel=0 Topology=o</t>
  </si>
  <si>
    <t>ExpAA=0.30 First60=0.30 PredHel=0 Topology=o</t>
  </si>
  <si>
    <t xml:space="preserve">1 | 136    KKSRPKK|SD  0.685 *ProP*  | </t>
  </si>
  <si>
    <t xml:space="preserve">2 | 42    YGLRNKR|EV  0.526 *ProP*  | 176    RHGRVKR|KN  0.742 *ProP*  | </t>
  </si>
  <si>
    <t>ExpAA=0.17 First60=0.14 PredHel=0 Topology=o</t>
  </si>
  <si>
    <t xml:space="preserve">1 | 17    AEKRGKR|QV  0.521 *ProP*  | </t>
  </si>
  <si>
    <t>ExpAA=22.39 First60=22.39 PredHel=1 Topology=i30-52o</t>
  </si>
  <si>
    <t xml:space="preserve">1 | 111    TTGRRGR|TV  0.582 *ProP*  | </t>
  </si>
  <si>
    <t>ExpAA=0.04 First60=0.01 PredHel=0 Topology=o</t>
  </si>
  <si>
    <t>ExpAA=3.18 First60=3.17 PredHel=0 Topology=o</t>
  </si>
  <si>
    <t xml:space="preserve">1 | 45    SKKRTRR|TQ  0.559 *ProP*  | </t>
  </si>
  <si>
    <t>ExpAA=0.06 First60=0.00 PredHel=0 Topology=o</t>
  </si>
  <si>
    <t>ExpAA=0.59 First60=0.00 PredHel=0 Topology=o</t>
  </si>
  <si>
    <t>ExpAA=0.74 First60=0.44 PredHel=0 Topology=o</t>
  </si>
  <si>
    <t>ExpAA=0.12 First60=0.12 PredHel=0 Topology=o</t>
  </si>
  <si>
    <t>ExpAA=0.04 First60=0.03 PredHel=0 Topology=o</t>
  </si>
  <si>
    <t>ExpAA=0.58 First60=0.56 PredHel=0 Topology=o</t>
  </si>
  <si>
    <t xml:space="preserve">1 | 70    SAGRKSR|GL  0.655 *ProP*  | </t>
  </si>
  <si>
    <t xml:space="preserve">1 | 9    GRRRERR|DN  0.668 *ProP*  | </t>
  </si>
  <si>
    <t>ExpAA=0.04 First60=0.02 PredHel=0 Topology=o</t>
  </si>
  <si>
    <t>ExpAA=7.77 First60=2.59 PredHel=0 Topology=o</t>
  </si>
  <si>
    <t xml:space="preserve">1 | 16    FKLRHAR|QV  0.533 *ProP*  | </t>
  </si>
  <si>
    <t>ExpAA=0.05 First60=0.03 PredHel=0 Topology=o</t>
  </si>
  <si>
    <t>ExpAA=0.45 First60=0.45 PredHel=0 Topology=o</t>
  </si>
  <si>
    <t>ExpAA=0.40 First60=0.40 PredHel=0 Topology=o</t>
  </si>
  <si>
    <t>ExpAA=1.14 First60=1.14 PredHel=0 Topology=i</t>
  </si>
  <si>
    <t xml:space="preserve">1 | 6    -YGRGFR|SK  0.528 *ProP*  | </t>
  </si>
  <si>
    <t>ExpAA=0.02 First60=0.01 PredHel=0 Topology=o</t>
  </si>
  <si>
    <t xml:space="preserve">1 | 31    ETKRKVR|AV  0.504 *ProP*  | </t>
  </si>
  <si>
    <t xml:space="preserve">1 | 43    RHGRVKR|KN  0.742 *ProP*  | </t>
  </si>
  <si>
    <t>ExpAA=3.14 First60=3.14 PredHel=0 Topology=o</t>
  </si>
  <si>
    <t>ExpAA=61.99 First60=20.70 PredHel=3 Topology=i12-29o70-92i197-215o</t>
  </si>
  <si>
    <t>ExpAA=3.21 First60=0.00 PredHel=0 Topology=o</t>
  </si>
  <si>
    <t>ExpAA=30.57 First60=27.95 PredHel=1 Topology=o29-51i</t>
  </si>
  <si>
    <t>ExpAA=1.19 First60=0.01 PredHel=0 Topology=i</t>
  </si>
  <si>
    <t>ExpAA=59.20 First60=31.56 PredHel=3 Topology=i25-47o52-69i89-108o</t>
  </si>
  <si>
    <t>ExpAA=0.63 First60=0.62 PredHel=0 Topology=o</t>
  </si>
  <si>
    <t>ExpAA=5.10 First60=5.01 PredHel=0 Topology=o</t>
  </si>
  <si>
    <t xml:space="preserve">1 | 31    AVNRARR|EG  0.564 *ProP*  | </t>
  </si>
  <si>
    <t xml:space="preserve">1 | 4    ---RGYR|DA  0.517 *ProP*  | </t>
  </si>
  <si>
    <t>ExpAA=0.85 First60=0.67 PredHel=0 Topology=o</t>
  </si>
  <si>
    <t>ExpAA=0.61 First60=0.53 PredHel=0 Topology=i</t>
  </si>
  <si>
    <t>ExpAA=23.63 First60=23.37 PredHel=1 Topology=i13-35o</t>
  </si>
  <si>
    <t xml:space="preserve">1 | 48    RVGRLKR|LD  0.530 *ProP*  | </t>
  </si>
  <si>
    <t>ExpAA=23.18 First60=0.00 PredHel=1 Topology=o85-107i</t>
  </si>
  <si>
    <t xml:space="preserve">1 | 23    GKRRRRR|ST  0.862 *ProP*  | </t>
  </si>
  <si>
    <t>ExpAA=0.48 First60=0.00 PredHel=0 Topology=o</t>
  </si>
  <si>
    <t xml:space="preserve">2 | 27    RTPRRKR|SR  0.667 *ProP*  | 35    RTPRRKR|SR  0.660 *ProP*  | </t>
  </si>
  <si>
    <t>ExpAA=26.68 First60=26.68 PredHel=1 Topology=i21-43o</t>
  </si>
  <si>
    <t>ExpAA=36.23 First60=36.23 PredHel=2 Topology=i2-21o25-47i</t>
  </si>
  <si>
    <t>ExpAA=20.14 First60=20.14 PredHel=1 Topology=i13-32o</t>
  </si>
  <si>
    <t>ExpAA=0.13 First60=0.13 PredHel=0 Topology=i</t>
  </si>
  <si>
    <t>ExpAA=44.70 First60=43.76 PredHel=2 Topology=o4-26i39-61o</t>
  </si>
  <si>
    <t>ExpAA=20.29 First60=20.25 PredHel=1 Topology=i12-31o</t>
  </si>
  <si>
    <t>ExpAA=57.33 First60=41.31 PredHel=3 Topology=i2-19o24-41i53-75o</t>
  </si>
  <si>
    <t>ExpAA=25.53 First60=25.53 PredHel=1 Topology=o23-45i</t>
  </si>
  <si>
    <t>ExpAA=35.10 First60=32.51 PredHel=1 Topology=o41-63i</t>
  </si>
  <si>
    <t>ExpAA=0.46 First60=0.46 PredHel=0 Topology=o</t>
  </si>
  <si>
    <t>ExpAA=22.47 First60=22.47 PredHel=1 Topology=o4-26i</t>
  </si>
  <si>
    <t>ExpAA=0.09 First60=0.09 PredHel=0 Topology=o</t>
  </si>
  <si>
    <t>ExpAA=0.53 First60=0.12 PredHel=0 Topology=o</t>
  </si>
  <si>
    <t>ExpAA=0.95 First60=0.95 PredHel=0 Topology=o</t>
  </si>
  <si>
    <t>ExpAA=43.73 First60=22.68 PredHel=2 Topology=o13-30i61-83o</t>
  </si>
  <si>
    <t>ExpAA=20.44 First60=20.44 PredHel=1 Topology=o4-23i</t>
  </si>
  <si>
    <t>ExpAA=14.76 First60=14.76 PredHel=0 Topology=o</t>
  </si>
  <si>
    <t>ExpAA=12.94 First60=12.94 PredHel=1 Topology=o4-20i</t>
  </si>
  <si>
    <t>ExpAA=45.95 First60=42.31 PredHel=2 Topology=i5-27o42-64i</t>
  </si>
  <si>
    <t>ExpAA=14.17 First60=14.17 PredHel=0 Topology=o</t>
  </si>
  <si>
    <t>ExpAA=22.14 First60=22.14 PredHel=1 Topology=o4-26i</t>
  </si>
  <si>
    <t>ExpAA=1.73 First60=1.55 PredHel=0 Topology=o</t>
  </si>
  <si>
    <t xml:space="preserve">1 | 4    ---RVDR|FS  0.511 *ProP*  | </t>
  </si>
  <si>
    <t>ExpAA=8.70 First60=8.70 PredHel=0 Topology=o</t>
  </si>
  <si>
    <t>ExpAA=21.85 First60=21.85 PredHel=1 Topology=i21-43o</t>
  </si>
  <si>
    <t>ExpAA=21.49 First60=21.49 PredHel=1 Topology=i21-43o</t>
  </si>
  <si>
    <t xml:space="preserve">1 | 34    SNMRNSR|GA  0.539 *ProP*  | </t>
  </si>
  <si>
    <t>ExpAA=7.84 First60=7.60 PredHel=0 Topology=o</t>
  </si>
  <si>
    <t>ExpAA=20.37 First60=20.37 PredHel=1 Topology=i7-29o</t>
  </si>
  <si>
    <t>ExpAA=0.16 First60=0.16 PredHel=0 Topology=o</t>
  </si>
  <si>
    <t>ExpAA=22.45 First60=22.45 PredHel=1 Topology=o4-26i</t>
  </si>
  <si>
    <t>ExpAA=28.74 First60=18.00 PredHel=1 Topology=i45-67o</t>
  </si>
  <si>
    <t>ExpAA=23.59 First60=23.59 PredHel=1 Topology=o5-27i</t>
  </si>
  <si>
    <t>ExpAA=0.23 First60=0.21 PredHel=0 Topology=o</t>
  </si>
  <si>
    <t xml:space="preserve">1 | 66    GKNRDKR|SA  0.798 *ProP*  | </t>
  </si>
  <si>
    <t>ExpAA=0.80 First60=0.80 PredHel=0 Topology=o</t>
  </si>
  <si>
    <t>ExpAA=0.35 First60=0.35 PredHel=0 Topology=i</t>
  </si>
  <si>
    <t>ExpAA=38.22 First60=18.01 PredHel=2 Topology=i24-46o68-87i</t>
  </si>
  <si>
    <t xml:space="preserve">1 | 92    FFRRTKR|TS  0.571 *ProP*  | </t>
  </si>
  <si>
    <t>ExpAA=23.19 First60=23.19 PredHel=1 Topology=i21-43o</t>
  </si>
  <si>
    <t>ExpAA=0.65 First60=0.65 PredHel=0 Topology=o</t>
  </si>
  <si>
    <t>ExpAA=22.76 First60=22.76 PredHel=1 Topology=i7-29o</t>
  </si>
  <si>
    <t>ExpAA=40.57 First60=40.57 PredHel=2 Topology=i5-24o29-51i</t>
  </si>
  <si>
    <t>ExpAA=1.53 First60=1.53 PredHel=0 Topology=o</t>
  </si>
  <si>
    <t>ExpAA=3.25 First60=3.25 PredHel=0 Topology=o</t>
  </si>
  <si>
    <t>ExpAA=0.18 First60=0.18 PredHel=0 Topology=i</t>
  </si>
  <si>
    <t>ExpAA=32.49 First60=32.49 PredHel=2 Topology=o10-29i36-55o</t>
  </si>
  <si>
    <t>ExpAA=18.90 First60=18.90 PredHel=1 Topology=o4-22i</t>
  </si>
  <si>
    <t>ExpAA=21.05 First60=21.05 PredHel=1 Topology=o10-28i</t>
  </si>
  <si>
    <t>ExpAA=20.46 First60=20.46 PredHel=1 Topology=o11-33i</t>
  </si>
  <si>
    <t>ExpAA=2.46 First60=2.46 PredHel=0 Topology=o</t>
  </si>
  <si>
    <t>ExpAA=6.79 First60=6.72 PredHel=0 Topology=o</t>
  </si>
  <si>
    <t>ExpAA=0.71 First60=0.71 PredHel=0 Topology=o</t>
  </si>
  <si>
    <t>ExpAA=1.25 First60=1.25 PredHel=0 Topology=o</t>
  </si>
  <si>
    <t>ExpAA=22.37 First60=22.37 PredHel=1 Topology=o5-27i</t>
  </si>
  <si>
    <t>ExpAA=22.45 First60=22.45 PredHel=1 Topology=i20-42o</t>
  </si>
  <si>
    <t>ExpAA=20.56 First60=12.72 PredHel=1 Topology=o45-67i</t>
  </si>
  <si>
    <t>ExpAA=10.66 First60=10.66 PredHel=0 Topology=i</t>
  </si>
  <si>
    <t xml:space="preserve">1 | 37    IWFRIKR|RW  0.527 *ProP*  | </t>
  </si>
  <si>
    <t>ExpAA=3.12 First60=3.12 PredHel=0 Topology=o</t>
  </si>
  <si>
    <t>ExpAA=1.99 First60=1.99 PredHel=0 Topology=o</t>
  </si>
  <si>
    <t>ExpAA=22.68 First60=22.68 PredHel=1 Topology=i20-42o</t>
  </si>
  <si>
    <t>ExpAA=25.49 First60=25.49 PredHel=1 Topology=i2-19o</t>
  </si>
  <si>
    <t>ExpAA=20.68 First60=20.68 PredHel=1 Topology=i33-55o</t>
  </si>
  <si>
    <t>ExpAA=0.06 First60=0.06 PredHel=0 Topology=o</t>
  </si>
  <si>
    <t>ExpAA=21.98 First60=21.98 PredHel=1 Topology=o15-37i</t>
  </si>
  <si>
    <t>ExpAA=1.72 First60=1.72 PredHel=0 Topology=o</t>
  </si>
  <si>
    <t>ExpAA=1.64 First60=1.64 PredHel=0 Topology=o</t>
  </si>
  <si>
    <t>ExpAA=21.15 First60=21.15 PredHel=1 Topology=o10-32i</t>
  </si>
  <si>
    <t>ExpAA=21.32 First60=21.32 PredHel=1 Topology=i13-35o</t>
  </si>
  <si>
    <t>ExpAA=1.98 First60=1.94 PredHel=0 Topology=o</t>
  </si>
  <si>
    <t>ExpAA=1.05 First60=1.05 PredHel=0 Topology=o</t>
  </si>
  <si>
    <t>ExpAA=0.05 First60=0.05 PredHel=0 Topology=o</t>
  </si>
  <si>
    <t>ExpAA=0.31 First60=0.17 PredHel=0 Topology=o</t>
  </si>
  <si>
    <t>ExpAA=21.31 First60=21.31 PredHel=1 Topology=i7-29o</t>
  </si>
  <si>
    <t>ExpAA=22.37 First60=22.37 PredHel=1 Topology=i5-27o</t>
  </si>
  <si>
    <t>ExpAA=22.30 First60=22.30 PredHel=1 Topology=i7-29o</t>
  </si>
  <si>
    <t>ExpAA=22.43 First60=22.43 PredHel=1 Topology=i2-24o</t>
  </si>
  <si>
    <t>ExpAA=0.01 First60=0.00 PredHel=0 Topology=i</t>
  </si>
  <si>
    <t>ExpAA=14.87 First60=14.87 PredHel=1 Topology=i7-29o</t>
  </si>
  <si>
    <t>ExpAA=1.21 First60=1.21 PredHel=0 Topology=o</t>
  </si>
  <si>
    <t>ExpAA=11.70 First60=11.70 PredHel=0 Topology=o</t>
  </si>
  <si>
    <t>ExpAA=5.08 First60=4.47 PredHel=0 Topology=o</t>
  </si>
  <si>
    <t>ExpAA=0.27 First60=0.25 PredHel=0 Topology=i</t>
  </si>
  <si>
    <t xml:space="preserve">1 | 13    RSIRTKR|KV  0.801 *ProP*  | </t>
  </si>
  <si>
    <t>ExpAA=18.85 First60=18.85 PredHel=1 Topology=o20-39i</t>
  </si>
  <si>
    <t>ExpAA=17.12 First60=17.12 PredHel=1 Topology=o20-42i</t>
  </si>
  <si>
    <t>ExpAA=0.87 First60=0.84 PredHel=0 Topology=i</t>
  </si>
  <si>
    <t>ExpAA=0.14 First60=0.14 PredHel=0 Topology=o</t>
  </si>
  <si>
    <t>ExpAA=3.64 First60=0.18 PredHel=0 Topology=o</t>
  </si>
  <si>
    <t xml:space="preserve">1 | 91    LRRRQER|AV  0.531 *ProP*  | </t>
  </si>
  <si>
    <t>ExpAA=0.07 First60=0.02 PredHel=0 Topology=o</t>
  </si>
  <si>
    <t>ExpAA=0.63 First60=0.63 PredHel=0 Topology=o</t>
  </si>
  <si>
    <t xml:space="preserve">2 | 111    ERVRKER|AA  0.518 *ProP*  | 114    RKERAAR|AA  0.506 *ProP*  | </t>
  </si>
  <si>
    <t>ExpAA=0.12 First60=0.10 PredHel=0 Topology=o</t>
  </si>
  <si>
    <t>ExpAA=0.17 First60=0.16 PredHel=0 Topology=o</t>
  </si>
  <si>
    <t>TargetP prediction</t>
  </si>
  <si>
    <t>Antigen 5 family</t>
  </si>
  <si>
    <t>Apyrase fragment</t>
  </si>
  <si>
    <t>Cral/Trio family</t>
  </si>
  <si>
    <t>CRAL/TRIO domain containing protein</t>
  </si>
  <si>
    <t>Hemolysin family</t>
  </si>
  <si>
    <t>Lipocalin family</t>
  </si>
  <si>
    <t>Trialysin family</t>
  </si>
  <si>
    <t>Similar to T. matogrossensis protein</t>
  </si>
  <si>
    <t>Deorphanized T. matogrossensis family</t>
  </si>
  <si>
    <t xml:space="preserve">Procalin </t>
  </si>
  <si>
    <t xml:space="preserve">Venom allergen 5 </t>
  </si>
  <si>
    <t xml:space="preserve">5'-nucleotidase </t>
  </si>
  <si>
    <t xml:space="preserve">hemolysin-like secreted salivary protein 1 </t>
  </si>
  <si>
    <t xml:space="preserve">Tropomyosin </t>
  </si>
  <si>
    <t xml:space="preserve">Calmodulin </t>
  </si>
  <si>
    <t xml:space="preserve">Replication protein A 70 kDa DNA-binding subunit </t>
  </si>
  <si>
    <t xml:space="preserve">Tubulin alpha chain </t>
  </si>
  <si>
    <t xml:space="preserve">Ubiquitin carboxyl-terminal hydrolase </t>
  </si>
  <si>
    <t xml:space="preserve">Tropomyosin-1 </t>
  </si>
  <si>
    <t xml:space="preserve">Nostrin </t>
  </si>
  <si>
    <t xml:space="preserve">Alcohol dehydrogenase class-3 </t>
  </si>
  <si>
    <t xml:space="preserve">Glutathione S-transferase 1, isoform D </t>
  </si>
  <si>
    <t xml:space="preserve">Glutathione peroxidase </t>
  </si>
  <si>
    <t xml:space="preserve">Probable cytochrome P450 6a19 </t>
  </si>
  <si>
    <t xml:space="preserve">Probable cytochrome P450 6a13 </t>
  </si>
  <si>
    <t xml:space="preserve">Cytochrome P450 6j1 </t>
  </si>
  <si>
    <t xml:space="preserve">Catalase </t>
  </si>
  <si>
    <t xml:space="preserve">Superoxide dismutase </t>
  </si>
  <si>
    <t xml:space="preserve">Probable cytochrome P450 6a23 </t>
  </si>
  <si>
    <t xml:space="preserve">Interferon-related developmental regulator 1 </t>
  </si>
  <si>
    <t xml:space="preserve">Aminomethyltransferase, mitochondrial </t>
  </si>
  <si>
    <t xml:space="preserve">ATP synthase subunit a </t>
  </si>
  <si>
    <t xml:space="preserve">Cytochrome c oxidase subunit 3 </t>
  </si>
  <si>
    <t xml:space="preserve">ATP synthase lipid-binding protein, mitochondrial </t>
  </si>
  <si>
    <t xml:space="preserve">Cytochrome b </t>
  </si>
  <si>
    <t xml:space="preserve">Cytochrome c oxidase subunit 2 </t>
  </si>
  <si>
    <t xml:space="preserve">NADH dehydrogenase </t>
  </si>
  <si>
    <t xml:space="preserve">NADH-ubiquinone oxidoreductase chain 1 </t>
  </si>
  <si>
    <t xml:space="preserve">NADH-ubiquinone oxidoreductase chain 6 </t>
  </si>
  <si>
    <t xml:space="preserve">Hydroxymethylglutaryl-CoA lyase, mitochondrial </t>
  </si>
  <si>
    <t xml:space="preserve">Mitochondrial import inner membrane translocase subunit Tim8 </t>
  </si>
  <si>
    <t xml:space="preserve">15-hydroxyprostaglandin dehydrogenase </t>
  </si>
  <si>
    <t xml:space="preserve">Elongation of very long chain fatty acids protein 7 </t>
  </si>
  <si>
    <t xml:space="preserve">Guanine deaminase </t>
  </si>
  <si>
    <t xml:space="preserve">Epimerase family protein SDR39U1 </t>
  </si>
  <si>
    <t xml:space="preserve">Pre-mRNA-splicing factor syf2 </t>
  </si>
  <si>
    <t xml:space="preserve">Trafficking protein particle complex subunit 4 </t>
  </si>
  <si>
    <t xml:space="preserve">Trafficking protein particle complex subunit 2-like protein </t>
  </si>
  <si>
    <t xml:space="preserve">Protein transport protein Sec61 subunit beta </t>
  </si>
  <si>
    <t xml:space="preserve">Exocyst complex component 6 </t>
  </si>
  <si>
    <t xml:space="preserve">Uncharacterized protein C16orf7 homolog </t>
  </si>
  <si>
    <t xml:space="preserve">14-3-3 protein zeta </t>
  </si>
  <si>
    <t xml:space="preserve">Protein disulfide-isomerase </t>
  </si>
  <si>
    <t xml:space="preserve">Ubiquilin-2 </t>
  </si>
  <si>
    <t xml:space="preserve">Glutathione S-transferase </t>
  </si>
  <si>
    <t xml:space="preserve">Peptidyl-prolyl cis-trans isomerase FKBP2 </t>
  </si>
  <si>
    <t xml:space="preserve">Heat shock 70 kDa protein cognate 4 </t>
  </si>
  <si>
    <t xml:space="preserve">Ubiquitin-protein ligase E3B </t>
  </si>
  <si>
    <t xml:space="preserve">Dolichyl-diphosphooligosaccharide--protein glycosyltransferase subunit STT3A </t>
  </si>
  <si>
    <t xml:space="preserve">Putative aminopeptidase W07G4.4 </t>
  </si>
  <si>
    <t xml:space="preserve">Proteasome subunit alpha type-6 </t>
  </si>
  <si>
    <t xml:space="preserve">Proteasome subunit beta type-4 </t>
  </si>
  <si>
    <t xml:space="preserve">NEDD8-conjugating enzyme Ubc12 </t>
  </si>
  <si>
    <t xml:space="preserve">26S proteasome non-ATPase regulatory subunit 7 </t>
  </si>
  <si>
    <t xml:space="preserve">26S protease regulatory subunit 4 </t>
  </si>
  <si>
    <t xml:space="preserve">26S proteasome non-ATPase regulatory subunit 1 </t>
  </si>
  <si>
    <t xml:space="preserve">60S ribosomal protein L44 </t>
  </si>
  <si>
    <t xml:space="preserve">60S ribosomal protein L28 </t>
  </si>
  <si>
    <t xml:space="preserve">60S ribosomal protein L26 </t>
  </si>
  <si>
    <t xml:space="preserve">Ubiquitin-40S ribosomal protein S27a </t>
  </si>
  <si>
    <t xml:space="preserve">40S ribosomal protein S9 </t>
  </si>
  <si>
    <t xml:space="preserve">40S ribosomal protein S15a </t>
  </si>
  <si>
    <t xml:space="preserve">Ubiquitin-60S ribosomal protein L40 </t>
  </si>
  <si>
    <t xml:space="preserve">Stress-associated endoplasmic reticulum protein 2 </t>
  </si>
  <si>
    <t xml:space="preserve">60S ribosomal protein L31 </t>
  </si>
  <si>
    <t xml:space="preserve">40S ribosomal protein S18 </t>
  </si>
  <si>
    <t xml:space="preserve">Polyubiquitin </t>
  </si>
  <si>
    <t xml:space="preserve">40S ribosomal protein S20 </t>
  </si>
  <si>
    <t xml:space="preserve">60S ribosomal protein L22 </t>
  </si>
  <si>
    <t xml:space="preserve">Polyubiquitin-C </t>
  </si>
  <si>
    <t xml:space="preserve">40S ribosomal protein S7 </t>
  </si>
  <si>
    <t xml:space="preserve">Interleukin-4 receptor subunit alpha </t>
  </si>
  <si>
    <t xml:space="preserve">40S ribosomal protein S3a </t>
  </si>
  <si>
    <t xml:space="preserve">60S acidic ribosomal protein P2 </t>
  </si>
  <si>
    <t xml:space="preserve">40S ribosomal protein S25 </t>
  </si>
  <si>
    <t xml:space="preserve">60S ribosomal protein L24 </t>
  </si>
  <si>
    <t xml:space="preserve">40S ribosomal protein S2 </t>
  </si>
  <si>
    <t xml:space="preserve">40S ribosomal protein S14 </t>
  </si>
  <si>
    <t xml:space="preserve">60S ribosomal protein L3 </t>
  </si>
  <si>
    <t xml:space="preserve">40S ribosomal protein S28 </t>
  </si>
  <si>
    <t xml:space="preserve">60S ribosomal protein L11 </t>
  </si>
  <si>
    <t xml:space="preserve">60S acidic ribosomal protein P1 </t>
  </si>
  <si>
    <t xml:space="preserve">60S ribosomal protein L35 </t>
  </si>
  <si>
    <t xml:space="preserve">60S ribosomal protein L10 </t>
  </si>
  <si>
    <t xml:space="preserve">40S ribosomal protein S3 </t>
  </si>
  <si>
    <t xml:space="preserve">40S ribosomal protein SA </t>
  </si>
  <si>
    <t xml:space="preserve">40S ribosomal protein S23 </t>
  </si>
  <si>
    <t xml:space="preserve">Signal recognition particle 19 kDa protein </t>
  </si>
  <si>
    <t xml:space="preserve">40S ribosomal protein S4 </t>
  </si>
  <si>
    <t xml:space="preserve">60S ribosomal protein L7a </t>
  </si>
  <si>
    <t xml:space="preserve">60S ribosomal protein L15 </t>
  </si>
  <si>
    <t xml:space="preserve">60S ribosomal protein L34 </t>
  </si>
  <si>
    <t xml:space="preserve">Eukaryotic translation initiation factor 4E type 2 </t>
  </si>
  <si>
    <t xml:space="preserve">60S ribosomal protein L19 </t>
  </si>
  <si>
    <t xml:space="preserve">60S ribosomal protein L39 </t>
  </si>
  <si>
    <t xml:space="preserve">40S ribosomal protein S17 </t>
  </si>
  <si>
    <t xml:space="preserve">60S ribosomal protein L23 </t>
  </si>
  <si>
    <t xml:space="preserve">60S ribosomal protein L6 </t>
  </si>
  <si>
    <t xml:space="preserve">Ribosome biogenesis protein NSA2 homolog </t>
  </si>
  <si>
    <t xml:space="preserve">60S ribosomal protein L23a </t>
  </si>
  <si>
    <t xml:space="preserve">60S ribosomal protein L32 </t>
  </si>
  <si>
    <t xml:space="preserve">40S ribosomal protein S8 </t>
  </si>
  <si>
    <t xml:space="preserve">40S ribosomal protein S19 </t>
  </si>
  <si>
    <t xml:space="preserve">60S ribosomal protein L30 </t>
  </si>
  <si>
    <t xml:space="preserve">60S ribosomal protein L14 </t>
  </si>
  <si>
    <t xml:space="preserve">Translation elongation factor 2 </t>
  </si>
  <si>
    <t xml:space="preserve">Polyadenylate-binding protein 1 </t>
  </si>
  <si>
    <t xml:space="preserve">60S ribosomal protein L35a </t>
  </si>
  <si>
    <t xml:space="preserve">60S ribosomal protein L13a </t>
  </si>
  <si>
    <t xml:space="preserve">40S ribosomal protein S5b </t>
  </si>
  <si>
    <t xml:space="preserve">60S ribosomal protein L18 </t>
  </si>
  <si>
    <t xml:space="preserve">60S ribosomal protein L18a </t>
  </si>
  <si>
    <t xml:space="preserve">40S ribosomal protein S6 </t>
  </si>
  <si>
    <t xml:space="preserve">Tonsoku-like protein </t>
  </si>
  <si>
    <t xml:space="preserve">Elongation factor 1-alpha 2 </t>
  </si>
  <si>
    <t xml:space="preserve">Phenylalanyl-tRNA synthetase beta chain </t>
  </si>
  <si>
    <t xml:space="preserve">Guanine nucleotide-binding protein subunit beta-like protein </t>
  </si>
  <si>
    <t xml:space="preserve">Calcium-binding protein p22 </t>
  </si>
  <si>
    <t xml:space="preserve">Glycine receptor subunit alpha-2 </t>
  </si>
  <si>
    <t xml:space="preserve">UBX domain-containing protein 4 </t>
  </si>
  <si>
    <t xml:space="preserve">Protein ECT2 </t>
  </si>
  <si>
    <t xml:space="preserve">Growth hormone-inducible transmembrane protein </t>
  </si>
  <si>
    <t xml:space="preserve">Serine-threonine-protein phosphatase PP1-beta catalytic subunit </t>
  </si>
  <si>
    <t xml:space="preserve">Dynein light chain 1, cytoplasmic </t>
  </si>
  <si>
    <t xml:space="preserve">Dolichyl-diphosphooligosaccharide--protein glycosyltransferase subunit DAD1 </t>
  </si>
  <si>
    <t xml:space="preserve">Programmed cell death protein 6 </t>
  </si>
  <si>
    <t xml:space="preserve">Neurofilament heavy polypeptide </t>
  </si>
  <si>
    <t xml:space="preserve">Ferritin subunit </t>
  </si>
  <si>
    <t xml:space="preserve">Vitellogenin </t>
  </si>
  <si>
    <t xml:space="preserve">Protein rad9 </t>
  </si>
  <si>
    <t xml:space="preserve">Endothelial differentiation-related factor 1 homolog </t>
  </si>
  <si>
    <t xml:space="preserve">MOG interacting and ectopic P-granules protein 1 </t>
  </si>
  <si>
    <t xml:space="preserve">Zinc finger protein 593 homolog </t>
  </si>
  <si>
    <t xml:space="preserve">U5 small nuclear ribonucleoprotein 40 kDa protein </t>
  </si>
  <si>
    <t xml:space="preserve">Pterin-4-alpha-carbinolamine dehydratase 2 </t>
  </si>
  <si>
    <t xml:space="preserve">C-terminal-binding protein </t>
  </si>
  <si>
    <t xml:space="preserve">Alpha-ketoglutarate-dependent dioxygenase alkB </t>
  </si>
  <si>
    <t xml:space="preserve">RNA-binding protein 25 </t>
  </si>
  <si>
    <t xml:space="preserve">Uncharacterized protein C6orf136 </t>
  </si>
  <si>
    <t xml:space="preserve">Melanoma-associated antigen G1 </t>
  </si>
  <si>
    <t xml:space="preserve">TM2 domain-containing protein CG10795 </t>
  </si>
  <si>
    <t xml:space="preserve">Plasminogen activator inhibitor 1 RNA-binding protein </t>
  </si>
  <si>
    <t xml:space="preserve">Chromosomal replication initiator protein DnaA </t>
  </si>
  <si>
    <t xml:space="preserve">Protein midA homolog, mitochondrial </t>
  </si>
  <si>
    <t xml:space="preserve">Uncharacterized protein U88 </t>
  </si>
  <si>
    <t xml:space="preserve">Arginine-serine-rich coiled-coil protein 2 </t>
  </si>
  <si>
    <t xml:space="preserve">Golgin subfamily A member 1 </t>
  </si>
  <si>
    <t xml:space="preserve">Rho guanine nucleotide exchange factor gef2 </t>
  </si>
  <si>
    <t xml:space="preserve">Probable splicing factor, arginine-serine-rich 4 </t>
  </si>
  <si>
    <t xml:space="preserve">Putative mediator of RNA polymerase II transcription subunit 23 </t>
  </si>
  <si>
    <t xml:space="preserve">hypothetical conserved protein </t>
  </si>
  <si>
    <t xml:space="preserve">Asparagine synthetase </t>
  </si>
  <si>
    <t xml:space="preserve">NAD(P)H-quinone oxidoreductase subunit 1, chloroplastic </t>
  </si>
  <si>
    <t xml:space="preserve">MATH and LRR domain-containing protein PFE0570w </t>
  </si>
  <si>
    <t xml:space="preserve">Caveolin-2 </t>
  </si>
  <si>
    <t xml:space="preserve">Uncharacterized protein PYRAB14350 </t>
  </si>
  <si>
    <t xml:space="preserve">Paramyosin </t>
  </si>
  <si>
    <t xml:space="preserve">Vigilin </t>
  </si>
  <si>
    <t xml:space="preserve">Transcriptional regulatory protein EDS1 </t>
  </si>
  <si>
    <t xml:space="preserve">Procollagen-lysine,2-oxoglutarate 5-dioxygenase 3 </t>
  </si>
  <si>
    <t xml:space="preserve">DNA ligase </t>
  </si>
  <si>
    <t xml:space="preserve">Uncharacterized protein T05G5.1 </t>
  </si>
  <si>
    <t xml:space="preserve">Uncharacterized tatC-like protein ymf16 </t>
  </si>
  <si>
    <t xml:space="preserve">Probable serine-threonine-protein kinase DDB_G0267514 </t>
  </si>
  <si>
    <t xml:space="preserve">Ribonuclease 3 </t>
  </si>
  <si>
    <t xml:space="preserve">Uncharacterized MFS-type transporter yfmI </t>
  </si>
  <si>
    <t xml:space="preserve">Trans-aconitate 2-methyltransferase </t>
  </si>
  <si>
    <t xml:space="preserve">UPF0187 protein alr2987 </t>
  </si>
  <si>
    <t xml:space="preserve">Calcium uptake protein 1, mitochondrial </t>
  </si>
  <si>
    <t xml:space="preserve">Nucleolin </t>
  </si>
  <si>
    <t xml:space="preserve">60S ribosomal protein L38 </t>
  </si>
  <si>
    <t xml:space="preserve">Uncharacterized protein yebC </t>
  </si>
  <si>
    <t xml:space="preserve">Olfactory receptor 5K4 </t>
  </si>
  <si>
    <t xml:space="preserve">Protein PXR1 </t>
  </si>
  <si>
    <t xml:space="preserve">Protein kish-A </t>
  </si>
  <si>
    <t xml:space="preserve">NADH-ubiquinone oxidoreductase chain 5 </t>
  </si>
  <si>
    <t xml:space="preserve">Topoisomerase I damage affected protein 7 </t>
  </si>
  <si>
    <t xml:space="preserve">RING finger protein 11 </t>
  </si>
  <si>
    <t xml:space="preserve">Selenide, water dikinase </t>
  </si>
  <si>
    <t xml:space="preserve">28S ribosomal protein S9, mitochondrial </t>
  </si>
  <si>
    <t xml:space="preserve">Uncharacterized membrane protein ycf78 </t>
  </si>
  <si>
    <t xml:space="preserve">BRO1 domain-containing protein BROX </t>
  </si>
  <si>
    <t xml:space="preserve">Ribosomal protein VAR1, mitochondrial </t>
  </si>
  <si>
    <t xml:space="preserve">Putative structural protein VP3 </t>
  </si>
  <si>
    <t xml:space="preserve">Flagellar biosynthetic protein flhB </t>
  </si>
  <si>
    <t xml:space="preserve">39S ribosomal protein L34, mitochondrial </t>
  </si>
  <si>
    <t xml:space="preserve">Longitudinals lacking protein, isoforms J-P-Q-S-Z </t>
  </si>
  <si>
    <t xml:space="preserve">4-hydroxybenzoate polyprenyltransferase, mitochondrial </t>
  </si>
  <si>
    <t xml:space="preserve">Hornerin </t>
  </si>
  <si>
    <t xml:space="preserve">Olfactory receptor 5AC1 </t>
  </si>
  <si>
    <t xml:space="preserve">Fatty acid-binding protein, muscle </t>
  </si>
  <si>
    <t xml:space="preserve">Uncharacterized protein PF07_0086 </t>
  </si>
  <si>
    <t xml:space="preserve">Intraflagellar transport protein 122 homolog </t>
  </si>
  <si>
    <t xml:space="preserve">Chaperone protein DnaJ </t>
  </si>
  <si>
    <t xml:space="preserve">Lactose permease (Fragment) </t>
  </si>
  <si>
    <t xml:space="preserve">YLP motif-containing protein 1 </t>
  </si>
  <si>
    <t xml:space="preserve">ES1 protein, mitochondrial </t>
  </si>
  <si>
    <t xml:space="preserve">Major core protein P4a </t>
  </si>
  <si>
    <t xml:space="preserve">ATP-binding cassette sub-family A member 10 </t>
  </si>
  <si>
    <t xml:space="preserve">60S ribosomal protein L27 </t>
  </si>
  <si>
    <t xml:space="preserve">Protein FPV096 </t>
  </si>
  <si>
    <t xml:space="preserve">Protein held out wings </t>
  </si>
  <si>
    <t xml:space="preserve">Formin-G </t>
  </si>
  <si>
    <t xml:space="preserve">Methionine aminopeptidase 2 </t>
  </si>
  <si>
    <t xml:space="preserve">Thymidylate kinase </t>
  </si>
  <si>
    <t xml:space="preserve">Uncharacterized transporter bbp_411 </t>
  </si>
  <si>
    <t xml:space="preserve">Uncharacterized protein bbp_081 </t>
  </si>
  <si>
    <t xml:space="preserve">Acyl-CoA synthetase family member 4 </t>
  </si>
  <si>
    <t xml:space="preserve">Putative UPF0479 protein YOR396C-A </t>
  </si>
  <si>
    <t xml:space="preserve">Cytochrome c biogenesis protein ccsA </t>
  </si>
  <si>
    <t xml:space="preserve">Mgp-operon protein 1 </t>
  </si>
  <si>
    <t xml:space="preserve">Putative uncharacterized protein YGR069W </t>
  </si>
  <si>
    <t xml:space="preserve">Thebaine 6-O-demethylase </t>
  </si>
  <si>
    <t xml:space="preserve">DNA gyrase subunit B </t>
  </si>
  <si>
    <t xml:space="preserve">Uncharacterized mitochondrial protein ORF14 </t>
  </si>
  <si>
    <t xml:space="preserve">Fer-1-like protein 5 </t>
  </si>
  <si>
    <t xml:space="preserve">60S ribosomal protein L8 </t>
  </si>
  <si>
    <t xml:space="preserve">Chondroitin sulfate synthase 2 </t>
  </si>
  <si>
    <t xml:space="preserve">4-coumarate--CoA ligase-like 6 </t>
  </si>
  <si>
    <t xml:space="preserve">Uncharacterized protein UU112 </t>
  </si>
  <si>
    <t xml:space="preserve">Exoribonuclease 2 </t>
  </si>
  <si>
    <t xml:space="preserve">Glycine dehydrogenase </t>
  </si>
  <si>
    <t xml:space="preserve">Thiamine-phosphate pyrophosphorylase </t>
  </si>
  <si>
    <t xml:space="preserve">Nuclear migration protein NUM1 </t>
  </si>
  <si>
    <t xml:space="preserve">Putative elongation of fatty acids protein 2 </t>
  </si>
  <si>
    <t xml:space="preserve">Transmembrane protein 184C </t>
  </si>
  <si>
    <t xml:space="preserve">Serine-threonine-protein phosphatase 2A 56 kDa regulatory subunit epsilon isoform </t>
  </si>
  <si>
    <t xml:space="preserve">Peptidoglycan-recognition protein LA </t>
  </si>
  <si>
    <t xml:space="preserve">Uncoordinated protein 79 </t>
  </si>
  <si>
    <t xml:space="preserve">Mitochondrial import inner membrane translocase subunit TIM50 </t>
  </si>
  <si>
    <t xml:space="preserve">THO complex subunit 2 </t>
  </si>
  <si>
    <t xml:space="preserve">Protein BptA </t>
  </si>
  <si>
    <t xml:space="preserve">C-reactive protein </t>
  </si>
  <si>
    <t xml:space="preserve">Protein FAM59A </t>
  </si>
  <si>
    <t xml:space="preserve">Elongation factor 1-delta </t>
  </si>
  <si>
    <t xml:space="preserve">Adenosylhomocysteinase </t>
  </si>
  <si>
    <t xml:space="preserve">Adipocyte enhancer-binding protein 1 </t>
  </si>
  <si>
    <t xml:space="preserve">tRNA modification GTPase MnmE </t>
  </si>
  <si>
    <t xml:space="preserve">AP-1 complex subunit gamma-1 </t>
  </si>
  <si>
    <t xml:space="preserve">Disulfide bond formation protein B </t>
  </si>
  <si>
    <t xml:space="preserve">Leucyl-tRNA synthetase </t>
  </si>
  <si>
    <t xml:space="preserve">Isoleucyl-tRNA synthetase </t>
  </si>
  <si>
    <t xml:space="preserve">Zinc finger protein 91 </t>
  </si>
  <si>
    <t xml:space="preserve">Ribonuclease H </t>
  </si>
  <si>
    <t xml:space="preserve">Deubiquitinating protein VCIP135 </t>
  </si>
  <si>
    <t xml:space="preserve">Exodeoxyribonuclease V gamma chain </t>
  </si>
  <si>
    <t xml:space="preserve">GLC7-interacting protein 1 </t>
  </si>
  <si>
    <t xml:space="preserve">Flap endonuclease 1 </t>
  </si>
  <si>
    <t xml:space="preserve">Protein argonaute PNH1 </t>
  </si>
  <si>
    <t xml:space="preserve">Protein U90 </t>
  </si>
  <si>
    <t xml:space="preserve">Pyruvate-flavodoxin oxidoreductase </t>
  </si>
  <si>
    <t xml:space="preserve">Olfactory receptor 51B2 </t>
  </si>
  <si>
    <t xml:space="preserve">Fructose-1,6-bisphosphatase class 2 </t>
  </si>
  <si>
    <t xml:space="preserve">ATP synthase subunit alpha, mitochondrial </t>
  </si>
  <si>
    <t xml:space="preserve">Uncharacterized protein YuaQ </t>
  </si>
  <si>
    <t xml:space="preserve">Alginate biosynthesis protein AlgX </t>
  </si>
  <si>
    <t xml:space="preserve">Auxin response factor 14 </t>
  </si>
  <si>
    <t xml:space="preserve">CBL-interacting serine-threonine-protein kinase 23 </t>
  </si>
  <si>
    <t xml:space="preserve">Phosphoadenosine phosphosulfate reductase </t>
  </si>
  <si>
    <t xml:space="preserve">Dihydroxy-acid dehydratase </t>
  </si>
  <si>
    <t xml:space="preserve">Glycerol-3-phosphate acyltransferase </t>
  </si>
  <si>
    <t xml:space="preserve">Fukutin </t>
  </si>
  <si>
    <t xml:space="preserve">Dephospho-CoA kinase </t>
  </si>
  <si>
    <t xml:space="preserve">Modification methylase NgoFVII </t>
  </si>
  <si>
    <t xml:space="preserve">DNA-directed RNA polymerase subunit beta'' </t>
  </si>
  <si>
    <t xml:space="preserve">Heparin-binding growth factor 1 </t>
  </si>
  <si>
    <t xml:space="preserve">Putative uncharacterized protein YKL030W </t>
  </si>
  <si>
    <t xml:space="preserve">NADPH oxidase 5 </t>
  </si>
  <si>
    <t xml:space="preserve">Diacylglycerol kinase alpha </t>
  </si>
  <si>
    <t xml:space="preserve">Early 53 kDa protein </t>
  </si>
  <si>
    <t xml:space="preserve">(Z)-gamma-bisabolene synthase 2 </t>
  </si>
  <si>
    <t xml:space="preserve">Extensin-3 </t>
  </si>
  <si>
    <t xml:space="preserve">P2Y purinoceptor 4 </t>
  </si>
  <si>
    <t xml:space="preserve">Glucose-6-phosphate isomerase </t>
  </si>
  <si>
    <t xml:space="preserve">Cytadherence high molecular weight protein 2 </t>
  </si>
  <si>
    <t xml:space="preserve">Thiamine biosynthesis lipoprotein ApbE </t>
  </si>
  <si>
    <t xml:space="preserve">Protein dopey homolog PFC0245c </t>
  </si>
  <si>
    <t xml:space="preserve">Dual specificity protein kinase pyk1 </t>
  </si>
  <si>
    <t xml:space="preserve">Probable pectinesterase-pectinesterase inhibitor 33 </t>
  </si>
  <si>
    <t xml:space="preserve">Glucose-1-phosphate adenylyltransferase </t>
  </si>
  <si>
    <t xml:space="preserve">4-coumarate--CoA ligase 2 </t>
  </si>
  <si>
    <t xml:space="preserve">Uncharacterized protein AF_0631 </t>
  </si>
  <si>
    <t xml:space="preserve">Serine-threonine-protein kinase CST20 </t>
  </si>
  <si>
    <t xml:space="preserve">Cerberus </t>
  </si>
  <si>
    <t xml:space="preserve">Zinc finger protein 335 </t>
  </si>
  <si>
    <t xml:space="preserve">Transcription activator gutR </t>
  </si>
  <si>
    <t xml:space="preserve">Uncharacterized protein ybhP </t>
  </si>
  <si>
    <t xml:space="preserve">Tektin-3 </t>
  </si>
  <si>
    <t xml:space="preserve">Prothrombin </t>
  </si>
  <si>
    <t xml:space="preserve">Centromere protein U </t>
  </si>
  <si>
    <t xml:space="preserve">Protein translocase subunit secA </t>
  </si>
  <si>
    <t xml:space="preserve">3-ketosteroid-9-alpha-hydroxylase oxygenase subunit </t>
  </si>
  <si>
    <t xml:space="preserve">Undecaprenyl-diphosphatase </t>
  </si>
  <si>
    <t xml:space="preserve">Eukaryotic translation initiation factor 5A-2 </t>
  </si>
  <si>
    <t xml:space="preserve">Midasin </t>
  </si>
  <si>
    <t xml:space="preserve">Epstein-Barr nuclear antigen 1 </t>
  </si>
  <si>
    <t xml:space="preserve">Peptidyl-prolyl cis-trans isomerase FKBP5 </t>
  </si>
  <si>
    <t xml:space="preserve">Probable RNA helicase SDE3 </t>
  </si>
  <si>
    <t xml:space="preserve">Glucosamine-6-phosphate deaminase </t>
  </si>
  <si>
    <t xml:space="preserve">JmjC domain-containing protein E </t>
  </si>
  <si>
    <t xml:space="preserve">Autophagy-related protein 11 </t>
  </si>
  <si>
    <t xml:space="preserve">Phosphoribosylformylglycinamidine synthase 2 </t>
  </si>
  <si>
    <t xml:space="preserve">Minor capsid protein 6 </t>
  </si>
  <si>
    <t>Salivary lipocalin</t>
  </si>
  <si>
    <t>Clustered at 25%-Sim- on 50% of length - - Cluster#</t>
  </si>
  <si>
    <t xml:space="preserve"># seqs </t>
  </si>
  <si>
    <t>Clustered at 30%-Sim- on 50% of length - - Cluster#</t>
  </si>
  <si>
    <t>Clustered at 35%-Sim- on 50% of length - - Cluster#</t>
  </si>
  <si>
    <t>Clustered at 40%-Sim- on 50% of length - - Cluster#</t>
  </si>
  <si>
    <t>Clustered at 45%-Sim- on 50% of length - - Cluster#</t>
  </si>
  <si>
    <t>Clustered at 50%-Sim- on 50% of length - - Cluster#</t>
  </si>
  <si>
    <t>Clustered at 55%-Sim- on 50% of length - - Cluster#</t>
  </si>
  <si>
    <t>Clustered at 60%-Sim- on 50% of length - - Cluster#</t>
  </si>
  <si>
    <t>Clustered at 65%-Sim- on 50% of length - - Cluster#</t>
  </si>
  <si>
    <t>Clustered at 70%-Sim- on 50% of length - - Cluster#</t>
  </si>
  <si>
    <t>Clustered at 75%-Sim- on 50% of length - - Cluster#</t>
  </si>
  <si>
    <t>Clustered at 80%-Sim- on 50% of length - - Cluster#</t>
  </si>
  <si>
    <t>Clustered at 85%-Sim- on 50% of length - - Cluster#</t>
  </si>
  <si>
    <t>Clustered at 90%-Sim- on 50% of length - - Cluster#</t>
  </si>
  <si>
    <t>Clustered at 95%-Sim- on 50% of length - - Cluster#</t>
  </si>
  <si>
    <t>Signal transduction</t>
  </si>
  <si>
    <t>Transposable element</t>
  </si>
  <si>
    <t>Transcription factor</t>
  </si>
  <si>
    <t>Transcription machinery</t>
  </si>
  <si>
    <t>Unknown conserved</t>
  </si>
  <si>
    <t>Unknown</t>
  </si>
  <si>
    <t>dolichyl/-phosphate/-mannose/-protein mannosyltransferase activity||mannosyltransferase activity||transferase activity/, transferring hexosyl groups||transferase activity/, transferring glycosyl groups||transferase activity||catalytic activity</t>
  </si>
  <si>
    <t>ubiquitin thiolesterase activity||thiolester hydrolase activity||hydrolase activity/, acting on ester bonds||hydrolase activity||catalytic activity</t>
  </si>
  <si>
    <t>alcohol dehydrogenase (NAD) activity||oxidoreductase activity/, acting on the CH/-OH group of donors/, NAD or NADP as acceptor||oxidoreductase activity/, acting on CH/-OH group of donors||oxidoreductase activity||catalytic activity</t>
  </si>
  <si>
    <t>glutathione transferase activity||transferase activity/, transferring alkyl or aryl (other than methyl) groups||transferase activity||catalytic activity</t>
  </si>
  <si>
    <t>glutathione peroxidase activity||peroxidase activity||oxidoreductase activity/, acting on peroxide as acceptor||oxidoreductase activity||catalytic activity</t>
  </si>
  <si>
    <t>catalase activity||peroxidase activity||oxidoreductase activity/, acting on peroxide as acceptor||oxidoreductase activity||catalytic activity</t>
  </si>
  <si>
    <t>aminomethyltransferase activity||methyltransferase activity||transferase activity/, transferring one/-carbon groups||transferase activity||catalytic activity</t>
  </si>
  <si>
    <t>hydrogen/-exporting ATPase activity/, phosphorylative mechanism||ATPase activity/, coupled to transmembrane movement of ions/, phosphorylative mechanism||ATPase activity/, coupled to transmembrane movement of ions||ATPase activity/, coupled to transmembrane movement of substances||ATPase activity/, coupled to movement of substances||ATPase activity/, coupled||ATPase activity||nucleoside/-triphosphatase activity||pyrophosphatase activity||hydrolase activity/, acting on acid anhydrides/, in phosphorus/-containing anhydrides||hydrolase activity/, acting on acid anhydrides||hydrolase activity||catalytic activity</t>
  </si>
  <si>
    <t>cytochrome/-c oxidase activity||hydrogen ion transmembrane transporter activity||monovalent inorganic cation transmembrane transporter activity||inorganic cation transmembrane transporter activity||cation transmembrane transporter activity||ion transmembrane transporter activity||substrate/-specific transmembrane transporter activity||substrate/-specific transporter activity||transporter activity</t>
  </si>
  <si>
    <t>substrate/-specific transporter activity</t>
  </si>
  <si>
    <t>ubiquinol/-cytochrome/-c reductase activity||hydrogen ion transmembrane transporter activity||monovalent inorganic cation transmembrane transporter activity||inorganic cation transmembrane transporter activity||cation transmembrane transporter activity||ion transmembrane transporter activity||substrate/-specific transmembrane transporter activity||substrate/-specific transporter activity||transporter activity</t>
  </si>
  <si>
    <t>NADH dehydrogenase (ubiquinone) activity||NADH dehydrogenase (quinone) activity||oxidoreductase activity/, acting on NADH or NADPH/, quinone or similar compound as acceptor||oxidoreductase activity/, acting on NADH or NADPH||oxidoreductase activity||catalytic activity</t>
  </si>
  <si>
    <t>oxidoreductase activity/, acting on NADH or NADPH||oxidoreductase activity||catalytic activity</t>
  </si>
  <si>
    <t>acyl/-CoA binding||fatty acid binding||monocarboxylic acid binding||carboxylic acid binding||binding</t>
  </si>
  <si>
    <t>protein disulfide isomerase activity||intramolecular oxidoreductase activity/, interconverting keto/- and enol/-groups||intramolecular oxidoreductase activity||isomerase activity||catalytic activity</t>
  </si>
  <si>
    <t>peptidyl/-prolyl cis/-trans isomerase activity||cis/-trans isomerase activity||isomerase activity||catalytic activity</t>
  </si>
  <si>
    <t>ubiquitin/-protein ligase activity||small conjugating protein ligase activity||acid/-amino acid ligase activity||ligase activity/, forming carbon/-nitrogen bonds||ligase activity||catalytic activity</t>
  </si>
  <si>
    <t>aminopeptidase activity||exopeptidase activity||peptidase activity/, acting on L/-amino acid peptides||peptidase activity||hydrolase activity||catalytic activity</t>
  </si>
  <si>
    <t>threonine/-type endopeptidase activity||threonine/-type peptidase activity||peptidase activity/, acting on L/-amino acid peptides||peptidase activity||hydrolase activity||catalytic activity</t>
  </si>
  <si>
    <t>ATPase activity||nucleoside/-triphosphatase activity||pyrophosphatase activity||hydrolase activity/, acting on acid anhydrides/, in phosphorus/-containing anhydrides||hydrolase activity/, acting on acid anhydrides||hydrolase activity||catalytic activity</t>
  </si>
  <si>
    <t>endopeptidase activity||peptidase activity/, acting on L/-amino acid peptides||peptidase activity||hydrolase activity||catalytic activity</t>
  </si>
  <si>
    <t>DNA/-(apurinic or apyrimidinic site) lyase activity||carbon/-oxygen lyase activity||lyase activity||catalytic activity</t>
  </si>
  <si>
    <t>extracellular/-glycine/-gated ion channel activity||excitatory extracellular ligand/-gated ion channel activity||extracellular ligand/-gated ion channel activity||ligand/-gated ion channel activity||ion channel activity||ion transmembrane transporter activity||substrate/-specific transmembrane transporter activity||substrate/-specific transporter activity||transporter activity</t>
  </si>
  <si>
    <t>guanyl/-nucleotide exchange factor activity||GTPase regulator activity||nucleoside/-triphosphatase regulator activity||enzyme regulator activity</t>
  </si>
  <si>
    <t>nucleoside/-triphosphatase regulator activity</t>
  </si>
  <si>
    <t>phosphoprotein phosphatase activity||phosphatase activity||phosphoric ester hydrolase activity||hydrolase activity/, acting on ester bonds||hydrolase activity||catalytic activity</t>
  </si>
  <si>
    <t>microtubule motor activity||motor activity||nucleoside/-triphosphatase activity||pyrophosphatase activity||hydrolase activity/, acting on acid anhydrides/, in phosphorus/-containing anhydrides||hydrolase activity/, acting on acid anhydrides||hydrolase activity||catalytic activity</t>
  </si>
  <si>
    <t>oligosaccharyl transferase activity||transferase activity/, transferring hexosyl groups||transferase activity/, transferring glycosyl groups||transferase activity||catalytic activity</t>
  </si>
  <si>
    <t>phenylalanine 4/-monooxygenase activity||oxidoreductase activity/, acting on paired donors/, with incorporation or reduction of molecular oxygen/, reduced pteridine as one donor/, and incorporation of one atom of oxygen||oxidoreductase activity/, acting on paired donors/, with incorporation or reduction of molecular oxygen||oxidoreductase activity||catalytic activity</t>
  </si>
  <si>
    <t>single/-stranded DNA binding||structure/-specific DNA binding||DNA binding||nucleic acid binding||binding</t>
  </si>
  <si>
    <t>NADH dehydrogenase activity||oxidoreductase activity/, acting on NADH or NADPH||oxidoreductase activity||catalytic activity</t>
  </si>
  <si>
    <t>hydrogen ion transporting ATP synthase activity/, rotational mechanism||hydrogen ion transmembrane transporter activity||monovalent inorganic cation transmembrane transporter activity||inorganic cation transmembrane transporter activity||cation transmembrane transporter activity||ion transmembrane transporter activity||substrate/-specific transmembrane transporter activity||substrate/-specific transporter activity||transporter activity</t>
  </si>
  <si>
    <t>translation elongation factor activity||translation factor activity/, nucleic acid binding||translation regulator activity</t>
  </si>
  <si>
    <t>translation factor activity/, nucleic acid binding</t>
  </si>
  <si>
    <t>glucosamine/-6/-phosphate deaminase activity||intramolecular oxidoreductase activity/, interconverting aldoses and ketoses||intramolecular oxidoreductase activity||isomerase activity||catalytic activity</t>
  </si>
  <si>
    <t>Link to protein sequence</t>
  </si>
  <si>
    <t>Link to coding sequence</t>
  </si>
</sst>
</file>

<file path=xl/styles.xml><?xml version="1.0" encoding="utf-8"?>
<styleSheet xmlns="http://schemas.openxmlformats.org/spreadsheetml/2006/main">
  <fonts count="19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1"/>
      <color rgb="FF006100"/>
      <name val="Verdana"/>
      <family val="2"/>
    </font>
    <font>
      <sz val="11"/>
      <color rgb="FF9C0006"/>
      <name val="Verdana"/>
      <family val="2"/>
    </font>
    <font>
      <sz val="11"/>
      <color rgb="FF9C6500"/>
      <name val="Verdana"/>
      <family val="2"/>
    </font>
    <font>
      <sz val="11"/>
      <color rgb="FF3F3F76"/>
      <name val="Verdana"/>
      <family val="2"/>
    </font>
    <font>
      <b/>
      <sz val="11"/>
      <color rgb="FF3F3F3F"/>
      <name val="Verdana"/>
      <family val="2"/>
    </font>
    <font>
      <b/>
      <sz val="11"/>
      <color rgb="FFFA7D00"/>
      <name val="Verdana"/>
      <family val="2"/>
    </font>
    <font>
      <sz val="11"/>
      <color rgb="FFFA7D00"/>
      <name val="Verdana"/>
      <family val="2"/>
    </font>
    <font>
      <b/>
      <sz val="11"/>
      <color theme="0"/>
      <name val="Verdana"/>
      <family val="2"/>
    </font>
    <font>
      <sz val="11"/>
      <color rgb="FFFF0000"/>
      <name val="Verdana"/>
      <family val="2"/>
    </font>
    <font>
      <i/>
      <sz val="11"/>
      <color rgb="FF7F7F7F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b/>
      <sz val="11"/>
      <color rgb="FF3176C9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33" borderId="10" xfId="0" applyFill="1" applyBorder="1"/>
    <xf numFmtId="0" fontId="0" fillId="0" borderId="0" xfId="0" applyAlignment="1">
      <alignment horizontal="left"/>
    </xf>
    <xf numFmtId="0" fontId="18" fillId="33" borderId="12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left" wrapText="1"/>
    </xf>
    <xf numFmtId="0" fontId="18" fillId="34" borderId="12" xfId="0" applyFont="1" applyFill="1" applyBorder="1" applyAlignment="1">
      <alignment horizontal="center" wrapText="1"/>
    </xf>
    <xf numFmtId="0" fontId="18" fillId="34" borderId="12" xfId="0" applyFont="1" applyFill="1" applyBorder="1" applyAlignment="1">
      <alignment horizontal="left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left" wrapText="1"/>
    </xf>
    <xf numFmtId="0" fontId="18" fillId="34" borderId="11" xfId="0" applyFont="1" applyFill="1" applyBorder="1" applyAlignment="1">
      <alignment horizontal="left"/>
    </xf>
    <xf numFmtId="0" fontId="18" fillId="34" borderId="14" xfId="0" applyFont="1" applyFill="1" applyBorder="1" applyAlignment="1">
      <alignment horizontal="left"/>
    </xf>
    <xf numFmtId="0" fontId="18" fillId="34" borderId="16" xfId="0" applyFont="1" applyFill="1" applyBorder="1" applyAlignment="1">
      <alignment horizontal="center" wrapText="1"/>
    </xf>
    <xf numFmtId="0" fontId="18" fillId="34" borderId="16" xfId="0" applyFont="1" applyFill="1" applyBorder="1" applyAlignment="1">
      <alignment horizontal="left" wrapText="1"/>
    </xf>
    <xf numFmtId="0" fontId="18" fillId="33" borderId="11" xfId="0" applyFont="1" applyFill="1" applyBorder="1" applyAlignment="1">
      <alignment horizontal="left"/>
    </xf>
    <xf numFmtId="0" fontId="0" fillId="33" borderId="1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460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3.8"/>
  <cols>
    <col min="1" max="1" width="21.36328125" customWidth="1"/>
    <col min="2" max="2" width="7.7265625" customWidth="1"/>
    <col min="3" max="4" width="7.7265625" style="1" customWidth="1"/>
    <col min="5" max="6" width="7.7265625" customWidth="1"/>
    <col min="7" max="7" width="16.1796875" style="2" customWidth="1"/>
    <col min="8" max="8" width="8.7265625" style="1"/>
    <col min="9" max="9" width="8.7265625" style="3"/>
    <col min="10" max="10" width="6.453125" style="17" customWidth="1"/>
    <col min="12" max="18" width="7.1796875" style="1" customWidth="1"/>
    <col min="19" max="19" width="6.453125" style="17" customWidth="1"/>
    <col min="22" max="22" width="6.453125" style="17" customWidth="1"/>
    <col min="23" max="27" width="0" hidden="1" customWidth="1"/>
    <col min="28" max="28" width="6.453125" style="17" customWidth="1"/>
    <col min="32" max="32" width="6.453125" style="17" customWidth="1"/>
    <col min="33" max="33" width="11.90625" style="2" customWidth="1"/>
    <col min="41" max="41" width="11.453125" customWidth="1"/>
    <col min="42" max="42" width="8.81640625" style="2"/>
    <col min="44" max="44" width="19.453125" customWidth="1"/>
    <col min="50" max="54" width="0" hidden="1" customWidth="1"/>
    <col min="56" max="56" width="8.81640625" style="2"/>
    <col min="61" max="61" width="8.81640625" style="2"/>
    <col min="64" max="64" width="8.81640625" style="2"/>
    <col min="67" max="67" width="8.81640625" style="2"/>
    <col min="69" max="69" width="8.81640625" style="2"/>
    <col min="71" max="71" width="5.6328125" style="17" customWidth="1"/>
    <col min="72" max="72" width="5.6328125" style="1" customWidth="1"/>
    <col min="73" max="73" width="5.6328125" style="17" customWidth="1"/>
    <col min="74" max="74" width="5.6328125" style="1" customWidth="1"/>
    <col min="75" max="75" width="5.6328125" style="17" customWidth="1"/>
    <col min="76" max="76" width="5.6328125" style="1" customWidth="1"/>
    <col min="77" max="77" width="5.6328125" style="17" customWidth="1"/>
    <col min="78" max="78" width="5.6328125" style="1" customWidth="1"/>
    <col min="79" max="79" width="5.6328125" style="17" customWidth="1"/>
    <col min="80" max="80" width="5.6328125" style="1" customWidth="1"/>
    <col min="81" max="81" width="5.6328125" style="17" customWidth="1"/>
    <col min="82" max="82" width="5.6328125" style="1" customWidth="1"/>
    <col min="83" max="83" width="5.6328125" style="17" customWidth="1"/>
    <col min="84" max="84" width="5.6328125" style="1" customWidth="1"/>
    <col min="85" max="85" width="5.6328125" style="17" customWidth="1"/>
    <col min="86" max="86" width="5.6328125" style="1" customWidth="1"/>
    <col min="87" max="87" width="5.6328125" style="17" customWidth="1"/>
    <col min="88" max="88" width="5.6328125" style="1" customWidth="1"/>
    <col min="89" max="89" width="5.6328125" style="17" customWidth="1"/>
    <col min="90" max="90" width="5.6328125" style="1" customWidth="1"/>
    <col min="91" max="91" width="5.6328125" style="17" customWidth="1"/>
    <col min="92" max="92" width="5.6328125" style="1" customWidth="1"/>
    <col min="93" max="93" width="5.6328125" style="17" customWidth="1"/>
    <col min="94" max="94" width="5.6328125" style="1" customWidth="1"/>
    <col min="95" max="95" width="5.6328125" style="17" customWidth="1"/>
    <col min="96" max="96" width="5.6328125" style="1" customWidth="1"/>
    <col min="97" max="97" width="5.6328125" style="17" customWidth="1"/>
    <col min="98" max="98" width="5.6328125" style="1" customWidth="1"/>
    <col min="99" max="99" width="5.6328125" style="17" customWidth="1"/>
    <col min="100" max="100" width="5.6328125" style="1" customWidth="1"/>
  </cols>
  <sheetData>
    <row r="1" spans="1:100" s="8" customFormat="1" ht="165.6">
      <c r="A1" s="8" t="s">
        <v>1948</v>
      </c>
      <c r="B1" s="8" t="s">
        <v>1</v>
      </c>
      <c r="C1" s="10" t="s">
        <v>0</v>
      </c>
      <c r="D1" s="8" t="s">
        <v>3</v>
      </c>
      <c r="E1" s="8" t="s">
        <v>1949</v>
      </c>
      <c r="F1" s="9" t="s">
        <v>1</v>
      </c>
      <c r="G1" s="8" t="s">
        <v>2</v>
      </c>
      <c r="H1" s="9" t="s">
        <v>1297</v>
      </c>
      <c r="I1" s="11" t="s">
        <v>1264</v>
      </c>
      <c r="J1" s="8" t="s">
        <v>1309</v>
      </c>
      <c r="K1" s="10" t="s">
        <v>1310</v>
      </c>
      <c r="L1" s="10" t="s">
        <v>1311</v>
      </c>
      <c r="M1" s="10" t="s">
        <v>1312</v>
      </c>
      <c r="N1" s="10" t="s">
        <v>1313</v>
      </c>
      <c r="O1" s="10" t="s">
        <v>1312</v>
      </c>
      <c r="P1" s="10" t="s">
        <v>1331</v>
      </c>
      <c r="Q1" s="10" t="s">
        <v>1332</v>
      </c>
      <c r="R1" s="10" t="s">
        <v>1333</v>
      </c>
      <c r="S1" s="8" t="s">
        <v>1576</v>
      </c>
      <c r="T1" s="10" t="s">
        <v>1334</v>
      </c>
      <c r="U1" s="10" t="s">
        <v>1335</v>
      </c>
      <c r="V1" s="8" t="s">
        <v>1336</v>
      </c>
      <c r="W1" s="10" t="s">
        <v>1337</v>
      </c>
      <c r="X1" s="10" t="s">
        <v>1338</v>
      </c>
      <c r="Y1" s="10" t="s">
        <v>1339</v>
      </c>
      <c r="Z1" s="10" t="s">
        <v>1340</v>
      </c>
      <c r="AA1" s="10" t="s">
        <v>1341</v>
      </c>
      <c r="AB1" s="8" t="str">
        <f>HYPERLINK("http://www.cbs.dtu.dk/services/NetOGlyc/","No. potential glyc sites")</f>
        <v>No. potential glyc sites</v>
      </c>
      <c r="AC1" s="10" t="s">
        <v>1342</v>
      </c>
      <c r="AD1" s="10" t="s">
        <v>1343</v>
      </c>
      <c r="AE1" s="10" t="s">
        <v>1344</v>
      </c>
      <c r="AF1" s="8" t="s">
        <v>1345</v>
      </c>
      <c r="AG1" s="8" t="s">
        <v>25</v>
      </c>
      <c r="AH1" s="10" t="s">
        <v>26</v>
      </c>
      <c r="AI1" s="8" t="s">
        <v>27</v>
      </c>
      <c r="AJ1" s="8" t="s">
        <v>28</v>
      </c>
      <c r="AK1" s="8" t="s">
        <v>29</v>
      </c>
      <c r="AL1" s="8" t="s">
        <v>30</v>
      </c>
      <c r="AM1" s="8" t="s">
        <v>31</v>
      </c>
      <c r="AN1" s="8" t="s">
        <v>32</v>
      </c>
      <c r="AO1" s="9" t="s">
        <v>38</v>
      </c>
      <c r="AP1" s="8" t="s">
        <v>39</v>
      </c>
      <c r="AQ1" s="10" t="s">
        <v>26</v>
      </c>
      <c r="AR1" s="8" t="s">
        <v>27</v>
      </c>
      <c r="AS1" s="8" t="s">
        <v>28</v>
      </c>
      <c r="AT1" s="8" t="s">
        <v>29</v>
      </c>
      <c r="AU1" s="8" t="s">
        <v>30</v>
      </c>
      <c r="AV1" s="8" t="s">
        <v>31</v>
      </c>
      <c r="AW1" s="8" t="s">
        <v>32</v>
      </c>
      <c r="AX1" s="8" t="s">
        <v>33</v>
      </c>
      <c r="AY1" s="8" t="s">
        <v>34</v>
      </c>
      <c r="AZ1" s="8" t="s">
        <v>35</v>
      </c>
      <c r="BA1" s="8" t="s">
        <v>36</v>
      </c>
      <c r="BB1" s="8" t="s">
        <v>37</v>
      </c>
      <c r="BC1" s="9" t="s">
        <v>38</v>
      </c>
      <c r="BD1" s="8" t="s">
        <v>40</v>
      </c>
      <c r="BE1" s="10" t="s">
        <v>26</v>
      </c>
      <c r="BF1" s="8" t="s">
        <v>41</v>
      </c>
      <c r="BG1" s="8" t="s">
        <v>42</v>
      </c>
      <c r="BH1" s="8" t="s">
        <v>43</v>
      </c>
      <c r="BI1" s="8" t="s">
        <v>44</v>
      </c>
      <c r="BJ1" s="8" t="s">
        <v>26</v>
      </c>
      <c r="BK1" s="8" t="s">
        <v>45</v>
      </c>
      <c r="BL1" s="8" t="s">
        <v>46</v>
      </c>
      <c r="BM1" s="8" t="s">
        <v>26</v>
      </c>
      <c r="BN1" s="8" t="s">
        <v>47</v>
      </c>
      <c r="BO1" s="8" t="s">
        <v>48</v>
      </c>
      <c r="BP1" s="8" t="s">
        <v>49</v>
      </c>
      <c r="BQ1" s="8" t="s">
        <v>50</v>
      </c>
      <c r="BR1" s="8" t="s">
        <v>49</v>
      </c>
      <c r="BS1" s="8" t="s">
        <v>1891</v>
      </c>
      <c r="BT1" s="8" t="s">
        <v>1892</v>
      </c>
      <c r="BU1" s="8" t="s">
        <v>1893</v>
      </c>
      <c r="BV1" s="8" t="s">
        <v>1892</v>
      </c>
      <c r="BW1" s="8" t="s">
        <v>1894</v>
      </c>
      <c r="BX1" s="8" t="s">
        <v>1892</v>
      </c>
      <c r="BY1" s="8" t="s">
        <v>1895</v>
      </c>
      <c r="BZ1" s="8" t="s">
        <v>1892</v>
      </c>
      <c r="CA1" s="8" t="s">
        <v>1896</v>
      </c>
      <c r="CB1" s="8" t="s">
        <v>1892</v>
      </c>
      <c r="CC1" s="8" t="s">
        <v>1897</v>
      </c>
      <c r="CD1" s="8" t="s">
        <v>1892</v>
      </c>
      <c r="CE1" s="8" t="s">
        <v>1898</v>
      </c>
      <c r="CF1" s="8" t="s">
        <v>1892</v>
      </c>
      <c r="CG1" s="8" t="s">
        <v>1899</v>
      </c>
      <c r="CH1" s="8" t="s">
        <v>1892</v>
      </c>
      <c r="CI1" s="8" t="s">
        <v>1900</v>
      </c>
      <c r="CJ1" s="8" t="s">
        <v>1892</v>
      </c>
      <c r="CK1" s="8" t="s">
        <v>1901</v>
      </c>
      <c r="CL1" s="8" t="s">
        <v>1892</v>
      </c>
      <c r="CM1" s="8" t="s">
        <v>1902</v>
      </c>
      <c r="CN1" s="8" t="s">
        <v>1892</v>
      </c>
      <c r="CO1" s="8" t="s">
        <v>1903</v>
      </c>
      <c r="CP1" s="8" t="s">
        <v>1892</v>
      </c>
      <c r="CQ1" s="8" t="s">
        <v>1904</v>
      </c>
      <c r="CR1" s="8" t="s">
        <v>1892</v>
      </c>
      <c r="CS1" s="8" t="s">
        <v>1905</v>
      </c>
      <c r="CT1" s="8" t="s">
        <v>1892</v>
      </c>
      <c r="CU1" s="8" t="s">
        <v>1906</v>
      </c>
      <c r="CV1" s="8" t="s">
        <v>1892</v>
      </c>
    </row>
    <row r="2" spans="1:100" s="14" customFormat="1" ht="12" customHeight="1">
      <c r="A2" s="13" t="s">
        <v>1308</v>
      </c>
      <c r="I2" s="15"/>
      <c r="P2" s="14" t="s">
        <v>5</v>
      </c>
      <c r="Q2" s="14" t="s">
        <v>5</v>
      </c>
      <c r="R2" s="14" t="s">
        <v>5</v>
      </c>
      <c r="S2" s="14" t="s">
        <v>5</v>
      </c>
      <c r="T2" s="14" t="s">
        <v>5</v>
      </c>
      <c r="U2" s="14" t="s">
        <v>5</v>
      </c>
      <c r="V2" s="14" t="s">
        <v>5</v>
      </c>
      <c r="W2" s="14" t="s">
        <v>5</v>
      </c>
      <c r="X2" s="14" t="s">
        <v>5</v>
      </c>
      <c r="Y2" s="14" t="s">
        <v>5</v>
      </c>
      <c r="Z2" s="14" t="s">
        <v>5</v>
      </c>
      <c r="AA2" s="14" t="s">
        <v>5</v>
      </c>
      <c r="AB2" s="14" t="s">
        <v>5</v>
      </c>
      <c r="AC2" s="14" t="s">
        <v>5</v>
      </c>
      <c r="AD2" s="14" t="s">
        <v>5</v>
      </c>
      <c r="AE2" s="14" t="s">
        <v>5</v>
      </c>
      <c r="AF2" s="14" t="s">
        <v>5</v>
      </c>
    </row>
    <row r="3" spans="1:100" s="4" customFormat="1">
      <c r="A3" s="16" t="s">
        <v>1582</v>
      </c>
      <c r="I3" s="5"/>
      <c r="P3" s="4" t="s">
        <v>5</v>
      </c>
      <c r="Q3" s="4" t="s">
        <v>5</v>
      </c>
      <c r="R3" s="4" t="s">
        <v>5</v>
      </c>
      <c r="S3" s="4" t="s">
        <v>5</v>
      </c>
      <c r="T3" s="4" t="s">
        <v>5</v>
      </c>
      <c r="U3" s="4" t="s">
        <v>5</v>
      </c>
      <c r="V3" s="4" t="s">
        <v>5</v>
      </c>
      <c r="W3" s="4" t="s">
        <v>5</v>
      </c>
      <c r="X3" s="4" t="s">
        <v>5</v>
      </c>
      <c r="Y3" s="4" t="s">
        <v>5</v>
      </c>
      <c r="Z3" s="4" t="s">
        <v>5</v>
      </c>
      <c r="AA3" s="4" t="s">
        <v>5</v>
      </c>
      <c r="AB3" s="4" t="s">
        <v>5</v>
      </c>
      <c r="AC3" s="4" t="s">
        <v>5</v>
      </c>
      <c r="AD3" s="4" t="s">
        <v>5</v>
      </c>
      <c r="AE3" s="4" t="s">
        <v>5</v>
      </c>
      <c r="AF3" s="4" t="s">
        <v>5</v>
      </c>
    </row>
    <row r="4" spans="1:100">
      <c r="A4" t="str">
        <f>HYPERLINK("http://exon.niaid.nih.gov/transcriptome/T_rubida/S2/links/pep/Triru-10-pep.txt","Triru-10")</f>
        <v>Triru-10</v>
      </c>
      <c r="B4">
        <v>172</v>
      </c>
      <c r="C4" s="1" t="s">
        <v>9</v>
      </c>
      <c r="D4" s="1" t="s">
        <v>3</v>
      </c>
      <c r="E4" t="str">
        <f>HYPERLINK("http://exon.niaid.nih.gov/transcriptome/T_rubida/S2/links/cds/Triru-10-cds.txt","Triru-10")</f>
        <v>Triru-10</v>
      </c>
      <c r="F4">
        <v>519</v>
      </c>
      <c r="G4" s="2" t="s">
        <v>1890</v>
      </c>
      <c r="H4" s="1">
        <v>158</v>
      </c>
      <c r="I4" s="3" t="s">
        <v>1272</v>
      </c>
      <c r="J4" s="17" t="str">
        <f>HYPERLINK("http://exon.niaid.nih.gov/transcriptome/T_rubida/S2/links/Sigp/Triru-10-SigP.txt","SIG")</f>
        <v>SIG</v>
      </c>
      <c r="K4" t="s">
        <v>1318</v>
      </c>
      <c r="L4" s="1">
        <v>19.119</v>
      </c>
      <c r="M4" s="1">
        <v>5.84</v>
      </c>
      <c r="N4" s="1">
        <v>17.114999999999998</v>
      </c>
      <c r="O4" s="1">
        <v>5.64</v>
      </c>
      <c r="P4" s="1">
        <v>2.1000000000000001E-2</v>
      </c>
      <c r="Q4" s="1">
        <v>0.93799999999999994</v>
      </c>
      <c r="R4" s="1">
        <v>9.4E-2</v>
      </c>
      <c r="S4" s="17" t="s">
        <v>18</v>
      </c>
      <c r="T4">
        <v>1</v>
      </c>
      <c r="U4" t="s">
        <v>1361</v>
      </c>
      <c r="V4" s="17">
        <v>0</v>
      </c>
      <c r="W4" t="s">
        <v>5</v>
      </c>
      <c r="X4" t="s">
        <v>5</v>
      </c>
      <c r="Y4" t="s">
        <v>5</v>
      </c>
      <c r="Z4" t="s">
        <v>5</v>
      </c>
      <c r="AA4" t="s">
        <v>5</v>
      </c>
      <c r="AB4" s="17" t="str">
        <f>HYPERLINK("http://exon.niaid.nih.gov/transcriptome/T_rubida/S2/links/netoglyc/TRIRU-10-netoglyc.txt","5")</f>
        <v>5</v>
      </c>
      <c r="AC4">
        <v>16.899999999999999</v>
      </c>
      <c r="AD4">
        <v>7</v>
      </c>
      <c r="AE4">
        <v>4.0999999999999996</v>
      </c>
      <c r="AF4" s="17" t="s">
        <v>5</v>
      </c>
      <c r="AG4" s="2" t="str">
        <f>HYPERLINK("http://exon.niaid.nih.gov/transcriptome/T_rubida/S2/links/NR/Triru-10-NR.txt","unnamed protein product")</f>
        <v>unnamed protein product</v>
      </c>
      <c r="AH4" t="str">
        <f>HYPERLINK("http://www.ncbi.nlm.nih.gov/sutils/blink.cgi?pid=270046178","1E-044")</f>
        <v>1E-044</v>
      </c>
      <c r="AI4" t="str">
        <f>HYPERLINK("http://www.ncbi.nlm.nih.gov/protein/270046178","gi|270046178")</f>
        <v>gi|270046178</v>
      </c>
      <c r="AJ4">
        <v>182</v>
      </c>
      <c r="AK4">
        <v>176</v>
      </c>
      <c r="AL4">
        <v>178</v>
      </c>
      <c r="AM4">
        <v>53</v>
      </c>
      <c r="AN4">
        <v>99</v>
      </c>
      <c r="AO4" t="s">
        <v>59</v>
      </c>
      <c r="AP4" s="2" t="str">
        <f>HYPERLINK("http://exon.niaid.nih.gov/transcriptome/T_rubida/S2/links/SWISSP/Triru-10-SWISSP.txt","Procalin")</f>
        <v>Procalin</v>
      </c>
      <c r="AQ4" t="str">
        <f>HYPERLINK("http://www.uniprot.org/uniprot/Q9U6R6","7E-030")</f>
        <v>7E-030</v>
      </c>
      <c r="AR4" t="s">
        <v>180</v>
      </c>
      <c r="AS4">
        <v>129</v>
      </c>
      <c r="AT4">
        <v>167</v>
      </c>
      <c r="AU4">
        <v>169</v>
      </c>
      <c r="AV4">
        <v>39</v>
      </c>
      <c r="AW4">
        <v>99</v>
      </c>
      <c r="AX4">
        <v>107</v>
      </c>
      <c r="AY4">
        <v>14</v>
      </c>
      <c r="AZ4">
        <v>1</v>
      </c>
      <c r="BA4">
        <v>1</v>
      </c>
      <c r="BB4">
        <v>1</v>
      </c>
      <c r="BC4" t="s">
        <v>181</v>
      </c>
      <c r="BD4" s="2" t="s">
        <v>5</v>
      </c>
      <c r="BE4" t="s">
        <v>5</v>
      </c>
      <c r="BF4" t="s">
        <v>5</v>
      </c>
      <c r="BG4" t="s">
        <v>5</v>
      </c>
      <c r="BH4" t="s">
        <v>5</v>
      </c>
      <c r="BI4" s="2" t="str">
        <f>HYPERLINK("http://exon.niaid.nih.gov/transcriptome/T_rubida/S2/links/CDD/Triru-10-CDD.txt","Triabin")</f>
        <v>Triabin</v>
      </c>
      <c r="BJ4" t="str">
        <f>HYPERLINK("http://www.ncbi.nlm.nih.gov/Structure/cdd/cddsrv.cgi?uid=pfam03973&amp;version=v4.0","1E-014")</f>
        <v>1E-014</v>
      </c>
      <c r="BK4" t="s">
        <v>846</v>
      </c>
      <c r="BL4" s="2" t="str">
        <f>HYPERLINK("http://exon.niaid.nih.gov/transcriptome/T_rubida/S2/links/KOG/Triru-10-KOG.txt","Sortilin and related receptors")</f>
        <v>Sortilin and related receptors</v>
      </c>
      <c r="BM4" t="str">
        <f>HYPERLINK("http://www.ncbi.nlm.nih.gov/COG/grace/shokog.cgi?KOG3511","0.33")</f>
        <v>0.33</v>
      </c>
      <c r="BN4" t="s">
        <v>96</v>
      </c>
      <c r="BO4" s="2" t="str">
        <f>HYPERLINK("http://exon.niaid.nih.gov/transcriptome/T_rubida/S2/links/PFAM/Triru-10-PFAM.txt","Triabin")</f>
        <v>Triabin</v>
      </c>
      <c r="BP4" t="str">
        <f>HYPERLINK("http://pfam.sanger.ac.uk/family?acc=PF03973","2E-015")</f>
        <v>2E-015</v>
      </c>
      <c r="BQ4" s="2" t="str">
        <f>HYPERLINK("http://exon.niaid.nih.gov/transcriptome/T_rubida/S2/links/SMART/Triru-10-SMART.txt","MCM")</f>
        <v>MCM</v>
      </c>
      <c r="BR4" t="str">
        <f>HYPERLINK("http://smart.embl-heidelberg.de/smart/do_annotation.pl?DOMAIN=MCM&amp;BLAST=DUMMY","0.62")</f>
        <v>0.62</v>
      </c>
      <c r="BS4" s="17">
        <f t="shared" ref="BS4:BS35" si="0">HYPERLINK("http://exon.niaid.nih.gov/transcriptome/T_rubida/S2/links/cluster/Triru-pep-ext25-50-Sim-CLU1.txt", 1)</f>
        <v>1</v>
      </c>
      <c r="BT4" s="1">
        <f t="shared" ref="BT4:BT35" si="1">HYPERLINK("http://exon.niaid.nih.gov/transcriptome/T_rubida/S2/links/cluster/Triru-pep-ext25-50-Sim-CLTL1.txt", 359)</f>
        <v>359</v>
      </c>
      <c r="BU4" s="17">
        <f t="shared" ref="BU4:BU35" si="2">HYPERLINK("http://exon.niaid.nih.gov/transcriptome/T_rubida/S2/links/cluster/Triru-pep-ext30-50-Sim-CLU1.txt", 1)</f>
        <v>1</v>
      </c>
      <c r="BV4" s="1">
        <f t="shared" ref="BV4:BV35" si="3">HYPERLINK("http://exon.niaid.nih.gov/transcriptome/T_rubida/S2/links/cluster/Triru-pep-ext30-50-Sim-CLTL1.txt", 225)</f>
        <v>225</v>
      </c>
      <c r="BW4" s="17">
        <f t="shared" ref="BW4:BW35" si="4">HYPERLINK("http://exon.niaid.nih.gov/transcriptome/T_rubida/S2/links/cluster/Triru-pep-ext35-50-Sim-CLU2.txt", 2)</f>
        <v>2</v>
      </c>
      <c r="BX4" s="1">
        <f t="shared" ref="BX4:BX35" si="5">HYPERLINK("http://exon.niaid.nih.gov/transcriptome/T_rubida/S2/links/cluster/Triru-pep-ext35-50-Sim-CLTL2.txt", 70)</f>
        <v>70</v>
      </c>
      <c r="BY4" s="17">
        <f t="shared" ref="BY4:BY35" si="6">HYPERLINK("http://exon.niaid.nih.gov/transcriptome/T_rubida/S2/links/cluster/Triru-pep-ext40-50-Sim-CLU1.txt", 1)</f>
        <v>1</v>
      </c>
      <c r="BZ4" s="1">
        <f t="shared" ref="BZ4:BZ35" si="7">HYPERLINK("http://exon.niaid.nih.gov/transcriptome/T_rubida/S2/links/cluster/Triru-pep-ext40-50-Sim-CLTL1.txt", 69)</f>
        <v>69</v>
      </c>
      <c r="CA4" s="17">
        <f t="shared" ref="CA4:CA35" si="8">HYPERLINK("http://exon.niaid.nih.gov/transcriptome/T_rubida/S2/links/cluster/Triru-pep-ext45-50-Sim-CLU1.txt", 1)</f>
        <v>1</v>
      </c>
      <c r="CB4" s="1">
        <f t="shared" ref="CB4:CB35" si="9">HYPERLINK("http://exon.niaid.nih.gov/transcriptome/T_rubida/S2/links/cluster/Triru-pep-ext45-50-Sim-CLTL1.txt", 69)</f>
        <v>69</v>
      </c>
      <c r="CC4" s="17">
        <f>HYPERLINK("http://exon.niaid.nih.gov/transcriptome/T_rubida/S2/links/cluster/Triru-pep-ext50-50-Sim-CLU1.txt", 1)</f>
        <v>1</v>
      </c>
      <c r="CD4" s="1">
        <f>HYPERLINK("http://exon.niaid.nih.gov/transcriptome/T_rubida/S2/links/cluster/Triru-pep-ext50-50-Sim-CLTL1.txt", 45)</f>
        <v>45</v>
      </c>
      <c r="CE4" s="17">
        <f>HYPERLINK("http://exon.niaid.nih.gov/transcriptome/T_rubida/S2/links/cluster/Triru-pep-ext55-50-Sim-CLU1.txt", 1)</f>
        <v>1</v>
      </c>
      <c r="CF4" s="1">
        <f>HYPERLINK("http://exon.niaid.nih.gov/transcriptome/T_rubida/S2/links/cluster/Triru-pep-ext55-50-Sim-CLTL1.txt", 45)</f>
        <v>45</v>
      </c>
      <c r="CG4" s="17">
        <f>HYPERLINK("http://exon.niaid.nih.gov/transcriptome/T_rubida/S2/links/cluster/Triru-pep-ext60-50-Sim-CLU1.txt", 1)</f>
        <v>1</v>
      </c>
      <c r="CH4" s="1">
        <f>HYPERLINK("http://exon.niaid.nih.gov/transcriptome/T_rubida/S2/links/cluster/Triru-pep-ext60-50-Sim-CLTL1.txt", 35)</f>
        <v>35</v>
      </c>
      <c r="CI4" s="17">
        <f>HYPERLINK("http://exon.niaid.nih.gov/transcriptome/T_rubida/S2/links/cluster/Triru-pep-ext65-50-Sim-CLU1.txt", 1)</f>
        <v>1</v>
      </c>
      <c r="CJ4" s="1">
        <f>HYPERLINK("http://exon.niaid.nih.gov/transcriptome/T_rubida/S2/links/cluster/Triru-pep-ext65-50-Sim-CLTL1.txt", 30)</f>
        <v>30</v>
      </c>
      <c r="CK4" s="17">
        <f>HYPERLINK("http://exon.niaid.nih.gov/transcriptome/T_rubida/S2/links/cluster/Triru-pep-ext70-50-Sim-CLU1.txt", 1)</f>
        <v>1</v>
      </c>
      <c r="CL4" s="1">
        <f>HYPERLINK("http://exon.niaid.nih.gov/transcriptome/T_rubida/S2/links/cluster/Triru-pep-ext70-50-Sim-CLTL1.txt", 28)</f>
        <v>28</v>
      </c>
      <c r="CM4" s="17">
        <f>HYPERLINK("http://exon.niaid.nih.gov/transcriptome/T_rubida/S2/links/cluster/Triru-pep-ext75-50-Sim-CLU1.txt", 1)</f>
        <v>1</v>
      </c>
      <c r="CN4" s="1">
        <f>HYPERLINK("http://exon.niaid.nih.gov/transcriptome/T_rubida/S2/links/cluster/Triru-pep-ext75-50-Sim-CLTL1.txt", 23)</f>
        <v>23</v>
      </c>
      <c r="CO4" s="17">
        <f>HYPERLINK("http://exon.niaid.nih.gov/transcriptome/T_rubida/S2/links/cluster/Triru-pep-ext80-50-Sim-CLU1.txt", 1)</f>
        <v>1</v>
      </c>
      <c r="CP4" s="1">
        <f>HYPERLINK("http://exon.niaid.nih.gov/transcriptome/T_rubida/S2/links/cluster/Triru-pep-ext80-50-Sim-CLTL1.txt", 23)</f>
        <v>23</v>
      </c>
      <c r="CQ4" s="17">
        <f>HYPERLINK("http://exon.niaid.nih.gov/transcriptome/T_rubida/S2/links/cluster/Triru-pep-ext85-50-Sim-CLU1.txt", 1)</f>
        <v>1</v>
      </c>
      <c r="CR4" s="1">
        <f>HYPERLINK("http://exon.niaid.nih.gov/transcriptome/T_rubida/S2/links/cluster/Triru-pep-ext85-50-Sim-CLTL1.txt", 15)</f>
        <v>15</v>
      </c>
      <c r="CS4" s="17">
        <f>HYPERLINK("http://exon.niaid.nih.gov/transcriptome/T_rubida/S2/links/cluster/Triru-pep-ext90-50-Sim-CLU1.txt", 1)</f>
        <v>1</v>
      </c>
      <c r="CT4" s="1">
        <f>HYPERLINK("http://exon.niaid.nih.gov/transcriptome/T_rubida/S2/links/cluster/Triru-pep-ext90-50-Sim-CLTL1.txt", 13)</f>
        <v>13</v>
      </c>
      <c r="CU4" s="17">
        <f>HYPERLINK("http://exon.niaid.nih.gov/transcriptome/T_rubida/S2/links/cluster/Triru-pep-ext95-50-Sim-CLU1.txt", 1)</f>
        <v>1</v>
      </c>
      <c r="CV4" s="1">
        <f>HYPERLINK("http://exon.niaid.nih.gov/transcriptome/T_rubida/S2/links/cluster/Triru-pep-ext95-50-Sim-CLTL1.txt", 8)</f>
        <v>8</v>
      </c>
    </row>
    <row r="5" spans="1:100">
      <c r="A5" t="str">
        <f>HYPERLINK("http://exon.niaid.nih.gov/transcriptome/T_rubida/S2/links/pep/Triru-1-pep.txt","Triru-1")</f>
        <v>Triru-1</v>
      </c>
      <c r="B5">
        <v>172</v>
      </c>
      <c r="C5" s="1" t="s">
        <v>9</v>
      </c>
      <c r="D5" s="1" t="s">
        <v>3</v>
      </c>
      <c r="E5" t="str">
        <f>HYPERLINK("http://exon.niaid.nih.gov/transcriptome/T_rubida/S2/links/cds/Triru-1-cds.txt","Triru-1")</f>
        <v>Triru-1</v>
      </c>
      <c r="F5">
        <v>519</v>
      </c>
      <c r="G5" s="2" t="s">
        <v>1890</v>
      </c>
      <c r="H5" s="1">
        <v>119</v>
      </c>
      <c r="I5" s="3" t="s">
        <v>1272</v>
      </c>
      <c r="J5" s="17" t="str">
        <f>HYPERLINK("http://exon.niaid.nih.gov/transcriptome/T_rubida/S2/links/Sigp/Triru-1-SigP.txt","SIG")</f>
        <v>SIG</v>
      </c>
      <c r="K5" t="s">
        <v>1318</v>
      </c>
      <c r="L5" s="1">
        <v>19.067</v>
      </c>
      <c r="M5" s="1">
        <v>5.81</v>
      </c>
      <c r="N5" s="1">
        <v>17.03</v>
      </c>
      <c r="O5" s="1">
        <v>5.57</v>
      </c>
      <c r="P5" s="1">
        <v>2.4E-2</v>
      </c>
      <c r="Q5" s="1">
        <v>0.93700000000000006</v>
      </c>
      <c r="R5" s="1">
        <v>9.4E-2</v>
      </c>
      <c r="S5" s="17" t="s">
        <v>18</v>
      </c>
      <c r="T5">
        <v>1</v>
      </c>
      <c r="U5" t="s">
        <v>1359</v>
      </c>
      <c r="V5" s="17">
        <v>0</v>
      </c>
      <c r="W5" t="s">
        <v>5</v>
      </c>
      <c r="X5" t="s">
        <v>5</v>
      </c>
      <c r="Y5" t="s">
        <v>5</v>
      </c>
      <c r="Z5" t="s">
        <v>5</v>
      </c>
      <c r="AA5" t="s">
        <v>5</v>
      </c>
      <c r="AB5" s="17" t="str">
        <f>HYPERLINK("http://exon.niaid.nih.gov/transcriptome/T_rubida/S2/links/netoglyc/TRIRU-1-netoglyc.txt","4")</f>
        <v>4</v>
      </c>
      <c r="AC5">
        <v>17.399999999999999</v>
      </c>
      <c r="AD5">
        <v>6.4</v>
      </c>
      <c r="AE5">
        <v>3.5</v>
      </c>
      <c r="AF5" s="17" t="s">
        <v>5</v>
      </c>
      <c r="AG5" s="2" t="str">
        <f>HYPERLINK("http://exon.niaid.nih.gov/transcriptome/T_rubida/S2/links/NR/Triru-1-NR.txt","unnamed protein product")</f>
        <v>unnamed protein product</v>
      </c>
      <c r="AH5" t="str">
        <f>HYPERLINK("http://www.ncbi.nlm.nih.gov/sutils/blink.cgi?pid=270046178","4E-035")</f>
        <v>4E-035</v>
      </c>
      <c r="AI5" t="str">
        <f>HYPERLINK("http://www.ncbi.nlm.nih.gov/protein/270046178","gi|270046178")</f>
        <v>gi|270046178</v>
      </c>
      <c r="AJ5">
        <v>151</v>
      </c>
      <c r="AK5">
        <v>176</v>
      </c>
      <c r="AL5">
        <v>178</v>
      </c>
      <c r="AM5">
        <v>47</v>
      </c>
      <c r="AN5">
        <v>99</v>
      </c>
      <c r="AO5" t="s">
        <v>59</v>
      </c>
      <c r="AP5" s="2" t="str">
        <f>HYPERLINK("http://exon.niaid.nih.gov/transcriptome/T_rubida/S2/links/SWISSP/Triru-1-SWISSP.txt","Procalin")</f>
        <v>Procalin</v>
      </c>
      <c r="AQ5" t="str">
        <f>HYPERLINK("http://www.uniprot.org/uniprot/Q9U6R6","1E-023")</f>
        <v>1E-023</v>
      </c>
      <c r="AR5" t="s">
        <v>180</v>
      </c>
      <c r="AS5">
        <v>108</v>
      </c>
      <c r="AT5">
        <v>167</v>
      </c>
      <c r="AU5">
        <v>169</v>
      </c>
      <c r="AV5">
        <v>35</v>
      </c>
      <c r="AW5">
        <v>99</v>
      </c>
      <c r="AX5">
        <v>115</v>
      </c>
      <c r="AY5">
        <v>14</v>
      </c>
      <c r="AZ5">
        <v>1</v>
      </c>
      <c r="BA5">
        <v>1</v>
      </c>
      <c r="BB5">
        <v>1</v>
      </c>
      <c r="BC5" t="s">
        <v>181</v>
      </c>
      <c r="BD5" s="2" t="s">
        <v>5</v>
      </c>
      <c r="BE5" t="s">
        <v>5</v>
      </c>
      <c r="BF5" t="s">
        <v>5</v>
      </c>
      <c r="BG5" t="s">
        <v>5</v>
      </c>
      <c r="BH5" t="s">
        <v>5</v>
      </c>
      <c r="BI5" s="2" t="str">
        <f>HYPERLINK("http://exon.niaid.nih.gov/transcriptome/T_rubida/S2/links/CDD/Triru-1-CDD.txt","Triabin")</f>
        <v>Triabin</v>
      </c>
      <c r="BJ5" t="str">
        <f>HYPERLINK("http://www.ncbi.nlm.nih.gov/Structure/cdd/cddsrv.cgi?uid=pfam03973&amp;version=v4.0","2E-015")</f>
        <v>2E-015</v>
      </c>
      <c r="BK5" t="s">
        <v>844</v>
      </c>
      <c r="BL5" s="2" t="str">
        <f>HYPERLINK("http://exon.niaid.nih.gov/transcriptome/T_rubida/S2/links/KOG/Triru-1-KOG.txt","Cadherin EGF LAG seven-pass G-type receptor")</f>
        <v>Cadherin EGF LAG seven-pass G-type receptor</v>
      </c>
      <c r="BM5" t="str">
        <f>HYPERLINK("http://www.ncbi.nlm.nih.gov/COG/grace/shokog.cgi?KOG4289","0.34")</f>
        <v>0.34</v>
      </c>
      <c r="BN5" t="s">
        <v>179</v>
      </c>
      <c r="BO5" s="2" t="str">
        <f>HYPERLINK("http://exon.niaid.nih.gov/transcriptome/T_rubida/S2/links/PFAM/Triru-1-PFAM.txt","Triabin")</f>
        <v>Triabin</v>
      </c>
      <c r="BP5" t="str">
        <f>HYPERLINK("http://pfam.sanger.ac.uk/family?acc=PF03973","3E-016")</f>
        <v>3E-016</v>
      </c>
      <c r="BQ5" s="2" t="str">
        <f>HYPERLINK("http://exon.niaid.nih.gov/transcriptome/T_rubida/S2/links/SMART/Triru-1-SMART.txt","EH")</f>
        <v>EH</v>
      </c>
      <c r="BR5" t="str">
        <f>HYPERLINK("http://smart.embl-heidelberg.de/smart/do_annotation.pl?DOMAIN=EH&amp;BLAST=DUMMY","0.63")</f>
        <v>0.63</v>
      </c>
      <c r="BS5" s="17">
        <f t="shared" si="0"/>
        <v>1</v>
      </c>
      <c r="BT5" s="1">
        <f t="shared" si="1"/>
        <v>359</v>
      </c>
      <c r="BU5" s="17">
        <f t="shared" si="2"/>
        <v>1</v>
      </c>
      <c r="BV5" s="1">
        <f t="shared" si="3"/>
        <v>225</v>
      </c>
      <c r="BW5" s="17">
        <f t="shared" si="4"/>
        <v>2</v>
      </c>
      <c r="BX5" s="1">
        <f t="shared" si="5"/>
        <v>70</v>
      </c>
      <c r="BY5" s="17">
        <f t="shared" si="6"/>
        <v>1</v>
      </c>
      <c r="BZ5" s="1">
        <f t="shared" si="7"/>
        <v>69</v>
      </c>
      <c r="CA5" s="17">
        <f t="shared" si="8"/>
        <v>1</v>
      </c>
      <c r="CB5" s="1">
        <f t="shared" si="9"/>
        <v>69</v>
      </c>
      <c r="CC5" s="17">
        <f>HYPERLINK("http://exon.niaid.nih.gov/transcriptome/T_rubida/S2/links/cluster/Triru-pep-ext50-50-Sim-CLU1.txt", 1)</f>
        <v>1</v>
      </c>
      <c r="CD5" s="1">
        <f>HYPERLINK("http://exon.niaid.nih.gov/transcriptome/T_rubida/S2/links/cluster/Triru-pep-ext50-50-Sim-CLTL1.txt", 45)</f>
        <v>45</v>
      </c>
      <c r="CE5" s="17">
        <f>HYPERLINK("http://exon.niaid.nih.gov/transcriptome/T_rubida/S2/links/cluster/Triru-pep-ext55-50-Sim-CLU1.txt", 1)</f>
        <v>1</v>
      </c>
      <c r="CF5" s="1">
        <f>HYPERLINK("http://exon.niaid.nih.gov/transcriptome/T_rubida/S2/links/cluster/Triru-pep-ext55-50-Sim-CLTL1.txt", 45)</f>
        <v>45</v>
      </c>
      <c r="CG5" s="17">
        <f>HYPERLINK("http://exon.niaid.nih.gov/transcriptome/T_rubida/S2/links/cluster/Triru-pep-ext60-50-Sim-CLU1.txt", 1)</f>
        <v>1</v>
      </c>
      <c r="CH5" s="1">
        <f>HYPERLINK("http://exon.niaid.nih.gov/transcriptome/T_rubida/S2/links/cluster/Triru-pep-ext60-50-Sim-CLTL1.txt", 35)</f>
        <v>35</v>
      </c>
      <c r="CI5" s="17">
        <f>HYPERLINK("http://exon.niaid.nih.gov/transcriptome/T_rubida/S2/links/cluster/Triru-pep-ext65-50-Sim-CLU1.txt", 1)</f>
        <v>1</v>
      </c>
      <c r="CJ5" s="1">
        <f>HYPERLINK("http://exon.niaid.nih.gov/transcriptome/T_rubida/S2/links/cluster/Triru-pep-ext65-50-Sim-CLTL1.txt", 30)</f>
        <v>30</v>
      </c>
      <c r="CK5" s="17">
        <f>HYPERLINK("http://exon.niaid.nih.gov/transcriptome/T_rubida/S2/links/cluster/Triru-pep-ext70-50-Sim-CLU1.txt", 1)</f>
        <v>1</v>
      </c>
      <c r="CL5" s="1">
        <f>HYPERLINK("http://exon.niaid.nih.gov/transcriptome/T_rubida/S2/links/cluster/Triru-pep-ext70-50-Sim-CLTL1.txt", 28)</f>
        <v>28</v>
      </c>
      <c r="CM5" s="17">
        <f>HYPERLINK("http://exon.niaid.nih.gov/transcriptome/T_rubida/S2/links/cluster/Triru-pep-ext75-50-Sim-CLU1.txt", 1)</f>
        <v>1</v>
      </c>
      <c r="CN5" s="1">
        <f>HYPERLINK("http://exon.niaid.nih.gov/transcriptome/T_rubida/S2/links/cluster/Triru-pep-ext75-50-Sim-CLTL1.txt", 23)</f>
        <v>23</v>
      </c>
      <c r="CO5" s="17">
        <f>HYPERLINK("http://exon.niaid.nih.gov/transcriptome/T_rubida/S2/links/cluster/Triru-pep-ext80-50-Sim-CLU1.txt", 1)</f>
        <v>1</v>
      </c>
      <c r="CP5" s="1">
        <f>HYPERLINK("http://exon.niaid.nih.gov/transcriptome/T_rubida/S2/links/cluster/Triru-pep-ext80-50-Sim-CLTL1.txt", 23)</f>
        <v>23</v>
      </c>
      <c r="CQ5" s="17">
        <f>HYPERLINK("http://exon.niaid.nih.gov/transcriptome/T_rubida/S2/links/cluster/Triru-pep-ext85-50-Sim-CLU1.txt", 1)</f>
        <v>1</v>
      </c>
      <c r="CR5" s="1">
        <f>HYPERLINK("http://exon.niaid.nih.gov/transcriptome/T_rubida/S2/links/cluster/Triru-pep-ext85-50-Sim-CLTL1.txt", 15)</f>
        <v>15</v>
      </c>
      <c r="CS5" s="17">
        <f>HYPERLINK("http://exon.niaid.nih.gov/transcriptome/T_rubida/S2/links/cluster/Triru-pep-ext90-50-Sim-CLU6.txt", 6)</f>
        <v>6</v>
      </c>
      <c r="CT5" s="1">
        <f>HYPERLINK("http://exon.niaid.nih.gov/transcriptome/T_rubida/S2/links/cluster/Triru-pep-ext90-50-Sim-CLTL6.txt", 2)</f>
        <v>2</v>
      </c>
      <c r="CU5" s="17">
        <f>HYPERLINK("http://exon.niaid.nih.gov/transcriptome/T_rubida/S2/links/cluster/Triru-pep-ext95-50-Sim-CLU3.txt", 3)</f>
        <v>3</v>
      </c>
      <c r="CV5" s="1">
        <f>HYPERLINK("http://exon.niaid.nih.gov/transcriptome/T_rubida/S2/links/cluster/Triru-pep-ext95-50-Sim-CLTL3.txt", 2)</f>
        <v>2</v>
      </c>
    </row>
    <row r="6" spans="1:100">
      <c r="A6" t="str">
        <f>HYPERLINK("http://exon.niaid.nih.gov/transcriptome/T_rubida/S2/links/pep/Triru-33-pep.txt","Triru-33")</f>
        <v>Triru-33</v>
      </c>
      <c r="B6">
        <v>155</v>
      </c>
      <c r="C6" s="1" t="s">
        <v>17</v>
      </c>
      <c r="D6" s="1" t="s">
        <v>3</v>
      </c>
      <c r="E6" t="str">
        <f>HYPERLINK("http://exon.niaid.nih.gov/transcriptome/T_rubida/S2/links/cds/Triru-33-cds.txt","Triru-33")</f>
        <v>Triru-33</v>
      </c>
      <c r="F6">
        <v>468</v>
      </c>
      <c r="G6" s="2" t="s">
        <v>1890</v>
      </c>
      <c r="H6" s="1">
        <v>72</v>
      </c>
      <c r="I6" s="3" t="s">
        <v>1272</v>
      </c>
      <c r="J6" s="17" t="str">
        <f>HYPERLINK("http://exon.niaid.nih.gov/transcriptome/T_rubida/S2/links/Sigp/Triru-33-SigP.txt","CYT")</f>
        <v>CYT</v>
      </c>
      <c r="K6" t="s">
        <v>5</v>
      </c>
      <c r="L6" s="1">
        <v>17.707000000000001</v>
      </c>
      <c r="M6" s="1">
        <v>5.36</v>
      </c>
      <c r="P6" s="1">
        <v>0.105</v>
      </c>
      <c r="Q6" s="1">
        <v>5.1999999999999998E-2</v>
      </c>
      <c r="R6" s="1">
        <v>0.91300000000000003</v>
      </c>
      <c r="S6" s="17" t="s">
        <v>1346</v>
      </c>
      <c r="T6">
        <v>1</v>
      </c>
      <c r="U6" t="s">
        <v>1348</v>
      </c>
      <c r="V6" s="17">
        <v>0</v>
      </c>
      <c r="W6" t="s">
        <v>5</v>
      </c>
      <c r="X6" t="s">
        <v>5</v>
      </c>
      <c r="Y6" t="s">
        <v>5</v>
      </c>
      <c r="Z6" t="s">
        <v>5</v>
      </c>
      <c r="AA6" t="s">
        <v>5</v>
      </c>
      <c r="AB6" s="17" t="str">
        <f>HYPERLINK("http://exon.niaid.nih.gov/transcriptome/T_rubida/S2/links/netoglyc/TRIRU-33-netoglyc.txt","3")</f>
        <v>3</v>
      </c>
      <c r="AC6">
        <v>20</v>
      </c>
      <c r="AD6">
        <v>5.2</v>
      </c>
      <c r="AE6">
        <v>3.9</v>
      </c>
      <c r="AF6" s="17" t="s">
        <v>5</v>
      </c>
      <c r="AG6" s="2" t="str">
        <f>HYPERLINK("http://exon.niaid.nih.gov/transcriptome/T_rubida/S2/links/NR/Triru-33-NR.txt","unnamed protein product")</f>
        <v>unnamed protein product</v>
      </c>
      <c r="AH6" t="str">
        <f>HYPERLINK("http://www.ncbi.nlm.nih.gov/sutils/blink.cgi?pid=270046166","2E-037")</f>
        <v>2E-037</v>
      </c>
      <c r="AI6" t="str">
        <f>HYPERLINK("http://www.ncbi.nlm.nih.gov/protein/270046166","gi|270046166")</f>
        <v>gi|270046166</v>
      </c>
      <c r="AJ6">
        <v>159</v>
      </c>
      <c r="AK6">
        <v>160</v>
      </c>
      <c r="AL6">
        <v>177</v>
      </c>
      <c r="AM6">
        <v>48</v>
      </c>
      <c r="AN6">
        <v>91</v>
      </c>
      <c r="AO6" t="s">
        <v>59</v>
      </c>
      <c r="AP6" s="2" t="str">
        <f>HYPERLINK("http://exon.niaid.nih.gov/transcriptome/T_rubida/S2/links/SWISSP/Triru-33-SWISSP.txt","Procalin")</f>
        <v>Procalin</v>
      </c>
      <c r="AQ6" t="str">
        <f>HYPERLINK("http://www.uniprot.org/uniprot/Q9U6R6","2E-024")</f>
        <v>2E-024</v>
      </c>
      <c r="AR6" t="s">
        <v>180</v>
      </c>
      <c r="AS6">
        <v>111</v>
      </c>
      <c r="AT6">
        <v>148</v>
      </c>
      <c r="AU6">
        <v>169</v>
      </c>
      <c r="AV6">
        <v>37</v>
      </c>
      <c r="AW6">
        <v>88</v>
      </c>
      <c r="AX6">
        <v>94</v>
      </c>
      <c r="AY6">
        <v>8</v>
      </c>
      <c r="AZ6">
        <v>20</v>
      </c>
      <c r="BA6">
        <v>10</v>
      </c>
      <c r="BB6">
        <v>1</v>
      </c>
      <c r="BC6" t="s">
        <v>181</v>
      </c>
      <c r="BD6" s="2" t="s">
        <v>5</v>
      </c>
      <c r="BE6" t="s">
        <v>5</v>
      </c>
      <c r="BF6" t="s">
        <v>5</v>
      </c>
      <c r="BG6" t="s">
        <v>5</v>
      </c>
      <c r="BH6" t="s">
        <v>5</v>
      </c>
      <c r="BI6" s="2" t="str">
        <f>HYPERLINK("http://exon.niaid.nih.gov/transcriptome/T_rubida/S2/links/CDD/Triru-33-CDD.txt","Triabin")</f>
        <v>Triabin</v>
      </c>
      <c r="BJ6" t="str">
        <f>HYPERLINK("http://www.ncbi.nlm.nih.gov/Structure/cdd/cddsrv.cgi?uid=pfam03973&amp;version=v4.0","1E-008")</f>
        <v>1E-008</v>
      </c>
      <c r="BK6" t="s">
        <v>1160</v>
      </c>
      <c r="BL6" s="2" t="str">
        <f>HYPERLINK("http://exon.niaid.nih.gov/transcriptome/T_rubida/S2/links/KOG/Triru-33-KOG.txt","Uncharacterized conserved protein")</f>
        <v>Uncharacterized conserved protein</v>
      </c>
      <c r="BM6" t="str">
        <f>HYPERLINK("http://www.ncbi.nlm.nih.gov/COG/grace/shokog.cgi?KOG3012","7.8")</f>
        <v>7.8</v>
      </c>
      <c r="BN6" t="s">
        <v>264</v>
      </c>
      <c r="BO6" s="2" t="str">
        <f>HYPERLINK("http://exon.niaid.nih.gov/transcriptome/T_rubida/S2/links/PFAM/Triru-33-PFAM.txt","Triabin")</f>
        <v>Triabin</v>
      </c>
      <c r="BP6" t="str">
        <f>HYPERLINK("http://pfam.sanger.ac.uk/family?acc=PF03973","2E-009")</f>
        <v>2E-009</v>
      </c>
      <c r="BQ6" s="2" t="str">
        <f>HYPERLINK("http://exon.niaid.nih.gov/transcriptome/T_rubida/S2/links/SMART/Triru-33-SMART.txt","TBOX")</f>
        <v>TBOX</v>
      </c>
      <c r="BR6" t="str">
        <f>HYPERLINK("http://smart.embl-heidelberg.de/smart/do_annotation.pl?DOMAIN=TBOX&amp;BLAST=DUMMY","0.81")</f>
        <v>0.81</v>
      </c>
      <c r="BS6" s="17">
        <f t="shared" si="0"/>
        <v>1</v>
      </c>
      <c r="BT6" s="1">
        <f t="shared" si="1"/>
        <v>359</v>
      </c>
      <c r="BU6" s="17">
        <f t="shared" si="2"/>
        <v>1</v>
      </c>
      <c r="BV6" s="1">
        <f t="shared" si="3"/>
        <v>225</v>
      </c>
      <c r="BW6" s="17">
        <f t="shared" si="4"/>
        <v>2</v>
      </c>
      <c r="BX6" s="1">
        <f t="shared" si="5"/>
        <v>70</v>
      </c>
      <c r="BY6" s="17">
        <f t="shared" si="6"/>
        <v>1</v>
      </c>
      <c r="BZ6" s="1">
        <f t="shared" si="7"/>
        <v>69</v>
      </c>
      <c r="CA6" s="17">
        <f t="shared" si="8"/>
        <v>1</v>
      </c>
      <c r="CB6" s="1">
        <f t="shared" si="9"/>
        <v>69</v>
      </c>
      <c r="CC6" s="17">
        <f>HYPERLINK("http://exon.niaid.nih.gov/transcriptome/T_rubida/S2/links/cluster/Triru-pep-ext50-50-Sim-CLU1.txt", 1)</f>
        <v>1</v>
      </c>
      <c r="CD6" s="1">
        <f>HYPERLINK("http://exon.niaid.nih.gov/transcriptome/T_rubida/S2/links/cluster/Triru-pep-ext50-50-Sim-CLTL1.txt", 45)</f>
        <v>45</v>
      </c>
      <c r="CE6" s="17">
        <f>HYPERLINK("http://exon.niaid.nih.gov/transcriptome/T_rubida/S2/links/cluster/Triru-pep-ext55-50-Sim-CLU1.txt", 1)</f>
        <v>1</v>
      </c>
      <c r="CF6" s="1">
        <f>HYPERLINK("http://exon.niaid.nih.gov/transcriptome/T_rubida/S2/links/cluster/Triru-pep-ext55-50-Sim-CLTL1.txt", 45)</f>
        <v>45</v>
      </c>
      <c r="CG6" s="17">
        <f>HYPERLINK("http://exon.niaid.nih.gov/transcriptome/T_rubida/S2/links/cluster/Triru-pep-ext60-50-Sim-CLU1.txt", 1)</f>
        <v>1</v>
      </c>
      <c r="CH6" s="1">
        <f>HYPERLINK("http://exon.niaid.nih.gov/transcriptome/T_rubida/S2/links/cluster/Triru-pep-ext60-50-Sim-CLTL1.txt", 35)</f>
        <v>35</v>
      </c>
      <c r="CI6" s="17">
        <f>HYPERLINK("http://exon.niaid.nih.gov/transcriptome/T_rubida/S2/links/cluster/Triru-pep-ext65-50-Sim-CLU1.txt", 1)</f>
        <v>1</v>
      </c>
      <c r="CJ6" s="1">
        <f>HYPERLINK("http://exon.niaid.nih.gov/transcriptome/T_rubida/S2/links/cluster/Triru-pep-ext65-50-Sim-CLTL1.txt", 30)</f>
        <v>30</v>
      </c>
      <c r="CK6" s="17">
        <f>HYPERLINK("http://exon.niaid.nih.gov/transcriptome/T_rubida/S2/links/cluster/Triru-pep-ext70-50-Sim-CLU1.txt", 1)</f>
        <v>1</v>
      </c>
      <c r="CL6" s="1">
        <f>HYPERLINK("http://exon.niaid.nih.gov/transcriptome/T_rubida/S2/links/cluster/Triru-pep-ext70-50-Sim-CLTL1.txt", 28)</f>
        <v>28</v>
      </c>
      <c r="CM6" s="17">
        <f>HYPERLINK("http://exon.niaid.nih.gov/transcriptome/T_rubida/S2/links/cluster/Triru-pep-ext75-50-Sim-CLU4.txt", 4)</f>
        <v>4</v>
      </c>
      <c r="CN6" s="1">
        <f>HYPERLINK("http://exon.niaid.nih.gov/transcriptome/T_rubida/S2/links/cluster/Triru-pep-ext75-50-Sim-CLTL4.txt", 5)</f>
        <v>5</v>
      </c>
      <c r="CO6" s="17">
        <f>HYPERLINK("http://exon.niaid.nih.gov/transcriptome/T_rubida/S2/links/cluster/Triru-pep-ext80-50-Sim-CLU4.txt", 4)</f>
        <v>4</v>
      </c>
      <c r="CP6" s="1">
        <f>HYPERLINK("http://exon.niaid.nih.gov/transcriptome/T_rubida/S2/links/cluster/Triru-pep-ext80-50-Sim-CLTL4.txt", 4)</f>
        <v>4</v>
      </c>
      <c r="CQ6" s="17">
        <f>HYPERLINK("http://exon.niaid.nih.gov/transcriptome/T_rubida/S2/links/cluster/Triru-pep-ext85-50-Sim-CLU4.txt", 4)</f>
        <v>4</v>
      </c>
      <c r="CR6" s="1">
        <f>HYPERLINK("http://exon.niaid.nih.gov/transcriptome/T_rubida/S2/links/cluster/Triru-pep-ext85-50-Sim-CLTL4.txt", 4)</f>
        <v>4</v>
      </c>
      <c r="CS6" s="17">
        <f>HYPERLINK("http://exon.niaid.nih.gov/transcriptome/T_rubida/S2/links/cluster/Triru-pep-ext90-50-Sim-CLU4.txt", 4)</f>
        <v>4</v>
      </c>
      <c r="CT6" s="1">
        <f>HYPERLINK("http://exon.niaid.nih.gov/transcriptome/T_rubida/S2/links/cluster/Triru-pep-ext90-50-Sim-CLTL4.txt", 3)</f>
        <v>3</v>
      </c>
      <c r="CU6" s="17">
        <v>41</v>
      </c>
      <c r="CV6" s="1">
        <v>1</v>
      </c>
    </row>
    <row r="7" spans="1:100">
      <c r="A7" t="str">
        <f>HYPERLINK("http://exon.niaid.nih.gov/transcriptome/T_rubida/S2/links/pep/Triru-17-pep.txt","Triru-17")</f>
        <v>Triru-17</v>
      </c>
      <c r="B7">
        <v>172</v>
      </c>
      <c r="C7" s="1" t="s">
        <v>9</v>
      </c>
      <c r="D7" s="1" t="s">
        <v>3</v>
      </c>
      <c r="E7" t="str">
        <f>HYPERLINK("http://exon.niaid.nih.gov/transcriptome/T_rubida/S2/links/cds/Triru-17-cds.txt","Triru-17")</f>
        <v>Triru-17</v>
      </c>
      <c r="F7">
        <v>519</v>
      </c>
      <c r="G7" s="2" t="s">
        <v>1890</v>
      </c>
      <c r="H7" s="1">
        <v>56</v>
      </c>
      <c r="I7" s="3" t="s">
        <v>1272</v>
      </c>
      <c r="J7" s="17" t="str">
        <f>HYPERLINK("http://exon.niaid.nih.gov/transcriptome/T_rubida/S2/links/Sigp/Triru-17-SigP.txt","SIG")</f>
        <v>SIG</v>
      </c>
      <c r="K7" t="s">
        <v>1318</v>
      </c>
      <c r="L7" s="1">
        <v>19.152999999999999</v>
      </c>
      <c r="M7" s="1">
        <v>5.69</v>
      </c>
      <c r="N7" s="1">
        <v>17.149000000000001</v>
      </c>
      <c r="O7" s="1">
        <v>5.48</v>
      </c>
      <c r="P7" s="1">
        <v>0.02</v>
      </c>
      <c r="Q7" s="1">
        <v>0.94199999999999995</v>
      </c>
      <c r="R7" s="1">
        <v>9.2999999999999999E-2</v>
      </c>
      <c r="S7" s="17" t="s">
        <v>18</v>
      </c>
      <c r="T7">
        <v>1</v>
      </c>
      <c r="U7" t="s">
        <v>1362</v>
      </c>
      <c r="V7" s="17">
        <v>0</v>
      </c>
      <c r="W7" t="s">
        <v>5</v>
      </c>
      <c r="X7" t="s">
        <v>5</v>
      </c>
      <c r="Y7" t="s">
        <v>5</v>
      </c>
      <c r="Z7" t="s">
        <v>5</v>
      </c>
      <c r="AA7" t="s">
        <v>5</v>
      </c>
      <c r="AB7" s="17" t="str">
        <f>HYPERLINK("http://exon.niaid.nih.gov/transcriptome/T_rubida/S2/links/netoglyc/TRIRU-17-netoglyc.txt","5")</f>
        <v>5</v>
      </c>
      <c r="AC7">
        <v>16.3</v>
      </c>
      <c r="AD7">
        <v>7</v>
      </c>
      <c r="AE7">
        <v>4.0999999999999996</v>
      </c>
      <c r="AF7" s="17" t="s">
        <v>5</v>
      </c>
      <c r="AG7" s="2" t="str">
        <f>HYPERLINK("http://exon.niaid.nih.gov/transcriptome/T_rubida/S2/links/NR/Triru-17-NR.txt","unnamed protein product")</f>
        <v>unnamed protein product</v>
      </c>
      <c r="AH7" t="str">
        <f>HYPERLINK("http://www.ncbi.nlm.nih.gov/sutils/blink.cgi?pid=270046244","1E-043")</f>
        <v>1E-043</v>
      </c>
      <c r="AI7" t="str">
        <f>HYPERLINK("http://www.ncbi.nlm.nih.gov/protein/270046244","gi|270046244")</f>
        <v>gi|270046244</v>
      </c>
      <c r="AJ7">
        <v>179</v>
      </c>
      <c r="AK7">
        <v>175</v>
      </c>
      <c r="AL7">
        <v>177</v>
      </c>
      <c r="AM7">
        <v>53</v>
      </c>
      <c r="AN7">
        <v>99</v>
      </c>
      <c r="AO7" t="s">
        <v>59</v>
      </c>
      <c r="AP7" s="2" t="str">
        <f>HYPERLINK("http://exon.niaid.nih.gov/transcriptome/T_rubida/S2/links/SWISSP/Triru-17-SWISSP.txt","Procalin")</f>
        <v>Procalin</v>
      </c>
      <c r="AQ7" t="str">
        <f>HYPERLINK("http://www.uniprot.org/uniprot/Q9U6R6","2E-028")</f>
        <v>2E-028</v>
      </c>
      <c r="AR7" t="s">
        <v>180</v>
      </c>
      <c r="AS7">
        <v>125</v>
      </c>
      <c r="AT7">
        <v>167</v>
      </c>
      <c r="AU7">
        <v>169</v>
      </c>
      <c r="AV7">
        <v>38</v>
      </c>
      <c r="AW7">
        <v>99</v>
      </c>
      <c r="AX7">
        <v>109</v>
      </c>
      <c r="AY7">
        <v>14</v>
      </c>
      <c r="AZ7">
        <v>1</v>
      </c>
      <c r="BA7">
        <v>1</v>
      </c>
      <c r="BB7">
        <v>1</v>
      </c>
      <c r="BC7" t="s">
        <v>181</v>
      </c>
      <c r="BD7" s="2" t="s">
        <v>5</v>
      </c>
      <c r="BE7" t="s">
        <v>5</v>
      </c>
      <c r="BF7" t="s">
        <v>5</v>
      </c>
      <c r="BG7" t="s">
        <v>5</v>
      </c>
      <c r="BH7" t="s">
        <v>5</v>
      </c>
      <c r="BI7" s="2" t="str">
        <f>HYPERLINK("http://exon.niaid.nih.gov/transcriptome/T_rubida/S2/links/CDD/Triru-17-CDD.txt","Triabin")</f>
        <v>Triabin</v>
      </c>
      <c r="BJ7" t="str">
        <f>HYPERLINK("http://www.ncbi.nlm.nih.gov/Structure/cdd/cddsrv.cgi?uid=pfam03973&amp;version=v4.0","2E-014")</f>
        <v>2E-014</v>
      </c>
      <c r="BK7" t="s">
        <v>847</v>
      </c>
      <c r="BL7" s="2" t="str">
        <f>HYPERLINK("http://exon.niaid.nih.gov/transcriptome/T_rubida/S2/links/KOG/Triru-17-KOG.txt","Membrane-associated protein tyrosine phosphatase PTP-BAS and related proteins, contain FERM domain")</f>
        <v>Membrane-associated protein tyrosine phosphatase PTP-BAS and related proteins, contain FERM domain</v>
      </c>
      <c r="BM7" t="str">
        <f>HYPERLINK("http://www.ncbi.nlm.nih.gov/COG/grace/shokog.cgi?KOG4371","2.1")</f>
        <v>2.1</v>
      </c>
      <c r="BN7" t="s">
        <v>179</v>
      </c>
      <c r="BO7" s="2" t="str">
        <f>HYPERLINK("http://exon.niaid.nih.gov/transcriptome/T_rubida/S2/links/PFAM/Triru-17-PFAM.txt","Triabin")</f>
        <v>Triabin</v>
      </c>
      <c r="BP7" t="str">
        <f>HYPERLINK("http://pfam.sanger.ac.uk/family?acc=PF03973","4E-015")</f>
        <v>4E-015</v>
      </c>
      <c r="BQ7" s="2" t="str">
        <f>HYPERLINK("http://exon.niaid.nih.gov/transcriptome/T_rubida/S2/links/SMART/Triru-17-SMART.txt","EH")</f>
        <v>EH</v>
      </c>
      <c r="BR7" t="str">
        <f>HYPERLINK("http://smart.embl-heidelberg.de/smart/do_annotation.pl?DOMAIN=EH&amp;BLAST=DUMMY","0.66")</f>
        <v>0.66</v>
      </c>
      <c r="BS7" s="17">
        <f t="shared" si="0"/>
        <v>1</v>
      </c>
      <c r="BT7" s="1">
        <f t="shared" si="1"/>
        <v>359</v>
      </c>
      <c r="BU7" s="17">
        <f t="shared" si="2"/>
        <v>1</v>
      </c>
      <c r="BV7" s="1">
        <f t="shared" si="3"/>
        <v>225</v>
      </c>
      <c r="BW7" s="17">
        <f t="shared" si="4"/>
        <v>2</v>
      </c>
      <c r="BX7" s="1">
        <f t="shared" si="5"/>
        <v>70</v>
      </c>
      <c r="BY7" s="17">
        <f t="shared" si="6"/>
        <v>1</v>
      </c>
      <c r="BZ7" s="1">
        <f t="shared" si="7"/>
        <v>69</v>
      </c>
      <c r="CA7" s="17">
        <f t="shared" si="8"/>
        <v>1</v>
      </c>
      <c r="CB7" s="1">
        <f t="shared" si="9"/>
        <v>69</v>
      </c>
      <c r="CC7" s="17">
        <f>HYPERLINK("http://exon.niaid.nih.gov/transcriptome/T_rubida/S2/links/cluster/Triru-pep-ext50-50-Sim-CLU1.txt", 1)</f>
        <v>1</v>
      </c>
      <c r="CD7" s="1">
        <f>HYPERLINK("http://exon.niaid.nih.gov/transcriptome/T_rubida/S2/links/cluster/Triru-pep-ext50-50-Sim-CLTL1.txt", 45)</f>
        <v>45</v>
      </c>
      <c r="CE7" s="17">
        <f>HYPERLINK("http://exon.niaid.nih.gov/transcriptome/T_rubida/S2/links/cluster/Triru-pep-ext55-50-Sim-CLU1.txt", 1)</f>
        <v>1</v>
      </c>
      <c r="CF7" s="1">
        <f>HYPERLINK("http://exon.niaid.nih.gov/transcriptome/T_rubida/S2/links/cluster/Triru-pep-ext55-50-Sim-CLTL1.txt", 45)</f>
        <v>45</v>
      </c>
      <c r="CG7" s="17">
        <f>HYPERLINK("http://exon.niaid.nih.gov/transcriptome/T_rubida/S2/links/cluster/Triru-pep-ext60-50-Sim-CLU1.txt", 1)</f>
        <v>1</v>
      </c>
      <c r="CH7" s="1">
        <f>HYPERLINK("http://exon.niaid.nih.gov/transcriptome/T_rubida/S2/links/cluster/Triru-pep-ext60-50-Sim-CLTL1.txt", 35)</f>
        <v>35</v>
      </c>
      <c r="CI7" s="17">
        <f>HYPERLINK("http://exon.niaid.nih.gov/transcriptome/T_rubida/S2/links/cluster/Triru-pep-ext65-50-Sim-CLU1.txt", 1)</f>
        <v>1</v>
      </c>
      <c r="CJ7" s="1">
        <f>HYPERLINK("http://exon.niaid.nih.gov/transcriptome/T_rubida/S2/links/cluster/Triru-pep-ext65-50-Sim-CLTL1.txt", 30)</f>
        <v>30</v>
      </c>
      <c r="CK7" s="17">
        <f>HYPERLINK("http://exon.niaid.nih.gov/transcriptome/T_rubida/S2/links/cluster/Triru-pep-ext70-50-Sim-CLU1.txt", 1)</f>
        <v>1</v>
      </c>
      <c r="CL7" s="1">
        <f>HYPERLINK("http://exon.niaid.nih.gov/transcriptome/T_rubida/S2/links/cluster/Triru-pep-ext70-50-Sim-CLTL1.txt", 28)</f>
        <v>28</v>
      </c>
      <c r="CM7" s="17">
        <f>HYPERLINK("http://exon.niaid.nih.gov/transcriptome/T_rubida/S2/links/cluster/Triru-pep-ext75-50-Sim-CLU1.txt", 1)</f>
        <v>1</v>
      </c>
      <c r="CN7" s="1">
        <f>HYPERLINK("http://exon.niaid.nih.gov/transcriptome/T_rubida/S2/links/cluster/Triru-pep-ext75-50-Sim-CLTL1.txt", 23)</f>
        <v>23</v>
      </c>
      <c r="CO7" s="17">
        <f>HYPERLINK("http://exon.niaid.nih.gov/transcriptome/T_rubida/S2/links/cluster/Triru-pep-ext80-50-Sim-CLU1.txt", 1)</f>
        <v>1</v>
      </c>
      <c r="CP7" s="1">
        <f>HYPERLINK("http://exon.niaid.nih.gov/transcriptome/T_rubida/S2/links/cluster/Triru-pep-ext80-50-Sim-CLTL1.txt", 23)</f>
        <v>23</v>
      </c>
      <c r="CQ7" s="17">
        <f>HYPERLINK("http://exon.niaid.nih.gov/transcriptome/T_rubida/S2/links/cluster/Triru-pep-ext85-50-Sim-CLU1.txt", 1)</f>
        <v>1</v>
      </c>
      <c r="CR7" s="1">
        <f>HYPERLINK("http://exon.niaid.nih.gov/transcriptome/T_rubida/S2/links/cluster/Triru-pep-ext85-50-Sim-CLTL1.txt", 15)</f>
        <v>15</v>
      </c>
      <c r="CS7" s="17">
        <f>HYPERLINK("http://exon.niaid.nih.gov/transcriptome/T_rubida/S2/links/cluster/Triru-pep-ext90-50-Sim-CLU1.txt", 1)</f>
        <v>1</v>
      </c>
      <c r="CT7" s="1">
        <f>HYPERLINK("http://exon.niaid.nih.gov/transcriptome/T_rubida/S2/links/cluster/Triru-pep-ext90-50-Sim-CLTL1.txt", 13)</f>
        <v>13</v>
      </c>
      <c r="CU7" s="17">
        <f>HYPERLINK("http://exon.niaid.nih.gov/transcriptome/T_rubida/S2/links/cluster/Triru-pep-ext95-50-Sim-CLU1.txt", 1)</f>
        <v>1</v>
      </c>
      <c r="CV7" s="1">
        <f>HYPERLINK("http://exon.niaid.nih.gov/transcriptome/T_rubida/S2/links/cluster/Triru-pep-ext95-50-Sim-CLTL1.txt", 8)</f>
        <v>8</v>
      </c>
    </row>
    <row r="8" spans="1:100">
      <c r="A8" t="str">
        <f>HYPERLINK("http://exon.niaid.nih.gov/transcriptome/T_rubida/S2/links/pep/Triru-60-pep.txt","Triru-60")</f>
        <v>Triru-60</v>
      </c>
      <c r="B8">
        <v>107</v>
      </c>
      <c r="C8" s="1" t="s">
        <v>12</v>
      </c>
      <c r="D8" s="1" t="s">
        <v>3</v>
      </c>
      <c r="E8" t="str">
        <f>HYPERLINK("http://exon.niaid.nih.gov/transcriptome/T_rubida/S2/links/cds/Triru-60-cds.txt","Triru-60")</f>
        <v>Triru-60</v>
      </c>
      <c r="F8">
        <v>324</v>
      </c>
      <c r="G8" s="2" t="s">
        <v>1890</v>
      </c>
      <c r="H8" s="1">
        <v>34</v>
      </c>
      <c r="I8" s="3" t="s">
        <v>1272</v>
      </c>
      <c r="J8" s="17" t="str">
        <f>HYPERLINK("http://exon.niaid.nih.gov/transcriptome/T_rubida/S2/links/Sigp/Triru-60-SigP.txt","CYT")</f>
        <v>CYT</v>
      </c>
      <c r="K8" t="s">
        <v>5</v>
      </c>
      <c r="L8" s="1">
        <v>12.08</v>
      </c>
      <c r="M8" s="1">
        <v>5.29</v>
      </c>
      <c r="P8" s="1">
        <v>6.5000000000000002E-2</v>
      </c>
      <c r="Q8" s="1">
        <v>6.2E-2</v>
      </c>
      <c r="R8" s="1">
        <v>0.94399999999999995</v>
      </c>
      <c r="S8" s="17" t="s">
        <v>1346</v>
      </c>
      <c r="T8">
        <v>1</v>
      </c>
      <c r="U8" t="s">
        <v>1384</v>
      </c>
      <c r="V8" s="17">
        <v>0</v>
      </c>
      <c r="W8" t="s">
        <v>5</v>
      </c>
      <c r="X8" t="s">
        <v>5</v>
      </c>
      <c r="Y8" t="s">
        <v>5</v>
      </c>
      <c r="Z8" t="s">
        <v>5</v>
      </c>
      <c r="AA8" t="s">
        <v>5</v>
      </c>
      <c r="AB8" s="17" t="str">
        <f>HYPERLINK("http://exon.niaid.nih.gov/transcriptome/T_rubida/S2/links/netoglyc/TRIRU-60-netoglyc.txt","0")</f>
        <v>0</v>
      </c>
      <c r="AC8">
        <v>14</v>
      </c>
      <c r="AD8">
        <v>7.5</v>
      </c>
      <c r="AE8">
        <v>1.9</v>
      </c>
      <c r="AF8" s="17" t="s">
        <v>5</v>
      </c>
      <c r="AG8" s="2" t="str">
        <f>HYPERLINK("http://exon.niaid.nih.gov/transcriptome/T_rubida/S2/links/NR/Triru-60-NR.txt","unnamed protein product")</f>
        <v>unnamed protein product</v>
      </c>
      <c r="AH8" t="str">
        <f>HYPERLINK("http://www.ncbi.nlm.nih.gov/sutils/blink.cgi?pid=270046188","5E-031")</f>
        <v>5E-031</v>
      </c>
      <c r="AI8" t="str">
        <f>HYPERLINK("http://www.ncbi.nlm.nih.gov/protein/270046188","gi|270046188")</f>
        <v>gi|270046188</v>
      </c>
      <c r="AJ8">
        <v>137</v>
      </c>
      <c r="AK8">
        <v>105</v>
      </c>
      <c r="AL8">
        <v>197</v>
      </c>
      <c r="AM8">
        <v>60</v>
      </c>
      <c r="AN8">
        <v>54</v>
      </c>
      <c r="AO8" t="s">
        <v>59</v>
      </c>
      <c r="AP8" s="2" t="str">
        <f>HYPERLINK("http://exon.niaid.nih.gov/transcriptome/T_rubida/S2/links/SWISSP/Triru-60-SWISSP.txt","Crustacyanin-A2 subunit")</f>
        <v>Crustacyanin-A2 subunit</v>
      </c>
      <c r="AQ8" t="str">
        <f>HYPERLINK("http://www.uniprot.org/uniprot/P80007","0.10")</f>
        <v>0.10</v>
      </c>
      <c r="AR8" t="s">
        <v>201</v>
      </c>
      <c r="AS8">
        <v>35.4</v>
      </c>
      <c r="AT8">
        <v>56</v>
      </c>
      <c r="AU8">
        <v>174</v>
      </c>
      <c r="AV8">
        <v>31</v>
      </c>
      <c r="AW8">
        <v>33</v>
      </c>
      <c r="AX8">
        <v>39</v>
      </c>
      <c r="AY8">
        <v>3</v>
      </c>
      <c r="AZ8">
        <v>106</v>
      </c>
      <c r="BA8">
        <v>44</v>
      </c>
      <c r="BB8">
        <v>1</v>
      </c>
      <c r="BC8" t="s">
        <v>202</v>
      </c>
      <c r="BD8" s="2" t="s">
        <v>5</v>
      </c>
      <c r="BE8" t="s">
        <v>5</v>
      </c>
      <c r="BF8" t="s">
        <v>5</v>
      </c>
      <c r="BG8" t="s">
        <v>5</v>
      </c>
      <c r="BH8" t="s">
        <v>5</v>
      </c>
      <c r="BI8" s="2" t="str">
        <f>HYPERLINK("http://exon.niaid.nih.gov/transcriptome/T_rubida/S2/links/CDD/Triru-60-CDD.txt","Triabin")</f>
        <v>Triabin</v>
      </c>
      <c r="BJ8" t="str">
        <f>HYPERLINK("http://www.ncbi.nlm.nih.gov/Structure/cdd/cddsrv.cgi?uid=pfam03973&amp;version=v4.0","3E-009")</f>
        <v>3E-009</v>
      </c>
      <c r="BK8" t="s">
        <v>1222</v>
      </c>
      <c r="BL8" s="2" t="str">
        <f>HYPERLINK("http://exon.niaid.nih.gov/transcriptome/T_rubida/S2/links/KOG/Triru-60-KOG.txt","Heavy metal exporter HMT1, ABC superfamily")</f>
        <v>Heavy metal exporter HMT1, ABC superfamily</v>
      </c>
      <c r="BM8" t="str">
        <f>HYPERLINK("http://www.ncbi.nlm.nih.gov/COG/grace/shokog.cgi?KOG0056","1.5")</f>
        <v>1.5</v>
      </c>
      <c r="BN8" t="s">
        <v>117</v>
      </c>
      <c r="BO8" s="2" t="str">
        <f>HYPERLINK("http://exon.niaid.nih.gov/transcriptome/T_rubida/S2/links/PFAM/Triru-60-PFAM.txt","Triabin")</f>
        <v>Triabin</v>
      </c>
      <c r="BP8" t="str">
        <f>HYPERLINK("http://pfam.sanger.ac.uk/family?acc=PF03973","5E-010")</f>
        <v>5E-010</v>
      </c>
      <c r="BQ8" s="2" t="str">
        <f>HYPERLINK("http://exon.niaid.nih.gov/transcriptome/T_rubida/S2/links/SMART/Triru-60-SMART.txt","S_TKc")</f>
        <v>S_TKc</v>
      </c>
      <c r="BR8" t="str">
        <f>HYPERLINK("http://smart.embl-heidelberg.de/smart/do_annotation.pl?DOMAIN=S_TKc&amp;BLAST=DUMMY","1.4")</f>
        <v>1.4</v>
      </c>
      <c r="BS8" s="17">
        <f t="shared" si="0"/>
        <v>1</v>
      </c>
      <c r="BT8" s="1">
        <f t="shared" si="1"/>
        <v>359</v>
      </c>
      <c r="BU8" s="17">
        <f t="shared" si="2"/>
        <v>1</v>
      </c>
      <c r="BV8" s="1">
        <f t="shared" si="3"/>
        <v>225</v>
      </c>
      <c r="BW8" s="17">
        <f t="shared" si="4"/>
        <v>2</v>
      </c>
      <c r="BX8" s="1">
        <f t="shared" si="5"/>
        <v>70</v>
      </c>
      <c r="BY8" s="17">
        <f t="shared" si="6"/>
        <v>1</v>
      </c>
      <c r="BZ8" s="1">
        <f t="shared" si="7"/>
        <v>69</v>
      </c>
      <c r="CA8" s="17">
        <f t="shared" si="8"/>
        <v>1</v>
      </c>
      <c r="CB8" s="1">
        <f t="shared" si="9"/>
        <v>69</v>
      </c>
      <c r="CC8" s="17">
        <f>HYPERLINK("http://exon.niaid.nih.gov/transcriptome/T_rubida/S2/links/cluster/Triru-pep-ext50-50-Sim-CLU2.txt", 2)</f>
        <v>2</v>
      </c>
      <c r="CD8" s="1">
        <f>HYPERLINK("http://exon.niaid.nih.gov/transcriptome/T_rubida/S2/links/cluster/Triru-pep-ext50-50-Sim-CLTL2.txt", 23)</f>
        <v>23</v>
      </c>
      <c r="CE8" s="17">
        <f>HYPERLINK("http://exon.niaid.nih.gov/transcriptome/T_rubida/S2/links/cluster/Triru-pep-ext55-50-Sim-CLU2.txt", 2)</f>
        <v>2</v>
      </c>
      <c r="CF8" s="1">
        <f>HYPERLINK("http://exon.niaid.nih.gov/transcriptome/T_rubida/S2/links/cluster/Triru-pep-ext55-50-Sim-CLTL2.txt", 20)</f>
        <v>20</v>
      </c>
      <c r="CG8" s="17">
        <f>HYPERLINK("http://exon.niaid.nih.gov/transcriptome/T_rubida/S2/links/cluster/Triru-pep-ext60-50-Sim-CLU3.txt", 3)</f>
        <v>3</v>
      </c>
      <c r="CH8" s="1">
        <f>HYPERLINK("http://exon.niaid.nih.gov/transcriptome/T_rubida/S2/links/cluster/Triru-pep-ext60-50-Sim-CLTL3.txt", 12)</f>
        <v>12</v>
      </c>
      <c r="CI8" s="17">
        <f>HYPERLINK("http://exon.niaid.nih.gov/transcriptome/T_rubida/S2/links/cluster/Triru-pep-ext65-50-Sim-CLU2.txt", 2)</f>
        <v>2</v>
      </c>
      <c r="CJ8" s="1">
        <f>HYPERLINK("http://exon.niaid.nih.gov/transcriptome/T_rubida/S2/links/cluster/Triru-pep-ext65-50-Sim-CLTL2.txt", 12)</f>
        <v>12</v>
      </c>
      <c r="CK8" s="17">
        <f>HYPERLINK("http://exon.niaid.nih.gov/transcriptome/T_rubida/S2/links/cluster/Triru-pep-ext70-50-Sim-CLU2.txt", 2)</f>
        <v>2</v>
      </c>
      <c r="CL8" s="1">
        <f>HYPERLINK("http://exon.niaid.nih.gov/transcriptome/T_rubida/S2/links/cluster/Triru-pep-ext70-50-Sim-CLTL2.txt", 11)</f>
        <v>11</v>
      </c>
      <c r="CM8" s="17">
        <f>HYPERLINK("http://exon.niaid.nih.gov/transcriptome/T_rubida/S2/links/cluster/Triru-pep-ext75-50-Sim-CLU2.txt", 2)</f>
        <v>2</v>
      </c>
      <c r="CN8" s="1">
        <f>HYPERLINK("http://exon.niaid.nih.gov/transcriptome/T_rubida/S2/links/cluster/Triru-pep-ext75-50-Sim-CLTL2.txt", 11)</f>
        <v>11</v>
      </c>
      <c r="CO8" s="17">
        <f>HYPERLINK("http://exon.niaid.nih.gov/transcriptome/T_rubida/S2/links/cluster/Triru-pep-ext80-50-Sim-CLU2.txt", 2)</f>
        <v>2</v>
      </c>
      <c r="CP8" s="1">
        <f>HYPERLINK("http://exon.niaid.nih.gov/transcriptome/T_rubida/S2/links/cluster/Triru-pep-ext80-50-Sim-CLTL2.txt", 8)</f>
        <v>8</v>
      </c>
      <c r="CQ8" s="17">
        <f>HYPERLINK("http://exon.niaid.nih.gov/transcriptome/T_rubida/S2/links/cluster/Triru-pep-ext85-50-Sim-CLU5.txt", 5)</f>
        <v>5</v>
      </c>
      <c r="CR8" s="1">
        <f>HYPERLINK("http://exon.niaid.nih.gov/transcriptome/T_rubida/S2/links/cluster/Triru-pep-ext85-50-Sim-CLTL5.txt", 4)</f>
        <v>4</v>
      </c>
      <c r="CS8" s="17">
        <f>HYPERLINK("http://exon.niaid.nih.gov/transcriptome/T_rubida/S2/links/cluster/Triru-pep-ext90-50-Sim-CLU8.txt", 8)</f>
        <v>8</v>
      </c>
      <c r="CT8" s="1">
        <f>HYPERLINK("http://exon.niaid.nih.gov/transcriptome/T_rubida/S2/links/cluster/Triru-pep-ext90-50-Sim-CLTL8.txt", 2)</f>
        <v>2</v>
      </c>
      <c r="CU8" s="17">
        <f>HYPERLINK("http://exon.niaid.nih.gov/transcriptome/T_rubida/S2/links/cluster/Triru-pep-ext95-50-Sim-CLU6.txt", 6)</f>
        <v>6</v>
      </c>
      <c r="CV8" s="1">
        <f>HYPERLINK("http://exon.niaid.nih.gov/transcriptome/T_rubida/S2/links/cluster/Triru-pep-ext95-50-Sim-CLTL6.txt", 2)</f>
        <v>2</v>
      </c>
    </row>
    <row r="9" spans="1:100">
      <c r="A9" t="str">
        <f>HYPERLINK("http://exon.niaid.nih.gov/transcriptome/T_rubida/S2/links/pep/Triru-6-pep.txt","Triru-6")</f>
        <v>Triru-6</v>
      </c>
      <c r="B9">
        <v>148</v>
      </c>
      <c r="C9" s="1" t="s">
        <v>14</v>
      </c>
      <c r="D9" s="1" t="s">
        <v>3</v>
      </c>
      <c r="E9" t="str">
        <f>HYPERLINK("http://exon.niaid.nih.gov/transcriptome/T_rubida/S2/links/cds/Triru-6-cds.txt","Triru-6")</f>
        <v>Triru-6</v>
      </c>
      <c r="F9">
        <v>447</v>
      </c>
      <c r="G9" s="2" t="s">
        <v>1890</v>
      </c>
      <c r="H9" s="1">
        <v>32</v>
      </c>
      <c r="I9" s="3" t="s">
        <v>1272</v>
      </c>
      <c r="J9" s="17" t="str">
        <f>HYPERLINK("http://exon.niaid.nih.gov/transcriptome/T_rubida/S2/links/Sigp/Triru-6-SigP.txt","CYT")</f>
        <v>CYT</v>
      </c>
      <c r="K9" t="s">
        <v>5</v>
      </c>
      <c r="L9" s="1">
        <v>16.486000000000001</v>
      </c>
      <c r="M9" s="1">
        <v>7.77</v>
      </c>
      <c r="P9" s="1">
        <v>0.114</v>
      </c>
      <c r="Q9" s="1">
        <v>4.8000000000000001E-2</v>
      </c>
      <c r="R9" s="1">
        <v>0.91500000000000004</v>
      </c>
      <c r="S9" s="17" t="s">
        <v>1346</v>
      </c>
      <c r="T9">
        <v>1</v>
      </c>
      <c r="U9" t="s">
        <v>1369</v>
      </c>
      <c r="V9" s="17">
        <v>0</v>
      </c>
      <c r="W9" t="s">
        <v>5</v>
      </c>
      <c r="X9" t="s">
        <v>5</v>
      </c>
      <c r="Y9" t="s">
        <v>5</v>
      </c>
      <c r="Z9" t="s">
        <v>5</v>
      </c>
      <c r="AA9" t="s">
        <v>5</v>
      </c>
      <c r="AB9" s="17" t="str">
        <f>HYPERLINK("http://exon.niaid.nih.gov/transcriptome/T_rubida/S2/links/netoglyc/TRIRU-6-netoglyc.txt","5")</f>
        <v>5</v>
      </c>
      <c r="AC9">
        <v>17.600000000000001</v>
      </c>
      <c r="AD9">
        <v>4.0999999999999996</v>
      </c>
      <c r="AE9">
        <v>4.7</v>
      </c>
      <c r="AF9" s="17" t="s">
        <v>5</v>
      </c>
      <c r="AG9" s="2" t="str">
        <f>HYPERLINK("http://exon.niaid.nih.gov/transcriptome/T_rubida/S2/links/NR/Triru-6-NR.txt","unnamed protein product")</f>
        <v>unnamed protein product</v>
      </c>
      <c r="AH9" t="str">
        <f>HYPERLINK("http://www.ncbi.nlm.nih.gov/sutils/blink.cgi?pid=270046164","1E-025")</f>
        <v>1E-025</v>
      </c>
      <c r="AI9" t="str">
        <f>HYPERLINK("http://www.ncbi.nlm.nih.gov/protein/270046164","gi|270046164")</f>
        <v>gi|270046164</v>
      </c>
      <c r="AJ9">
        <v>119</v>
      </c>
      <c r="AK9">
        <v>146</v>
      </c>
      <c r="AL9">
        <v>177</v>
      </c>
      <c r="AM9">
        <v>43</v>
      </c>
      <c r="AN9">
        <v>83</v>
      </c>
      <c r="AO9" t="s">
        <v>59</v>
      </c>
      <c r="AP9" s="2" t="str">
        <f>HYPERLINK("http://exon.niaid.nih.gov/transcriptome/T_rubida/S2/links/SWISSP/Triru-6-SWISSP.txt","Procalin")</f>
        <v>Procalin</v>
      </c>
      <c r="AQ9" t="str">
        <f>HYPERLINK("http://www.uniprot.org/uniprot/Q9U6R6","4E-018")</f>
        <v>4E-018</v>
      </c>
      <c r="AR9" t="s">
        <v>180</v>
      </c>
      <c r="AS9">
        <v>90.1</v>
      </c>
      <c r="AT9">
        <v>141</v>
      </c>
      <c r="AU9">
        <v>169</v>
      </c>
      <c r="AV9">
        <v>33</v>
      </c>
      <c r="AW9">
        <v>84</v>
      </c>
      <c r="AX9">
        <v>96</v>
      </c>
      <c r="AY9">
        <v>7</v>
      </c>
      <c r="AZ9">
        <v>27</v>
      </c>
      <c r="BA9">
        <v>5</v>
      </c>
      <c r="BB9">
        <v>1</v>
      </c>
      <c r="BC9" t="s">
        <v>181</v>
      </c>
      <c r="BD9" s="2" t="s">
        <v>5</v>
      </c>
      <c r="BE9" t="s">
        <v>5</v>
      </c>
      <c r="BF9" t="s">
        <v>5</v>
      </c>
      <c r="BG9" t="s">
        <v>5</v>
      </c>
      <c r="BH9" t="s">
        <v>5</v>
      </c>
      <c r="BI9" s="2" t="str">
        <f>HYPERLINK("http://exon.niaid.nih.gov/transcriptome/T_rubida/S2/links/CDD/Triru-6-CDD.txt","Triabin")</f>
        <v>Triabin</v>
      </c>
      <c r="BJ9" t="str">
        <f>HYPERLINK("http://www.ncbi.nlm.nih.gov/Structure/cdd/cddsrv.cgi?uid=pfam03973&amp;version=v4.0","7E-014")</f>
        <v>7E-014</v>
      </c>
      <c r="BK9" t="s">
        <v>761</v>
      </c>
      <c r="BL9" s="2" t="str">
        <f>HYPERLINK("http://exon.niaid.nih.gov/transcriptome/T_rubida/S2/links/KOG/Triru-6-KOG.txt","Cadherin EGF LAG seven-pass G-type receptor")</f>
        <v>Cadherin EGF LAG seven-pass G-type receptor</v>
      </c>
      <c r="BM9" t="str">
        <f>HYPERLINK("http://www.ncbi.nlm.nih.gov/COG/grace/shokog.cgi?KOG4289","1.9")</f>
        <v>1.9</v>
      </c>
      <c r="BN9" t="s">
        <v>179</v>
      </c>
      <c r="BO9" s="2" t="str">
        <f>HYPERLINK("http://exon.niaid.nih.gov/transcriptome/T_rubida/S2/links/PFAM/Triru-6-PFAM.txt","Triabin")</f>
        <v>Triabin</v>
      </c>
      <c r="BP9" t="str">
        <f>HYPERLINK("http://pfam.sanger.ac.uk/family?acc=PF03973","2E-014")</f>
        <v>2E-014</v>
      </c>
      <c r="BQ9" s="2" t="str">
        <f>HYPERLINK("http://exon.niaid.nih.gov/transcriptome/T_rubida/S2/links/SMART/Triru-6-SMART.txt","LH2")</f>
        <v>LH2</v>
      </c>
      <c r="BR9" t="str">
        <f>HYPERLINK("http://smart.embl-heidelberg.de/smart/do_annotation.pl?DOMAIN=LH2&amp;BLAST=DUMMY","0.89")</f>
        <v>0.89</v>
      </c>
      <c r="BS9" s="17">
        <f t="shared" si="0"/>
        <v>1</v>
      </c>
      <c r="BT9" s="1">
        <f t="shared" si="1"/>
        <v>359</v>
      </c>
      <c r="BU9" s="17">
        <f t="shared" si="2"/>
        <v>1</v>
      </c>
      <c r="BV9" s="1">
        <f t="shared" si="3"/>
        <v>225</v>
      </c>
      <c r="BW9" s="17">
        <f t="shared" si="4"/>
        <v>2</v>
      </c>
      <c r="BX9" s="1">
        <f t="shared" si="5"/>
        <v>70</v>
      </c>
      <c r="BY9" s="17">
        <f t="shared" si="6"/>
        <v>1</v>
      </c>
      <c r="BZ9" s="1">
        <f t="shared" si="7"/>
        <v>69</v>
      </c>
      <c r="CA9" s="17">
        <f t="shared" si="8"/>
        <v>1</v>
      </c>
      <c r="CB9" s="1">
        <f t="shared" si="9"/>
        <v>69</v>
      </c>
      <c r="CC9" s="17">
        <f>HYPERLINK("http://exon.niaid.nih.gov/transcriptome/T_rubida/S2/links/cluster/Triru-pep-ext50-50-Sim-CLU1.txt", 1)</f>
        <v>1</v>
      </c>
      <c r="CD9" s="1">
        <f>HYPERLINK("http://exon.niaid.nih.gov/transcriptome/T_rubida/S2/links/cluster/Triru-pep-ext50-50-Sim-CLTL1.txt", 45)</f>
        <v>45</v>
      </c>
      <c r="CE9" s="17">
        <f>HYPERLINK("http://exon.niaid.nih.gov/transcriptome/T_rubida/S2/links/cluster/Triru-pep-ext55-50-Sim-CLU1.txt", 1)</f>
        <v>1</v>
      </c>
      <c r="CF9" s="1">
        <f>HYPERLINK("http://exon.niaid.nih.gov/transcriptome/T_rubida/S2/links/cluster/Triru-pep-ext55-50-Sim-CLTL1.txt", 45)</f>
        <v>45</v>
      </c>
      <c r="CG9" s="17">
        <f>HYPERLINK("http://exon.niaid.nih.gov/transcriptome/T_rubida/S2/links/cluster/Triru-pep-ext60-50-Sim-CLU1.txt", 1)</f>
        <v>1</v>
      </c>
      <c r="CH9" s="1">
        <f>HYPERLINK("http://exon.niaid.nih.gov/transcriptome/T_rubida/S2/links/cluster/Triru-pep-ext60-50-Sim-CLTL1.txt", 35)</f>
        <v>35</v>
      </c>
      <c r="CI9" s="17">
        <f>HYPERLINK("http://exon.niaid.nih.gov/transcriptome/T_rubida/S2/links/cluster/Triru-pep-ext65-50-Sim-CLU1.txt", 1)</f>
        <v>1</v>
      </c>
      <c r="CJ9" s="1">
        <f>HYPERLINK("http://exon.niaid.nih.gov/transcriptome/T_rubida/S2/links/cluster/Triru-pep-ext65-50-Sim-CLTL1.txt", 30)</f>
        <v>30</v>
      </c>
      <c r="CK9" s="17">
        <f>HYPERLINK("http://exon.niaid.nih.gov/transcriptome/T_rubida/S2/links/cluster/Triru-pep-ext70-50-Sim-CLU1.txt", 1)</f>
        <v>1</v>
      </c>
      <c r="CL9" s="1">
        <f>HYPERLINK("http://exon.niaid.nih.gov/transcriptome/T_rubida/S2/links/cluster/Triru-pep-ext70-50-Sim-CLTL1.txt", 28)</f>
        <v>28</v>
      </c>
      <c r="CM9" s="17">
        <f>HYPERLINK("http://exon.niaid.nih.gov/transcriptome/T_rubida/S2/links/cluster/Triru-pep-ext75-50-Sim-CLU1.txt", 1)</f>
        <v>1</v>
      </c>
      <c r="CN9" s="1">
        <f>HYPERLINK("http://exon.niaid.nih.gov/transcriptome/T_rubida/S2/links/cluster/Triru-pep-ext75-50-Sim-CLTL1.txt", 23)</f>
        <v>23</v>
      </c>
      <c r="CO9" s="17">
        <f>HYPERLINK("http://exon.niaid.nih.gov/transcriptome/T_rubida/S2/links/cluster/Triru-pep-ext80-50-Sim-CLU1.txt", 1)</f>
        <v>1</v>
      </c>
      <c r="CP9" s="1">
        <f>HYPERLINK("http://exon.niaid.nih.gov/transcriptome/T_rubida/S2/links/cluster/Triru-pep-ext80-50-Sim-CLTL1.txt", 23)</f>
        <v>23</v>
      </c>
      <c r="CQ9" s="17">
        <f>HYPERLINK("http://exon.niaid.nih.gov/transcriptome/T_rubida/S2/links/cluster/Triru-pep-ext85-50-Sim-CLU2.txt", 2)</f>
        <v>2</v>
      </c>
      <c r="CR9" s="1">
        <f>HYPERLINK("http://exon.niaid.nih.gov/transcriptome/T_rubida/S2/links/cluster/Triru-pep-ext85-50-Sim-CLTL2.txt", 8)</f>
        <v>8</v>
      </c>
      <c r="CS9" s="17">
        <f>HYPERLINK("http://exon.niaid.nih.gov/transcriptome/T_rubida/S2/links/cluster/Triru-pep-ext90-50-Sim-CLU2.txt", 2)</f>
        <v>2</v>
      </c>
      <c r="CT9" s="1">
        <f>HYPERLINK("http://exon.niaid.nih.gov/transcriptome/T_rubida/S2/links/cluster/Triru-pep-ext90-50-Sim-CLTL2.txt", 4)</f>
        <v>4</v>
      </c>
      <c r="CU9" s="17">
        <f>HYPERLINK("http://exon.niaid.nih.gov/transcriptome/T_rubida/S2/links/cluster/Triru-pep-ext95-50-Sim-CLU2.txt", 2)</f>
        <v>2</v>
      </c>
      <c r="CV9" s="1">
        <f>HYPERLINK("http://exon.niaid.nih.gov/transcriptome/T_rubida/S2/links/cluster/Triru-pep-ext95-50-Sim-CLTL2.txt", 3)</f>
        <v>3</v>
      </c>
    </row>
    <row r="10" spans="1:100">
      <c r="A10" t="str">
        <f>HYPERLINK("http://exon.niaid.nih.gov/transcriptome/T_rubida/S2/links/pep/Triru-63-pep.txt","Triru-63")</f>
        <v>Triru-63</v>
      </c>
      <c r="B10">
        <v>194</v>
      </c>
      <c r="C10" s="1" t="s">
        <v>17</v>
      </c>
      <c r="D10" s="1" t="s">
        <v>3</v>
      </c>
      <c r="E10" t="str">
        <f>HYPERLINK("http://exon.niaid.nih.gov/transcriptome/T_rubida/S2/links/cds/Triru-63-cds.txt","Triru-63")</f>
        <v>Triru-63</v>
      </c>
      <c r="F10">
        <v>585</v>
      </c>
      <c r="G10" s="2" t="s">
        <v>1890</v>
      </c>
      <c r="H10" s="1">
        <v>30</v>
      </c>
      <c r="I10" s="3" t="s">
        <v>1272</v>
      </c>
      <c r="J10" s="17" t="str">
        <f>HYPERLINK("http://exon.niaid.nih.gov/transcriptome/T_rubida/S2/links/Sigp/Triru-63-SigP.txt","CYT")</f>
        <v>CYT</v>
      </c>
      <c r="K10" t="s">
        <v>5</v>
      </c>
      <c r="L10" s="1">
        <v>22.239000000000001</v>
      </c>
      <c r="M10" s="1">
        <v>9.24</v>
      </c>
      <c r="P10" s="1">
        <v>0.11799999999999999</v>
      </c>
      <c r="Q10" s="1">
        <v>9.8000000000000004E-2</v>
      </c>
      <c r="R10" s="1">
        <v>0.71099999999999997</v>
      </c>
      <c r="S10" s="17" t="s">
        <v>1346</v>
      </c>
      <c r="T10">
        <v>3</v>
      </c>
      <c r="U10" t="s">
        <v>1348</v>
      </c>
      <c r="V10" s="17">
        <v>0</v>
      </c>
      <c r="W10" t="s">
        <v>5</v>
      </c>
      <c r="X10" t="s">
        <v>5</v>
      </c>
      <c r="Y10" t="s">
        <v>5</v>
      </c>
      <c r="Z10" t="s">
        <v>5</v>
      </c>
      <c r="AA10" t="s">
        <v>5</v>
      </c>
      <c r="AB10" s="17" t="str">
        <f>HYPERLINK("http://exon.niaid.nih.gov/transcriptome/T_rubida/S2/links/netoglyc/TRIRU-63-netoglyc.txt","2")</f>
        <v>2</v>
      </c>
      <c r="AC10">
        <v>17.5</v>
      </c>
      <c r="AD10">
        <v>5.2</v>
      </c>
      <c r="AE10">
        <v>3.1</v>
      </c>
      <c r="AF10" s="17" t="s">
        <v>5</v>
      </c>
      <c r="AG10" s="2" t="str">
        <f>HYPERLINK("http://exon.niaid.nih.gov/transcriptome/T_rubida/S2/links/NR/Triru-63-NR.txt","unnamed protein product")</f>
        <v>unnamed protein product</v>
      </c>
      <c r="AH10" t="str">
        <f>HYPERLINK("http://www.ncbi.nlm.nih.gov/sutils/blink.cgi?pid=270046202","6E-052")</f>
        <v>6E-052</v>
      </c>
      <c r="AI10" t="str">
        <f>HYPERLINK("http://www.ncbi.nlm.nih.gov/protein/270046202","gi|270046202")</f>
        <v>gi|270046202</v>
      </c>
      <c r="AJ10">
        <v>207</v>
      </c>
      <c r="AK10">
        <v>191</v>
      </c>
      <c r="AL10">
        <v>200</v>
      </c>
      <c r="AM10">
        <v>55</v>
      </c>
      <c r="AN10">
        <v>96</v>
      </c>
      <c r="AO10" t="s">
        <v>59</v>
      </c>
      <c r="AP10" s="2" t="str">
        <f>HYPERLINK("http://exon.niaid.nih.gov/transcriptome/T_rubida/S2/links/SWISSP/Triru-63-SWISSP.txt","Procalin")</f>
        <v>Procalin</v>
      </c>
      <c r="AQ10" t="str">
        <f>HYPERLINK("http://www.uniprot.org/uniprot/Q9U6R6","1E-013")</f>
        <v>1E-013</v>
      </c>
      <c r="AR10" t="s">
        <v>180</v>
      </c>
      <c r="AS10">
        <v>76.3</v>
      </c>
      <c r="AT10">
        <v>149</v>
      </c>
      <c r="AU10">
        <v>169</v>
      </c>
      <c r="AV10">
        <v>29</v>
      </c>
      <c r="AW10">
        <v>89</v>
      </c>
      <c r="AX10">
        <v>120</v>
      </c>
      <c r="AY10">
        <v>26</v>
      </c>
      <c r="AZ10">
        <v>9</v>
      </c>
      <c r="BA10">
        <v>5</v>
      </c>
      <c r="BB10">
        <v>1</v>
      </c>
      <c r="BC10" t="s">
        <v>181</v>
      </c>
      <c r="BD10" s="2" t="s">
        <v>5</v>
      </c>
      <c r="BE10" t="s">
        <v>5</v>
      </c>
      <c r="BF10" t="s">
        <v>5</v>
      </c>
      <c r="BG10" t="s">
        <v>5</v>
      </c>
      <c r="BH10" t="s">
        <v>5</v>
      </c>
      <c r="BI10" s="2" t="str">
        <f>HYPERLINK("http://exon.niaid.nih.gov/transcriptome/T_rubida/S2/links/CDD/Triru-63-CDD.txt","Triabin")</f>
        <v>Triabin</v>
      </c>
      <c r="BJ10" t="str">
        <f>HYPERLINK("http://www.ncbi.nlm.nih.gov/Structure/cdd/cddsrv.cgi?uid=pfam03973&amp;version=v4.0","5E-016")</f>
        <v>5E-016</v>
      </c>
      <c r="BK10" t="s">
        <v>1172</v>
      </c>
      <c r="BL10" s="2" t="str">
        <f>HYPERLINK("http://exon.niaid.nih.gov/transcriptome/T_rubida/S2/links/KOG/Triru-63-KOG.txt","Apolipoprotein D/Lipocalin")</f>
        <v>Apolipoprotein D/Lipocalin</v>
      </c>
      <c r="BM10" t="str">
        <f>HYPERLINK("http://www.ncbi.nlm.nih.gov/COG/grace/shokog.cgi?KOG4824","0.007")</f>
        <v>0.007</v>
      </c>
      <c r="BN10" t="s">
        <v>238</v>
      </c>
      <c r="BO10" s="2" t="str">
        <f>HYPERLINK("http://exon.niaid.nih.gov/transcriptome/T_rubida/S2/links/PFAM/Triru-63-PFAM.txt","Triabin")</f>
        <v>Triabin</v>
      </c>
      <c r="BP10" t="str">
        <f>HYPERLINK("http://pfam.sanger.ac.uk/family?acc=PF03973","1E-016")</f>
        <v>1E-016</v>
      </c>
      <c r="BQ10" s="2" t="str">
        <f>HYPERLINK("http://exon.niaid.nih.gov/transcriptome/T_rubida/S2/links/SMART/Triru-63-SMART.txt","FHA")</f>
        <v>FHA</v>
      </c>
      <c r="BR10" t="str">
        <f>HYPERLINK("http://smart.embl-heidelberg.de/smart/do_annotation.pl?DOMAIN=FHA&amp;BLAST=DUMMY","5.0")</f>
        <v>5.0</v>
      </c>
      <c r="BS10" s="17">
        <f t="shared" si="0"/>
        <v>1</v>
      </c>
      <c r="BT10" s="1">
        <f t="shared" si="1"/>
        <v>359</v>
      </c>
      <c r="BU10" s="17">
        <f t="shared" si="2"/>
        <v>1</v>
      </c>
      <c r="BV10" s="1">
        <f t="shared" si="3"/>
        <v>225</v>
      </c>
      <c r="BW10" s="17">
        <f t="shared" si="4"/>
        <v>2</v>
      </c>
      <c r="BX10" s="1">
        <f t="shared" si="5"/>
        <v>70</v>
      </c>
      <c r="BY10" s="17">
        <f t="shared" si="6"/>
        <v>1</v>
      </c>
      <c r="BZ10" s="1">
        <f t="shared" si="7"/>
        <v>69</v>
      </c>
      <c r="CA10" s="17">
        <f t="shared" si="8"/>
        <v>1</v>
      </c>
      <c r="CB10" s="1">
        <f t="shared" si="9"/>
        <v>69</v>
      </c>
      <c r="CC10" s="17">
        <f>HYPERLINK("http://exon.niaid.nih.gov/transcriptome/T_rubida/S2/links/cluster/Triru-pep-ext50-50-Sim-CLU2.txt", 2)</f>
        <v>2</v>
      </c>
      <c r="CD10" s="1">
        <f>HYPERLINK("http://exon.niaid.nih.gov/transcriptome/T_rubida/S2/links/cluster/Triru-pep-ext50-50-Sim-CLTL2.txt", 23)</f>
        <v>23</v>
      </c>
      <c r="CE10" s="17">
        <f>HYPERLINK("http://exon.niaid.nih.gov/transcriptome/T_rubida/S2/links/cluster/Triru-pep-ext55-50-Sim-CLU2.txt", 2)</f>
        <v>2</v>
      </c>
      <c r="CF10" s="1">
        <f>HYPERLINK("http://exon.niaid.nih.gov/transcriptome/T_rubida/S2/links/cluster/Triru-pep-ext55-50-Sim-CLTL2.txt", 20)</f>
        <v>20</v>
      </c>
      <c r="CG10" s="17">
        <f>HYPERLINK("http://exon.niaid.nih.gov/transcriptome/T_rubida/S2/links/cluster/Triru-pep-ext60-50-Sim-CLU6.txt", 6)</f>
        <v>6</v>
      </c>
      <c r="CH10" s="1">
        <f>HYPERLINK("http://exon.niaid.nih.gov/transcriptome/T_rubida/S2/links/cluster/Triru-pep-ext60-50-Sim-CLTL6.txt", 8)</f>
        <v>8</v>
      </c>
      <c r="CI10" s="17">
        <f>HYPERLINK("http://exon.niaid.nih.gov/transcriptome/T_rubida/S2/links/cluster/Triru-pep-ext65-50-Sim-CLU4.txt", 4)</f>
        <v>4</v>
      </c>
      <c r="CJ10" s="1">
        <f>HYPERLINK("http://exon.niaid.nih.gov/transcriptome/T_rubida/S2/links/cluster/Triru-pep-ext65-50-Sim-CLTL4.txt", 8)</f>
        <v>8</v>
      </c>
      <c r="CK10" s="17">
        <f>HYPERLINK("http://exon.niaid.nih.gov/transcriptome/T_rubida/S2/links/cluster/Triru-pep-ext70-50-Sim-CLU4.txt", 4)</f>
        <v>4</v>
      </c>
      <c r="CL10" s="1">
        <f>HYPERLINK("http://exon.niaid.nih.gov/transcriptome/T_rubida/S2/links/cluster/Triru-pep-ext70-50-Sim-CLTL4.txt", 8)</f>
        <v>8</v>
      </c>
      <c r="CM10" s="17">
        <f>HYPERLINK("http://exon.niaid.nih.gov/transcriptome/T_rubida/S2/links/cluster/Triru-pep-ext75-50-Sim-CLU5.txt", 5)</f>
        <v>5</v>
      </c>
      <c r="CN10" s="1">
        <f>HYPERLINK("http://exon.niaid.nih.gov/transcriptome/T_rubida/S2/links/cluster/Triru-pep-ext75-50-Sim-CLTL5.txt", 5)</f>
        <v>5</v>
      </c>
      <c r="CO10" s="17">
        <v>46</v>
      </c>
      <c r="CP10" s="1">
        <v>1</v>
      </c>
      <c r="CQ10" s="17">
        <v>52</v>
      </c>
      <c r="CR10" s="1">
        <v>1</v>
      </c>
      <c r="CS10" s="17">
        <v>57</v>
      </c>
      <c r="CT10" s="1">
        <v>1</v>
      </c>
      <c r="CU10" s="17">
        <v>63</v>
      </c>
      <c r="CV10" s="1">
        <v>1</v>
      </c>
    </row>
    <row r="11" spans="1:100">
      <c r="A11" t="str">
        <f>HYPERLINK("http://exon.niaid.nih.gov/transcriptome/T_rubida/S2/links/pep/Triru-56-pep.txt","Triru-56")</f>
        <v>Triru-56</v>
      </c>
      <c r="B11">
        <v>198</v>
      </c>
      <c r="C11" s="1" t="s">
        <v>9</v>
      </c>
      <c r="D11" s="1" t="s">
        <v>3</v>
      </c>
      <c r="E11" t="str">
        <f>HYPERLINK("http://exon.niaid.nih.gov/transcriptome/T_rubida/S2/links/cds/Triru-56-cds.txt","Triru-56")</f>
        <v>Triru-56</v>
      </c>
      <c r="F11">
        <v>597</v>
      </c>
      <c r="G11" s="2" t="s">
        <v>1890</v>
      </c>
      <c r="H11" s="1">
        <v>27</v>
      </c>
      <c r="I11" s="3" t="s">
        <v>1272</v>
      </c>
      <c r="J11" s="17" t="str">
        <f>HYPERLINK("http://exon.niaid.nih.gov/transcriptome/T_rubida/S2/links/Sigp/Triru-56-SigP.txt","SIG")</f>
        <v>SIG</v>
      </c>
      <c r="K11" t="s">
        <v>1319</v>
      </c>
      <c r="L11" s="1">
        <v>22.201000000000001</v>
      </c>
      <c r="M11" s="1">
        <v>5.46</v>
      </c>
      <c r="N11" s="1">
        <v>20.175999999999998</v>
      </c>
      <c r="O11" s="1">
        <v>5.25</v>
      </c>
      <c r="P11" s="1">
        <v>2.3E-2</v>
      </c>
      <c r="Q11" s="1">
        <v>0.96099999999999997</v>
      </c>
      <c r="R11" s="1">
        <v>6.6000000000000003E-2</v>
      </c>
      <c r="S11" s="17" t="s">
        <v>18</v>
      </c>
      <c r="T11">
        <v>1</v>
      </c>
      <c r="U11" t="s">
        <v>1355</v>
      </c>
      <c r="V11" s="17">
        <v>0</v>
      </c>
      <c r="W11" t="s">
        <v>5</v>
      </c>
      <c r="X11" t="s">
        <v>5</v>
      </c>
      <c r="Y11" t="s">
        <v>5</v>
      </c>
      <c r="Z11" t="s">
        <v>5</v>
      </c>
      <c r="AA11" t="s">
        <v>5</v>
      </c>
      <c r="AB11" s="17" t="str">
        <f>HYPERLINK("http://exon.niaid.nih.gov/transcriptome/T_rubida/S2/links/netoglyc/TRIRU-56-netoglyc.txt","0")</f>
        <v>0</v>
      </c>
      <c r="AC11">
        <v>16.7</v>
      </c>
      <c r="AD11">
        <v>8.1</v>
      </c>
      <c r="AE11">
        <v>2</v>
      </c>
      <c r="AF11" s="17" t="s">
        <v>5</v>
      </c>
      <c r="AG11" s="2" t="str">
        <f>HYPERLINK("http://exon.niaid.nih.gov/transcriptome/T_rubida/S2/links/NR/Triru-56-NR.txt","unnamed protein product")</f>
        <v>unnamed protein product</v>
      </c>
      <c r="AH11" t="str">
        <f>HYPERLINK("http://www.ncbi.nlm.nih.gov/sutils/blink.cgi?pid=270046188","2E-065")</f>
        <v>2E-065</v>
      </c>
      <c r="AI11" t="str">
        <f>HYPERLINK("http://www.ncbi.nlm.nih.gov/protein/270046188","gi|270046188")</f>
        <v>gi|270046188</v>
      </c>
      <c r="AJ11">
        <v>252</v>
      </c>
      <c r="AK11">
        <v>196</v>
      </c>
      <c r="AL11">
        <v>197</v>
      </c>
      <c r="AM11">
        <v>62</v>
      </c>
      <c r="AN11">
        <v>100</v>
      </c>
      <c r="AO11" t="s">
        <v>59</v>
      </c>
      <c r="AP11" s="2" t="str">
        <f>HYPERLINK("http://exon.niaid.nih.gov/transcriptome/T_rubida/S2/links/SWISSP/Triru-56-SWISSP.txt","Triabin")</f>
        <v>Triabin</v>
      </c>
      <c r="AQ11" t="str">
        <f>HYPERLINK("http://www.uniprot.org/uniprot/Q27049","1E-010")</f>
        <v>1E-010</v>
      </c>
      <c r="AR11" t="s">
        <v>649</v>
      </c>
      <c r="AS11">
        <v>66.599999999999994</v>
      </c>
      <c r="AT11">
        <v>158</v>
      </c>
      <c r="AU11">
        <v>160</v>
      </c>
      <c r="AV11">
        <v>26</v>
      </c>
      <c r="AW11">
        <v>99</v>
      </c>
      <c r="AX11">
        <v>131</v>
      </c>
      <c r="AY11">
        <v>23</v>
      </c>
      <c r="AZ11">
        <v>1</v>
      </c>
      <c r="BA11">
        <v>1</v>
      </c>
      <c r="BB11">
        <v>1</v>
      </c>
      <c r="BC11" t="s">
        <v>650</v>
      </c>
      <c r="BD11" s="2" t="s">
        <v>858</v>
      </c>
      <c r="BE11">
        <f>HYPERLINK("http://exon.niaid.nih.gov/transcriptome/T_rubida/S2/links/GO/Triru-56-GO.txt",0.00003)</f>
        <v>3.0000000000000001E-5</v>
      </c>
      <c r="BF11" t="s">
        <v>859</v>
      </c>
      <c r="BG11" t="s">
        <v>153</v>
      </c>
      <c r="BH11" t="s">
        <v>860</v>
      </c>
      <c r="BI11" s="2" t="str">
        <f>HYPERLINK("http://exon.niaid.nih.gov/transcriptome/T_rubida/S2/links/CDD/Triru-56-CDD.txt","Triabin")</f>
        <v>Triabin</v>
      </c>
      <c r="BJ11" t="str">
        <f>HYPERLINK("http://www.ncbi.nlm.nih.gov/Structure/cdd/cddsrv.cgi?uid=pfam03973&amp;version=v4.0","1E-019")</f>
        <v>1E-019</v>
      </c>
      <c r="BK11" t="s">
        <v>861</v>
      </c>
      <c r="BL11" s="2" t="str">
        <f>HYPERLINK("http://exon.niaid.nih.gov/transcriptome/T_rubida/S2/links/KOG/Triru-56-KOG.txt","Integral membrane protein")</f>
        <v>Integral membrane protein</v>
      </c>
      <c r="BM11" t="str">
        <f>HYPERLINK("http://www.ncbi.nlm.nih.gov/COG/grace/shokog.cgi?KOG2173","2.1")</f>
        <v>2.1</v>
      </c>
      <c r="BN11" t="s">
        <v>96</v>
      </c>
      <c r="BO11" s="2" t="str">
        <f>HYPERLINK("http://exon.niaid.nih.gov/transcriptome/T_rubida/S2/links/PFAM/Triru-56-PFAM.txt","Triabin")</f>
        <v>Triabin</v>
      </c>
      <c r="BP11" t="str">
        <f>HYPERLINK("http://pfam.sanger.ac.uk/family?acc=PF03973","2E-020")</f>
        <v>2E-020</v>
      </c>
      <c r="BQ11" s="2" t="str">
        <f>HYPERLINK("http://exon.niaid.nih.gov/transcriptome/T_rubida/S2/links/SMART/Triru-56-SMART.txt","ACTIN")</f>
        <v>ACTIN</v>
      </c>
      <c r="BR11" t="str">
        <f>HYPERLINK("http://smart.embl-heidelberg.de/smart/do_annotation.pl?DOMAIN=ACTIN&amp;BLAST=DUMMY","1.1")</f>
        <v>1.1</v>
      </c>
      <c r="BS11" s="17">
        <f t="shared" si="0"/>
        <v>1</v>
      </c>
      <c r="BT11" s="1">
        <f t="shared" si="1"/>
        <v>359</v>
      </c>
      <c r="BU11" s="17">
        <f t="shared" si="2"/>
        <v>1</v>
      </c>
      <c r="BV11" s="1">
        <f t="shared" si="3"/>
        <v>225</v>
      </c>
      <c r="BW11" s="17">
        <f t="shared" si="4"/>
        <v>2</v>
      </c>
      <c r="BX11" s="1">
        <f t="shared" si="5"/>
        <v>70</v>
      </c>
      <c r="BY11" s="17">
        <f t="shared" si="6"/>
        <v>1</v>
      </c>
      <c r="BZ11" s="1">
        <f t="shared" si="7"/>
        <v>69</v>
      </c>
      <c r="CA11" s="17">
        <f t="shared" si="8"/>
        <v>1</v>
      </c>
      <c r="CB11" s="1">
        <f t="shared" si="9"/>
        <v>69</v>
      </c>
      <c r="CC11" s="17">
        <f>HYPERLINK("http://exon.niaid.nih.gov/transcriptome/T_rubida/S2/links/cluster/Triru-pep-ext50-50-Sim-CLU2.txt", 2)</f>
        <v>2</v>
      </c>
      <c r="CD11" s="1">
        <f>HYPERLINK("http://exon.niaid.nih.gov/transcriptome/T_rubida/S2/links/cluster/Triru-pep-ext50-50-Sim-CLTL2.txt", 23)</f>
        <v>23</v>
      </c>
      <c r="CE11" s="17">
        <f>HYPERLINK("http://exon.niaid.nih.gov/transcriptome/T_rubida/S2/links/cluster/Triru-pep-ext55-50-Sim-CLU2.txt", 2)</f>
        <v>2</v>
      </c>
      <c r="CF11" s="1">
        <f>HYPERLINK("http://exon.niaid.nih.gov/transcriptome/T_rubida/S2/links/cluster/Triru-pep-ext55-50-Sim-CLTL2.txt", 20)</f>
        <v>20</v>
      </c>
      <c r="CG11" s="17">
        <f>HYPERLINK("http://exon.niaid.nih.gov/transcriptome/T_rubida/S2/links/cluster/Triru-pep-ext60-50-Sim-CLU3.txt", 3)</f>
        <v>3</v>
      </c>
      <c r="CH11" s="1">
        <f>HYPERLINK("http://exon.niaid.nih.gov/transcriptome/T_rubida/S2/links/cluster/Triru-pep-ext60-50-Sim-CLTL3.txt", 12)</f>
        <v>12</v>
      </c>
      <c r="CI11" s="17">
        <f>HYPERLINK("http://exon.niaid.nih.gov/transcriptome/T_rubida/S2/links/cluster/Triru-pep-ext65-50-Sim-CLU2.txt", 2)</f>
        <v>2</v>
      </c>
      <c r="CJ11" s="1">
        <f>HYPERLINK("http://exon.niaid.nih.gov/transcriptome/T_rubida/S2/links/cluster/Triru-pep-ext65-50-Sim-CLTL2.txt", 12)</f>
        <v>12</v>
      </c>
      <c r="CK11" s="17">
        <f>HYPERLINK("http://exon.niaid.nih.gov/transcriptome/T_rubida/S2/links/cluster/Triru-pep-ext70-50-Sim-CLU2.txt", 2)</f>
        <v>2</v>
      </c>
      <c r="CL11" s="1">
        <f>HYPERLINK("http://exon.niaid.nih.gov/transcriptome/T_rubida/S2/links/cluster/Triru-pep-ext70-50-Sim-CLTL2.txt", 11)</f>
        <v>11</v>
      </c>
      <c r="CM11" s="17">
        <f>HYPERLINK("http://exon.niaid.nih.gov/transcriptome/T_rubida/S2/links/cluster/Triru-pep-ext75-50-Sim-CLU2.txt", 2)</f>
        <v>2</v>
      </c>
      <c r="CN11" s="1">
        <f>HYPERLINK("http://exon.niaid.nih.gov/transcriptome/T_rubida/S2/links/cluster/Triru-pep-ext75-50-Sim-CLTL2.txt", 11)</f>
        <v>11</v>
      </c>
      <c r="CO11" s="17">
        <f>HYPERLINK("http://exon.niaid.nih.gov/transcriptome/T_rubida/S2/links/cluster/Triru-pep-ext80-50-Sim-CLU6.txt", 6)</f>
        <v>6</v>
      </c>
      <c r="CP11" s="1">
        <f>HYPERLINK("http://exon.niaid.nih.gov/transcriptome/T_rubida/S2/links/cluster/Triru-pep-ext80-50-Sim-CLTL6.txt", 3)</f>
        <v>3</v>
      </c>
      <c r="CQ11" s="17">
        <v>50</v>
      </c>
      <c r="CR11" s="1">
        <v>1</v>
      </c>
      <c r="CS11" s="17">
        <v>53</v>
      </c>
      <c r="CT11" s="1">
        <v>1</v>
      </c>
      <c r="CU11" s="17">
        <v>58</v>
      </c>
      <c r="CV11" s="1">
        <v>1</v>
      </c>
    </row>
    <row r="12" spans="1:100">
      <c r="A12" t="str">
        <f>HYPERLINK("http://exon.niaid.nih.gov/transcriptome/T_rubida/S2/links/pep/Triru-32-pep.txt","Triru-32")</f>
        <v>Triru-32</v>
      </c>
      <c r="B12">
        <v>137</v>
      </c>
      <c r="C12" s="1" t="s">
        <v>16</v>
      </c>
      <c r="D12" s="1" t="s">
        <v>3</v>
      </c>
      <c r="E12" t="str">
        <f>HYPERLINK("http://exon.niaid.nih.gov/transcriptome/T_rubida/S2/links/cds/Triru-32-cds.txt","Triru-32")</f>
        <v>Triru-32</v>
      </c>
      <c r="F12">
        <v>414</v>
      </c>
      <c r="G12" s="2" t="s">
        <v>1890</v>
      </c>
      <c r="H12" s="1">
        <v>26</v>
      </c>
      <c r="I12" s="3" t="s">
        <v>1272</v>
      </c>
      <c r="J12" s="17" t="str">
        <f>HYPERLINK("http://exon.niaid.nih.gov/transcriptome/T_rubida/S2/links/Sigp/Triru-32-SigP.txt","CYT")</f>
        <v>CYT</v>
      </c>
      <c r="K12" t="s">
        <v>5</v>
      </c>
      <c r="L12" s="1">
        <v>15.535</v>
      </c>
      <c r="M12" s="1">
        <v>4.9000000000000004</v>
      </c>
      <c r="P12" s="1">
        <v>5.2999999999999999E-2</v>
      </c>
      <c r="Q12" s="1">
        <v>7.0000000000000007E-2</v>
      </c>
      <c r="R12" s="1">
        <v>0.93500000000000005</v>
      </c>
      <c r="S12" s="17" t="s">
        <v>1346</v>
      </c>
      <c r="T12">
        <v>1</v>
      </c>
      <c r="U12" t="s">
        <v>1377</v>
      </c>
      <c r="V12" s="17">
        <v>0</v>
      </c>
      <c r="W12" t="s">
        <v>5</v>
      </c>
      <c r="X12" t="s">
        <v>5</v>
      </c>
      <c r="Y12" t="s">
        <v>5</v>
      </c>
      <c r="Z12" t="s">
        <v>5</v>
      </c>
      <c r="AA12" t="s">
        <v>5</v>
      </c>
      <c r="AB12" s="17" t="str">
        <f>HYPERLINK("http://exon.niaid.nih.gov/transcriptome/T_rubida/S2/links/netoglyc/TRIRU-32-netoglyc.txt","4")</f>
        <v>4</v>
      </c>
      <c r="AC12">
        <v>20.399999999999999</v>
      </c>
      <c r="AD12">
        <v>5.8</v>
      </c>
      <c r="AE12">
        <v>2.9</v>
      </c>
      <c r="AF12" s="17" t="s">
        <v>5</v>
      </c>
      <c r="AG12" s="2" t="str">
        <f>HYPERLINK("http://exon.niaid.nih.gov/transcriptome/T_rubida/S2/links/NR/Triru-32-NR.txt","unnamed protein product")</f>
        <v>unnamed protein product</v>
      </c>
      <c r="AH12" t="str">
        <f>HYPERLINK("http://www.ncbi.nlm.nih.gov/sutils/blink.cgi?pid=270046166","4E-036")</f>
        <v>4E-036</v>
      </c>
      <c r="AI12" t="str">
        <f>HYPERLINK("http://www.ncbi.nlm.nih.gov/protein/270046166","gi|270046166")</f>
        <v>gi|270046166</v>
      </c>
      <c r="AJ12">
        <v>154</v>
      </c>
      <c r="AK12">
        <v>144</v>
      </c>
      <c r="AL12">
        <v>177</v>
      </c>
      <c r="AM12">
        <v>51</v>
      </c>
      <c r="AN12">
        <v>82</v>
      </c>
      <c r="AO12" t="s">
        <v>59</v>
      </c>
      <c r="AP12" s="2" t="str">
        <f>HYPERLINK("http://exon.niaid.nih.gov/transcriptome/T_rubida/S2/links/SWISSP/Triru-32-SWISSP.txt","Procalin")</f>
        <v>Procalin</v>
      </c>
      <c r="AQ12" t="str">
        <f>HYPERLINK("http://www.uniprot.org/uniprot/Q9U6R6","4E-023")</f>
        <v>4E-023</v>
      </c>
      <c r="AR12" t="s">
        <v>180</v>
      </c>
      <c r="AS12">
        <v>106</v>
      </c>
      <c r="AT12">
        <v>138</v>
      </c>
      <c r="AU12">
        <v>169</v>
      </c>
      <c r="AV12">
        <v>37</v>
      </c>
      <c r="AW12">
        <v>82</v>
      </c>
      <c r="AX12">
        <v>87</v>
      </c>
      <c r="AY12">
        <v>7</v>
      </c>
      <c r="AZ12">
        <v>30</v>
      </c>
      <c r="BA12">
        <v>3</v>
      </c>
      <c r="BB12">
        <v>1</v>
      </c>
      <c r="BC12" t="s">
        <v>181</v>
      </c>
      <c r="BD12" s="2" t="s">
        <v>5</v>
      </c>
      <c r="BE12" t="s">
        <v>5</v>
      </c>
      <c r="BF12" t="s">
        <v>5</v>
      </c>
      <c r="BG12" t="s">
        <v>5</v>
      </c>
      <c r="BH12" t="s">
        <v>5</v>
      </c>
      <c r="BI12" s="2" t="str">
        <f>HYPERLINK("http://exon.niaid.nih.gov/transcriptome/T_rubida/S2/links/CDD/Triru-32-CDD.txt","Triabin")</f>
        <v>Triabin</v>
      </c>
      <c r="BJ12" t="str">
        <f>HYPERLINK("http://www.ncbi.nlm.nih.gov/Structure/cdd/cddsrv.cgi?uid=pfam03973&amp;version=v4.0","6E-011")</f>
        <v>6E-011</v>
      </c>
      <c r="BK12" t="s">
        <v>295</v>
      </c>
      <c r="BL12" s="2" t="str">
        <f>HYPERLINK("http://exon.niaid.nih.gov/transcriptome/T_rubida/S2/links/KOG/Triru-32-KOG.txt","Rhodanese-related sulfurtransferase")</f>
        <v>Rhodanese-related sulfurtransferase</v>
      </c>
      <c r="BM12" t="str">
        <f>HYPERLINK("http://www.ncbi.nlm.nih.gov/COG/grace/shokog.cgi?KOG1530","3.1")</f>
        <v>3.1</v>
      </c>
      <c r="BN12" t="s">
        <v>117</v>
      </c>
      <c r="BO12" s="2" t="str">
        <f>HYPERLINK("http://exon.niaid.nih.gov/transcriptome/T_rubida/S2/links/PFAM/Triru-32-PFAM.txt","Triabin")</f>
        <v>Triabin</v>
      </c>
      <c r="BP12" t="str">
        <f>HYPERLINK("http://pfam.sanger.ac.uk/family?acc=PF03973","1E-011")</f>
        <v>1E-011</v>
      </c>
      <c r="BQ12" s="2" t="str">
        <f>HYPERLINK("http://exon.niaid.nih.gov/transcriptome/T_rubida/S2/links/SMART/Triru-32-SMART.txt","HTH_ARSR")</f>
        <v>HTH_ARSR</v>
      </c>
      <c r="BR12" t="str">
        <f>HYPERLINK("http://smart.embl-heidelberg.de/smart/do_annotation.pl?DOMAIN=HTH_ARSR&amp;BLAST=DUMMY","2.0")</f>
        <v>2.0</v>
      </c>
      <c r="BS12" s="17">
        <f t="shared" si="0"/>
        <v>1</v>
      </c>
      <c r="BT12" s="1">
        <f t="shared" si="1"/>
        <v>359</v>
      </c>
      <c r="BU12" s="17">
        <f t="shared" si="2"/>
        <v>1</v>
      </c>
      <c r="BV12" s="1">
        <f t="shared" si="3"/>
        <v>225</v>
      </c>
      <c r="BW12" s="17">
        <f t="shared" si="4"/>
        <v>2</v>
      </c>
      <c r="BX12" s="1">
        <f t="shared" si="5"/>
        <v>70</v>
      </c>
      <c r="BY12" s="17">
        <f t="shared" si="6"/>
        <v>1</v>
      </c>
      <c r="BZ12" s="1">
        <f t="shared" si="7"/>
        <v>69</v>
      </c>
      <c r="CA12" s="17">
        <f t="shared" si="8"/>
        <v>1</v>
      </c>
      <c r="CB12" s="1">
        <f t="shared" si="9"/>
        <v>69</v>
      </c>
      <c r="CC12" s="17">
        <f>HYPERLINK("http://exon.niaid.nih.gov/transcriptome/T_rubida/S2/links/cluster/Triru-pep-ext50-50-Sim-CLU1.txt", 1)</f>
        <v>1</v>
      </c>
      <c r="CD12" s="1">
        <f>HYPERLINK("http://exon.niaid.nih.gov/transcriptome/T_rubida/S2/links/cluster/Triru-pep-ext50-50-Sim-CLTL1.txt", 45)</f>
        <v>45</v>
      </c>
      <c r="CE12" s="17">
        <f>HYPERLINK("http://exon.niaid.nih.gov/transcriptome/T_rubida/S2/links/cluster/Triru-pep-ext55-50-Sim-CLU1.txt", 1)</f>
        <v>1</v>
      </c>
      <c r="CF12" s="1">
        <f>HYPERLINK("http://exon.niaid.nih.gov/transcriptome/T_rubida/S2/links/cluster/Triru-pep-ext55-50-Sim-CLTL1.txt", 45)</f>
        <v>45</v>
      </c>
      <c r="CG12" s="17">
        <f>HYPERLINK("http://exon.niaid.nih.gov/transcriptome/T_rubida/S2/links/cluster/Triru-pep-ext60-50-Sim-CLU1.txt", 1)</f>
        <v>1</v>
      </c>
      <c r="CH12" s="1">
        <f>HYPERLINK("http://exon.niaid.nih.gov/transcriptome/T_rubida/S2/links/cluster/Triru-pep-ext60-50-Sim-CLTL1.txt", 35)</f>
        <v>35</v>
      </c>
      <c r="CI12" s="17">
        <f>HYPERLINK("http://exon.niaid.nih.gov/transcriptome/T_rubida/S2/links/cluster/Triru-pep-ext65-50-Sim-CLU1.txt", 1)</f>
        <v>1</v>
      </c>
      <c r="CJ12" s="1">
        <f>HYPERLINK("http://exon.niaid.nih.gov/transcriptome/T_rubida/S2/links/cluster/Triru-pep-ext65-50-Sim-CLTL1.txt", 30)</f>
        <v>30</v>
      </c>
      <c r="CK12" s="17">
        <f>HYPERLINK("http://exon.niaid.nih.gov/transcriptome/T_rubida/S2/links/cluster/Triru-pep-ext70-50-Sim-CLU1.txt", 1)</f>
        <v>1</v>
      </c>
      <c r="CL12" s="1">
        <f>HYPERLINK("http://exon.niaid.nih.gov/transcriptome/T_rubida/S2/links/cluster/Triru-pep-ext70-50-Sim-CLTL1.txt", 28)</f>
        <v>28</v>
      </c>
      <c r="CM12" s="17">
        <f>HYPERLINK("http://exon.niaid.nih.gov/transcriptome/T_rubida/S2/links/cluster/Triru-pep-ext75-50-Sim-CLU4.txt", 4)</f>
        <v>4</v>
      </c>
      <c r="CN12" s="1">
        <f>HYPERLINK("http://exon.niaid.nih.gov/transcriptome/T_rubida/S2/links/cluster/Triru-pep-ext75-50-Sim-CLTL4.txt", 5)</f>
        <v>5</v>
      </c>
      <c r="CO12" s="17">
        <f>HYPERLINK("http://exon.niaid.nih.gov/transcriptome/T_rubida/S2/links/cluster/Triru-pep-ext80-50-Sim-CLU4.txt", 4)</f>
        <v>4</v>
      </c>
      <c r="CP12" s="1">
        <f>HYPERLINK("http://exon.niaid.nih.gov/transcriptome/T_rubida/S2/links/cluster/Triru-pep-ext80-50-Sim-CLTL4.txt", 4)</f>
        <v>4</v>
      </c>
      <c r="CQ12" s="17">
        <f>HYPERLINK("http://exon.niaid.nih.gov/transcriptome/T_rubida/S2/links/cluster/Triru-pep-ext85-50-Sim-CLU4.txt", 4)</f>
        <v>4</v>
      </c>
      <c r="CR12" s="1">
        <f>HYPERLINK("http://exon.niaid.nih.gov/transcriptome/T_rubida/S2/links/cluster/Triru-pep-ext85-50-Sim-CLTL4.txt", 4)</f>
        <v>4</v>
      </c>
      <c r="CS12" s="17">
        <v>38</v>
      </c>
      <c r="CT12" s="1">
        <v>1</v>
      </c>
      <c r="CU12" s="17">
        <v>40</v>
      </c>
      <c r="CV12" s="1">
        <v>1</v>
      </c>
    </row>
    <row r="13" spans="1:100">
      <c r="A13" t="str">
        <f>HYPERLINK("http://exon.niaid.nih.gov/transcriptome/T_rubida/S2/links/pep/Triru-73-pep.txt","Triru-73")</f>
        <v>Triru-73</v>
      </c>
      <c r="B13">
        <v>141</v>
      </c>
      <c r="C13" s="1" t="s">
        <v>4</v>
      </c>
      <c r="D13" s="1" t="s">
        <v>3</v>
      </c>
      <c r="E13" t="str">
        <f>HYPERLINK("http://exon.niaid.nih.gov/transcriptome/T_rubida/S2/links/cds/Triru-73-cds.txt","Triru-73")</f>
        <v>Triru-73</v>
      </c>
      <c r="F13">
        <v>426</v>
      </c>
      <c r="G13" s="2" t="s">
        <v>1890</v>
      </c>
      <c r="H13" s="1">
        <v>20</v>
      </c>
      <c r="I13" s="3" t="s">
        <v>1272</v>
      </c>
      <c r="J13" s="17" t="str">
        <f>HYPERLINK("http://exon.niaid.nih.gov/transcriptome/T_rubida/S2/links/Sigp/Triru-73-SigP.txt","CYT")</f>
        <v>CYT</v>
      </c>
      <c r="K13" t="s">
        <v>5</v>
      </c>
      <c r="L13" s="1">
        <v>15.568</v>
      </c>
      <c r="M13" s="1">
        <v>8.27</v>
      </c>
      <c r="P13" s="1">
        <v>0.43</v>
      </c>
      <c r="Q13" s="1">
        <v>3.9E-2</v>
      </c>
      <c r="R13" s="1">
        <v>0.58299999999999996</v>
      </c>
      <c r="S13" s="17" t="s">
        <v>1346</v>
      </c>
      <c r="T13">
        <v>5</v>
      </c>
      <c r="U13" t="s">
        <v>1373</v>
      </c>
      <c r="V13" s="17">
        <v>0</v>
      </c>
      <c r="W13" t="s">
        <v>5</v>
      </c>
      <c r="X13" t="s">
        <v>5</v>
      </c>
      <c r="Y13" t="s">
        <v>5</v>
      </c>
      <c r="Z13" t="s">
        <v>5</v>
      </c>
      <c r="AA13" t="s">
        <v>5</v>
      </c>
      <c r="AB13" s="17" t="str">
        <f>HYPERLINK("http://exon.niaid.nih.gov/transcriptome/T_rubida/S2/links/netoglyc/TRIRU-73-netoglyc.txt","1")</f>
        <v>1</v>
      </c>
      <c r="AC13">
        <v>22.7</v>
      </c>
      <c r="AD13">
        <v>6.4</v>
      </c>
      <c r="AE13">
        <v>2.1</v>
      </c>
      <c r="AF13" s="17" t="s">
        <v>5</v>
      </c>
      <c r="AG13" s="2" t="str">
        <f>HYPERLINK("http://exon.niaid.nih.gov/transcriptome/T_rubida/S2/links/NR/Triru-73-NR.txt","lipocalin-like TiLipo37")</f>
        <v>lipocalin-like TiLipo37</v>
      </c>
      <c r="AH13" t="str">
        <f>HYPERLINK("http://www.ncbi.nlm.nih.gov/sutils/blink.cgi?pid=34421652","9E-036")</f>
        <v>9E-036</v>
      </c>
      <c r="AI13" t="str">
        <f>HYPERLINK("http://www.ncbi.nlm.nih.gov/protein/34421652","gi|34421652")</f>
        <v>gi|34421652</v>
      </c>
      <c r="AJ13">
        <v>153</v>
      </c>
      <c r="AK13">
        <v>135</v>
      </c>
      <c r="AL13">
        <v>178</v>
      </c>
      <c r="AM13">
        <v>58</v>
      </c>
      <c r="AN13">
        <v>76</v>
      </c>
      <c r="AO13" t="s">
        <v>80</v>
      </c>
      <c r="AP13" s="2" t="str">
        <f>HYPERLINK("http://exon.niaid.nih.gov/transcriptome/T_rubida/S2/links/SWISSP/Triru-73-SWISSP.txt","Procalin")</f>
        <v>Procalin</v>
      </c>
      <c r="AQ13" t="str">
        <f>HYPERLINK("http://www.uniprot.org/uniprot/Q9U6R6","2E-022")</f>
        <v>2E-022</v>
      </c>
      <c r="AR13" t="s">
        <v>180</v>
      </c>
      <c r="AS13">
        <v>104</v>
      </c>
      <c r="AT13">
        <v>127</v>
      </c>
      <c r="AU13">
        <v>169</v>
      </c>
      <c r="AV13">
        <v>41</v>
      </c>
      <c r="AW13">
        <v>76</v>
      </c>
      <c r="AX13">
        <v>76</v>
      </c>
      <c r="AY13">
        <v>2</v>
      </c>
      <c r="AZ13">
        <v>41</v>
      </c>
      <c r="BA13">
        <v>3</v>
      </c>
      <c r="BB13">
        <v>1</v>
      </c>
      <c r="BC13" t="s">
        <v>181</v>
      </c>
      <c r="BD13" s="2" t="s">
        <v>5</v>
      </c>
      <c r="BE13" t="s">
        <v>5</v>
      </c>
      <c r="BF13" t="s">
        <v>5</v>
      </c>
      <c r="BG13" t="s">
        <v>5</v>
      </c>
      <c r="BH13" t="s">
        <v>5</v>
      </c>
      <c r="BI13" s="2" t="str">
        <f>HYPERLINK("http://exon.niaid.nih.gov/transcriptome/T_rubida/S2/links/CDD/Triru-73-CDD.txt","Triabin")</f>
        <v>Triabin</v>
      </c>
      <c r="BJ13" t="str">
        <f>HYPERLINK("http://www.ncbi.nlm.nih.gov/Structure/cdd/cddsrv.cgi?uid=pfam03973&amp;version=v4.0","3E-015")</f>
        <v>3E-015</v>
      </c>
      <c r="BK13" t="s">
        <v>250</v>
      </c>
      <c r="BL13" s="2" t="str">
        <f>HYPERLINK("http://exon.niaid.nih.gov/transcriptome/T_rubida/S2/links/KOG/Triru-73-KOG.txt","Thyroid hormone receptor-associated protein complex, subunit TRAP240")</f>
        <v>Thyroid hormone receptor-associated protein complex, subunit TRAP240</v>
      </c>
      <c r="BM13" t="str">
        <f>HYPERLINK("http://www.ncbi.nlm.nih.gov/COG/grace/shokog.cgi?KOG3600","1.3")</f>
        <v>1.3</v>
      </c>
      <c r="BN13" t="s">
        <v>251</v>
      </c>
      <c r="BO13" s="2" t="str">
        <f>HYPERLINK("http://exon.niaid.nih.gov/transcriptome/T_rubida/S2/links/PFAM/Triru-73-PFAM.txt","Triabin")</f>
        <v>Triabin</v>
      </c>
      <c r="BP13" t="str">
        <f>HYPERLINK("http://pfam.sanger.ac.uk/family?acc=PF03973","7E-016")</f>
        <v>7E-016</v>
      </c>
      <c r="BQ13" s="2" t="str">
        <f>HYPERLINK("http://exon.niaid.nih.gov/transcriptome/T_rubida/S2/links/SMART/Triru-73-SMART.txt","Agenet")</f>
        <v>Agenet</v>
      </c>
      <c r="BR13" t="str">
        <f>HYPERLINK("http://smart.embl-heidelberg.de/smart/do_annotation.pl?DOMAIN=Agenet&amp;BLAST=DUMMY","0.36")</f>
        <v>0.36</v>
      </c>
      <c r="BS13" s="17">
        <f t="shared" si="0"/>
        <v>1</v>
      </c>
      <c r="BT13" s="1">
        <f t="shared" si="1"/>
        <v>359</v>
      </c>
      <c r="BU13" s="17">
        <f t="shared" si="2"/>
        <v>1</v>
      </c>
      <c r="BV13" s="1">
        <f t="shared" si="3"/>
        <v>225</v>
      </c>
      <c r="BW13" s="17">
        <f t="shared" si="4"/>
        <v>2</v>
      </c>
      <c r="BX13" s="1">
        <f t="shared" si="5"/>
        <v>70</v>
      </c>
      <c r="BY13" s="17">
        <f t="shared" si="6"/>
        <v>1</v>
      </c>
      <c r="BZ13" s="1">
        <f t="shared" si="7"/>
        <v>69</v>
      </c>
      <c r="CA13" s="17">
        <f t="shared" si="8"/>
        <v>1</v>
      </c>
      <c r="CB13" s="1">
        <f t="shared" si="9"/>
        <v>69</v>
      </c>
      <c r="CC13" s="17">
        <f>HYPERLINK("http://exon.niaid.nih.gov/transcriptome/T_rubida/S2/links/cluster/Triru-pep-ext50-50-Sim-CLU1.txt", 1)</f>
        <v>1</v>
      </c>
      <c r="CD13" s="1">
        <f>HYPERLINK("http://exon.niaid.nih.gov/transcriptome/T_rubida/S2/links/cluster/Triru-pep-ext50-50-Sim-CLTL1.txt", 45)</f>
        <v>45</v>
      </c>
      <c r="CE13" s="17">
        <f>HYPERLINK("http://exon.niaid.nih.gov/transcriptome/T_rubida/S2/links/cluster/Triru-pep-ext55-50-Sim-CLU1.txt", 1)</f>
        <v>1</v>
      </c>
      <c r="CF13" s="1">
        <f>HYPERLINK("http://exon.niaid.nih.gov/transcriptome/T_rubida/S2/links/cluster/Triru-pep-ext55-50-Sim-CLTL1.txt", 45)</f>
        <v>45</v>
      </c>
      <c r="CG13" s="17">
        <f>HYPERLINK("http://exon.niaid.nih.gov/transcriptome/T_rubida/S2/links/cluster/Triru-pep-ext60-50-Sim-CLU5.txt", 5)</f>
        <v>5</v>
      </c>
      <c r="CH13" s="1">
        <f>HYPERLINK("http://exon.niaid.nih.gov/transcriptome/T_rubida/S2/links/cluster/Triru-pep-ext60-50-Sim-CLTL5.txt", 9)</f>
        <v>9</v>
      </c>
      <c r="CI13" s="17">
        <f>HYPERLINK("http://exon.niaid.nih.gov/transcriptome/T_rubida/S2/links/cluster/Triru-pep-ext65-50-Sim-CLU6.txt", 6)</f>
        <v>6</v>
      </c>
      <c r="CJ13" s="1">
        <f>HYPERLINK("http://exon.niaid.nih.gov/transcriptome/T_rubida/S2/links/cluster/Triru-pep-ext65-50-Sim-CLTL6.txt", 7)</f>
        <v>7</v>
      </c>
      <c r="CK13" s="17">
        <f>HYPERLINK("http://exon.niaid.nih.gov/transcriptome/T_rubida/S2/links/cluster/Triru-pep-ext70-50-Sim-CLU6.txt", 6)</f>
        <v>6</v>
      </c>
      <c r="CL13" s="1">
        <f>HYPERLINK("http://exon.niaid.nih.gov/transcriptome/T_rubida/S2/links/cluster/Triru-pep-ext70-50-Sim-CLTL6.txt", 6)</f>
        <v>6</v>
      </c>
      <c r="CM13" s="17">
        <f>HYPERLINK("http://exon.niaid.nih.gov/transcriptome/T_rubida/S2/links/cluster/Triru-pep-ext75-50-Sim-CLU3.txt", 3)</f>
        <v>3</v>
      </c>
      <c r="CN13" s="1">
        <f>HYPERLINK("http://exon.niaid.nih.gov/transcriptome/T_rubida/S2/links/cluster/Triru-pep-ext75-50-Sim-CLTL3.txt", 6)</f>
        <v>6</v>
      </c>
      <c r="CO13" s="17">
        <f>HYPERLINK("http://exon.niaid.nih.gov/transcriptome/T_rubida/S2/links/cluster/Triru-pep-ext80-50-Sim-CLU3.txt", 3)</f>
        <v>3</v>
      </c>
      <c r="CP13" s="1">
        <f>HYPERLINK("http://exon.niaid.nih.gov/transcriptome/T_rubida/S2/links/cluster/Triru-pep-ext80-50-Sim-CLTL3.txt", 5)</f>
        <v>5</v>
      </c>
      <c r="CQ13" s="17">
        <f>HYPERLINK("http://exon.niaid.nih.gov/transcriptome/T_rubida/S2/links/cluster/Triru-pep-ext85-50-Sim-CLU3.txt", 3)</f>
        <v>3</v>
      </c>
      <c r="CR13" s="1">
        <f>HYPERLINK("http://exon.niaid.nih.gov/transcriptome/T_rubida/S2/links/cluster/Triru-pep-ext85-50-Sim-CLTL3.txt", 5)</f>
        <v>5</v>
      </c>
      <c r="CS13" s="17">
        <f>HYPERLINK("http://exon.niaid.nih.gov/transcriptome/T_rubida/S2/links/cluster/Triru-pep-ext90-50-Sim-CLU9.txt", 9)</f>
        <v>9</v>
      </c>
      <c r="CT13" s="1">
        <f>HYPERLINK("http://exon.niaid.nih.gov/transcriptome/T_rubida/S2/links/cluster/Triru-pep-ext90-50-Sim-CLTL9.txt", 2)</f>
        <v>2</v>
      </c>
      <c r="CU13" s="17">
        <f>HYPERLINK("http://exon.niaid.nih.gov/transcriptome/T_rubida/S2/links/cluster/Triru-pep-ext95-50-Sim-CLU7.txt", 7)</f>
        <v>7</v>
      </c>
      <c r="CV13" s="1">
        <f>HYPERLINK("http://exon.niaid.nih.gov/transcriptome/T_rubida/S2/links/cluster/Triru-pep-ext95-50-Sim-CLTL7.txt", 2)</f>
        <v>2</v>
      </c>
    </row>
    <row r="14" spans="1:100">
      <c r="A14" t="str">
        <f>HYPERLINK("http://exon.niaid.nih.gov/transcriptome/T_rubida/S2/links/pep/Triru-52-pep.txt","Triru-52")</f>
        <v>Triru-52</v>
      </c>
      <c r="B14">
        <v>175</v>
      </c>
      <c r="C14" s="1" t="s">
        <v>11</v>
      </c>
      <c r="D14" s="1" t="s">
        <v>3</v>
      </c>
      <c r="E14" t="str">
        <f>HYPERLINK("http://exon.niaid.nih.gov/transcriptome/T_rubida/S2/links/cds/Triru-52-cds.txt","Triru-52")</f>
        <v>Triru-52</v>
      </c>
      <c r="F14">
        <v>528</v>
      </c>
      <c r="G14" s="2" t="s">
        <v>1890</v>
      </c>
      <c r="H14" s="1">
        <v>18</v>
      </c>
      <c r="I14" s="3" t="s">
        <v>1272</v>
      </c>
      <c r="J14" s="17" t="str">
        <f>HYPERLINK("http://exon.niaid.nih.gov/transcriptome/T_rubida/S2/links/Sigp/Triru-52-SigP.txt","CYT")</f>
        <v>CYT</v>
      </c>
      <c r="K14" t="s">
        <v>5</v>
      </c>
      <c r="L14" s="1">
        <v>19.451000000000001</v>
      </c>
      <c r="M14" s="1">
        <v>6.35</v>
      </c>
      <c r="P14" s="1">
        <v>6.5000000000000002E-2</v>
      </c>
      <c r="Q14" s="1">
        <v>5.8000000000000003E-2</v>
      </c>
      <c r="R14" s="1">
        <v>0.93</v>
      </c>
      <c r="S14" s="17" t="s">
        <v>1346</v>
      </c>
      <c r="T14">
        <v>1</v>
      </c>
      <c r="U14" t="s">
        <v>1371</v>
      </c>
      <c r="V14" s="17">
        <v>0</v>
      </c>
      <c r="W14" t="s">
        <v>5</v>
      </c>
      <c r="X14" t="s">
        <v>5</v>
      </c>
      <c r="Y14" t="s">
        <v>5</v>
      </c>
      <c r="Z14" t="s">
        <v>5</v>
      </c>
      <c r="AA14" t="s">
        <v>5</v>
      </c>
      <c r="AB14" s="17" t="str">
        <f>HYPERLINK("http://exon.niaid.nih.gov/transcriptome/T_rubida/S2/links/netoglyc/TRIRU-52-netoglyc.txt","0")</f>
        <v>0</v>
      </c>
      <c r="AC14">
        <v>15.4</v>
      </c>
      <c r="AD14">
        <v>10.3</v>
      </c>
      <c r="AE14">
        <v>2.2999999999999998</v>
      </c>
      <c r="AF14" s="17" t="s">
        <v>5</v>
      </c>
      <c r="AG14" s="2" t="str">
        <f>HYPERLINK("http://exon.niaid.nih.gov/transcriptome/T_rubida/S2/links/NR/Triru-52-NR.txt","unnamed protein product")</f>
        <v>unnamed protein product</v>
      </c>
      <c r="AH14" t="str">
        <f>HYPERLINK("http://www.ncbi.nlm.nih.gov/sutils/blink.cgi?pid=270046188","6E-060")</f>
        <v>6E-060</v>
      </c>
      <c r="AI14" t="str">
        <f>HYPERLINK("http://www.ncbi.nlm.nih.gov/protein/270046188","gi|270046188")</f>
        <v>gi|270046188</v>
      </c>
      <c r="AJ14">
        <v>233</v>
      </c>
      <c r="AK14">
        <v>174</v>
      </c>
      <c r="AL14">
        <v>197</v>
      </c>
      <c r="AM14">
        <v>63</v>
      </c>
      <c r="AN14">
        <v>89</v>
      </c>
      <c r="AO14" t="s">
        <v>59</v>
      </c>
      <c r="AP14" s="2" t="str">
        <f>HYPERLINK("http://exon.niaid.nih.gov/transcriptome/T_rubida/S2/links/SWISSP/Triru-52-SWISSP.txt","Triabin")</f>
        <v>Triabin</v>
      </c>
      <c r="AQ14" t="str">
        <f>HYPERLINK("http://www.uniprot.org/uniprot/Q27049","3E-006")</f>
        <v>3E-006</v>
      </c>
      <c r="AR14" t="s">
        <v>649</v>
      </c>
      <c r="AS14">
        <v>51.2</v>
      </c>
      <c r="AT14">
        <v>130</v>
      </c>
      <c r="AU14">
        <v>160</v>
      </c>
      <c r="AV14">
        <v>24</v>
      </c>
      <c r="AW14">
        <v>82</v>
      </c>
      <c r="AX14">
        <v>109</v>
      </c>
      <c r="AY14">
        <v>16</v>
      </c>
      <c r="AZ14">
        <v>29</v>
      </c>
      <c r="BA14">
        <v>13</v>
      </c>
      <c r="BB14">
        <v>1</v>
      </c>
      <c r="BC14" t="s">
        <v>650</v>
      </c>
      <c r="BD14" s="2" t="s">
        <v>858</v>
      </c>
      <c r="BE14">
        <f>HYPERLINK("http://exon.niaid.nih.gov/transcriptome/T_rubida/S2/links/GO/Triru-52-GO.txt",0.00004)</f>
        <v>4.0000000000000003E-5</v>
      </c>
      <c r="BF14" t="s">
        <v>859</v>
      </c>
      <c r="BG14" t="s">
        <v>153</v>
      </c>
      <c r="BH14" t="s">
        <v>860</v>
      </c>
      <c r="BI14" s="2" t="str">
        <f>HYPERLINK("http://exon.niaid.nih.gov/transcriptome/T_rubida/S2/links/CDD/Triru-52-CDD.txt","Triabin")</f>
        <v>Triabin</v>
      </c>
      <c r="BJ14" t="str">
        <f>HYPERLINK("http://www.ncbi.nlm.nih.gov/Structure/cdd/cddsrv.cgi?uid=pfam03973&amp;version=v4.0","4E-017")</f>
        <v>4E-017</v>
      </c>
      <c r="BK14" t="s">
        <v>1263</v>
      </c>
      <c r="BL14" s="2" t="str">
        <f>HYPERLINK("http://exon.niaid.nih.gov/transcriptome/T_rubida/S2/links/KOG/Triru-52-KOG.txt","Heavy metal exporter HMT1, ABC superfamily")</f>
        <v>Heavy metal exporter HMT1, ABC superfamily</v>
      </c>
      <c r="BM14" t="str">
        <f>HYPERLINK("http://www.ncbi.nlm.nih.gov/COG/grace/shokog.cgi?KOG0056","0.29")</f>
        <v>0.29</v>
      </c>
      <c r="BN14" t="s">
        <v>117</v>
      </c>
      <c r="BO14" s="2" t="str">
        <f>HYPERLINK("http://exon.niaid.nih.gov/transcriptome/T_rubida/S2/links/PFAM/Triru-52-PFAM.txt","Triabin")</f>
        <v>Triabin</v>
      </c>
      <c r="BP14" t="str">
        <f>HYPERLINK("http://pfam.sanger.ac.uk/family?acc=PF03973","9E-018")</f>
        <v>9E-018</v>
      </c>
      <c r="BQ14" s="2" t="str">
        <f>HYPERLINK("http://exon.niaid.nih.gov/transcriptome/T_rubida/S2/links/SMART/Triru-52-SMART.txt","SPEC")</f>
        <v>SPEC</v>
      </c>
      <c r="BR14" t="str">
        <f>HYPERLINK("http://smart.embl-heidelberg.de/smart/do_annotation.pl?DOMAIN=SPEC&amp;BLAST=DUMMY","0.97")</f>
        <v>0.97</v>
      </c>
      <c r="BS14" s="17">
        <f t="shared" si="0"/>
        <v>1</v>
      </c>
      <c r="BT14" s="1">
        <f t="shared" si="1"/>
        <v>359</v>
      </c>
      <c r="BU14" s="17">
        <f t="shared" si="2"/>
        <v>1</v>
      </c>
      <c r="BV14" s="1">
        <f t="shared" si="3"/>
        <v>225</v>
      </c>
      <c r="BW14" s="17">
        <f t="shared" si="4"/>
        <v>2</v>
      </c>
      <c r="BX14" s="1">
        <f t="shared" si="5"/>
        <v>70</v>
      </c>
      <c r="BY14" s="17">
        <f t="shared" si="6"/>
        <v>1</v>
      </c>
      <c r="BZ14" s="1">
        <f t="shared" si="7"/>
        <v>69</v>
      </c>
      <c r="CA14" s="17">
        <f t="shared" si="8"/>
        <v>1</v>
      </c>
      <c r="CB14" s="1">
        <f t="shared" si="9"/>
        <v>69</v>
      </c>
      <c r="CC14" s="17">
        <f>HYPERLINK("http://exon.niaid.nih.gov/transcriptome/T_rubida/S2/links/cluster/Triru-pep-ext50-50-Sim-CLU2.txt", 2)</f>
        <v>2</v>
      </c>
      <c r="CD14" s="1">
        <f>HYPERLINK("http://exon.niaid.nih.gov/transcriptome/T_rubida/S2/links/cluster/Triru-pep-ext50-50-Sim-CLTL2.txt", 23)</f>
        <v>23</v>
      </c>
      <c r="CE14" s="17">
        <f>HYPERLINK("http://exon.niaid.nih.gov/transcriptome/T_rubida/S2/links/cluster/Triru-pep-ext55-50-Sim-CLU2.txt", 2)</f>
        <v>2</v>
      </c>
      <c r="CF14" s="1">
        <f>HYPERLINK("http://exon.niaid.nih.gov/transcriptome/T_rubida/S2/links/cluster/Triru-pep-ext55-50-Sim-CLTL2.txt", 20)</f>
        <v>20</v>
      </c>
      <c r="CG14" s="17">
        <f>HYPERLINK("http://exon.niaid.nih.gov/transcriptome/T_rubida/S2/links/cluster/Triru-pep-ext60-50-Sim-CLU3.txt", 3)</f>
        <v>3</v>
      </c>
      <c r="CH14" s="1">
        <f>HYPERLINK("http://exon.niaid.nih.gov/transcriptome/T_rubida/S2/links/cluster/Triru-pep-ext60-50-Sim-CLTL3.txt", 12)</f>
        <v>12</v>
      </c>
      <c r="CI14" s="17">
        <f>HYPERLINK("http://exon.niaid.nih.gov/transcriptome/T_rubida/S2/links/cluster/Triru-pep-ext65-50-Sim-CLU2.txt", 2)</f>
        <v>2</v>
      </c>
      <c r="CJ14" s="1">
        <f>HYPERLINK("http://exon.niaid.nih.gov/transcriptome/T_rubida/S2/links/cluster/Triru-pep-ext65-50-Sim-CLTL2.txt", 12)</f>
        <v>12</v>
      </c>
      <c r="CK14" s="17">
        <f>HYPERLINK("http://exon.niaid.nih.gov/transcriptome/T_rubida/S2/links/cluster/Triru-pep-ext70-50-Sim-CLU2.txt", 2)</f>
        <v>2</v>
      </c>
      <c r="CL14" s="1">
        <f>HYPERLINK("http://exon.niaid.nih.gov/transcriptome/T_rubida/S2/links/cluster/Triru-pep-ext70-50-Sim-CLTL2.txt", 11)</f>
        <v>11</v>
      </c>
      <c r="CM14" s="17">
        <f>HYPERLINK("http://exon.niaid.nih.gov/transcriptome/T_rubida/S2/links/cluster/Triru-pep-ext75-50-Sim-CLU2.txt", 2)</f>
        <v>2</v>
      </c>
      <c r="CN14" s="1">
        <f>HYPERLINK("http://exon.niaid.nih.gov/transcriptome/T_rubida/S2/links/cluster/Triru-pep-ext75-50-Sim-CLTL2.txt", 11)</f>
        <v>11</v>
      </c>
      <c r="CO14" s="17">
        <f>HYPERLINK("http://exon.niaid.nih.gov/transcriptome/T_rubida/S2/links/cluster/Triru-pep-ext80-50-Sim-CLU6.txt", 6)</f>
        <v>6</v>
      </c>
      <c r="CP14" s="1">
        <f>HYPERLINK("http://exon.niaid.nih.gov/transcriptome/T_rubida/S2/links/cluster/Triru-pep-ext80-50-Sim-CLTL6.txt", 3)</f>
        <v>3</v>
      </c>
      <c r="CQ14" s="17">
        <f>HYPERLINK("http://exon.niaid.nih.gov/transcriptome/T_rubida/S2/links/cluster/Triru-pep-ext85-50-Sim-CLU7.txt", 7)</f>
        <v>7</v>
      </c>
      <c r="CR14" s="1">
        <f>HYPERLINK("http://exon.niaid.nih.gov/transcriptome/T_rubida/S2/links/cluster/Triru-pep-ext85-50-Sim-CLTL7.txt", 2)</f>
        <v>2</v>
      </c>
      <c r="CS14" s="17">
        <v>50</v>
      </c>
      <c r="CT14" s="1">
        <v>1</v>
      </c>
      <c r="CU14" s="17">
        <v>54</v>
      </c>
      <c r="CV14" s="1">
        <v>1</v>
      </c>
    </row>
    <row r="15" spans="1:100">
      <c r="A15" t="str">
        <f>HYPERLINK("http://exon.niaid.nih.gov/transcriptome/T_rubida/S2/links/pep/Triru-14-pep.txt","Triru-14")</f>
        <v>Triru-14</v>
      </c>
      <c r="B15">
        <v>173</v>
      </c>
      <c r="C15" s="1" t="s">
        <v>9</v>
      </c>
      <c r="D15" s="1" t="s">
        <v>3</v>
      </c>
      <c r="E15" t="str">
        <f>HYPERLINK("http://exon.niaid.nih.gov/transcriptome/T_rubida/S2/links/cds/Triru-14-cds.txt","Triru-14")</f>
        <v>Triru-14</v>
      </c>
      <c r="F15">
        <v>522</v>
      </c>
      <c r="G15" s="2" t="s">
        <v>1890</v>
      </c>
      <c r="H15" s="1">
        <v>17</v>
      </c>
      <c r="I15" s="3" t="s">
        <v>1272</v>
      </c>
      <c r="J15" s="17" t="str">
        <f>HYPERLINK("http://exon.niaid.nih.gov/transcriptome/T_rubida/S2/links/Sigp/Triru-14-SigP.txt","SIG")</f>
        <v>SIG</v>
      </c>
      <c r="K15" t="s">
        <v>1318</v>
      </c>
      <c r="L15" s="1">
        <v>19.260000000000002</v>
      </c>
      <c r="M15" s="1">
        <v>5.49</v>
      </c>
      <c r="N15" s="1">
        <v>17.256</v>
      </c>
      <c r="O15" s="1">
        <v>5.3</v>
      </c>
      <c r="P15" s="1">
        <v>0.02</v>
      </c>
      <c r="Q15" s="1">
        <v>0.94199999999999995</v>
      </c>
      <c r="R15" s="1">
        <v>9.2999999999999999E-2</v>
      </c>
      <c r="S15" s="17" t="s">
        <v>18</v>
      </c>
      <c r="T15">
        <v>1</v>
      </c>
      <c r="U15" t="s">
        <v>1365</v>
      </c>
      <c r="V15" s="17">
        <v>0</v>
      </c>
      <c r="W15" t="s">
        <v>5</v>
      </c>
      <c r="X15" t="s">
        <v>5</v>
      </c>
      <c r="Y15" t="s">
        <v>5</v>
      </c>
      <c r="Z15" t="s">
        <v>5</v>
      </c>
      <c r="AA15" t="s">
        <v>5</v>
      </c>
      <c r="AB15" s="17" t="str">
        <f>HYPERLINK("http://exon.niaid.nih.gov/transcriptome/T_rubida/S2/links/netoglyc/TRIRU-14-netoglyc.txt","5")</f>
        <v>5</v>
      </c>
      <c r="AC15">
        <v>16.2</v>
      </c>
      <c r="AD15">
        <v>6.9</v>
      </c>
      <c r="AE15">
        <v>4.5999999999999996</v>
      </c>
      <c r="AF15" s="17" t="s">
        <v>5</v>
      </c>
      <c r="AG15" s="2" t="str">
        <f>HYPERLINK("http://exon.niaid.nih.gov/transcriptome/T_rubida/S2/links/NR/Triru-14-NR.txt","unnamed protein product")</f>
        <v>unnamed protein product</v>
      </c>
      <c r="AH15" t="str">
        <f>HYPERLINK("http://www.ncbi.nlm.nih.gov/sutils/blink.cgi?pid=270046244","5E-045")</f>
        <v>5E-045</v>
      </c>
      <c r="AI15" t="str">
        <f>HYPERLINK("http://www.ncbi.nlm.nih.gov/protein/270046244","gi|270046244")</f>
        <v>gi|270046244</v>
      </c>
      <c r="AJ15">
        <v>184</v>
      </c>
      <c r="AK15">
        <v>175</v>
      </c>
      <c r="AL15">
        <v>177</v>
      </c>
      <c r="AM15">
        <v>54</v>
      </c>
      <c r="AN15">
        <v>99</v>
      </c>
      <c r="AO15" t="s">
        <v>59</v>
      </c>
      <c r="AP15" s="2" t="str">
        <f>HYPERLINK("http://exon.niaid.nih.gov/transcriptome/T_rubida/S2/links/SWISSP/Triru-14-SWISSP.txt","Procalin")</f>
        <v>Procalin</v>
      </c>
      <c r="AQ15" t="str">
        <f>HYPERLINK("http://www.uniprot.org/uniprot/Q9U6R6","9E-028")</f>
        <v>9E-028</v>
      </c>
      <c r="AR15" t="s">
        <v>180</v>
      </c>
      <c r="AS15">
        <v>122</v>
      </c>
      <c r="AT15">
        <v>167</v>
      </c>
      <c r="AU15">
        <v>169</v>
      </c>
      <c r="AV15">
        <v>38</v>
      </c>
      <c r="AW15">
        <v>99</v>
      </c>
      <c r="AX15">
        <v>110</v>
      </c>
      <c r="AY15">
        <v>15</v>
      </c>
      <c r="AZ15">
        <v>1</v>
      </c>
      <c r="BA15">
        <v>1</v>
      </c>
      <c r="BB15">
        <v>1</v>
      </c>
      <c r="BC15" t="s">
        <v>181</v>
      </c>
      <c r="BD15" s="2" t="s">
        <v>5</v>
      </c>
      <c r="BE15" t="s">
        <v>5</v>
      </c>
      <c r="BF15" t="s">
        <v>5</v>
      </c>
      <c r="BG15" t="s">
        <v>5</v>
      </c>
      <c r="BH15" t="s">
        <v>5</v>
      </c>
      <c r="BI15" s="2" t="str">
        <f>HYPERLINK("http://exon.niaid.nih.gov/transcriptome/T_rubida/S2/links/CDD/Triru-14-CDD.txt","Triabin")</f>
        <v>Triabin</v>
      </c>
      <c r="BJ15" t="str">
        <f>HYPERLINK("http://www.ncbi.nlm.nih.gov/Structure/cdd/cddsrv.cgi?uid=pfam03973&amp;version=v4.0","4E-013")</f>
        <v>4E-013</v>
      </c>
      <c r="BK15" t="s">
        <v>851</v>
      </c>
      <c r="BL15" s="2" t="str">
        <f>HYPERLINK("http://exon.niaid.nih.gov/transcriptome/T_rubida/S2/links/KOG/Triru-14-KOG.txt","Beta-spectrin")</f>
        <v>Beta-spectrin</v>
      </c>
      <c r="BM15" t="str">
        <f>HYPERLINK("http://www.ncbi.nlm.nih.gov/COG/grace/shokog.cgi?KOG0517","1.2")</f>
        <v>1.2</v>
      </c>
      <c r="BN15" t="s">
        <v>147</v>
      </c>
      <c r="BO15" s="2" t="str">
        <f>HYPERLINK("http://exon.niaid.nih.gov/transcriptome/T_rubida/S2/links/PFAM/Triru-14-PFAM.txt","Triabin")</f>
        <v>Triabin</v>
      </c>
      <c r="BP15" t="str">
        <f>HYPERLINK("http://pfam.sanger.ac.uk/family?acc=PF03973","9E-014")</f>
        <v>9E-014</v>
      </c>
      <c r="BQ15" s="2" t="str">
        <f>HYPERLINK("http://exon.niaid.nih.gov/transcriptome/T_rubida/S2/links/SMART/Triru-14-SMART.txt","KISc")</f>
        <v>KISc</v>
      </c>
      <c r="BR15" t="str">
        <f>HYPERLINK("http://smart.embl-heidelberg.de/smart/do_annotation.pl?DOMAIN=KISc&amp;BLAST=DUMMY","4.1")</f>
        <v>4.1</v>
      </c>
      <c r="BS15" s="17">
        <f t="shared" si="0"/>
        <v>1</v>
      </c>
      <c r="BT15" s="1">
        <f t="shared" si="1"/>
        <v>359</v>
      </c>
      <c r="BU15" s="17">
        <f t="shared" si="2"/>
        <v>1</v>
      </c>
      <c r="BV15" s="1">
        <f t="shared" si="3"/>
        <v>225</v>
      </c>
      <c r="BW15" s="17">
        <f t="shared" si="4"/>
        <v>2</v>
      </c>
      <c r="BX15" s="1">
        <f t="shared" si="5"/>
        <v>70</v>
      </c>
      <c r="BY15" s="17">
        <f t="shared" si="6"/>
        <v>1</v>
      </c>
      <c r="BZ15" s="1">
        <f t="shared" si="7"/>
        <v>69</v>
      </c>
      <c r="CA15" s="17">
        <f t="shared" si="8"/>
        <v>1</v>
      </c>
      <c r="CB15" s="1">
        <f t="shared" si="9"/>
        <v>69</v>
      </c>
      <c r="CC15" s="17">
        <f>HYPERLINK("http://exon.niaid.nih.gov/transcriptome/T_rubida/S2/links/cluster/Triru-pep-ext50-50-Sim-CLU1.txt", 1)</f>
        <v>1</v>
      </c>
      <c r="CD15" s="1">
        <f>HYPERLINK("http://exon.niaid.nih.gov/transcriptome/T_rubida/S2/links/cluster/Triru-pep-ext50-50-Sim-CLTL1.txt", 45)</f>
        <v>45</v>
      </c>
      <c r="CE15" s="17">
        <f>HYPERLINK("http://exon.niaid.nih.gov/transcriptome/T_rubida/S2/links/cluster/Triru-pep-ext55-50-Sim-CLU1.txt", 1)</f>
        <v>1</v>
      </c>
      <c r="CF15" s="1">
        <f>HYPERLINK("http://exon.niaid.nih.gov/transcriptome/T_rubida/S2/links/cluster/Triru-pep-ext55-50-Sim-CLTL1.txt", 45)</f>
        <v>45</v>
      </c>
      <c r="CG15" s="17">
        <f>HYPERLINK("http://exon.niaid.nih.gov/transcriptome/T_rubida/S2/links/cluster/Triru-pep-ext60-50-Sim-CLU1.txt", 1)</f>
        <v>1</v>
      </c>
      <c r="CH15" s="1">
        <f>HYPERLINK("http://exon.niaid.nih.gov/transcriptome/T_rubida/S2/links/cluster/Triru-pep-ext60-50-Sim-CLTL1.txt", 35)</f>
        <v>35</v>
      </c>
      <c r="CI15" s="17">
        <f>HYPERLINK("http://exon.niaid.nih.gov/transcriptome/T_rubida/S2/links/cluster/Triru-pep-ext65-50-Sim-CLU1.txt", 1)</f>
        <v>1</v>
      </c>
      <c r="CJ15" s="1">
        <f>HYPERLINK("http://exon.niaid.nih.gov/transcriptome/T_rubida/S2/links/cluster/Triru-pep-ext65-50-Sim-CLTL1.txt", 30)</f>
        <v>30</v>
      </c>
      <c r="CK15" s="17">
        <f>HYPERLINK("http://exon.niaid.nih.gov/transcriptome/T_rubida/S2/links/cluster/Triru-pep-ext70-50-Sim-CLU1.txt", 1)</f>
        <v>1</v>
      </c>
      <c r="CL15" s="1">
        <f>HYPERLINK("http://exon.niaid.nih.gov/transcriptome/T_rubida/S2/links/cluster/Triru-pep-ext70-50-Sim-CLTL1.txt", 28)</f>
        <v>28</v>
      </c>
      <c r="CM15" s="17">
        <f>HYPERLINK("http://exon.niaid.nih.gov/transcriptome/T_rubida/S2/links/cluster/Triru-pep-ext75-50-Sim-CLU1.txt", 1)</f>
        <v>1</v>
      </c>
      <c r="CN15" s="1">
        <f>HYPERLINK("http://exon.niaid.nih.gov/transcriptome/T_rubida/S2/links/cluster/Triru-pep-ext75-50-Sim-CLTL1.txt", 23)</f>
        <v>23</v>
      </c>
      <c r="CO15" s="17">
        <f>HYPERLINK("http://exon.niaid.nih.gov/transcriptome/T_rubida/S2/links/cluster/Triru-pep-ext80-50-Sim-CLU1.txt", 1)</f>
        <v>1</v>
      </c>
      <c r="CP15" s="1">
        <f>HYPERLINK("http://exon.niaid.nih.gov/transcriptome/T_rubida/S2/links/cluster/Triru-pep-ext80-50-Sim-CLTL1.txt", 23)</f>
        <v>23</v>
      </c>
      <c r="CQ15" s="17">
        <f>HYPERLINK("http://exon.niaid.nih.gov/transcriptome/T_rubida/S2/links/cluster/Triru-pep-ext85-50-Sim-CLU1.txt", 1)</f>
        <v>1</v>
      </c>
      <c r="CR15" s="1">
        <f>HYPERLINK("http://exon.niaid.nih.gov/transcriptome/T_rubida/S2/links/cluster/Triru-pep-ext85-50-Sim-CLTL1.txt", 15)</f>
        <v>15</v>
      </c>
      <c r="CS15" s="17">
        <f>HYPERLINK("http://exon.niaid.nih.gov/transcriptome/T_rubida/S2/links/cluster/Triru-pep-ext90-50-Sim-CLU1.txt", 1)</f>
        <v>1</v>
      </c>
      <c r="CT15" s="1">
        <f>HYPERLINK("http://exon.niaid.nih.gov/transcriptome/T_rubida/S2/links/cluster/Triru-pep-ext90-50-Sim-CLTL1.txt", 13)</f>
        <v>13</v>
      </c>
      <c r="CU15" s="17">
        <f>HYPERLINK("http://exon.niaid.nih.gov/transcriptome/T_rubida/S2/links/cluster/Triru-pep-ext95-50-Sim-CLU1.txt", 1)</f>
        <v>1</v>
      </c>
      <c r="CV15" s="1">
        <f>HYPERLINK("http://exon.niaid.nih.gov/transcriptome/T_rubida/S2/links/cluster/Triru-pep-ext95-50-Sim-CLTL1.txt", 8)</f>
        <v>8</v>
      </c>
    </row>
    <row r="16" spans="1:100">
      <c r="A16" t="str">
        <f>HYPERLINK("http://exon.niaid.nih.gov/transcriptome/T_rubida/S2/links/pep/Triru-67-pep.txt","Triru-67")</f>
        <v>Triru-67</v>
      </c>
      <c r="B16">
        <v>197</v>
      </c>
      <c r="C16" s="1" t="s">
        <v>9</v>
      </c>
      <c r="D16" s="1" t="s">
        <v>3</v>
      </c>
      <c r="E16" t="str">
        <f>HYPERLINK("http://exon.niaid.nih.gov/transcriptome/T_rubida/S2/links/cds/Triru-67-cds.txt","Triru-67")</f>
        <v>Triru-67</v>
      </c>
      <c r="F16">
        <v>594</v>
      </c>
      <c r="G16" s="2" t="s">
        <v>1890</v>
      </c>
      <c r="H16" s="1">
        <v>17</v>
      </c>
      <c r="I16" s="3" t="s">
        <v>1272</v>
      </c>
      <c r="J16" s="17" t="str">
        <f>HYPERLINK("http://exon.niaid.nih.gov/transcriptome/T_rubida/S2/links/Sigp/Triru-67-SigP.txt","SIG")</f>
        <v>SIG</v>
      </c>
      <c r="K16" t="s">
        <v>1318</v>
      </c>
      <c r="L16" s="1">
        <v>22.469000000000001</v>
      </c>
      <c r="M16" s="1">
        <v>8.42</v>
      </c>
      <c r="N16" s="1">
        <v>20.527999999999999</v>
      </c>
      <c r="O16" s="1">
        <v>8.16</v>
      </c>
      <c r="P16" s="1">
        <v>2.7E-2</v>
      </c>
      <c r="Q16" s="1">
        <v>0.89800000000000002</v>
      </c>
      <c r="R16" s="1">
        <v>0.17599999999999999</v>
      </c>
      <c r="S16" s="17" t="s">
        <v>18</v>
      </c>
      <c r="T16">
        <v>2</v>
      </c>
      <c r="U16" t="s">
        <v>1354</v>
      </c>
      <c r="V16" s="17">
        <v>0</v>
      </c>
      <c r="W16" t="s">
        <v>5</v>
      </c>
      <c r="X16" t="s">
        <v>5</v>
      </c>
      <c r="Y16" t="s">
        <v>5</v>
      </c>
      <c r="Z16" t="s">
        <v>5</v>
      </c>
      <c r="AA16" t="s">
        <v>5</v>
      </c>
      <c r="AB16" s="17" t="str">
        <f>HYPERLINK("http://exon.niaid.nih.gov/transcriptome/T_rubida/S2/links/netoglyc/TRIRU-67-netoglyc.txt","0")</f>
        <v>0</v>
      </c>
      <c r="AC16">
        <v>15.2</v>
      </c>
      <c r="AD16">
        <v>7.1</v>
      </c>
      <c r="AE16">
        <v>1</v>
      </c>
      <c r="AF16" s="17" t="s">
        <v>5</v>
      </c>
      <c r="AG16" s="2" t="str">
        <f>HYPERLINK("http://exon.niaid.nih.gov/transcriptome/T_rubida/S2/links/NR/Triru-67-NR.txt","unnamed protein product")</f>
        <v>unnamed protein product</v>
      </c>
      <c r="AH16" t="str">
        <f>HYPERLINK("http://www.ncbi.nlm.nih.gov/sutils/blink.cgi?pid=270046202","4E-061")</f>
        <v>4E-061</v>
      </c>
      <c r="AI16" t="str">
        <f>HYPERLINK("http://www.ncbi.nlm.nih.gov/protein/270046202","gi|270046202")</f>
        <v>gi|270046202</v>
      </c>
      <c r="AJ16">
        <v>238</v>
      </c>
      <c r="AK16">
        <v>199</v>
      </c>
      <c r="AL16">
        <v>200</v>
      </c>
      <c r="AM16">
        <v>60</v>
      </c>
      <c r="AN16">
        <v>100</v>
      </c>
      <c r="AO16" t="s">
        <v>59</v>
      </c>
      <c r="AP16" s="2" t="str">
        <f>HYPERLINK("http://exon.niaid.nih.gov/transcriptome/T_rubida/S2/links/SWISSP/Triru-67-SWISSP.txt","Procalin")</f>
        <v>Procalin</v>
      </c>
      <c r="AQ16" t="str">
        <f>HYPERLINK("http://www.uniprot.org/uniprot/Q9U6R6","1E-016")</f>
        <v>1E-016</v>
      </c>
      <c r="AR16" t="s">
        <v>180</v>
      </c>
      <c r="AS16">
        <v>86.3</v>
      </c>
      <c r="AT16">
        <v>161</v>
      </c>
      <c r="AU16">
        <v>169</v>
      </c>
      <c r="AV16">
        <v>29</v>
      </c>
      <c r="AW16">
        <v>96</v>
      </c>
      <c r="AX16">
        <v>124</v>
      </c>
      <c r="AY16">
        <v>15</v>
      </c>
      <c r="AZ16">
        <v>1</v>
      </c>
      <c r="BA16">
        <v>1</v>
      </c>
      <c r="BB16">
        <v>1</v>
      </c>
      <c r="BC16" t="s">
        <v>181</v>
      </c>
      <c r="BD16" s="2" t="s">
        <v>5</v>
      </c>
      <c r="BE16" t="s">
        <v>5</v>
      </c>
      <c r="BF16" t="s">
        <v>5</v>
      </c>
      <c r="BG16" t="s">
        <v>5</v>
      </c>
      <c r="BH16" t="s">
        <v>5</v>
      </c>
      <c r="BI16" s="2" t="str">
        <f>HYPERLINK("http://exon.niaid.nih.gov/transcriptome/T_rubida/S2/links/CDD/Triru-67-CDD.txt","Triabin")</f>
        <v>Triabin</v>
      </c>
      <c r="BJ16" t="str">
        <f>HYPERLINK("http://www.ncbi.nlm.nih.gov/Structure/cdd/cddsrv.cgi?uid=pfam03973&amp;version=v4.0","1E-015")</f>
        <v>1E-015</v>
      </c>
      <c r="BK16" t="s">
        <v>857</v>
      </c>
      <c r="BL16" s="2" t="str">
        <f>HYPERLINK("http://exon.niaid.nih.gov/transcriptome/T_rubida/S2/links/KOG/Triru-67-KOG.txt","Apolipoprotein D/Lipocalin")</f>
        <v>Apolipoprotein D/Lipocalin</v>
      </c>
      <c r="BM16" t="str">
        <f>HYPERLINK("http://www.ncbi.nlm.nih.gov/COG/grace/shokog.cgi?KOG4824","3E-004")</f>
        <v>3E-004</v>
      </c>
      <c r="BN16" t="s">
        <v>238</v>
      </c>
      <c r="BO16" s="2" t="str">
        <f>HYPERLINK("http://exon.niaid.nih.gov/transcriptome/T_rubida/S2/links/PFAM/Triru-67-PFAM.txt","Triabin")</f>
        <v>Triabin</v>
      </c>
      <c r="BP16" t="str">
        <f>HYPERLINK("http://pfam.sanger.ac.uk/family?acc=PF03973","2E-016")</f>
        <v>2E-016</v>
      </c>
      <c r="BQ16" s="2" t="str">
        <f>HYPERLINK("http://exon.niaid.nih.gov/transcriptome/T_rubida/S2/links/SMART/Triru-67-SMART.txt","TOP4c")</f>
        <v>TOP4c</v>
      </c>
      <c r="BR16" t="str">
        <f>HYPERLINK("http://smart.embl-heidelberg.de/smart/do_annotation.pl?DOMAIN=TOP4c&amp;BLAST=DUMMY","3.6")</f>
        <v>3.6</v>
      </c>
      <c r="BS16" s="17">
        <f t="shared" si="0"/>
        <v>1</v>
      </c>
      <c r="BT16" s="1">
        <f t="shared" si="1"/>
        <v>359</v>
      </c>
      <c r="BU16" s="17">
        <f t="shared" si="2"/>
        <v>1</v>
      </c>
      <c r="BV16" s="1">
        <f t="shared" si="3"/>
        <v>225</v>
      </c>
      <c r="BW16" s="17">
        <f t="shared" si="4"/>
        <v>2</v>
      </c>
      <c r="BX16" s="1">
        <f t="shared" si="5"/>
        <v>70</v>
      </c>
      <c r="BY16" s="17">
        <f t="shared" si="6"/>
        <v>1</v>
      </c>
      <c r="BZ16" s="1">
        <f t="shared" si="7"/>
        <v>69</v>
      </c>
      <c r="CA16" s="17">
        <f t="shared" si="8"/>
        <v>1</v>
      </c>
      <c r="CB16" s="1">
        <f t="shared" si="9"/>
        <v>69</v>
      </c>
      <c r="CC16" s="17">
        <f>HYPERLINK("http://exon.niaid.nih.gov/transcriptome/T_rubida/S2/links/cluster/Triru-pep-ext50-50-Sim-CLU2.txt", 2)</f>
        <v>2</v>
      </c>
      <c r="CD16" s="1">
        <f>HYPERLINK("http://exon.niaid.nih.gov/transcriptome/T_rubida/S2/links/cluster/Triru-pep-ext50-50-Sim-CLTL2.txt", 23)</f>
        <v>23</v>
      </c>
      <c r="CE16" s="17">
        <f>HYPERLINK("http://exon.niaid.nih.gov/transcriptome/T_rubida/S2/links/cluster/Triru-pep-ext55-50-Sim-CLU2.txt", 2)</f>
        <v>2</v>
      </c>
      <c r="CF16" s="1">
        <f>HYPERLINK("http://exon.niaid.nih.gov/transcriptome/T_rubida/S2/links/cluster/Triru-pep-ext55-50-Sim-CLTL2.txt", 20)</f>
        <v>20</v>
      </c>
      <c r="CG16" s="17">
        <f>HYPERLINK("http://exon.niaid.nih.gov/transcriptome/T_rubida/S2/links/cluster/Triru-pep-ext60-50-Sim-CLU6.txt", 6)</f>
        <v>6</v>
      </c>
      <c r="CH16" s="1">
        <f>HYPERLINK("http://exon.niaid.nih.gov/transcriptome/T_rubida/S2/links/cluster/Triru-pep-ext60-50-Sim-CLTL6.txt", 8)</f>
        <v>8</v>
      </c>
      <c r="CI16" s="17">
        <f>HYPERLINK("http://exon.niaid.nih.gov/transcriptome/T_rubida/S2/links/cluster/Triru-pep-ext65-50-Sim-CLU4.txt", 4)</f>
        <v>4</v>
      </c>
      <c r="CJ16" s="1">
        <f>HYPERLINK("http://exon.niaid.nih.gov/transcriptome/T_rubida/S2/links/cluster/Triru-pep-ext65-50-Sim-CLTL4.txt", 8)</f>
        <v>8</v>
      </c>
      <c r="CK16" s="17">
        <f>HYPERLINK("http://exon.niaid.nih.gov/transcriptome/T_rubida/S2/links/cluster/Triru-pep-ext70-50-Sim-CLU4.txt", 4)</f>
        <v>4</v>
      </c>
      <c r="CL16" s="1">
        <f>HYPERLINK("http://exon.niaid.nih.gov/transcriptome/T_rubida/S2/links/cluster/Triru-pep-ext70-50-Sim-CLTL4.txt", 8)</f>
        <v>8</v>
      </c>
      <c r="CM16" s="17">
        <f>HYPERLINK("http://exon.niaid.nih.gov/transcriptome/T_rubida/S2/links/cluster/Triru-pep-ext75-50-Sim-CLU5.txt", 5)</f>
        <v>5</v>
      </c>
      <c r="CN16" s="1">
        <f>HYPERLINK("http://exon.niaid.nih.gov/transcriptome/T_rubida/S2/links/cluster/Triru-pep-ext75-50-Sim-CLTL5.txt", 5)</f>
        <v>5</v>
      </c>
      <c r="CO16" s="17">
        <v>49</v>
      </c>
      <c r="CP16" s="1">
        <v>1</v>
      </c>
      <c r="CQ16" s="17">
        <v>56</v>
      </c>
      <c r="CR16" s="1">
        <v>1</v>
      </c>
      <c r="CS16" s="17">
        <v>61</v>
      </c>
      <c r="CT16" s="1">
        <v>1</v>
      </c>
      <c r="CU16" s="17">
        <v>67</v>
      </c>
      <c r="CV16" s="1">
        <v>1</v>
      </c>
    </row>
    <row r="17" spans="1:100">
      <c r="A17" t="str">
        <f>HYPERLINK("http://exon.niaid.nih.gov/transcriptome/T_rubida/S2/links/pep/Triru-7-pep.txt","Triru-7")</f>
        <v>Triru-7</v>
      </c>
      <c r="B17">
        <v>156</v>
      </c>
      <c r="C17" s="1" t="s">
        <v>12</v>
      </c>
      <c r="D17" s="1" t="s">
        <v>3</v>
      </c>
      <c r="E17" t="str">
        <f>HYPERLINK("http://exon.niaid.nih.gov/transcriptome/T_rubida/S2/links/cds/Triru-7-cds.txt","Triru-7")</f>
        <v>Triru-7</v>
      </c>
      <c r="F17">
        <v>471</v>
      </c>
      <c r="G17" s="2" t="s">
        <v>1890</v>
      </c>
      <c r="H17" s="1">
        <v>16</v>
      </c>
      <c r="I17" s="3" t="s">
        <v>1272</v>
      </c>
      <c r="J17" s="17" t="str">
        <f>HYPERLINK("http://exon.niaid.nih.gov/transcriptome/T_rubida/S2/links/Sigp/Triru-7-SigP.txt","CYT")</f>
        <v>CYT</v>
      </c>
      <c r="K17" t="s">
        <v>5</v>
      </c>
      <c r="L17" s="1">
        <v>17.276</v>
      </c>
      <c r="M17" s="1">
        <v>6.28</v>
      </c>
      <c r="P17" s="1">
        <v>7.6999999999999999E-2</v>
      </c>
      <c r="Q17" s="1">
        <v>5.2999999999999999E-2</v>
      </c>
      <c r="R17" s="1">
        <v>0.94299999999999995</v>
      </c>
      <c r="S17" s="17" t="s">
        <v>1346</v>
      </c>
      <c r="T17">
        <v>1</v>
      </c>
      <c r="U17" t="s">
        <v>1350</v>
      </c>
      <c r="V17" s="17">
        <v>0</v>
      </c>
      <c r="W17" t="s">
        <v>5</v>
      </c>
      <c r="X17" t="s">
        <v>5</v>
      </c>
      <c r="Y17" t="s">
        <v>5</v>
      </c>
      <c r="Z17" t="s">
        <v>5</v>
      </c>
      <c r="AA17" t="s">
        <v>5</v>
      </c>
      <c r="AB17" s="17" t="str">
        <f>HYPERLINK("http://exon.niaid.nih.gov/transcriptome/T_rubida/S2/links/netoglyc/TRIRU-7-netoglyc.txt","3")</f>
        <v>3</v>
      </c>
      <c r="AC17">
        <v>16.7</v>
      </c>
      <c r="AD17">
        <v>5.0999999999999996</v>
      </c>
      <c r="AE17">
        <v>4.5</v>
      </c>
      <c r="AF17" s="17" t="s">
        <v>5</v>
      </c>
      <c r="AG17" s="2" t="str">
        <f>HYPERLINK("http://exon.niaid.nih.gov/transcriptome/T_rubida/S2/links/NR/Triru-7-NR.txt","unnamed protein product")</f>
        <v>unnamed protein product</v>
      </c>
      <c r="AH17" t="str">
        <f>HYPERLINK("http://www.ncbi.nlm.nih.gov/sutils/blink.cgi?pid=270046164","6E-026")</f>
        <v>6E-026</v>
      </c>
      <c r="AI17" t="str">
        <f>HYPERLINK("http://www.ncbi.nlm.nih.gov/protein/270046164","gi|270046164")</f>
        <v>gi|270046164</v>
      </c>
      <c r="AJ17">
        <v>120</v>
      </c>
      <c r="AK17">
        <v>146</v>
      </c>
      <c r="AL17">
        <v>177</v>
      </c>
      <c r="AM17">
        <v>44</v>
      </c>
      <c r="AN17">
        <v>83</v>
      </c>
      <c r="AO17" t="s">
        <v>59</v>
      </c>
      <c r="AP17" s="2" t="str">
        <f>HYPERLINK("http://exon.niaid.nih.gov/transcriptome/T_rubida/S2/links/SWISSP/Triru-7-SWISSP.txt","Procalin")</f>
        <v>Procalin</v>
      </c>
      <c r="AQ17" t="str">
        <f>HYPERLINK("http://www.uniprot.org/uniprot/Q9U6R6","3E-018")</f>
        <v>3E-018</v>
      </c>
      <c r="AR17" t="s">
        <v>180</v>
      </c>
      <c r="AS17">
        <v>90.9</v>
      </c>
      <c r="AT17">
        <v>148</v>
      </c>
      <c r="AU17">
        <v>169</v>
      </c>
      <c r="AV17">
        <v>33</v>
      </c>
      <c r="AW17">
        <v>88</v>
      </c>
      <c r="AX17">
        <v>102</v>
      </c>
      <c r="AY17">
        <v>9</v>
      </c>
      <c r="AZ17">
        <v>20</v>
      </c>
      <c r="BA17">
        <v>4</v>
      </c>
      <c r="BB17">
        <v>1</v>
      </c>
      <c r="BC17" t="s">
        <v>181</v>
      </c>
      <c r="BD17" s="2" t="s">
        <v>5</v>
      </c>
      <c r="BE17" t="s">
        <v>5</v>
      </c>
      <c r="BF17" t="s">
        <v>5</v>
      </c>
      <c r="BG17" t="s">
        <v>5</v>
      </c>
      <c r="BH17" t="s">
        <v>5</v>
      </c>
      <c r="BI17" s="2" t="str">
        <f>HYPERLINK("http://exon.niaid.nih.gov/transcriptome/T_rubida/S2/links/CDD/Triru-7-CDD.txt","Triabin")</f>
        <v>Triabin</v>
      </c>
      <c r="BJ17" t="str">
        <f>HYPERLINK("http://www.ncbi.nlm.nih.gov/Structure/cdd/cddsrv.cgi?uid=pfam03973&amp;version=v4.0","4E-014")</f>
        <v>4E-014</v>
      </c>
      <c r="BK17" t="s">
        <v>1227</v>
      </c>
      <c r="BL17" s="2" t="str">
        <f>HYPERLINK("http://exon.niaid.nih.gov/transcriptome/T_rubida/S2/links/KOG/Triru-7-KOG.txt","AICAR transformylase/IMP cyclohydrolase/methylglyoxal synthase")</f>
        <v>AICAR transformylase/IMP cyclohydrolase/methylglyoxal synthase</v>
      </c>
      <c r="BM17" t="str">
        <f>HYPERLINK("http://www.ncbi.nlm.nih.gov/COG/grace/shokog.cgi?KOG2555","2.4")</f>
        <v>2.4</v>
      </c>
      <c r="BN17" t="s">
        <v>420</v>
      </c>
      <c r="BO17" s="2" t="str">
        <f>HYPERLINK("http://exon.niaid.nih.gov/transcriptome/T_rubida/S2/links/PFAM/Triru-7-PFAM.txt","Triabin")</f>
        <v>Triabin</v>
      </c>
      <c r="BP17" t="str">
        <f>HYPERLINK("http://pfam.sanger.ac.uk/family?acc=PF03973","8E-015")</f>
        <v>8E-015</v>
      </c>
      <c r="BQ17" s="2" t="str">
        <f>HYPERLINK("http://exon.niaid.nih.gov/transcriptome/T_rubida/S2/links/SMART/Triru-7-SMART.txt","TBOX")</f>
        <v>TBOX</v>
      </c>
      <c r="BR17" t="str">
        <f>HYPERLINK("http://smart.embl-heidelberg.de/smart/do_annotation.pl?DOMAIN=TBOX&amp;BLAST=DUMMY","0.38")</f>
        <v>0.38</v>
      </c>
      <c r="BS17" s="17">
        <f t="shared" si="0"/>
        <v>1</v>
      </c>
      <c r="BT17" s="1">
        <f t="shared" si="1"/>
        <v>359</v>
      </c>
      <c r="BU17" s="17">
        <f t="shared" si="2"/>
        <v>1</v>
      </c>
      <c r="BV17" s="1">
        <f t="shared" si="3"/>
        <v>225</v>
      </c>
      <c r="BW17" s="17">
        <f t="shared" si="4"/>
        <v>2</v>
      </c>
      <c r="BX17" s="1">
        <f t="shared" si="5"/>
        <v>70</v>
      </c>
      <c r="BY17" s="17">
        <f t="shared" si="6"/>
        <v>1</v>
      </c>
      <c r="BZ17" s="1">
        <f t="shared" si="7"/>
        <v>69</v>
      </c>
      <c r="CA17" s="17">
        <f t="shared" si="8"/>
        <v>1</v>
      </c>
      <c r="CB17" s="1">
        <f t="shared" si="9"/>
        <v>69</v>
      </c>
      <c r="CC17" s="17">
        <f>HYPERLINK("http://exon.niaid.nih.gov/transcriptome/T_rubida/S2/links/cluster/Triru-pep-ext50-50-Sim-CLU1.txt", 1)</f>
        <v>1</v>
      </c>
      <c r="CD17" s="1">
        <f>HYPERLINK("http://exon.niaid.nih.gov/transcriptome/T_rubida/S2/links/cluster/Triru-pep-ext50-50-Sim-CLTL1.txt", 45)</f>
        <v>45</v>
      </c>
      <c r="CE17" s="17">
        <f>HYPERLINK("http://exon.niaid.nih.gov/transcriptome/T_rubida/S2/links/cluster/Triru-pep-ext55-50-Sim-CLU1.txt", 1)</f>
        <v>1</v>
      </c>
      <c r="CF17" s="1">
        <f>HYPERLINK("http://exon.niaid.nih.gov/transcriptome/T_rubida/S2/links/cluster/Triru-pep-ext55-50-Sim-CLTL1.txt", 45)</f>
        <v>45</v>
      </c>
      <c r="CG17" s="17">
        <f>HYPERLINK("http://exon.niaid.nih.gov/transcriptome/T_rubida/S2/links/cluster/Triru-pep-ext60-50-Sim-CLU1.txt", 1)</f>
        <v>1</v>
      </c>
      <c r="CH17" s="1">
        <f>HYPERLINK("http://exon.niaid.nih.gov/transcriptome/T_rubida/S2/links/cluster/Triru-pep-ext60-50-Sim-CLTL1.txt", 35)</f>
        <v>35</v>
      </c>
      <c r="CI17" s="17">
        <f>HYPERLINK("http://exon.niaid.nih.gov/transcriptome/T_rubida/S2/links/cluster/Triru-pep-ext65-50-Sim-CLU1.txt", 1)</f>
        <v>1</v>
      </c>
      <c r="CJ17" s="1">
        <f>HYPERLINK("http://exon.niaid.nih.gov/transcriptome/T_rubida/S2/links/cluster/Triru-pep-ext65-50-Sim-CLTL1.txt", 30)</f>
        <v>30</v>
      </c>
      <c r="CK17" s="17">
        <f>HYPERLINK("http://exon.niaid.nih.gov/transcriptome/T_rubida/S2/links/cluster/Triru-pep-ext70-50-Sim-CLU1.txt", 1)</f>
        <v>1</v>
      </c>
      <c r="CL17" s="1">
        <f>HYPERLINK("http://exon.niaid.nih.gov/transcriptome/T_rubida/S2/links/cluster/Triru-pep-ext70-50-Sim-CLTL1.txt", 28)</f>
        <v>28</v>
      </c>
      <c r="CM17" s="17">
        <f>HYPERLINK("http://exon.niaid.nih.gov/transcriptome/T_rubida/S2/links/cluster/Triru-pep-ext75-50-Sim-CLU1.txt", 1)</f>
        <v>1</v>
      </c>
      <c r="CN17" s="1">
        <f>HYPERLINK("http://exon.niaid.nih.gov/transcriptome/T_rubida/S2/links/cluster/Triru-pep-ext75-50-Sim-CLTL1.txt", 23)</f>
        <v>23</v>
      </c>
      <c r="CO17" s="17">
        <f>HYPERLINK("http://exon.niaid.nih.gov/transcriptome/T_rubida/S2/links/cluster/Triru-pep-ext80-50-Sim-CLU1.txt", 1)</f>
        <v>1</v>
      </c>
      <c r="CP17" s="1">
        <f>HYPERLINK("http://exon.niaid.nih.gov/transcriptome/T_rubida/S2/links/cluster/Triru-pep-ext80-50-Sim-CLTL1.txt", 23)</f>
        <v>23</v>
      </c>
      <c r="CQ17" s="17">
        <f>HYPERLINK("http://exon.niaid.nih.gov/transcriptome/T_rubida/S2/links/cluster/Triru-pep-ext85-50-Sim-CLU2.txt", 2)</f>
        <v>2</v>
      </c>
      <c r="CR17" s="1">
        <f>HYPERLINK("http://exon.niaid.nih.gov/transcriptome/T_rubida/S2/links/cluster/Triru-pep-ext85-50-Sim-CLTL2.txt", 8)</f>
        <v>8</v>
      </c>
      <c r="CS17" s="17">
        <f>HYPERLINK("http://exon.niaid.nih.gov/transcriptome/T_rubida/S2/links/cluster/Triru-pep-ext90-50-Sim-CLU2.txt", 2)</f>
        <v>2</v>
      </c>
      <c r="CT17" s="1">
        <f>HYPERLINK("http://exon.niaid.nih.gov/transcriptome/T_rubida/S2/links/cluster/Triru-pep-ext90-50-Sim-CLTL2.txt", 4)</f>
        <v>4</v>
      </c>
      <c r="CU17" s="17">
        <v>26</v>
      </c>
      <c r="CV17" s="1">
        <v>1</v>
      </c>
    </row>
    <row r="18" spans="1:100">
      <c r="A18" t="str">
        <f>HYPERLINK("http://exon.niaid.nih.gov/transcriptome/T_rubida/S2/links/pep/Triru-8-pep.txt","Triru-8")</f>
        <v>Triru-8</v>
      </c>
      <c r="B18">
        <v>148</v>
      </c>
      <c r="C18" s="1" t="s">
        <v>14</v>
      </c>
      <c r="D18" s="1" t="s">
        <v>3</v>
      </c>
      <c r="E18" t="str">
        <f>HYPERLINK("http://exon.niaid.nih.gov/transcriptome/T_rubida/S2/links/cds/Triru-8-cds.txt","Triru-8")</f>
        <v>Triru-8</v>
      </c>
      <c r="F18">
        <v>447</v>
      </c>
      <c r="G18" s="2" t="s">
        <v>1890</v>
      </c>
      <c r="H18" s="1">
        <v>12</v>
      </c>
      <c r="I18" s="3" t="s">
        <v>1272</v>
      </c>
      <c r="J18" s="17" t="str">
        <f>HYPERLINK("http://exon.niaid.nih.gov/transcriptome/T_rubida/S2/links/Sigp/Triru-8-SigP.txt","CYT")</f>
        <v>CYT</v>
      </c>
      <c r="K18" t="s">
        <v>5</v>
      </c>
      <c r="L18" s="1">
        <v>16.452999999999999</v>
      </c>
      <c r="M18" s="1">
        <v>7.77</v>
      </c>
      <c r="P18" s="1">
        <v>0.115</v>
      </c>
      <c r="Q18" s="1">
        <v>4.8000000000000001E-2</v>
      </c>
      <c r="R18" s="1">
        <v>0.91400000000000003</v>
      </c>
      <c r="S18" s="17" t="s">
        <v>1346</v>
      </c>
      <c r="T18">
        <v>2</v>
      </c>
      <c r="U18" t="s">
        <v>1369</v>
      </c>
      <c r="V18" s="17">
        <v>0</v>
      </c>
      <c r="W18" t="s">
        <v>5</v>
      </c>
      <c r="X18" t="s">
        <v>5</v>
      </c>
      <c r="Y18" t="s">
        <v>5</v>
      </c>
      <c r="Z18" t="s">
        <v>5</v>
      </c>
      <c r="AA18" t="s">
        <v>5</v>
      </c>
      <c r="AB18" s="17" t="str">
        <f>HYPERLINK("http://exon.niaid.nih.gov/transcriptome/T_rubida/S2/links/netoglyc/TRIRU-8-netoglyc.txt","3")</f>
        <v>3</v>
      </c>
      <c r="AC18">
        <v>16.899999999999999</v>
      </c>
      <c r="AD18">
        <v>4.7</v>
      </c>
      <c r="AE18">
        <v>4.7</v>
      </c>
      <c r="AF18" s="17" t="s">
        <v>5</v>
      </c>
      <c r="AG18" s="2" t="str">
        <f>HYPERLINK("http://exon.niaid.nih.gov/transcriptome/T_rubida/S2/links/NR/Triru-8-NR.txt","unnamed protein product")</f>
        <v>unnamed protein product</v>
      </c>
      <c r="AH18" t="str">
        <f>HYPERLINK("http://www.ncbi.nlm.nih.gov/sutils/blink.cgi?pid=270046164","2E-025")</f>
        <v>2E-025</v>
      </c>
      <c r="AI18" t="str">
        <f>HYPERLINK("http://www.ncbi.nlm.nih.gov/protein/270046164","gi|270046164")</f>
        <v>gi|270046164</v>
      </c>
      <c r="AJ18">
        <v>118</v>
      </c>
      <c r="AK18">
        <v>146</v>
      </c>
      <c r="AL18">
        <v>177</v>
      </c>
      <c r="AM18">
        <v>43</v>
      </c>
      <c r="AN18">
        <v>83</v>
      </c>
      <c r="AO18" t="s">
        <v>59</v>
      </c>
      <c r="AP18" s="2" t="str">
        <f>HYPERLINK("http://exon.niaid.nih.gov/transcriptome/T_rubida/S2/links/SWISSP/Triru-8-SWISSP.txt","Procalin")</f>
        <v>Procalin</v>
      </c>
      <c r="AQ18" t="str">
        <f>HYPERLINK("http://www.uniprot.org/uniprot/Q9U6R6","4E-018")</f>
        <v>4E-018</v>
      </c>
      <c r="AR18" t="s">
        <v>180</v>
      </c>
      <c r="AS18">
        <v>90.1</v>
      </c>
      <c r="AT18">
        <v>141</v>
      </c>
      <c r="AU18">
        <v>169</v>
      </c>
      <c r="AV18">
        <v>33</v>
      </c>
      <c r="AW18">
        <v>84</v>
      </c>
      <c r="AX18">
        <v>96</v>
      </c>
      <c r="AY18">
        <v>7</v>
      </c>
      <c r="AZ18">
        <v>27</v>
      </c>
      <c r="BA18">
        <v>5</v>
      </c>
      <c r="BB18">
        <v>1</v>
      </c>
      <c r="BC18" t="s">
        <v>181</v>
      </c>
      <c r="BD18" s="2" t="s">
        <v>5</v>
      </c>
      <c r="BE18" t="s">
        <v>5</v>
      </c>
      <c r="BF18" t="s">
        <v>5</v>
      </c>
      <c r="BG18" t="s">
        <v>5</v>
      </c>
      <c r="BH18" t="s">
        <v>5</v>
      </c>
      <c r="BI18" s="2" t="str">
        <f>HYPERLINK("http://exon.niaid.nih.gov/transcriptome/T_rubida/S2/links/CDD/Triru-8-CDD.txt","Triabin")</f>
        <v>Triabin</v>
      </c>
      <c r="BJ18" t="str">
        <f>HYPERLINK("http://www.ncbi.nlm.nih.gov/Structure/cdd/cddsrv.cgi?uid=pfam03973&amp;version=v4.0","8E-014")</f>
        <v>8E-014</v>
      </c>
      <c r="BK18" t="s">
        <v>762</v>
      </c>
      <c r="BL18" s="2" t="str">
        <f>HYPERLINK("http://exon.niaid.nih.gov/transcriptome/T_rubida/S2/links/KOG/Triru-8-KOG.txt","Cadherin EGF LAG seven-pass G-type receptor")</f>
        <v>Cadherin EGF LAG seven-pass G-type receptor</v>
      </c>
      <c r="BM18" t="str">
        <f>HYPERLINK("http://www.ncbi.nlm.nih.gov/COG/grace/shokog.cgi?KOG4289","1.8")</f>
        <v>1.8</v>
      </c>
      <c r="BN18" t="s">
        <v>179</v>
      </c>
      <c r="BO18" s="2" t="str">
        <f>HYPERLINK("http://exon.niaid.nih.gov/transcriptome/T_rubida/S2/links/PFAM/Triru-8-PFAM.txt","Triabin")</f>
        <v>Triabin</v>
      </c>
      <c r="BP18" t="str">
        <f>HYPERLINK("http://pfam.sanger.ac.uk/family?acc=PF03973","2E-014")</f>
        <v>2E-014</v>
      </c>
      <c r="BQ18" s="2" t="str">
        <f>HYPERLINK("http://exon.niaid.nih.gov/transcriptome/T_rubida/S2/links/SMART/Triru-8-SMART.txt","LH2")</f>
        <v>LH2</v>
      </c>
      <c r="BR18" t="str">
        <f>HYPERLINK("http://smart.embl-heidelberg.de/smart/do_annotation.pl?DOMAIN=LH2&amp;BLAST=DUMMY","0.90")</f>
        <v>0.90</v>
      </c>
      <c r="BS18" s="17">
        <f t="shared" si="0"/>
        <v>1</v>
      </c>
      <c r="BT18" s="1">
        <f t="shared" si="1"/>
        <v>359</v>
      </c>
      <c r="BU18" s="17">
        <f t="shared" si="2"/>
        <v>1</v>
      </c>
      <c r="BV18" s="1">
        <f t="shared" si="3"/>
        <v>225</v>
      </c>
      <c r="BW18" s="17">
        <f t="shared" si="4"/>
        <v>2</v>
      </c>
      <c r="BX18" s="1">
        <f t="shared" si="5"/>
        <v>70</v>
      </c>
      <c r="BY18" s="17">
        <f t="shared" si="6"/>
        <v>1</v>
      </c>
      <c r="BZ18" s="1">
        <f t="shared" si="7"/>
        <v>69</v>
      </c>
      <c r="CA18" s="17">
        <f t="shared" si="8"/>
        <v>1</v>
      </c>
      <c r="CB18" s="1">
        <f t="shared" si="9"/>
        <v>69</v>
      </c>
      <c r="CC18" s="17">
        <f>HYPERLINK("http://exon.niaid.nih.gov/transcriptome/T_rubida/S2/links/cluster/Triru-pep-ext50-50-Sim-CLU1.txt", 1)</f>
        <v>1</v>
      </c>
      <c r="CD18" s="1">
        <f>HYPERLINK("http://exon.niaid.nih.gov/transcriptome/T_rubida/S2/links/cluster/Triru-pep-ext50-50-Sim-CLTL1.txt", 45)</f>
        <v>45</v>
      </c>
      <c r="CE18" s="17">
        <f>HYPERLINK("http://exon.niaid.nih.gov/transcriptome/T_rubida/S2/links/cluster/Triru-pep-ext55-50-Sim-CLU1.txt", 1)</f>
        <v>1</v>
      </c>
      <c r="CF18" s="1">
        <f>HYPERLINK("http://exon.niaid.nih.gov/transcriptome/T_rubida/S2/links/cluster/Triru-pep-ext55-50-Sim-CLTL1.txt", 45)</f>
        <v>45</v>
      </c>
      <c r="CG18" s="17">
        <f>HYPERLINK("http://exon.niaid.nih.gov/transcriptome/T_rubida/S2/links/cluster/Triru-pep-ext60-50-Sim-CLU1.txt", 1)</f>
        <v>1</v>
      </c>
      <c r="CH18" s="1">
        <f>HYPERLINK("http://exon.niaid.nih.gov/transcriptome/T_rubida/S2/links/cluster/Triru-pep-ext60-50-Sim-CLTL1.txt", 35)</f>
        <v>35</v>
      </c>
      <c r="CI18" s="17">
        <f>HYPERLINK("http://exon.niaid.nih.gov/transcriptome/T_rubida/S2/links/cluster/Triru-pep-ext65-50-Sim-CLU1.txt", 1)</f>
        <v>1</v>
      </c>
      <c r="CJ18" s="1">
        <f>HYPERLINK("http://exon.niaid.nih.gov/transcriptome/T_rubida/S2/links/cluster/Triru-pep-ext65-50-Sim-CLTL1.txt", 30)</f>
        <v>30</v>
      </c>
      <c r="CK18" s="17">
        <f>HYPERLINK("http://exon.niaid.nih.gov/transcriptome/T_rubida/S2/links/cluster/Triru-pep-ext70-50-Sim-CLU1.txt", 1)</f>
        <v>1</v>
      </c>
      <c r="CL18" s="1">
        <f>HYPERLINK("http://exon.niaid.nih.gov/transcriptome/T_rubida/S2/links/cluster/Triru-pep-ext70-50-Sim-CLTL1.txt", 28)</f>
        <v>28</v>
      </c>
      <c r="CM18" s="17">
        <f>HYPERLINK("http://exon.niaid.nih.gov/transcriptome/T_rubida/S2/links/cluster/Triru-pep-ext75-50-Sim-CLU1.txt", 1)</f>
        <v>1</v>
      </c>
      <c r="CN18" s="1">
        <f>HYPERLINK("http://exon.niaid.nih.gov/transcriptome/T_rubida/S2/links/cluster/Triru-pep-ext75-50-Sim-CLTL1.txt", 23)</f>
        <v>23</v>
      </c>
      <c r="CO18" s="17">
        <f>HYPERLINK("http://exon.niaid.nih.gov/transcriptome/T_rubida/S2/links/cluster/Triru-pep-ext80-50-Sim-CLU1.txt", 1)</f>
        <v>1</v>
      </c>
      <c r="CP18" s="1">
        <f>HYPERLINK("http://exon.niaid.nih.gov/transcriptome/T_rubida/S2/links/cluster/Triru-pep-ext80-50-Sim-CLTL1.txt", 23)</f>
        <v>23</v>
      </c>
      <c r="CQ18" s="17">
        <f>HYPERLINK("http://exon.niaid.nih.gov/transcriptome/T_rubida/S2/links/cluster/Triru-pep-ext85-50-Sim-CLU2.txt", 2)</f>
        <v>2</v>
      </c>
      <c r="CR18" s="1">
        <f>HYPERLINK("http://exon.niaid.nih.gov/transcriptome/T_rubida/S2/links/cluster/Triru-pep-ext85-50-Sim-CLTL2.txt", 8)</f>
        <v>8</v>
      </c>
      <c r="CS18" s="17">
        <f>HYPERLINK("http://exon.niaid.nih.gov/transcriptome/T_rubida/S2/links/cluster/Triru-pep-ext90-50-Sim-CLU2.txt", 2)</f>
        <v>2</v>
      </c>
      <c r="CT18" s="1">
        <f>HYPERLINK("http://exon.niaid.nih.gov/transcriptome/T_rubida/S2/links/cluster/Triru-pep-ext90-50-Sim-CLTL2.txt", 4)</f>
        <v>4</v>
      </c>
      <c r="CU18" s="17">
        <f>HYPERLINK("http://exon.niaid.nih.gov/transcriptome/T_rubida/S2/links/cluster/Triru-pep-ext95-50-Sim-CLU2.txt", 2)</f>
        <v>2</v>
      </c>
      <c r="CV18" s="1">
        <f>HYPERLINK("http://exon.niaid.nih.gov/transcriptome/T_rubida/S2/links/cluster/Triru-pep-ext95-50-Sim-CLTL2.txt", 3)</f>
        <v>3</v>
      </c>
    </row>
    <row r="19" spans="1:100">
      <c r="A19" t="str">
        <f>HYPERLINK("http://exon.niaid.nih.gov/transcriptome/T_rubida/S2/links/pep/Triru-64-pep.txt","Triru-64")</f>
        <v>Triru-64</v>
      </c>
      <c r="B19">
        <v>127</v>
      </c>
      <c r="C19" s="1" t="s">
        <v>6</v>
      </c>
      <c r="D19" s="1" t="s">
        <v>3</v>
      </c>
      <c r="E19" t="str">
        <f>HYPERLINK("http://exon.niaid.nih.gov/transcriptome/T_rubida/S2/links/cds/Triru-64-cds.txt","Triru-64")</f>
        <v>Triru-64</v>
      </c>
      <c r="F19">
        <v>384</v>
      </c>
      <c r="G19" s="2" t="s">
        <v>1890</v>
      </c>
      <c r="H19" s="1">
        <v>11</v>
      </c>
      <c r="I19" s="3" t="s">
        <v>1272</v>
      </c>
      <c r="J19" s="17" t="str">
        <f>HYPERLINK("http://exon.niaid.nih.gov/transcriptome/T_rubida/S2/links/Sigp/Triru-64-SigP.txt","CYT")</f>
        <v>CYT</v>
      </c>
      <c r="K19" t="s">
        <v>5</v>
      </c>
      <c r="L19" s="1">
        <v>14.483000000000001</v>
      </c>
      <c r="M19" s="1">
        <v>9.0500000000000007</v>
      </c>
      <c r="P19" s="1">
        <v>9.7000000000000003E-2</v>
      </c>
      <c r="Q19" s="1">
        <v>4.7E-2</v>
      </c>
      <c r="R19" s="1">
        <v>0.93</v>
      </c>
      <c r="S19" s="17" t="s">
        <v>1346</v>
      </c>
      <c r="T19">
        <v>1</v>
      </c>
      <c r="U19" t="s">
        <v>1348</v>
      </c>
      <c r="V19" s="17">
        <v>0</v>
      </c>
      <c r="W19" t="s">
        <v>5</v>
      </c>
      <c r="X19" t="s">
        <v>5</v>
      </c>
      <c r="Y19" t="s">
        <v>5</v>
      </c>
      <c r="Z19" t="s">
        <v>5</v>
      </c>
      <c r="AA19" t="s">
        <v>5</v>
      </c>
      <c r="AB19" s="17" t="str">
        <f>HYPERLINK("http://exon.niaid.nih.gov/transcriptome/T_rubida/S2/links/netoglyc/TRIRU-64-netoglyc.txt","0")</f>
        <v>0</v>
      </c>
      <c r="AC19">
        <v>16.5</v>
      </c>
      <c r="AD19">
        <v>8.6999999999999993</v>
      </c>
      <c r="AE19">
        <v>3.1</v>
      </c>
      <c r="AF19" s="17" t="s">
        <v>5</v>
      </c>
      <c r="AG19" s="2" t="str">
        <f>HYPERLINK("http://exon.niaid.nih.gov/transcriptome/T_rubida/S2/links/NR/Triru-64-NR.txt","unnamed protein product")</f>
        <v>unnamed protein product</v>
      </c>
      <c r="AH19" t="str">
        <f>HYPERLINK("http://www.ncbi.nlm.nih.gov/sutils/blink.cgi?pid=270046202","2E-031")</f>
        <v>2E-031</v>
      </c>
      <c r="AI19" t="str">
        <f>HYPERLINK("http://www.ncbi.nlm.nih.gov/protein/270046202","gi|270046202")</f>
        <v>gi|270046202</v>
      </c>
      <c r="AJ19">
        <v>139</v>
      </c>
      <c r="AK19">
        <v>125</v>
      </c>
      <c r="AL19">
        <v>200</v>
      </c>
      <c r="AM19">
        <v>55</v>
      </c>
      <c r="AN19">
        <v>63</v>
      </c>
      <c r="AO19" t="s">
        <v>59</v>
      </c>
      <c r="AP19" s="2" t="str">
        <f>HYPERLINK("http://exon.niaid.nih.gov/transcriptome/T_rubida/S2/links/SWISSP/Triru-64-SWISSP.txt","Procalin")</f>
        <v>Procalin</v>
      </c>
      <c r="AQ19" t="str">
        <f>HYPERLINK("http://www.uniprot.org/uniprot/Q9U6R6","3E-004")</f>
        <v>3E-004</v>
      </c>
      <c r="AR19" t="s">
        <v>180</v>
      </c>
      <c r="AS19">
        <v>43.9</v>
      </c>
      <c r="AT19">
        <v>78</v>
      </c>
      <c r="AU19">
        <v>169</v>
      </c>
      <c r="AV19">
        <v>29</v>
      </c>
      <c r="AW19">
        <v>47</v>
      </c>
      <c r="AX19">
        <v>61</v>
      </c>
      <c r="AY19">
        <v>7</v>
      </c>
      <c r="AZ19">
        <v>80</v>
      </c>
      <c r="BA19">
        <v>16</v>
      </c>
      <c r="BB19">
        <v>1</v>
      </c>
      <c r="BC19" t="s">
        <v>181</v>
      </c>
      <c r="BD19" s="2" t="s">
        <v>5</v>
      </c>
      <c r="BE19" t="s">
        <v>5</v>
      </c>
      <c r="BF19" t="s">
        <v>5</v>
      </c>
      <c r="BG19" t="s">
        <v>5</v>
      </c>
      <c r="BH19" t="s">
        <v>5</v>
      </c>
      <c r="BI19" s="2" t="str">
        <f>HYPERLINK("http://exon.niaid.nih.gov/transcriptome/T_rubida/S2/links/CDD/Triru-64-CDD.txt","Triabin")</f>
        <v>Triabin</v>
      </c>
      <c r="BJ19" t="str">
        <f>HYPERLINK("http://www.ncbi.nlm.nih.gov/Structure/cdd/cddsrv.cgi?uid=pfam03973&amp;version=v4.0","2E-006")</f>
        <v>2E-006</v>
      </c>
      <c r="BK19" t="s">
        <v>623</v>
      </c>
      <c r="BL19" s="2" t="str">
        <f>HYPERLINK("http://exon.niaid.nih.gov/transcriptome/T_rubida/S2/links/KOG/Triru-64-KOG.txt","Apolipoprotein D/Lipocalin")</f>
        <v>Apolipoprotein D/Lipocalin</v>
      </c>
      <c r="BM19" t="str">
        <f>HYPERLINK("http://www.ncbi.nlm.nih.gov/COG/grace/shokog.cgi?KOG4824","1.1")</f>
        <v>1.1</v>
      </c>
      <c r="BN19" t="s">
        <v>238</v>
      </c>
      <c r="BO19" s="2" t="str">
        <f>HYPERLINK("http://exon.niaid.nih.gov/transcriptome/T_rubida/S2/links/PFAM/Triru-64-PFAM.txt","Triabin")</f>
        <v>Triabin</v>
      </c>
      <c r="BP19" t="str">
        <f>HYPERLINK("http://pfam.sanger.ac.uk/family?acc=PF03973","4E-007")</f>
        <v>4E-007</v>
      </c>
      <c r="BQ19" s="2" t="str">
        <f>HYPERLINK("http://exon.niaid.nih.gov/transcriptome/T_rubida/S2/links/SMART/Triru-64-SMART.txt","DEXDc3")</f>
        <v>DEXDc3</v>
      </c>
      <c r="BR19" t="str">
        <f>HYPERLINK("http://smart.embl-heidelberg.de/smart/do_annotation.pl?DOMAIN=DEXDc3&amp;BLAST=DUMMY","2.4")</f>
        <v>2.4</v>
      </c>
      <c r="BS19" s="17">
        <f t="shared" si="0"/>
        <v>1</v>
      </c>
      <c r="BT19" s="1">
        <f t="shared" si="1"/>
        <v>359</v>
      </c>
      <c r="BU19" s="17">
        <f t="shared" si="2"/>
        <v>1</v>
      </c>
      <c r="BV19" s="1">
        <f t="shared" si="3"/>
        <v>225</v>
      </c>
      <c r="BW19" s="17">
        <f t="shared" si="4"/>
        <v>2</v>
      </c>
      <c r="BX19" s="1">
        <f t="shared" si="5"/>
        <v>70</v>
      </c>
      <c r="BY19" s="17">
        <f t="shared" si="6"/>
        <v>1</v>
      </c>
      <c r="BZ19" s="1">
        <f t="shared" si="7"/>
        <v>69</v>
      </c>
      <c r="CA19" s="17">
        <f t="shared" si="8"/>
        <v>1</v>
      </c>
      <c r="CB19" s="1">
        <f t="shared" si="9"/>
        <v>69</v>
      </c>
      <c r="CC19" s="17">
        <f>HYPERLINK("http://exon.niaid.nih.gov/transcriptome/T_rubida/S2/links/cluster/Triru-pep-ext50-50-Sim-CLU2.txt", 2)</f>
        <v>2</v>
      </c>
      <c r="CD19" s="1">
        <f>HYPERLINK("http://exon.niaid.nih.gov/transcriptome/T_rubida/S2/links/cluster/Triru-pep-ext50-50-Sim-CLTL2.txt", 23)</f>
        <v>23</v>
      </c>
      <c r="CE19" s="17">
        <f>HYPERLINK("http://exon.niaid.nih.gov/transcriptome/T_rubida/S2/links/cluster/Triru-pep-ext55-50-Sim-CLU2.txt", 2)</f>
        <v>2</v>
      </c>
      <c r="CF19" s="1">
        <f>HYPERLINK("http://exon.niaid.nih.gov/transcriptome/T_rubida/S2/links/cluster/Triru-pep-ext55-50-Sim-CLTL2.txt", 20)</f>
        <v>20</v>
      </c>
      <c r="CG19" s="17">
        <f>HYPERLINK("http://exon.niaid.nih.gov/transcriptome/T_rubida/S2/links/cluster/Triru-pep-ext60-50-Sim-CLU6.txt", 6)</f>
        <v>6</v>
      </c>
      <c r="CH19" s="1">
        <f>HYPERLINK("http://exon.niaid.nih.gov/transcriptome/T_rubida/S2/links/cluster/Triru-pep-ext60-50-Sim-CLTL6.txt", 8)</f>
        <v>8</v>
      </c>
      <c r="CI19" s="17">
        <f>HYPERLINK("http://exon.niaid.nih.gov/transcriptome/T_rubida/S2/links/cluster/Triru-pep-ext65-50-Sim-CLU4.txt", 4)</f>
        <v>4</v>
      </c>
      <c r="CJ19" s="1">
        <f>HYPERLINK("http://exon.niaid.nih.gov/transcriptome/T_rubida/S2/links/cluster/Triru-pep-ext65-50-Sim-CLTL4.txt", 8)</f>
        <v>8</v>
      </c>
      <c r="CK19" s="17">
        <f>HYPERLINK("http://exon.niaid.nih.gov/transcriptome/T_rubida/S2/links/cluster/Triru-pep-ext70-50-Sim-CLU4.txt", 4)</f>
        <v>4</v>
      </c>
      <c r="CL19" s="1">
        <f>HYPERLINK("http://exon.niaid.nih.gov/transcriptome/T_rubida/S2/links/cluster/Triru-pep-ext70-50-Sim-CLTL4.txt", 8)</f>
        <v>8</v>
      </c>
      <c r="CM19" s="17">
        <f>HYPERLINK("http://exon.niaid.nih.gov/transcriptome/T_rubida/S2/links/cluster/Triru-pep-ext75-50-Sim-CLU5.txt", 5)</f>
        <v>5</v>
      </c>
      <c r="CN19" s="1">
        <f>HYPERLINK("http://exon.niaid.nih.gov/transcriptome/T_rubida/S2/links/cluster/Triru-pep-ext75-50-Sim-CLTL5.txt", 5)</f>
        <v>5</v>
      </c>
      <c r="CO19" s="17">
        <v>47</v>
      </c>
      <c r="CP19" s="1">
        <v>1</v>
      </c>
      <c r="CQ19" s="17">
        <v>53</v>
      </c>
      <c r="CR19" s="1">
        <v>1</v>
      </c>
      <c r="CS19" s="17">
        <v>58</v>
      </c>
      <c r="CT19" s="1">
        <v>1</v>
      </c>
      <c r="CU19" s="17">
        <v>64</v>
      </c>
      <c r="CV19" s="1">
        <v>1</v>
      </c>
    </row>
    <row r="20" spans="1:100">
      <c r="A20" t="str">
        <f>HYPERLINK("http://exon.niaid.nih.gov/transcriptome/T_rubida/S2/links/pep/Triru-19-pep.txt","Triru-19")</f>
        <v>Triru-19</v>
      </c>
      <c r="B20">
        <v>177</v>
      </c>
      <c r="C20" s="1" t="s">
        <v>9</v>
      </c>
      <c r="D20" s="1" t="s">
        <v>3</v>
      </c>
      <c r="E20" t="str">
        <f>HYPERLINK("http://exon.niaid.nih.gov/transcriptome/T_rubida/S2/links/cds/Triru-19-cds.txt","Triru-19")</f>
        <v>Triru-19</v>
      </c>
      <c r="F20">
        <v>534</v>
      </c>
      <c r="G20" s="2" t="s">
        <v>1890</v>
      </c>
      <c r="H20" s="1">
        <v>10</v>
      </c>
      <c r="I20" s="3" t="s">
        <v>1272</v>
      </c>
      <c r="J20" s="17" t="str">
        <f>HYPERLINK("http://exon.niaid.nih.gov/transcriptome/T_rubida/S2/links/Sigp/Triru-19-SigP.txt","SIG")</f>
        <v>SIG</v>
      </c>
      <c r="K20" t="s">
        <v>1318</v>
      </c>
      <c r="L20" s="1">
        <v>19.683</v>
      </c>
      <c r="M20" s="1">
        <v>5.94</v>
      </c>
      <c r="N20" s="1">
        <v>17.687999999999999</v>
      </c>
      <c r="O20" s="1">
        <v>5.71</v>
      </c>
      <c r="P20" s="1">
        <v>0.02</v>
      </c>
      <c r="Q20" s="1">
        <v>0.94199999999999995</v>
      </c>
      <c r="R20" s="1">
        <v>9.2999999999999999E-2</v>
      </c>
      <c r="S20" s="17" t="s">
        <v>18</v>
      </c>
      <c r="T20">
        <v>1</v>
      </c>
      <c r="U20" t="s">
        <v>1353</v>
      </c>
      <c r="V20" s="17">
        <v>0</v>
      </c>
      <c r="W20" t="s">
        <v>5</v>
      </c>
      <c r="X20" t="s">
        <v>5</v>
      </c>
      <c r="Y20" t="s">
        <v>5</v>
      </c>
      <c r="Z20" t="s">
        <v>5</v>
      </c>
      <c r="AA20" t="s">
        <v>5</v>
      </c>
      <c r="AB20" s="17" t="str">
        <f>HYPERLINK("http://exon.niaid.nih.gov/transcriptome/T_rubida/S2/links/netoglyc/TRIRU-19-netoglyc.txt","5")</f>
        <v>5</v>
      </c>
      <c r="AC20">
        <v>17.5</v>
      </c>
      <c r="AD20">
        <v>6.2</v>
      </c>
      <c r="AE20">
        <v>4</v>
      </c>
      <c r="AF20" s="17" t="s">
        <v>5</v>
      </c>
      <c r="AG20" s="2" t="str">
        <f>HYPERLINK("http://exon.niaid.nih.gov/transcriptome/T_rubida/S2/links/NR/Triru-19-NR.txt","unnamed protein product")</f>
        <v>unnamed protein product</v>
      </c>
      <c r="AH20" t="str">
        <f>HYPERLINK("http://www.ncbi.nlm.nih.gov/sutils/blink.cgi?pid=270046244","6E-042")</f>
        <v>6E-042</v>
      </c>
      <c r="AI20" t="str">
        <f>HYPERLINK("http://www.ncbi.nlm.nih.gov/protein/270046244","gi|270046244")</f>
        <v>gi|270046244</v>
      </c>
      <c r="AJ20">
        <v>174</v>
      </c>
      <c r="AK20">
        <v>176</v>
      </c>
      <c r="AL20">
        <v>177</v>
      </c>
      <c r="AM20">
        <v>52</v>
      </c>
      <c r="AN20">
        <v>100</v>
      </c>
      <c r="AO20" t="s">
        <v>59</v>
      </c>
      <c r="AP20" s="2" t="str">
        <f>HYPERLINK("http://exon.niaid.nih.gov/transcriptome/T_rubida/S2/links/SWISSP/Triru-19-SWISSP.txt","Procalin")</f>
        <v>Procalin</v>
      </c>
      <c r="AQ20" t="str">
        <f>HYPERLINK("http://www.uniprot.org/uniprot/Q9U6R6","3E-029")</f>
        <v>3E-029</v>
      </c>
      <c r="AR20" t="s">
        <v>180</v>
      </c>
      <c r="AS20">
        <v>127</v>
      </c>
      <c r="AT20">
        <v>167</v>
      </c>
      <c r="AU20">
        <v>169</v>
      </c>
      <c r="AV20">
        <v>39</v>
      </c>
      <c r="AW20">
        <v>99</v>
      </c>
      <c r="AX20">
        <v>107</v>
      </c>
      <c r="AY20">
        <v>14</v>
      </c>
      <c r="AZ20">
        <v>1</v>
      </c>
      <c r="BA20">
        <v>1</v>
      </c>
      <c r="BB20">
        <v>1</v>
      </c>
      <c r="BC20" t="s">
        <v>181</v>
      </c>
      <c r="BD20" s="2" t="s">
        <v>5</v>
      </c>
      <c r="BE20" t="s">
        <v>5</v>
      </c>
      <c r="BF20" t="s">
        <v>5</v>
      </c>
      <c r="BG20" t="s">
        <v>5</v>
      </c>
      <c r="BH20" t="s">
        <v>5</v>
      </c>
      <c r="BI20" s="2" t="str">
        <f>HYPERLINK("http://exon.niaid.nih.gov/transcriptome/T_rubida/S2/links/CDD/Triru-19-CDD.txt","Triabin")</f>
        <v>Triabin</v>
      </c>
      <c r="BJ20" t="str">
        <f>HYPERLINK("http://www.ncbi.nlm.nih.gov/Structure/cdd/cddsrv.cgi?uid=pfam03973&amp;version=v4.0","2E-013")</f>
        <v>2E-013</v>
      </c>
      <c r="BK20" t="s">
        <v>852</v>
      </c>
      <c r="BL20" s="2" t="str">
        <f>HYPERLINK("http://exon.niaid.nih.gov/transcriptome/T_rubida/S2/links/KOG/Triru-19-KOG.txt","Voltage-gated Ca2+ channels, alpha1 subunits")</f>
        <v>Voltage-gated Ca2+ channels, alpha1 subunits</v>
      </c>
      <c r="BM20" t="str">
        <f>HYPERLINK("http://www.ncbi.nlm.nih.gov/COG/grace/shokog.cgi?KOG2301","2.1")</f>
        <v>2.1</v>
      </c>
      <c r="BN20" t="s">
        <v>58</v>
      </c>
      <c r="BO20" s="2" t="str">
        <f>HYPERLINK("http://exon.niaid.nih.gov/transcriptome/T_rubida/S2/links/PFAM/Triru-19-PFAM.txt","Triabin")</f>
        <v>Triabin</v>
      </c>
      <c r="BP20" t="str">
        <f>HYPERLINK("http://pfam.sanger.ac.uk/family?acc=PF03973","3E-014")</f>
        <v>3E-014</v>
      </c>
      <c r="BQ20" s="2" t="str">
        <f>HYPERLINK("http://exon.niaid.nih.gov/transcriptome/T_rubida/S2/links/SMART/Triru-19-SMART.txt","KISc")</f>
        <v>KISc</v>
      </c>
      <c r="BR20" t="str">
        <f>HYPERLINK("http://smart.embl-heidelberg.de/smart/do_annotation.pl?DOMAIN=KISc&amp;BLAST=DUMMY","4.5")</f>
        <v>4.5</v>
      </c>
      <c r="BS20" s="17">
        <f t="shared" si="0"/>
        <v>1</v>
      </c>
      <c r="BT20" s="1">
        <f t="shared" si="1"/>
        <v>359</v>
      </c>
      <c r="BU20" s="17">
        <f t="shared" si="2"/>
        <v>1</v>
      </c>
      <c r="BV20" s="1">
        <f t="shared" si="3"/>
        <v>225</v>
      </c>
      <c r="BW20" s="17">
        <f t="shared" si="4"/>
        <v>2</v>
      </c>
      <c r="BX20" s="1">
        <f t="shared" si="5"/>
        <v>70</v>
      </c>
      <c r="BY20" s="17">
        <f t="shared" si="6"/>
        <v>1</v>
      </c>
      <c r="BZ20" s="1">
        <f t="shared" si="7"/>
        <v>69</v>
      </c>
      <c r="CA20" s="17">
        <f t="shared" si="8"/>
        <v>1</v>
      </c>
      <c r="CB20" s="1">
        <f t="shared" si="9"/>
        <v>69</v>
      </c>
      <c r="CC20" s="17">
        <f>HYPERLINK("http://exon.niaid.nih.gov/transcriptome/T_rubida/S2/links/cluster/Triru-pep-ext50-50-Sim-CLU1.txt", 1)</f>
        <v>1</v>
      </c>
      <c r="CD20" s="1">
        <f>HYPERLINK("http://exon.niaid.nih.gov/transcriptome/T_rubida/S2/links/cluster/Triru-pep-ext50-50-Sim-CLTL1.txt", 45)</f>
        <v>45</v>
      </c>
      <c r="CE20" s="17">
        <f>HYPERLINK("http://exon.niaid.nih.gov/transcriptome/T_rubida/S2/links/cluster/Triru-pep-ext55-50-Sim-CLU1.txt", 1)</f>
        <v>1</v>
      </c>
      <c r="CF20" s="1">
        <f>HYPERLINK("http://exon.niaid.nih.gov/transcriptome/T_rubida/S2/links/cluster/Triru-pep-ext55-50-Sim-CLTL1.txt", 45)</f>
        <v>45</v>
      </c>
      <c r="CG20" s="17">
        <f>HYPERLINK("http://exon.niaid.nih.gov/transcriptome/T_rubida/S2/links/cluster/Triru-pep-ext60-50-Sim-CLU1.txt", 1)</f>
        <v>1</v>
      </c>
      <c r="CH20" s="1">
        <f>HYPERLINK("http://exon.niaid.nih.gov/transcriptome/T_rubida/S2/links/cluster/Triru-pep-ext60-50-Sim-CLTL1.txt", 35)</f>
        <v>35</v>
      </c>
      <c r="CI20" s="17">
        <f>HYPERLINK("http://exon.niaid.nih.gov/transcriptome/T_rubida/S2/links/cluster/Triru-pep-ext65-50-Sim-CLU1.txt", 1)</f>
        <v>1</v>
      </c>
      <c r="CJ20" s="1">
        <f>HYPERLINK("http://exon.niaid.nih.gov/transcriptome/T_rubida/S2/links/cluster/Triru-pep-ext65-50-Sim-CLTL1.txt", 30)</f>
        <v>30</v>
      </c>
      <c r="CK20" s="17">
        <f>HYPERLINK("http://exon.niaid.nih.gov/transcriptome/T_rubida/S2/links/cluster/Triru-pep-ext70-50-Sim-CLU1.txt", 1)</f>
        <v>1</v>
      </c>
      <c r="CL20" s="1">
        <f>HYPERLINK("http://exon.niaid.nih.gov/transcriptome/T_rubida/S2/links/cluster/Triru-pep-ext70-50-Sim-CLTL1.txt", 28)</f>
        <v>28</v>
      </c>
      <c r="CM20" s="17">
        <f>HYPERLINK("http://exon.niaid.nih.gov/transcriptome/T_rubida/S2/links/cluster/Triru-pep-ext75-50-Sim-CLU1.txt", 1)</f>
        <v>1</v>
      </c>
      <c r="CN20" s="1">
        <f>HYPERLINK("http://exon.niaid.nih.gov/transcriptome/T_rubida/S2/links/cluster/Triru-pep-ext75-50-Sim-CLTL1.txt", 23)</f>
        <v>23</v>
      </c>
      <c r="CO20" s="17">
        <f>HYPERLINK("http://exon.niaid.nih.gov/transcriptome/T_rubida/S2/links/cluster/Triru-pep-ext80-50-Sim-CLU1.txt", 1)</f>
        <v>1</v>
      </c>
      <c r="CP20" s="1">
        <f>HYPERLINK("http://exon.niaid.nih.gov/transcriptome/T_rubida/S2/links/cluster/Triru-pep-ext80-50-Sim-CLTL1.txt", 23)</f>
        <v>23</v>
      </c>
      <c r="CQ20" s="17">
        <f>HYPERLINK("http://exon.niaid.nih.gov/transcriptome/T_rubida/S2/links/cluster/Triru-pep-ext85-50-Sim-CLU1.txt", 1)</f>
        <v>1</v>
      </c>
      <c r="CR20" s="1">
        <f>HYPERLINK("http://exon.niaid.nih.gov/transcriptome/T_rubida/S2/links/cluster/Triru-pep-ext85-50-Sim-CLTL1.txt", 15)</f>
        <v>15</v>
      </c>
      <c r="CS20" s="17">
        <f>HYPERLINK("http://exon.niaid.nih.gov/transcriptome/T_rubida/S2/links/cluster/Triru-pep-ext90-50-Sim-CLU1.txt", 1)</f>
        <v>1</v>
      </c>
      <c r="CT20" s="1">
        <f>HYPERLINK("http://exon.niaid.nih.gov/transcriptome/T_rubida/S2/links/cluster/Triru-pep-ext90-50-Sim-CLTL1.txt", 13)</f>
        <v>13</v>
      </c>
      <c r="CU20" s="17">
        <v>28</v>
      </c>
      <c r="CV20" s="1">
        <v>1</v>
      </c>
    </row>
    <row r="21" spans="1:100">
      <c r="A21" t="str">
        <f>HYPERLINK("http://exon.niaid.nih.gov/transcriptome/T_rubida/S2/links/pep/Triru-68-pep.txt","Triru-68")</f>
        <v>Triru-68</v>
      </c>
      <c r="B21">
        <v>145</v>
      </c>
      <c r="C21" s="1" t="s">
        <v>12</v>
      </c>
      <c r="D21" s="1" t="s">
        <v>3</v>
      </c>
      <c r="E21" t="str">
        <f>HYPERLINK("http://exon.niaid.nih.gov/transcriptome/T_rubida/S2/links/cds/Triru-68-cds.txt","Triru-68")</f>
        <v>Triru-68</v>
      </c>
      <c r="F21">
        <v>438</v>
      </c>
      <c r="G21" s="2" t="s">
        <v>1890</v>
      </c>
      <c r="H21" s="1">
        <v>10</v>
      </c>
      <c r="I21" s="3" t="s">
        <v>1272</v>
      </c>
      <c r="J21" s="17" t="str">
        <f>HYPERLINK("http://exon.niaid.nih.gov/transcriptome/T_rubida/S2/links/Sigp/Triru-68-SigP.txt","CYT")</f>
        <v>CYT</v>
      </c>
      <c r="K21" t="s">
        <v>5</v>
      </c>
      <c r="L21" s="1">
        <v>16.375</v>
      </c>
      <c r="M21" s="1">
        <v>8.2200000000000006</v>
      </c>
      <c r="P21" s="1">
        <v>6.5000000000000002E-2</v>
      </c>
      <c r="Q21" s="1">
        <v>6.3E-2</v>
      </c>
      <c r="R21" s="1">
        <v>0.93799999999999994</v>
      </c>
      <c r="S21" s="17" t="s">
        <v>1346</v>
      </c>
      <c r="T21">
        <v>1</v>
      </c>
      <c r="U21" t="s">
        <v>1348</v>
      </c>
      <c r="V21" s="17">
        <v>0</v>
      </c>
      <c r="W21" t="s">
        <v>5</v>
      </c>
      <c r="X21" t="s">
        <v>5</v>
      </c>
      <c r="Y21" t="s">
        <v>5</v>
      </c>
      <c r="Z21" t="s">
        <v>5</v>
      </c>
      <c r="AA21" t="s">
        <v>5</v>
      </c>
      <c r="AB21" s="17" t="str">
        <f>HYPERLINK("http://exon.niaid.nih.gov/transcriptome/T_rubida/S2/links/netoglyc/TRIRU-68-netoglyc.txt","0")</f>
        <v>0</v>
      </c>
      <c r="AC21">
        <v>17.2</v>
      </c>
      <c r="AD21">
        <v>9</v>
      </c>
      <c r="AE21">
        <v>0.7</v>
      </c>
      <c r="AF21" s="17" t="s">
        <v>5</v>
      </c>
      <c r="AG21" s="2" t="str">
        <f>HYPERLINK("http://exon.niaid.nih.gov/transcriptome/T_rubida/S2/links/NR/Triru-68-NR.txt","unnamed protein product")</f>
        <v>unnamed protein product</v>
      </c>
      <c r="AH21" t="str">
        <f>HYPERLINK("http://www.ncbi.nlm.nih.gov/sutils/blink.cgi?pid=270046200","2E-035")</f>
        <v>2E-035</v>
      </c>
      <c r="AI21" t="str">
        <f>HYPERLINK("http://www.ncbi.nlm.nih.gov/protein/270046200","gi|270046200")</f>
        <v>gi|270046200</v>
      </c>
      <c r="AJ21">
        <v>152</v>
      </c>
      <c r="AK21">
        <v>137</v>
      </c>
      <c r="AL21">
        <v>200</v>
      </c>
      <c r="AM21">
        <v>55</v>
      </c>
      <c r="AN21">
        <v>69</v>
      </c>
      <c r="AO21" t="s">
        <v>59</v>
      </c>
      <c r="AP21" s="2" t="str">
        <f>HYPERLINK("http://exon.niaid.nih.gov/transcriptome/T_rubida/S2/links/SWISSP/Triru-68-SWISSP.txt","Procalin")</f>
        <v>Procalin</v>
      </c>
      <c r="AQ21" t="str">
        <f>HYPERLINK("http://www.uniprot.org/uniprot/Q9U6R6","0.001")</f>
        <v>0.001</v>
      </c>
      <c r="AR21" t="s">
        <v>180</v>
      </c>
      <c r="AS21">
        <v>42.4</v>
      </c>
      <c r="AT21">
        <v>100</v>
      </c>
      <c r="AU21">
        <v>169</v>
      </c>
      <c r="AV21">
        <v>25</v>
      </c>
      <c r="AW21">
        <v>60</v>
      </c>
      <c r="AX21">
        <v>85</v>
      </c>
      <c r="AY21">
        <v>13</v>
      </c>
      <c r="AZ21">
        <v>59</v>
      </c>
      <c r="BA21">
        <v>16</v>
      </c>
      <c r="BB21">
        <v>1</v>
      </c>
      <c r="BC21" t="s">
        <v>181</v>
      </c>
      <c r="BD21" s="2" t="s">
        <v>5</v>
      </c>
      <c r="BE21" t="s">
        <v>5</v>
      </c>
      <c r="BF21" t="s">
        <v>5</v>
      </c>
      <c r="BG21" t="s">
        <v>5</v>
      </c>
      <c r="BH21" t="s">
        <v>5</v>
      </c>
      <c r="BI21" s="2" t="str">
        <f>HYPERLINK("http://exon.niaid.nih.gov/transcriptome/T_rubida/S2/links/CDD/Triru-68-CDD.txt","Triabin")</f>
        <v>Triabin</v>
      </c>
      <c r="BJ21" t="str">
        <f>HYPERLINK("http://www.ncbi.nlm.nih.gov/Structure/cdd/cddsrv.cgi?uid=pfam03973&amp;version=v4.0","2E-012")</f>
        <v>2E-012</v>
      </c>
      <c r="BK21" t="s">
        <v>1225</v>
      </c>
      <c r="BL21" s="2" t="str">
        <f>HYPERLINK("http://exon.niaid.nih.gov/transcriptome/T_rubida/S2/links/KOG/Triru-68-KOG.txt","Apolipoprotein D/Lipocalin")</f>
        <v>Apolipoprotein D/Lipocalin</v>
      </c>
      <c r="BM21" t="str">
        <f>HYPERLINK("http://www.ncbi.nlm.nih.gov/COG/grace/shokog.cgi?KOG4824","0.55")</f>
        <v>0.55</v>
      </c>
      <c r="BN21" t="s">
        <v>238</v>
      </c>
      <c r="BO21" s="2" t="str">
        <f>HYPERLINK("http://exon.niaid.nih.gov/transcriptome/T_rubida/S2/links/PFAM/Triru-68-PFAM.txt","Triabin")</f>
        <v>Triabin</v>
      </c>
      <c r="BP21" t="str">
        <f>HYPERLINK("http://pfam.sanger.ac.uk/family?acc=PF03973","5E-013")</f>
        <v>5E-013</v>
      </c>
      <c r="BQ21" s="2" t="str">
        <f>HYPERLINK("http://exon.niaid.nih.gov/transcriptome/T_rubida/S2/links/SMART/Triru-68-SMART.txt","PKS_MT")</f>
        <v>PKS_MT</v>
      </c>
      <c r="BR21" t="str">
        <f>HYPERLINK("http://smart.embl-heidelberg.de/smart/do_annotation.pl?DOMAIN=PKS_MT&amp;BLAST=DUMMY","0.22")</f>
        <v>0.22</v>
      </c>
      <c r="BS21" s="17">
        <f t="shared" si="0"/>
        <v>1</v>
      </c>
      <c r="BT21" s="1">
        <f t="shared" si="1"/>
        <v>359</v>
      </c>
      <c r="BU21" s="17">
        <f t="shared" si="2"/>
        <v>1</v>
      </c>
      <c r="BV21" s="1">
        <f t="shared" si="3"/>
        <v>225</v>
      </c>
      <c r="BW21" s="17">
        <f t="shared" si="4"/>
        <v>2</v>
      </c>
      <c r="BX21" s="1">
        <f t="shared" si="5"/>
        <v>70</v>
      </c>
      <c r="BY21" s="17">
        <f t="shared" si="6"/>
        <v>1</v>
      </c>
      <c r="BZ21" s="1">
        <f t="shared" si="7"/>
        <v>69</v>
      </c>
      <c r="CA21" s="17">
        <f t="shared" si="8"/>
        <v>1</v>
      </c>
      <c r="CB21" s="1">
        <f t="shared" si="9"/>
        <v>69</v>
      </c>
      <c r="CC21" s="17">
        <f>HYPERLINK("http://exon.niaid.nih.gov/transcriptome/T_rubida/S2/links/cluster/Triru-pep-ext50-50-Sim-CLU2.txt", 2)</f>
        <v>2</v>
      </c>
      <c r="CD21" s="1">
        <f>HYPERLINK("http://exon.niaid.nih.gov/transcriptome/T_rubida/S2/links/cluster/Triru-pep-ext50-50-Sim-CLTL2.txt", 23)</f>
        <v>23</v>
      </c>
      <c r="CE21" s="17">
        <f>HYPERLINK("http://exon.niaid.nih.gov/transcriptome/T_rubida/S2/links/cluster/Triru-pep-ext55-50-Sim-CLU2.txt", 2)</f>
        <v>2</v>
      </c>
      <c r="CF21" s="1">
        <f>HYPERLINK("http://exon.niaid.nih.gov/transcriptome/T_rubida/S2/links/cluster/Triru-pep-ext55-50-Sim-CLTL2.txt", 20)</f>
        <v>20</v>
      </c>
      <c r="CG21" s="17">
        <f>HYPERLINK("http://exon.niaid.nih.gov/transcriptome/T_rubida/S2/links/cluster/Triru-pep-ext60-50-Sim-CLU6.txt", 6)</f>
        <v>6</v>
      </c>
      <c r="CH21" s="1">
        <f>HYPERLINK("http://exon.niaid.nih.gov/transcriptome/T_rubida/S2/links/cluster/Triru-pep-ext60-50-Sim-CLTL6.txt", 8)</f>
        <v>8</v>
      </c>
      <c r="CI21" s="17">
        <f>HYPERLINK("http://exon.niaid.nih.gov/transcriptome/T_rubida/S2/links/cluster/Triru-pep-ext65-50-Sim-CLU4.txt", 4)</f>
        <v>4</v>
      </c>
      <c r="CJ21" s="1">
        <f>HYPERLINK("http://exon.niaid.nih.gov/transcriptome/T_rubida/S2/links/cluster/Triru-pep-ext65-50-Sim-CLTL4.txt", 8)</f>
        <v>8</v>
      </c>
      <c r="CK21" s="17">
        <f>HYPERLINK("http://exon.niaid.nih.gov/transcriptome/T_rubida/S2/links/cluster/Triru-pep-ext70-50-Sim-CLU4.txt", 4)</f>
        <v>4</v>
      </c>
      <c r="CL21" s="1">
        <f>HYPERLINK("http://exon.niaid.nih.gov/transcriptome/T_rubida/S2/links/cluster/Triru-pep-ext70-50-Sim-CLTL4.txt", 8)</f>
        <v>8</v>
      </c>
      <c r="CM21" s="17">
        <v>43</v>
      </c>
      <c r="CN21" s="1">
        <v>1</v>
      </c>
      <c r="CO21" s="17">
        <v>50</v>
      </c>
      <c r="CP21" s="1">
        <v>1</v>
      </c>
      <c r="CQ21" s="17">
        <v>57</v>
      </c>
      <c r="CR21" s="1">
        <v>1</v>
      </c>
      <c r="CS21" s="17">
        <v>62</v>
      </c>
      <c r="CT21" s="1">
        <v>1</v>
      </c>
      <c r="CU21" s="17">
        <v>68</v>
      </c>
      <c r="CV21" s="1">
        <v>1</v>
      </c>
    </row>
    <row r="22" spans="1:100">
      <c r="A22" t="str">
        <f>HYPERLINK("http://exon.niaid.nih.gov/transcriptome/T_rubida/S2/links/pep/Triru-66-pep.txt","Triru-66")</f>
        <v>Triru-66</v>
      </c>
      <c r="B22">
        <v>109</v>
      </c>
      <c r="C22" s="1" t="s">
        <v>17</v>
      </c>
      <c r="D22" s="1" t="s">
        <v>3</v>
      </c>
      <c r="E22" t="str">
        <f>HYPERLINK("http://exon.niaid.nih.gov/transcriptome/T_rubida/S2/links/cds/Triru-66-cds.txt","Triru-66")</f>
        <v>Triru-66</v>
      </c>
      <c r="F22">
        <v>330</v>
      </c>
      <c r="G22" s="2" t="s">
        <v>1890</v>
      </c>
      <c r="H22" s="1">
        <v>9</v>
      </c>
      <c r="I22" s="3" t="s">
        <v>1272</v>
      </c>
      <c r="J22" s="17" t="str">
        <f>HYPERLINK("http://exon.niaid.nih.gov/transcriptome/T_rubida/S2/links/Sigp/Triru-66-SigP.txt","CYT")</f>
        <v>CYT</v>
      </c>
      <c r="K22" t="s">
        <v>5</v>
      </c>
      <c r="L22" s="1">
        <v>12.446999999999999</v>
      </c>
      <c r="M22" s="1">
        <v>9.01</v>
      </c>
      <c r="P22" s="1">
        <v>0.21199999999999999</v>
      </c>
      <c r="Q22" s="1">
        <v>0.09</v>
      </c>
      <c r="R22" s="1">
        <v>0.745</v>
      </c>
      <c r="S22" s="17" t="s">
        <v>1346</v>
      </c>
      <c r="T22">
        <v>3</v>
      </c>
      <c r="U22" t="s">
        <v>1382</v>
      </c>
      <c r="V22" s="17">
        <v>0</v>
      </c>
      <c r="W22" t="s">
        <v>5</v>
      </c>
      <c r="X22" t="s">
        <v>5</v>
      </c>
      <c r="Y22" t="s">
        <v>5</v>
      </c>
      <c r="Z22" t="s">
        <v>5</v>
      </c>
      <c r="AA22" t="s">
        <v>5</v>
      </c>
      <c r="AB22" s="17" t="str">
        <f>HYPERLINK("http://exon.niaid.nih.gov/transcriptome/T_rubida/S2/links/netoglyc/TRIRU-66-netoglyc.txt","0")</f>
        <v>0</v>
      </c>
      <c r="AC22">
        <v>20.2</v>
      </c>
      <c r="AD22">
        <v>4.5999999999999996</v>
      </c>
      <c r="AE22">
        <v>0.9</v>
      </c>
      <c r="AF22" s="17" t="s">
        <v>5</v>
      </c>
      <c r="AG22" s="2" t="str">
        <f>HYPERLINK("http://exon.niaid.nih.gov/transcriptome/T_rubida/S2/links/NR/Triru-66-NR.txt","unnamed protein product")</f>
        <v>unnamed protein product</v>
      </c>
      <c r="AH22" t="str">
        <f>HYPERLINK("http://www.ncbi.nlm.nih.gov/sutils/blink.cgi?pid=270046200","1E-022")</f>
        <v>1E-022</v>
      </c>
      <c r="AI22" t="str">
        <f>HYPERLINK("http://www.ncbi.nlm.nih.gov/protein/270046200","gi|270046200")</f>
        <v>gi|270046200</v>
      </c>
      <c r="AJ22">
        <v>109</v>
      </c>
      <c r="AK22">
        <v>109</v>
      </c>
      <c r="AL22">
        <v>200</v>
      </c>
      <c r="AM22">
        <v>52</v>
      </c>
      <c r="AN22">
        <v>55</v>
      </c>
      <c r="AO22" t="s">
        <v>59</v>
      </c>
      <c r="AP22" s="2" t="str">
        <f>HYPERLINK("http://exon.niaid.nih.gov/transcriptome/T_rubida/S2/links/SWISSP/Triru-66-SWISSP.txt","Lazarillo protein")</f>
        <v>Lazarillo protein</v>
      </c>
      <c r="AQ22" t="str">
        <f>HYPERLINK("http://www.uniprot.org/uniprot/P49291","0.001")</f>
        <v>0.001</v>
      </c>
      <c r="AR22" t="s">
        <v>596</v>
      </c>
      <c r="AS22">
        <v>42</v>
      </c>
      <c r="AT22">
        <v>58</v>
      </c>
      <c r="AU22">
        <v>214</v>
      </c>
      <c r="AV22">
        <v>30</v>
      </c>
      <c r="AW22">
        <v>28</v>
      </c>
      <c r="AX22">
        <v>41</v>
      </c>
      <c r="AY22">
        <v>0</v>
      </c>
      <c r="AZ22">
        <v>123</v>
      </c>
      <c r="BA22">
        <v>37</v>
      </c>
      <c r="BB22">
        <v>1</v>
      </c>
      <c r="BC22" t="s">
        <v>597</v>
      </c>
      <c r="BD22" s="2" t="s">
        <v>5</v>
      </c>
      <c r="BE22" t="s">
        <v>5</v>
      </c>
      <c r="BF22" t="s">
        <v>5</v>
      </c>
      <c r="BG22" t="s">
        <v>5</v>
      </c>
      <c r="BH22" t="s">
        <v>5</v>
      </c>
      <c r="BI22" s="2" t="str">
        <f>HYPERLINK("http://exon.niaid.nih.gov/transcriptome/T_rubida/S2/links/CDD/Triru-66-CDD.txt","Triabin")</f>
        <v>Triabin</v>
      </c>
      <c r="BJ22" t="str">
        <f>HYPERLINK("http://www.ncbi.nlm.nih.gov/Structure/cdd/cddsrv.cgi?uid=pfam03973&amp;version=v4.0","7E-007")</f>
        <v>7E-007</v>
      </c>
      <c r="BK22" t="s">
        <v>1131</v>
      </c>
      <c r="BL22" s="2" t="str">
        <f>HYPERLINK("http://exon.niaid.nih.gov/transcriptome/T_rubida/S2/links/KOG/Triru-66-KOG.txt","Regucalcin gene promoter region-related protein (RGPR)")</f>
        <v>Regucalcin gene promoter region-related protein (RGPR)</v>
      </c>
      <c r="BM22" t="str">
        <f>HYPERLINK("http://www.ncbi.nlm.nih.gov/COG/grace/shokog.cgi?KOG1913","0.48")</f>
        <v>0.48</v>
      </c>
      <c r="BN22" t="s">
        <v>251</v>
      </c>
      <c r="BO22" s="2" t="str">
        <f>HYPERLINK("http://exon.niaid.nih.gov/transcriptome/T_rubida/S2/links/PFAM/Triru-66-PFAM.txt","Triabin")</f>
        <v>Triabin</v>
      </c>
      <c r="BP22" t="str">
        <f>HYPERLINK("http://pfam.sanger.ac.uk/family?acc=PF03973","1E-007")</f>
        <v>1E-007</v>
      </c>
      <c r="BQ22" s="2" t="str">
        <f>HYPERLINK("http://exon.niaid.nih.gov/transcriptome/T_rubida/S2/links/SMART/Triru-66-SMART.txt","LamB")</f>
        <v>LamB</v>
      </c>
      <c r="BR22" t="str">
        <f>HYPERLINK("http://smart.embl-heidelberg.de/smart/do_annotation.pl?DOMAIN=LamB&amp;BLAST=DUMMY","0.59")</f>
        <v>0.59</v>
      </c>
      <c r="BS22" s="17">
        <f t="shared" si="0"/>
        <v>1</v>
      </c>
      <c r="BT22" s="1">
        <f t="shared" si="1"/>
        <v>359</v>
      </c>
      <c r="BU22" s="17">
        <f t="shared" si="2"/>
        <v>1</v>
      </c>
      <c r="BV22" s="1">
        <f t="shared" si="3"/>
        <v>225</v>
      </c>
      <c r="BW22" s="17">
        <f t="shared" si="4"/>
        <v>2</v>
      </c>
      <c r="BX22" s="1">
        <f t="shared" si="5"/>
        <v>70</v>
      </c>
      <c r="BY22" s="17">
        <f t="shared" si="6"/>
        <v>1</v>
      </c>
      <c r="BZ22" s="1">
        <f t="shared" si="7"/>
        <v>69</v>
      </c>
      <c r="CA22" s="17">
        <f t="shared" si="8"/>
        <v>1</v>
      </c>
      <c r="CB22" s="1">
        <f t="shared" si="9"/>
        <v>69</v>
      </c>
      <c r="CC22" s="17">
        <f>HYPERLINK("http://exon.niaid.nih.gov/transcriptome/T_rubida/S2/links/cluster/Triru-pep-ext50-50-Sim-CLU2.txt", 2)</f>
        <v>2</v>
      </c>
      <c r="CD22" s="1">
        <f>HYPERLINK("http://exon.niaid.nih.gov/transcriptome/T_rubida/S2/links/cluster/Triru-pep-ext50-50-Sim-CLTL2.txt", 23)</f>
        <v>23</v>
      </c>
      <c r="CE22" s="17">
        <f>HYPERLINK("http://exon.niaid.nih.gov/transcriptome/T_rubida/S2/links/cluster/Triru-pep-ext55-50-Sim-CLU2.txt", 2)</f>
        <v>2</v>
      </c>
      <c r="CF22" s="1">
        <f>HYPERLINK("http://exon.niaid.nih.gov/transcriptome/T_rubida/S2/links/cluster/Triru-pep-ext55-50-Sim-CLTL2.txt", 20)</f>
        <v>20</v>
      </c>
      <c r="CG22" s="17">
        <f>HYPERLINK("http://exon.niaid.nih.gov/transcriptome/T_rubida/S2/links/cluster/Triru-pep-ext60-50-Sim-CLU6.txt", 6)</f>
        <v>6</v>
      </c>
      <c r="CH22" s="1">
        <f>HYPERLINK("http://exon.niaid.nih.gov/transcriptome/T_rubida/S2/links/cluster/Triru-pep-ext60-50-Sim-CLTL6.txt", 8)</f>
        <v>8</v>
      </c>
      <c r="CI22" s="17">
        <f>HYPERLINK("http://exon.niaid.nih.gov/transcriptome/T_rubida/S2/links/cluster/Triru-pep-ext65-50-Sim-CLU4.txt", 4)</f>
        <v>4</v>
      </c>
      <c r="CJ22" s="1">
        <f>HYPERLINK("http://exon.niaid.nih.gov/transcriptome/T_rubida/S2/links/cluster/Triru-pep-ext65-50-Sim-CLTL4.txt", 8)</f>
        <v>8</v>
      </c>
      <c r="CK22" s="17">
        <f>HYPERLINK("http://exon.niaid.nih.gov/transcriptome/T_rubida/S2/links/cluster/Triru-pep-ext70-50-Sim-CLU4.txt", 4)</f>
        <v>4</v>
      </c>
      <c r="CL22" s="1">
        <f>HYPERLINK("http://exon.niaid.nih.gov/transcriptome/T_rubida/S2/links/cluster/Triru-pep-ext70-50-Sim-CLTL4.txt", 8)</f>
        <v>8</v>
      </c>
      <c r="CM22" s="17">
        <f>HYPERLINK("http://exon.niaid.nih.gov/transcriptome/T_rubida/S2/links/cluster/Triru-pep-ext75-50-Sim-CLU11.txt", 11)</f>
        <v>11</v>
      </c>
      <c r="CN22" s="1">
        <f>HYPERLINK("http://exon.niaid.nih.gov/transcriptome/T_rubida/S2/links/cluster/Triru-pep-ext75-50-Sim-CLTL11.txt", 2)</f>
        <v>2</v>
      </c>
      <c r="CO22" s="17">
        <f>HYPERLINK("http://exon.niaid.nih.gov/transcriptome/T_rubida/S2/links/cluster/Triru-pep-ext80-50-Sim-CLU9.txt", 9)</f>
        <v>9</v>
      </c>
      <c r="CP22" s="1">
        <f>HYPERLINK("http://exon.niaid.nih.gov/transcriptome/T_rubida/S2/links/cluster/Triru-pep-ext80-50-Sim-CLTL9.txt", 2)</f>
        <v>2</v>
      </c>
      <c r="CQ22" s="17">
        <v>55</v>
      </c>
      <c r="CR22" s="1">
        <v>1</v>
      </c>
      <c r="CS22" s="17">
        <v>60</v>
      </c>
      <c r="CT22" s="1">
        <v>1</v>
      </c>
      <c r="CU22" s="17">
        <v>66</v>
      </c>
      <c r="CV22" s="1">
        <v>1</v>
      </c>
    </row>
    <row r="23" spans="1:100">
      <c r="A23" t="str">
        <f>HYPERLINK("http://exon.niaid.nih.gov/transcriptome/T_rubida/S2/links/pep/Triru-30-pep.txt","Triru-30")</f>
        <v>Triru-30</v>
      </c>
      <c r="B23">
        <v>167</v>
      </c>
      <c r="C23" s="1" t="s">
        <v>9</v>
      </c>
      <c r="D23" s="1" t="s">
        <v>3</v>
      </c>
      <c r="E23" t="str">
        <f>HYPERLINK("http://exon.niaid.nih.gov/transcriptome/T_rubida/S2/links/cds/Triru-30-cds.txt","Triru-30")</f>
        <v>Triru-30</v>
      </c>
      <c r="F23">
        <v>504</v>
      </c>
      <c r="G23" s="2" t="s">
        <v>1890</v>
      </c>
      <c r="H23" s="1">
        <v>9</v>
      </c>
      <c r="I23" s="3" t="s">
        <v>1272</v>
      </c>
      <c r="J23" s="17" t="str">
        <f>HYPERLINK("http://exon.niaid.nih.gov/transcriptome/T_rubida/S2/links/Sigp/Triru-30-SigP.txt","SIG")</f>
        <v>SIG</v>
      </c>
      <c r="K23" t="s">
        <v>1318</v>
      </c>
      <c r="L23" s="1">
        <v>18.75</v>
      </c>
      <c r="M23" s="1">
        <v>5.26</v>
      </c>
      <c r="N23" s="1">
        <v>16.803000000000001</v>
      </c>
      <c r="O23" s="1">
        <v>5.05</v>
      </c>
      <c r="P23" s="1">
        <v>3.5999999999999997E-2</v>
      </c>
      <c r="Q23" s="1">
        <v>0.872</v>
      </c>
      <c r="R23" s="1">
        <v>0.17199999999999999</v>
      </c>
      <c r="S23" s="17" t="s">
        <v>18</v>
      </c>
      <c r="T23">
        <v>2</v>
      </c>
      <c r="U23" t="s">
        <v>1356</v>
      </c>
      <c r="V23" s="17">
        <v>0</v>
      </c>
      <c r="W23" t="s">
        <v>5</v>
      </c>
      <c r="X23" t="s">
        <v>5</v>
      </c>
      <c r="Y23" t="s">
        <v>5</v>
      </c>
      <c r="Z23" t="s">
        <v>5</v>
      </c>
      <c r="AA23" t="s">
        <v>5</v>
      </c>
      <c r="AB23" s="17" t="str">
        <f>HYPERLINK("http://exon.niaid.nih.gov/transcriptome/T_rubida/S2/links/netoglyc/TRIRU-30-netoglyc.txt","4")</f>
        <v>4</v>
      </c>
      <c r="AC23">
        <v>21.6</v>
      </c>
      <c r="AD23">
        <v>6</v>
      </c>
      <c r="AE23">
        <v>3</v>
      </c>
      <c r="AF23" s="17" t="s">
        <v>5</v>
      </c>
      <c r="AG23" s="2" t="str">
        <f>HYPERLINK("http://exon.niaid.nih.gov/transcriptome/T_rubida/S2/links/NR/Triru-30-NR.txt","unnamed protein product")</f>
        <v>unnamed protein product</v>
      </c>
      <c r="AH23" t="str">
        <f>HYPERLINK("http://www.ncbi.nlm.nih.gov/sutils/blink.cgi?pid=270046166","2E-047")</f>
        <v>2E-047</v>
      </c>
      <c r="AI23" t="str">
        <f>HYPERLINK("http://www.ncbi.nlm.nih.gov/protein/270046166","gi|270046166")</f>
        <v>gi|270046166</v>
      </c>
      <c r="AJ23">
        <v>191</v>
      </c>
      <c r="AK23">
        <v>175</v>
      </c>
      <c r="AL23">
        <v>177</v>
      </c>
      <c r="AM23">
        <v>53</v>
      </c>
      <c r="AN23">
        <v>99</v>
      </c>
      <c r="AO23" t="s">
        <v>59</v>
      </c>
      <c r="AP23" s="2" t="str">
        <f>HYPERLINK("http://exon.niaid.nih.gov/transcriptome/T_rubida/S2/links/SWISSP/Triru-30-SWISSP.txt","Procalin")</f>
        <v>Procalin</v>
      </c>
      <c r="AQ23" t="str">
        <f>HYPERLINK("http://www.uniprot.org/uniprot/Q9U6R6","4E-031")</f>
        <v>4E-031</v>
      </c>
      <c r="AR23" t="s">
        <v>180</v>
      </c>
      <c r="AS23">
        <v>133</v>
      </c>
      <c r="AT23">
        <v>167</v>
      </c>
      <c r="AU23">
        <v>169</v>
      </c>
      <c r="AV23">
        <v>40</v>
      </c>
      <c r="AW23">
        <v>99</v>
      </c>
      <c r="AX23">
        <v>103</v>
      </c>
      <c r="AY23">
        <v>11</v>
      </c>
      <c r="AZ23">
        <v>1</v>
      </c>
      <c r="BA23">
        <v>1</v>
      </c>
      <c r="BB23">
        <v>1</v>
      </c>
      <c r="BC23" t="s">
        <v>181</v>
      </c>
      <c r="BD23" s="2" t="s">
        <v>5</v>
      </c>
      <c r="BE23" t="s">
        <v>5</v>
      </c>
      <c r="BF23" t="s">
        <v>5</v>
      </c>
      <c r="BG23" t="s">
        <v>5</v>
      </c>
      <c r="BH23" t="s">
        <v>5</v>
      </c>
      <c r="BI23" s="2" t="str">
        <f>HYPERLINK("http://exon.niaid.nih.gov/transcriptome/T_rubida/S2/links/CDD/Triru-30-CDD.txt","Triabin")</f>
        <v>Triabin</v>
      </c>
      <c r="BJ23" t="str">
        <f>HYPERLINK("http://www.ncbi.nlm.nih.gov/Structure/cdd/cddsrv.cgi?uid=pfam03973&amp;version=v4.0","7E-011")</f>
        <v>7E-011</v>
      </c>
      <c r="BK23" t="s">
        <v>841</v>
      </c>
      <c r="BL23" s="2" t="str">
        <f>HYPERLINK("http://exon.niaid.nih.gov/transcriptome/T_rubida/S2/links/KOG/Triru-30-KOG.txt","Apolipoprotein D/Lipocalin")</f>
        <v>Apolipoprotein D/Lipocalin</v>
      </c>
      <c r="BM23" t="str">
        <f>HYPERLINK("http://www.ncbi.nlm.nih.gov/COG/grace/shokog.cgi?KOG4824","0.064")</f>
        <v>0.064</v>
      </c>
      <c r="BN23" t="s">
        <v>238</v>
      </c>
      <c r="BO23" s="2" t="str">
        <f>HYPERLINK("http://exon.niaid.nih.gov/transcriptome/T_rubida/S2/links/PFAM/Triru-30-PFAM.txt","Triabin")</f>
        <v>Triabin</v>
      </c>
      <c r="BP23" t="str">
        <f>HYPERLINK("http://pfam.sanger.ac.uk/family?acc=PF03973","2E-011")</f>
        <v>2E-011</v>
      </c>
      <c r="BQ23" s="2" t="str">
        <f>HYPERLINK("http://exon.niaid.nih.gov/transcriptome/T_rubida/S2/links/SMART/Triru-30-SMART.txt","Asparaginase")</f>
        <v>Asparaginase</v>
      </c>
      <c r="BR23" t="str">
        <f>HYPERLINK("http://smart.embl-heidelberg.de/smart/do_annotation.pl?DOMAIN=Asparaginase&amp;BLAST=DUMMY","2.9")</f>
        <v>2.9</v>
      </c>
      <c r="BS23" s="17">
        <f t="shared" si="0"/>
        <v>1</v>
      </c>
      <c r="BT23" s="1">
        <f t="shared" si="1"/>
        <v>359</v>
      </c>
      <c r="BU23" s="17">
        <f t="shared" si="2"/>
        <v>1</v>
      </c>
      <c r="BV23" s="1">
        <f t="shared" si="3"/>
        <v>225</v>
      </c>
      <c r="BW23" s="17">
        <f t="shared" si="4"/>
        <v>2</v>
      </c>
      <c r="BX23" s="1">
        <f t="shared" si="5"/>
        <v>70</v>
      </c>
      <c r="BY23" s="17">
        <f t="shared" si="6"/>
        <v>1</v>
      </c>
      <c r="BZ23" s="1">
        <f t="shared" si="7"/>
        <v>69</v>
      </c>
      <c r="CA23" s="17">
        <f t="shared" si="8"/>
        <v>1</v>
      </c>
      <c r="CB23" s="1">
        <f t="shared" si="9"/>
        <v>69</v>
      </c>
      <c r="CC23" s="17">
        <f>HYPERLINK("http://exon.niaid.nih.gov/transcriptome/T_rubida/S2/links/cluster/Triru-pep-ext50-50-Sim-CLU1.txt", 1)</f>
        <v>1</v>
      </c>
      <c r="CD23" s="1">
        <f>HYPERLINK("http://exon.niaid.nih.gov/transcriptome/T_rubida/S2/links/cluster/Triru-pep-ext50-50-Sim-CLTL1.txt", 45)</f>
        <v>45</v>
      </c>
      <c r="CE23" s="17">
        <f>HYPERLINK("http://exon.niaid.nih.gov/transcriptome/T_rubida/S2/links/cluster/Triru-pep-ext55-50-Sim-CLU1.txt", 1)</f>
        <v>1</v>
      </c>
      <c r="CF23" s="1">
        <f>HYPERLINK("http://exon.niaid.nih.gov/transcriptome/T_rubida/S2/links/cluster/Triru-pep-ext55-50-Sim-CLTL1.txt", 45)</f>
        <v>45</v>
      </c>
      <c r="CG23" s="17">
        <f>HYPERLINK("http://exon.niaid.nih.gov/transcriptome/T_rubida/S2/links/cluster/Triru-pep-ext60-50-Sim-CLU1.txt", 1)</f>
        <v>1</v>
      </c>
      <c r="CH23" s="1">
        <f>HYPERLINK("http://exon.niaid.nih.gov/transcriptome/T_rubida/S2/links/cluster/Triru-pep-ext60-50-Sim-CLTL1.txt", 35)</f>
        <v>35</v>
      </c>
      <c r="CI23" s="17">
        <f>HYPERLINK("http://exon.niaid.nih.gov/transcriptome/T_rubida/S2/links/cluster/Triru-pep-ext65-50-Sim-CLU1.txt", 1)</f>
        <v>1</v>
      </c>
      <c r="CJ23" s="1">
        <f>HYPERLINK("http://exon.niaid.nih.gov/transcriptome/T_rubida/S2/links/cluster/Triru-pep-ext65-50-Sim-CLTL1.txt", 30)</f>
        <v>30</v>
      </c>
      <c r="CK23" s="17">
        <f>HYPERLINK("http://exon.niaid.nih.gov/transcriptome/T_rubida/S2/links/cluster/Triru-pep-ext70-50-Sim-CLU1.txt", 1)</f>
        <v>1</v>
      </c>
      <c r="CL23" s="1">
        <f>HYPERLINK("http://exon.niaid.nih.gov/transcriptome/T_rubida/S2/links/cluster/Triru-pep-ext70-50-Sim-CLTL1.txt", 28)</f>
        <v>28</v>
      </c>
      <c r="CM23" s="17">
        <f>HYPERLINK("http://exon.niaid.nih.gov/transcriptome/T_rubida/S2/links/cluster/Triru-pep-ext75-50-Sim-CLU4.txt", 4)</f>
        <v>4</v>
      </c>
      <c r="CN23" s="1">
        <f>HYPERLINK("http://exon.niaid.nih.gov/transcriptome/T_rubida/S2/links/cluster/Triru-pep-ext75-50-Sim-CLTL4.txt", 5)</f>
        <v>5</v>
      </c>
      <c r="CO23" s="17">
        <f>HYPERLINK("http://exon.niaid.nih.gov/transcriptome/T_rubida/S2/links/cluster/Triru-pep-ext80-50-Sim-CLU4.txt", 4)</f>
        <v>4</v>
      </c>
      <c r="CP23" s="1">
        <f>HYPERLINK("http://exon.niaid.nih.gov/transcriptome/T_rubida/S2/links/cluster/Triru-pep-ext80-50-Sim-CLTL4.txt", 4)</f>
        <v>4</v>
      </c>
      <c r="CQ23" s="17">
        <f>HYPERLINK("http://exon.niaid.nih.gov/transcriptome/T_rubida/S2/links/cluster/Triru-pep-ext85-50-Sim-CLU4.txt", 4)</f>
        <v>4</v>
      </c>
      <c r="CR23" s="1">
        <f>HYPERLINK("http://exon.niaid.nih.gov/transcriptome/T_rubida/S2/links/cluster/Triru-pep-ext85-50-Sim-CLTL4.txt", 4)</f>
        <v>4</v>
      </c>
      <c r="CS23" s="17">
        <f>HYPERLINK("http://exon.niaid.nih.gov/transcriptome/T_rubida/S2/links/cluster/Triru-pep-ext90-50-Sim-CLU4.txt", 4)</f>
        <v>4</v>
      </c>
      <c r="CT23" s="1">
        <f>HYPERLINK("http://exon.niaid.nih.gov/transcriptome/T_rubida/S2/links/cluster/Triru-pep-ext90-50-Sim-CLTL4.txt", 3)</f>
        <v>3</v>
      </c>
      <c r="CU23" s="17">
        <v>38</v>
      </c>
      <c r="CV23" s="1">
        <v>1</v>
      </c>
    </row>
    <row r="24" spans="1:100">
      <c r="A24" t="str">
        <f>HYPERLINK("http://exon.niaid.nih.gov/transcriptome/T_rubida/S2/links/pep/Triru-9-pep.txt","Triru-9")</f>
        <v>Triru-9</v>
      </c>
      <c r="B24">
        <v>172</v>
      </c>
      <c r="C24" s="1" t="s">
        <v>9</v>
      </c>
      <c r="D24" s="1" t="s">
        <v>3</v>
      </c>
      <c r="E24" t="str">
        <f>HYPERLINK("http://exon.niaid.nih.gov/transcriptome/T_rubida/S2/links/cds/Triru-9-cds.txt","Triru-9")</f>
        <v>Triru-9</v>
      </c>
      <c r="F24">
        <v>519</v>
      </c>
      <c r="G24" s="2" t="s">
        <v>1890</v>
      </c>
      <c r="H24" s="1">
        <v>8</v>
      </c>
      <c r="I24" s="3" t="s">
        <v>1272</v>
      </c>
      <c r="J24" s="17" t="str">
        <f>HYPERLINK("http://exon.niaid.nih.gov/transcriptome/T_rubida/S2/links/Sigp/Triru-9-SigP.txt","SIG")</f>
        <v>SIG</v>
      </c>
      <c r="K24" t="s">
        <v>1318</v>
      </c>
      <c r="L24" s="1">
        <v>19.167000000000002</v>
      </c>
      <c r="M24" s="1">
        <v>5.7</v>
      </c>
      <c r="N24" s="1">
        <v>17.163</v>
      </c>
      <c r="O24" s="1">
        <v>5.49</v>
      </c>
      <c r="P24" s="1">
        <v>0.02</v>
      </c>
      <c r="Q24" s="1">
        <v>0.94199999999999995</v>
      </c>
      <c r="R24" s="1">
        <v>9.2999999999999999E-2</v>
      </c>
      <c r="S24" s="17" t="s">
        <v>18</v>
      </c>
      <c r="T24">
        <v>1</v>
      </c>
      <c r="U24" t="s">
        <v>1360</v>
      </c>
      <c r="V24" s="17">
        <v>0</v>
      </c>
      <c r="W24" t="s">
        <v>5</v>
      </c>
      <c r="X24" t="s">
        <v>5</v>
      </c>
      <c r="Y24" t="s">
        <v>5</v>
      </c>
      <c r="Z24" t="s">
        <v>5</v>
      </c>
      <c r="AA24" t="s">
        <v>5</v>
      </c>
      <c r="AB24" s="17" t="str">
        <f>HYPERLINK("http://exon.niaid.nih.gov/transcriptome/T_rubida/S2/links/netoglyc/TRIRU-9-netoglyc.txt","5")</f>
        <v>5</v>
      </c>
      <c r="AC24">
        <v>16.3</v>
      </c>
      <c r="AD24">
        <v>7</v>
      </c>
      <c r="AE24">
        <v>4.0999999999999996</v>
      </c>
      <c r="AF24" s="17" t="s">
        <v>5</v>
      </c>
      <c r="AG24" s="2" t="str">
        <f>HYPERLINK("http://exon.niaid.nih.gov/transcriptome/T_rubida/S2/links/NR/Triru-9-NR.txt","unnamed protein product")</f>
        <v>unnamed protein product</v>
      </c>
      <c r="AH24" t="str">
        <f>HYPERLINK("http://www.ncbi.nlm.nih.gov/sutils/blink.cgi?pid=270046244","4E-044")</f>
        <v>4E-044</v>
      </c>
      <c r="AI24" t="str">
        <f>HYPERLINK("http://www.ncbi.nlm.nih.gov/protein/270046244","gi|270046244")</f>
        <v>gi|270046244</v>
      </c>
      <c r="AJ24">
        <v>181</v>
      </c>
      <c r="AK24">
        <v>175</v>
      </c>
      <c r="AL24">
        <v>177</v>
      </c>
      <c r="AM24">
        <v>54</v>
      </c>
      <c r="AN24">
        <v>99</v>
      </c>
      <c r="AO24" t="s">
        <v>59</v>
      </c>
      <c r="AP24" s="2" t="str">
        <f>HYPERLINK("http://exon.niaid.nih.gov/transcriptome/T_rubida/S2/links/SWISSP/Triru-9-SWISSP.txt","Procalin")</f>
        <v>Procalin</v>
      </c>
      <c r="AQ24" t="str">
        <f>HYPERLINK("http://www.uniprot.org/uniprot/Q9U6R6","2E-028")</f>
        <v>2E-028</v>
      </c>
      <c r="AR24" t="s">
        <v>180</v>
      </c>
      <c r="AS24">
        <v>124</v>
      </c>
      <c r="AT24">
        <v>167</v>
      </c>
      <c r="AU24">
        <v>169</v>
      </c>
      <c r="AV24">
        <v>38</v>
      </c>
      <c r="AW24">
        <v>99</v>
      </c>
      <c r="AX24">
        <v>109</v>
      </c>
      <c r="AY24">
        <v>14</v>
      </c>
      <c r="AZ24">
        <v>1</v>
      </c>
      <c r="BA24">
        <v>1</v>
      </c>
      <c r="BB24">
        <v>1</v>
      </c>
      <c r="BC24" t="s">
        <v>181</v>
      </c>
      <c r="BD24" s="2" t="s">
        <v>5</v>
      </c>
      <c r="BE24" t="s">
        <v>5</v>
      </c>
      <c r="BF24" t="s">
        <v>5</v>
      </c>
      <c r="BG24" t="s">
        <v>5</v>
      </c>
      <c r="BH24" t="s">
        <v>5</v>
      </c>
      <c r="BI24" s="2" t="str">
        <f>HYPERLINK("http://exon.niaid.nih.gov/transcriptome/T_rubida/S2/links/CDD/Triru-9-CDD.txt","Triabin")</f>
        <v>Triabin</v>
      </c>
      <c r="BJ24" t="str">
        <f>HYPERLINK("http://www.ncbi.nlm.nih.gov/Structure/cdd/cddsrv.cgi?uid=pfam03973&amp;version=v4.0","2E-014")</f>
        <v>2E-014</v>
      </c>
      <c r="BK24" t="s">
        <v>845</v>
      </c>
      <c r="BL24" s="2" t="str">
        <f>HYPERLINK("http://exon.niaid.nih.gov/transcriptome/T_rubida/S2/links/KOG/Triru-9-KOG.txt","Membrane-associated protein tyrosine phosphatase PTP-BAS and related proteins, contain FERM domain")</f>
        <v>Membrane-associated protein tyrosine phosphatase PTP-BAS and related proteins, contain FERM domain</v>
      </c>
      <c r="BM24" t="str">
        <f>HYPERLINK("http://www.ncbi.nlm.nih.gov/COG/grace/shokog.cgi?KOG4371","2.2")</f>
        <v>2.2</v>
      </c>
      <c r="BN24" t="s">
        <v>179</v>
      </c>
      <c r="BO24" s="2" t="str">
        <f>HYPERLINK("http://exon.niaid.nih.gov/transcriptome/T_rubida/S2/links/PFAM/Triru-9-PFAM.txt","Triabin")</f>
        <v>Triabin</v>
      </c>
      <c r="BP24" t="str">
        <f>HYPERLINK("http://pfam.sanger.ac.uk/family?acc=PF03973","4E-015")</f>
        <v>4E-015</v>
      </c>
      <c r="BQ24" s="2" t="str">
        <f>HYPERLINK("http://exon.niaid.nih.gov/transcriptome/T_rubida/S2/links/SMART/Triru-9-SMART.txt","EH")</f>
        <v>EH</v>
      </c>
      <c r="BR24" t="str">
        <f>HYPERLINK("http://smart.embl-heidelberg.de/smart/do_annotation.pl?DOMAIN=EH&amp;BLAST=DUMMY","0.63")</f>
        <v>0.63</v>
      </c>
      <c r="BS24" s="17">
        <f t="shared" si="0"/>
        <v>1</v>
      </c>
      <c r="BT24" s="1">
        <f t="shared" si="1"/>
        <v>359</v>
      </c>
      <c r="BU24" s="17">
        <f t="shared" si="2"/>
        <v>1</v>
      </c>
      <c r="BV24" s="1">
        <f t="shared" si="3"/>
        <v>225</v>
      </c>
      <c r="BW24" s="17">
        <f t="shared" si="4"/>
        <v>2</v>
      </c>
      <c r="BX24" s="1">
        <f t="shared" si="5"/>
        <v>70</v>
      </c>
      <c r="BY24" s="17">
        <f t="shared" si="6"/>
        <v>1</v>
      </c>
      <c r="BZ24" s="1">
        <f t="shared" si="7"/>
        <v>69</v>
      </c>
      <c r="CA24" s="17">
        <f t="shared" si="8"/>
        <v>1</v>
      </c>
      <c r="CB24" s="1">
        <f t="shared" si="9"/>
        <v>69</v>
      </c>
      <c r="CC24" s="17">
        <f>HYPERLINK("http://exon.niaid.nih.gov/transcriptome/T_rubida/S2/links/cluster/Triru-pep-ext50-50-Sim-CLU1.txt", 1)</f>
        <v>1</v>
      </c>
      <c r="CD24" s="1">
        <f>HYPERLINK("http://exon.niaid.nih.gov/transcriptome/T_rubida/S2/links/cluster/Triru-pep-ext50-50-Sim-CLTL1.txt", 45)</f>
        <v>45</v>
      </c>
      <c r="CE24" s="17">
        <f>HYPERLINK("http://exon.niaid.nih.gov/transcriptome/T_rubida/S2/links/cluster/Triru-pep-ext55-50-Sim-CLU1.txt", 1)</f>
        <v>1</v>
      </c>
      <c r="CF24" s="1">
        <f>HYPERLINK("http://exon.niaid.nih.gov/transcriptome/T_rubida/S2/links/cluster/Triru-pep-ext55-50-Sim-CLTL1.txt", 45)</f>
        <v>45</v>
      </c>
      <c r="CG24" s="17">
        <f>HYPERLINK("http://exon.niaid.nih.gov/transcriptome/T_rubida/S2/links/cluster/Triru-pep-ext60-50-Sim-CLU1.txt", 1)</f>
        <v>1</v>
      </c>
      <c r="CH24" s="1">
        <f>HYPERLINK("http://exon.niaid.nih.gov/transcriptome/T_rubida/S2/links/cluster/Triru-pep-ext60-50-Sim-CLTL1.txt", 35)</f>
        <v>35</v>
      </c>
      <c r="CI24" s="17">
        <f>HYPERLINK("http://exon.niaid.nih.gov/transcriptome/T_rubida/S2/links/cluster/Triru-pep-ext65-50-Sim-CLU1.txt", 1)</f>
        <v>1</v>
      </c>
      <c r="CJ24" s="1">
        <f>HYPERLINK("http://exon.niaid.nih.gov/transcriptome/T_rubida/S2/links/cluster/Triru-pep-ext65-50-Sim-CLTL1.txt", 30)</f>
        <v>30</v>
      </c>
      <c r="CK24" s="17">
        <f>HYPERLINK("http://exon.niaid.nih.gov/transcriptome/T_rubida/S2/links/cluster/Triru-pep-ext70-50-Sim-CLU1.txt", 1)</f>
        <v>1</v>
      </c>
      <c r="CL24" s="1">
        <f>HYPERLINK("http://exon.niaid.nih.gov/transcriptome/T_rubida/S2/links/cluster/Triru-pep-ext70-50-Sim-CLTL1.txt", 28)</f>
        <v>28</v>
      </c>
      <c r="CM24" s="17">
        <f>HYPERLINK("http://exon.niaid.nih.gov/transcriptome/T_rubida/S2/links/cluster/Triru-pep-ext75-50-Sim-CLU1.txt", 1)</f>
        <v>1</v>
      </c>
      <c r="CN24" s="1">
        <f>HYPERLINK("http://exon.niaid.nih.gov/transcriptome/T_rubida/S2/links/cluster/Triru-pep-ext75-50-Sim-CLTL1.txt", 23)</f>
        <v>23</v>
      </c>
      <c r="CO24" s="17">
        <f>HYPERLINK("http://exon.niaid.nih.gov/transcriptome/T_rubida/S2/links/cluster/Triru-pep-ext80-50-Sim-CLU1.txt", 1)</f>
        <v>1</v>
      </c>
      <c r="CP24" s="1">
        <f>HYPERLINK("http://exon.niaid.nih.gov/transcriptome/T_rubida/S2/links/cluster/Triru-pep-ext80-50-Sim-CLTL1.txt", 23)</f>
        <v>23</v>
      </c>
      <c r="CQ24" s="17">
        <f>HYPERLINK("http://exon.niaid.nih.gov/transcriptome/T_rubida/S2/links/cluster/Triru-pep-ext85-50-Sim-CLU1.txt", 1)</f>
        <v>1</v>
      </c>
      <c r="CR24" s="1">
        <f>HYPERLINK("http://exon.niaid.nih.gov/transcriptome/T_rubida/S2/links/cluster/Triru-pep-ext85-50-Sim-CLTL1.txt", 15)</f>
        <v>15</v>
      </c>
      <c r="CS24" s="17">
        <f>HYPERLINK("http://exon.niaid.nih.gov/transcriptome/T_rubida/S2/links/cluster/Triru-pep-ext90-50-Sim-CLU1.txt", 1)</f>
        <v>1</v>
      </c>
      <c r="CT24" s="1">
        <f>HYPERLINK("http://exon.niaid.nih.gov/transcriptome/T_rubida/S2/links/cluster/Triru-pep-ext90-50-Sim-CLTL1.txt", 13)</f>
        <v>13</v>
      </c>
      <c r="CU24" s="17">
        <f>HYPERLINK("http://exon.niaid.nih.gov/transcriptome/T_rubida/S2/links/cluster/Triru-pep-ext95-50-Sim-CLU1.txt", 1)</f>
        <v>1</v>
      </c>
      <c r="CV24" s="1">
        <f>HYPERLINK("http://exon.niaid.nih.gov/transcriptome/T_rubida/S2/links/cluster/Triru-pep-ext95-50-Sim-CLTL1.txt", 8)</f>
        <v>8</v>
      </c>
    </row>
    <row r="25" spans="1:100">
      <c r="A25" t="str">
        <f>HYPERLINK("http://exon.niaid.nih.gov/transcriptome/T_rubida/S2/links/pep/Triru-76-pep.txt","Triru-76")</f>
        <v>Triru-76</v>
      </c>
      <c r="B25">
        <v>136</v>
      </c>
      <c r="C25" s="1" t="s">
        <v>6</v>
      </c>
      <c r="D25" s="1" t="s">
        <v>3</v>
      </c>
      <c r="E25" t="str">
        <f>HYPERLINK("http://exon.niaid.nih.gov/transcriptome/T_rubida/S2/links/cds/Triru-76-cds.txt","Triru-76")</f>
        <v>Triru-76</v>
      </c>
      <c r="F25">
        <v>411</v>
      </c>
      <c r="G25" s="2" t="s">
        <v>1890</v>
      </c>
      <c r="H25" s="1">
        <v>8</v>
      </c>
      <c r="I25" s="3" t="s">
        <v>1272</v>
      </c>
      <c r="J25" s="17" t="str">
        <f>HYPERLINK("http://exon.niaid.nih.gov/transcriptome/T_rubida/S2/links/Sigp/Triru-76-SigP.txt","CYT")</f>
        <v>CYT</v>
      </c>
      <c r="K25" t="s">
        <v>5</v>
      </c>
      <c r="L25" s="1">
        <v>15.254</v>
      </c>
      <c r="M25" s="1">
        <v>5.81</v>
      </c>
      <c r="P25" s="1">
        <v>0.14199999999999999</v>
      </c>
      <c r="Q25" s="1">
        <v>5.8999999999999997E-2</v>
      </c>
      <c r="R25" s="1">
        <v>0.83699999999999997</v>
      </c>
      <c r="S25" s="17" t="s">
        <v>1346</v>
      </c>
      <c r="T25">
        <v>2</v>
      </c>
      <c r="U25" t="s">
        <v>1369</v>
      </c>
      <c r="V25" s="17">
        <v>0</v>
      </c>
      <c r="W25" t="s">
        <v>5</v>
      </c>
      <c r="X25" t="s">
        <v>5</v>
      </c>
      <c r="Y25" t="s">
        <v>5</v>
      </c>
      <c r="Z25" t="s">
        <v>5</v>
      </c>
      <c r="AA25" t="s">
        <v>5</v>
      </c>
      <c r="AB25" s="17" t="str">
        <f>HYPERLINK("http://exon.niaid.nih.gov/transcriptome/T_rubida/S2/links/netoglyc/TRIRU-76-netoglyc.txt","1")</f>
        <v>1</v>
      </c>
      <c r="AC25">
        <v>23.5</v>
      </c>
      <c r="AD25">
        <v>5.9</v>
      </c>
      <c r="AE25">
        <v>2.2000000000000002</v>
      </c>
      <c r="AF25" s="17" t="s">
        <v>5</v>
      </c>
      <c r="AG25" s="2" t="str">
        <f>HYPERLINK("http://exon.niaid.nih.gov/transcriptome/T_rubida/S2/links/NR/Triru-76-NR.txt","salivary lipocalin")</f>
        <v>salivary lipocalin</v>
      </c>
      <c r="AH25" t="str">
        <f>HYPERLINK("http://www.ncbi.nlm.nih.gov/sutils/blink.cgi?pid=116267183","2E-036")</f>
        <v>2E-036</v>
      </c>
      <c r="AI25" t="str">
        <f>HYPERLINK("http://www.ncbi.nlm.nih.gov/protein/116267183","gi|116267183")</f>
        <v>gi|116267183</v>
      </c>
      <c r="AJ25">
        <v>155</v>
      </c>
      <c r="AK25">
        <v>132</v>
      </c>
      <c r="AL25">
        <v>147</v>
      </c>
      <c r="AM25">
        <v>53</v>
      </c>
      <c r="AN25">
        <v>90</v>
      </c>
      <c r="AO25" t="s">
        <v>236</v>
      </c>
      <c r="AP25" s="2" t="str">
        <f>HYPERLINK("http://exon.niaid.nih.gov/transcriptome/T_rubida/S2/links/SWISSP/Triru-76-SWISSP.txt","Procalin")</f>
        <v>Procalin</v>
      </c>
      <c r="AQ25" t="str">
        <f>HYPERLINK("http://www.uniprot.org/uniprot/Q9U6R6","1E-019")</f>
        <v>1E-019</v>
      </c>
      <c r="AR25" t="s">
        <v>180</v>
      </c>
      <c r="AS25">
        <v>95.1</v>
      </c>
      <c r="AT25">
        <v>130</v>
      </c>
      <c r="AU25">
        <v>169</v>
      </c>
      <c r="AV25">
        <v>36</v>
      </c>
      <c r="AW25">
        <v>78</v>
      </c>
      <c r="AX25">
        <v>83</v>
      </c>
      <c r="AY25">
        <v>3</v>
      </c>
      <c r="AZ25">
        <v>38</v>
      </c>
      <c r="BA25">
        <v>1</v>
      </c>
      <c r="BB25">
        <v>1</v>
      </c>
      <c r="BC25" t="s">
        <v>181</v>
      </c>
      <c r="BD25" s="2" t="s">
        <v>5</v>
      </c>
      <c r="BE25" t="s">
        <v>5</v>
      </c>
      <c r="BF25" t="s">
        <v>5</v>
      </c>
      <c r="BG25" t="s">
        <v>5</v>
      </c>
      <c r="BH25" t="s">
        <v>5</v>
      </c>
      <c r="BI25" s="2" t="str">
        <f>HYPERLINK("http://exon.niaid.nih.gov/transcriptome/T_rubida/S2/links/CDD/Triru-76-CDD.txt","Triabin")</f>
        <v>Triabin</v>
      </c>
      <c r="BJ25" t="str">
        <f>HYPERLINK("http://www.ncbi.nlm.nih.gov/Structure/cdd/cddsrv.cgi?uid=pfam03973&amp;version=v4.0","1E-017")</f>
        <v>1E-017</v>
      </c>
      <c r="BK25" t="s">
        <v>640</v>
      </c>
      <c r="BL25" s="2" t="str">
        <f>HYPERLINK("http://exon.niaid.nih.gov/transcriptome/T_rubida/S2/links/KOG/Triru-76-KOG.txt","emp24/gp25L/p24 family of membrane trafficking proteins")</f>
        <v>emp24/gp25L/p24 family of membrane trafficking proteins</v>
      </c>
      <c r="BM25" t="str">
        <f>HYPERLINK("http://www.ncbi.nlm.nih.gov/COG/grace/shokog.cgi?KOG1691","0.66")</f>
        <v>0.66</v>
      </c>
      <c r="BN25" t="s">
        <v>164</v>
      </c>
      <c r="BO25" s="2" t="str">
        <f>HYPERLINK("http://exon.niaid.nih.gov/transcriptome/T_rubida/S2/links/PFAM/Triru-76-PFAM.txt","Triabin")</f>
        <v>Triabin</v>
      </c>
      <c r="BP25" t="str">
        <f>HYPERLINK("http://pfam.sanger.ac.uk/family?acc=PF03973","2E-018")</f>
        <v>2E-018</v>
      </c>
      <c r="BQ25" s="2" t="str">
        <f>HYPERLINK("http://exon.niaid.nih.gov/transcriptome/T_rubida/S2/links/SMART/Triru-76-SMART.txt","IG_FLMN")</f>
        <v>IG_FLMN</v>
      </c>
      <c r="BR25" t="str">
        <f>HYPERLINK("http://smart.embl-heidelberg.de/smart/do_annotation.pl?DOMAIN=IG_FLMN&amp;BLAST=DUMMY","1.2")</f>
        <v>1.2</v>
      </c>
      <c r="BS25" s="17">
        <f t="shared" si="0"/>
        <v>1</v>
      </c>
      <c r="BT25" s="1">
        <f t="shared" si="1"/>
        <v>359</v>
      </c>
      <c r="BU25" s="17">
        <f t="shared" si="2"/>
        <v>1</v>
      </c>
      <c r="BV25" s="1">
        <f t="shared" si="3"/>
        <v>225</v>
      </c>
      <c r="BW25" s="17">
        <f t="shared" si="4"/>
        <v>2</v>
      </c>
      <c r="BX25" s="1">
        <f t="shared" si="5"/>
        <v>70</v>
      </c>
      <c r="BY25" s="17">
        <f t="shared" si="6"/>
        <v>1</v>
      </c>
      <c r="BZ25" s="1">
        <f t="shared" si="7"/>
        <v>69</v>
      </c>
      <c r="CA25" s="17">
        <f t="shared" si="8"/>
        <v>1</v>
      </c>
      <c r="CB25" s="1">
        <f t="shared" si="9"/>
        <v>69</v>
      </c>
      <c r="CC25" s="17">
        <f>HYPERLINK("http://exon.niaid.nih.gov/transcriptome/T_rubida/S2/links/cluster/Triru-pep-ext50-50-Sim-CLU1.txt", 1)</f>
        <v>1</v>
      </c>
      <c r="CD25" s="1">
        <f>HYPERLINK("http://exon.niaid.nih.gov/transcriptome/T_rubida/S2/links/cluster/Triru-pep-ext50-50-Sim-CLTL1.txt", 45)</f>
        <v>45</v>
      </c>
      <c r="CE25" s="17">
        <f>HYPERLINK("http://exon.niaid.nih.gov/transcriptome/T_rubida/S2/links/cluster/Triru-pep-ext55-50-Sim-CLU1.txt", 1)</f>
        <v>1</v>
      </c>
      <c r="CF25" s="1">
        <f>HYPERLINK("http://exon.niaid.nih.gov/transcriptome/T_rubida/S2/links/cluster/Triru-pep-ext55-50-Sim-CLTL1.txt", 45)</f>
        <v>45</v>
      </c>
      <c r="CG25" s="17">
        <f>HYPERLINK("http://exon.niaid.nih.gov/transcriptome/T_rubida/S2/links/cluster/Triru-pep-ext60-50-Sim-CLU5.txt", 5)</f>
        <v>5</v>
      </c>
      <c r="CH25" s="1">
        <f>HYPERLINK("http://exon.niaid.nih.gov/transcriptome/T_rubida/S2/links/cluster/Triru-pep-ext60-50-Sim-CLTL5.txt", 9)</f>
        <v>9</v>
      </c>
      <c r="CI25" s="17">
        <f>HYPERLINK("http://exon.niaid.nih.gov/transcriptome/T_rubida/S2/links/cluster/Triru-pep-ext65-50-Sim-CLU6.txt", 6)</f>
        <v>6</v>
      </c>
      <c r="CJ25" s="1">
        <f>HYPERLINK("http://exon.niaid.nih.gov/transcriptome/T_rubida/S2/links/cluster/Triru-pep-ext65-50-Sim-CLTL6.txt", 7)</f>
        <v>7</v>
      </c>
      <c r="CK25" s="17">
        <f>HYPERLINK("http://exon.niaid.nih.gov/transcriptome/T_rubida/S2/links/cluster/Triru-pep-ext70-50-Sim-CLU6.txt", 6)</f>
        <v>6</v>
      </c>
      <c r="CL25" s="1">
        <f>HYPERLINK("http://exon.niaid.nih.gov/transcriptome/T_rubida/S2/links/cluster/Triru-pep-ext70-50-Sim-CLTL6.txt", 6)</f>
        <v>6</v>
      </c>
      <c r="CM25" s="17">
        <f>HYPERLINK("http://exon.niaid.nih.gov/transcriptome/T_rubida/S2/links/cluster/Triru-pep-ext75-50-Sim-CLU3.txt", 3)</f>
        <v>3</v>
      </c>
      <c r="CN25" s="1">
        <f>HYPERLINK("http://exon.niaid.nih.gov/transcriptome/T_rubida/S2/links/cluster/Triru-pep-ext75-50-Sim-CLTL3.txt", 6)</f>
        <v>6</v>
      </c>
      <c r="CO25" s="17">
        <f>HYPERLINK("http://exon.niaid.nih.gov/transcriptome/T_rubida/S2/links/cluster/Triru-pep-ext80-50-Sim-CLU3.txt", 3)</f>
        <v>3</v>
      </c>
      <c r="CP25" s="1">
        <f>HYPERLINK("http://exon.niaid.nih.gov/transcriptome/T_rubida/S2/links/cluster/Triru-pep-ext80-50-Sim-CLTL3.txt", 5)</f>
        <v>5</v>
      </c>
      <c r="CQ25" s="17">
        <f>HYPERLINK("http://exon.niaid.nih.gov/transcriptome/T_rubida/S2/links/cluster/Triru-pep-ext85-50-Sim-CLU3.txt", 3)</f>
        <v>3</v>
      </c>
      <c r="CR25" s="1">
        <f>HYPERLINK("http://exon.niaid.nih.gov/transcriptome/T_rubida/S2/links/cluster/Triru-pep-ext85-50-Sim-CLTL3.txt", 5)</f>
        <v>5</v>
      </c>
      <c r="CS25" s="17">
        <f>HYPERLINK("http://exon.niaid.nih.gov/transcriptome/T_rubida/S2/links/cluster/Triru-pep-ext90-50-Sim-CLU5.txt", 5)</f>
        <v>5</v>
      </c>
      <c r="CT25" s="1">
        <f>HYPERLINK("http://exon.niaid.nih.gov/transcriptome/T_rubida/S2/links/cluster/Triru-pep-ext90-50-Sim-CLTL5.txt", 3)</f>
        <v>3</v>
      </c>
      <c r="CU25" s="17">
        <v>74</v>
      </c>
      <c r="CV25" s="1">
        <v>1</v>
      </c>
    </row>
    <row r="26" spans="1:100">
      <c r="A26" t="str">
        <f>HYPERLINK("http://exon.niaid.nih.gov/transcriptome/T_rubida/S2/links/pep/Triru-51-pep.txt","Triru-51")</f>
        <v>Triru-51</v>
      </c>
      <c r="B26">
        <v>118</v>
      </c>
      <c r="C26" s="1" t="s">
        <v>19</v>
      </c>
      <c r="D26" s="1" t="s">
        <v>3</v>
      </c>
      <c r="E26" t="str">
        <f>HYPERLINK("http://exon.niaid.nih.gov/transcriptome/T_rubida/S2/links/cds/Triru-51-cds.txt","Triru-51")</f>
        <v>Triru-51</v>
      </c>
      <c r="F26">
        <v>357</v>
      </c>
      <c r="G26" s="2" t="s">
        <v>1890</v>
      </c>
      <c r="H26" s="1">
        <v>8</v>
      </c>
      <c r="I26" s="3" t="s">
        <v>1272</v>
      </c>
      <c r="J26" s="17" t="str">
        <f>HYPERLINK("http://exon.niaid.nih.gov/transcriptome/T_rubida/S2/links/Sigp/Triru-51-SigP.txt","CYT")</f>
        <v>CYT</v>
      </c>
      <c r="K26" t="s">
        <v>5</v>
      </c>
      <c r="L26" s="1">
        <v>13.382</v>
      </c>
      <c r="M26" s="1">
        <v>5.14</v>
      </c>
      <c r="P26" s="1">
        <v>5.8000000000000003E-2</v>
      </c>
      <c r="Q26" s="1">
        <v>5.6000000000000001E-2</v>
      </c>
      <c r="R26" s="1">
        <v>0.95599999999999996</v>
      </c>
      <c r="S26" s="17" t="s">
        <v>1346</v>
      </c>
      <c r="T26">
        <v>1</v>
      </c>
      <c r="U26" t="s">
        <v>1348</v>
      </c>
      <c r="V26" s="17">
        <v>0</v>
      </c>
      <c r="W26" t="s">
        <v>5</v>
      </c>
      <c r="X26" t="s">
        <v>5</v>
      </c>
      <c r="Y26" t="s">
        <v>5</v>
      </c>
      <c r="Z26" t="s">
        <v>5</v>
      </c>
      <c r="AA26" t="s">
        <v>5</v>
      </c>
      <c r="AB26" s="17" t="str">
        <f>HYPERLINK("http://exon.niaid.nih.gov/transcriptome/T_rubida/S2/links/netoglyc/TRIRU-51-netoglyc.txt","0")</f>
        <v>0</v>
      </c>
      <c r="AC26">
        <v>16.100000000000001</v>
      </c>
      <c r="AD26">
        <v>8.5</v>
      </c>
      <c r="AE26">
        <v>0.8</v>
      </c>
      <c r="AF26" s="17" t="s">
        <v>5</v>
      </c>
      <c r="AG26" s="2" t="str">
        <f>HYPERLINK("http://exon.niaid.nih.gov/transcriptome/T_rubida/S2/links/NR/Triru-51-NR.txt","unnamed protein product")</f>
        <v>unnamed protein product</v>
      </c>
      <c r="AH26" t="str">
        <f>HYPERLINK("http://www.ncbi.nlm.nih.gov/sutils/blink.cgi?pid=270046188","1E-037")</f>
        <v>1E-037</v>
      </c>
      <c r="AI26" t="str">
        <f>HYPERLINK("http://www.ncbi.nlm.nih.gov/protein/270046188","gi|270046188")</f>
        <v>gi|270046188</v>
      </c>
      <c r="AJ26">
        <v>159</v>
      </c>
      <c r="AK26">
        <v>115</v>
      </c>
      <c r="AL26">
        <v>197</v>
      </c>
      <c r="AM26">
        <v>60</v>
      </c>
      <c r="AN26">
        <v>59</v>
      </c>
      <c r="AO26" t="s">
        <v>59</v>
      </c>
      <c r="AP26" s="2" t="str">
        <f>HYPERLINK("http://exon.niaid.nih.gov/transcriptome/T_rubida/S2/links/SWISSP/Triru-51-SWISSP.txt","Vacuolar protein sorting/targeting protein 10")</f>
        <v>Vacuolar protein sorting/targeting protein 10</v>
      </c>
      <c r="AQ26" t="str">
        <f>HYPERLINK("http://www.uniprot.org/uniprot/O42930","0.87")</f>
        <v>0.87</v>
      </c>
      <c r="AR26" t="s">
        <v>319</v>
      </c>
      <c r="AS26">
        <v>32.299999999999997</v>
      </c>
      <c r="AT26">
        <v>76</v>
      </c>
      <c r="AU26">
        <v>1466</v>
      </c>
      <c r="AV26">
        <v>31</v>
      </c>
      <c r="AW26">
        <v>5</v>
      </c>
      <c r="AX26">
        <v>61</v>
      </c>
      <c r="AY26">
        <v>13</v>
      </c>
      <c r="AZ26">
        <v>674</v>
      </c>
      <c r="BA26">
        <v>20</v>
      </c>
      <c r="BB26">
        <v>1</v>
      </c>
      <c r="BC26" t="s">
        <v>70</v>
      </c>
      <c r="BD26" s="2" t="s">
        <v>5</v>
      </c>
      <c r="BE26" t="s">
        <v>5</v>
      </c>
      <c r="BF26" t="s">
        <v>5</v>
      </c>
      <c r="BG26" t="s">
        <v>5</v>
      </c>
      <c r="BH26" t="s">
        <v>5</v>
      </c>
      <c r="BI26" s="2" t="str">
        <f>HYPERLINK("http://exon.niaid.nih.gov/transcriptome/T_rubida/S2/links/CDD/Triru-51-CDD.txt","Triabin")</f>
        <v>Triabin</v>
      </c>
      <c r="BJ26" t="str">
        <f>HYPERLINK("http://www.ncbi.nlm.nih.gov/Structure/cdd/cddsrv.cgi?uid=pfam03973&amp;version=v4.0","2E-008")</f>
        <v>2E-008</v>
      </c>
      <c r="BK26" t="s">
        <v>320</v>
      </c>
      <c r="BL26" s="2" t="str">
        <f>HYPERLINK("http://exon.niaid.nih.gov/transcriptome/T_rubida/S2/links/KOG/Triru-51-KOG.txt","Predicted serine protease")</f>
        <v>Predicted serine protease</v>
      </c>
      <c r="BM26" t="str">
        <f>HYPERLINK("http://www.ncbi.nlm.nih.gov/COG/grace/shokog.cgi?KOG2237","0.80")</f>
        <v>0.80</v>
      </c>
      <c r="BN26" t="s">
        <v>72</v>
      </c>
      <c r="BO26" s="2" t="str">
        <f>HYPERLINK("http://exon.niaid.nih.gov/transcriptome/T_rubida/S2/links/PFAM/Triru-51-PFAM.txt","Triabin")</f>
        <v>Triabin</v>
      </c>
      <c r="BP26" t="str">
        <f>HYPERLINK("http://pfam.sanger.ac.uk/family?acc=PF03973","4E-009")</f>
        <v>4E-009</v>
      </c>
      <c r="BQ26" s="2" t="str">
        <f>HYPERLINK("http://exon.niaid.nih.gov/transcriptome/T_rubida/S2/links/SMART/Triru-51-SMART.txt","LPD_N")</f>
        <v>LPD_N</v>
      </c>
      <c r="BR26" t="str">
        <f>HYPERLINK("http://smart.embl-heidelberg.de/smart/do_annotation.pl?DOMAIN=LPD_N&amp;BLAST=DUMMY","0.085")</f>
        <v>0.085</v>
      </c>
      <c r="BS26" s="17">
        <f t="shared" si="0"/>
        <v>1</v>
      </c>
      <c r="BT26" s="1">
        <f t="shared" si="1"/>
        <v>359</v>
      </c>
      <c r="BU26" s="17">
        <f t="shared" si="2"/>
        <v>1</v>
      </c>
      <c r="BV26" s="1">
        <f t="shared" si="3"/>
        <v>225</v>
      </c>
      <c r="BW26" s="17">
        <f t="shared" si="4"/>
        <v>2</v>
      </c>
      <c r="BX26" s="1">
        <f t="shared" si="5"/>
        <v>70</v>
      </c>
      <c r="BY26" s="17">
        <f t="shared" si="6"/>
        <v>1</v>
      </c>
      <c r="BZ26" s="1">
        <f t="shared" si="7"/>
        <v>69</v>
      </c>
      <c r="CA26" s="17">
        <f t="shared" si="8"/>
        <v>1</v>
      </c>
      <c r="CB26" s="1">
        <f t="shared" si="9"/>
        <v>69</v>
      </c>
      <c r="CC26" s="17">
        <f>HYPERLINK("http://exon.niaid.nih.gov/transcriptome/T_rubida/S2/links/cluster/Triru-pep-ext50-50-Sim-CLU2.txt", 2)</f>
        <v>2</v>
      </c>
      <c r="CD26" s="1">
        <f>HYPERLINK("http://exon.niaid.nih.gov/transcriptome/T_rubida/S2/links/cluster/Triru-pep-ext50-50-Sim-CLTL2.txt", 23)</f>
        <v>23</v>
      </c>
      <c r="CE26" s="17">
        <f>HYPERLINK("http://exon.niaid.nih.gov/transcriptome/T_rubida/S2/links/cluster/Triru-pep-ext55-50-Sim-CLU2.txt", 2)</f>
        <v>2</v>
      </c>
      <c r="CF26" s="1">
        <f>HYPERLINK("http://exon.niaid.nih.gov/transcriptome/T_rubida/S2/links/cluster/Triru-pep-ext55-50-Sim-CLTL2.txt", 20)</f>
        <v>20</v>
      </c>
      <c r="CG26" s="17">
        <f>HYPERLINK("http://exon.niaid.nih.gov/transcriptome/T_rubida/S2/links/cluster/Triru-pep-ext60-50-Sim-CLU3.txt", 3)</f>
        <v>3</v>
      </c>
      <c r="CH26" s="1">
        <f>HYPERLINK("http://exon.niaid.nih.gov/transcriptome/T_rubida/S2/links/cluster/Triru-pep-ext60-50-Sim-CLTL3.txt", 12)</f>
        <v>12</v>
      </c>
      <c r="CI26" s="17">
        <f>HYPERLINK("http://exon.niaid.nih.gov/transcriptome/T_rubida/S2/links/cluster/Triru-pep-ext65-50-Sim-CLU2.txt", 2)</f>
        <v>2</v>
      </c>
      <c r="CJ26" s="1">
        <f>HYPERLINK("http://exon.niaid.nih.gov/transcriptome/T_rubida/S2/links/cluster/Triru-pep-ext65-50-Sim-CLTL2.txt", 12)</f>
        <v>12</v>
      </c>
      <c r="CK26" s="17">
        <f>HYPERLINK("http://exon.niaid.nih.gov/transcriptome/T_rubida/S2/links/cluster/Triru-pep-ext70-50-Sim-CLU2.txt", 2)</f>
        <v>2</v>
      </c>
      <c r="CL26" s="1">
        <f>HYPERLINK("http://exon.niaid.nih.gov/transcriptome/T_rubida/S2/links/cluster/Triru-pep-ext70-50-Sim-CLTL2.txt", 11)</f>
        <v>11</v>
      </c>
      <c r="CM26" s="17">
        <f>HYPERLINK("http://exon.niaid.nih.gov/transcriptome/T_rubida/S2/links/cluster/Triru-pep-ext75-50-Sim-CLU2.txt", 2)</f>
        <v>2</v>
      </c>
      <c r="CN26" s="1">
        <f>HYPERLINK("http://exon.niaid.nih.gov/transcriptome/T_rubida/S2/links/cluster/Triru-pep-ext75-50-Sim-CLTL2.txt", 11)</f>
        <v>11</v>
      </c>
      <c r="CO26" s="17">
        <f>HYPERLINK("http://exon.niaid.nih.gov/transcriptome/T_rubida/S2/links/cluster/Triru-pep-ext80-50-Sim-CLU2.txt", 2)</f>
        <v>2</v>
      </c>
      <c r="CP26" s="1">
        <f>HYPERLINK("http://exon.niaid.nih.gov/transcriptome/T_rubida/S2/links/cluster/Triru-pep-ext80-50-Sim-CLTL2.txt", 8)</f>
        <v>8</v>
      </c>
      <c r="CQ26" s="17">
        <v>48</v>
      </c>
      <c r="CR26" s="1">
        <v>1</v>
      </c>
      <c r="CS26" s="17">
        <v>49</v>
      </c>
      <c r="CT26" s="1">
        <v>1</v>
      </c>
      <c r="CU26" s="17">
        <v>53</v>
      </c>
      <c r="CV26" s="1">
        <v>1</v>
      </c>
    </row>
    <row r="27" spans="1:100">
      <c r="A27" t="str">
        <f>HYPERLINK("http://exon.niaid.nih.gov/transcriptome/T_rubida/S2/links/pep/Triru-92-pep.txt","Triru-92")</f>
        <v>Triru-92</v>
      </c>
      <c r="B27">
        <v>144</v>
      </c>
      <c r="C27" s="1" t="s">
        <v>10</v>
      </c>
      <c r="D27" s="1" t="s">
        <v>3</v>
      </c>
      <c r="E27" t="str">
        <f>HYPERLINK("http://exon.niaid.nih.gov/transcriptome/T_rubida/S2/links/cds/Triru-92-cds.txt","Triru-92")</f>
        <v>Triru-92</v>
      </c>
      <c r="F27">
        <v>435</v>
      </c>
      <c r="G27" s="2" t="s">
        <v>1890</v>
      </c>
      <c r="H27" s="1">
        <v>7</v>
      </c>
      <c r="I27" s="3" t="s">
        <v>1272</v>
      </c>
      <c r="J27" s="17" t="str">
        <f>HYPERLINK("http://exon.niaid.nih.gov/transcriptome/T_rubida/S2/links/Sigp/Triru-92-SigP.txt","CYT")</f>
        <v>CYT</v>
      </c>
      <c r="K27" t="s">
        <v>5</v>
      </c>
      <c r="L27" s="1">
        <v>16.158000000000001</v>
      </c>
      <c r="M27" s="1">
        <v>5.96</v>
      </c>
      <c r="P27" s="1">
        <v>0.14899999999999999</v>
      </c>
      <c r="Q27" s="1">
        <v>5.5E-2</v>
      </c>
      <c r="R27" s="1">
        <v>0.871</v>
      </c>
      <c r="S27" s="17" t="s">
        <v>1346</v>
      </c>
      <c r="T27">
        <v>2</v>
      </c>
      <c r="U27" t="s">
        <v>1348</v>
      </c>
      <c r="V27" s="17">
        <v>0</v>
      </c>
      <c r="W27" t="s">
        <v>5</v>
      </c>
      <c r="X27" t="s">
        <v>5</v>
      </c>
      <c r="Y27" t="s">
        <v>5</v>
      </c>
      <c r="Z27" t="s">
        <v>5</v>
      </c>
      <c r="AA27" t="s">
        <v>5</v>
      </c>
      <c r="AB27" s="17" t="str">
        <f>HYPERLINK("http://exon.niaid.nih.gov/transcriptome/T_rubida/S2/links/netoglyc/TRIRU-92-netoglyc.txt","0")</f>
        <v>0</v>
      </c>
      <c r="AC27">
        <v>19.399999999999999</v>
      </c>
      <c r="AD27">
        <v>6.3</v>
      </c>
      <c r="AE27">
        <v>3.5</v>
      </c>
      <c r="AF27" s="17" t="s">
        <v>5</v>
      </c>
      <c r="AG27" s="2" t="str">
        <f>HYPERLINK("http://exon.niaid.nih.gov/transcriptome/T_rubida/S2/links/NR/Triru-92-NR.txt","pallidipin 2")</f>
        <v>pallidipin 2</v>
      </c>
      <c r="AH27" t="str">
        <f>HYPERLINK("http://www.ncbi.nlm.nih.gov/sutils/blink.cgi?pid=388359","2E-035")</f>
        <v>2E-035</v>
      </c>
      <c r="AI27" t="str">
        <f>HYPERLINK("http://www.ncbi.nlm.nih.gov/protein/388359","gi|388359")</f>
        <v>gi|388359</v>
      </c>
      <c r="AJ27">
        <v>152</v>
      </c>
      <c r="AK27">
        <v>146</v>
      </c>
      <c r="AL27">
        <v>188</v>
      </c>
      <c r="AM27">
        <v>54</v>
      </c>
      <c r="AN27">
        <v>78</v>
      </c>
      <c r="AO27" t="s">
        <v>650</v>
      </c>
      <c r="AP27" s="2" t="str">
        <f>HYPERLINK("http://exon.niaid.nih.gov/transcriptome/T_rubida/S2/links/SWISSP/Triru-92-SWISSP.txt","PHD finger protein 20-like protein 1")</f>
        <v>PHD finger protein 20-like protein 1</v>
      </c>
      <c r="AQ27" t="str">
        <f>HYPERLINK("http://www.uniprot.org/uniprot/Q5F3G6","0.24")</f>
        <v>0.24</v>
      </c>
      <c r="AR27" t="s">
        <v>1001</v>
      </c>
      <c r="AS27">
        <v>34.299999999999997</v>
      </c>
      <c r="AT27">
        <v>102</v>
      </c>
      <c r="AU27">
        <v>762</v>
      </c>
      <c r="AV27">
        <v>29</v>
      </c>
      <c r="AW27">
        <v>14</v>
      </c>
      <c r="AX27">
        <v>76</v>
      </c>
      <c r="AY27">
        <v>10</v>
      </c>
      <c r="AZ27">
        <v>360</v>
      </c>
      <c r="BA27">
        <v>15</v>
      </c>
      <c r="BB27">
        <v>1</v>
      </c>
      <c r="BC27" t="s">
        <v>122</v>
      </c>
      <c r="BD27" s="2" t="s">
        <v>5</v>
      </c>
      <c r="BE27" t="s">
        <v>5</v>
      </c>
      <c r="BF27" t="s">
        <v>5</v>
      </c>
      <c r="BG27" t="s">
        <v>5</v>
      </c>
      <c r="BH27" t="s">
        <v>5</v>
      </c>
      <c r="BI27" s="2" t="str">
        <f>HYPERLINK("http://exon.niaid.nih.gov/transcriptome/T_rubida/S2/links/CDD/Triru-92-CDD.txt","Triabin")</f>
        <v>Triabin</v>
      </c>
      <c r="BJ27" t="str">
        <f>HYPERLINK("http://www.ncbi.nlm.nih.gov/Structure/cdd/cddsrv.cgi?uid=pfam03973&amp;version=v4.0","1E-016")</f>
        <v>1E-016</v>
      </c>
      <c r="BK27" t="s">
        <v>1002</v>
      </c>
      <c r="BL27" s="2" t="str">
        <f>HYPERLINK("http://exon.niaid.nih.gov/transcriptome/T_rubida/S2/links/KOG/Triru-92-KOG.txt","NADH pyrophosphatase I of the Nudix family of hydrolases")</f>
        <v>NADH pyrophosphatase I of the Nudix family of hydrolases</v>
      </c>
      <c r="BM27" t="str">
        <f>HYPERLINK("http://www.ncbi.nlm.nih.gov/COG/grace/shokog.cgi?KOG3084","8.1")</f>
        <v>8.1</v>
      </c>
      <c r="BN27" t="s">
        <v>188</v>
      </c>
      <c r="BO27" s="2" t="str">
        <f>HYPERLINK("http://exon.niaid.nih.gov/transcriptome/T_rubida/S2/links/PFAM/Triru-92-PFAM.txt","Triabin")</f>
        <v>Triabin</v>
      </c>
      <c r="BP27" t="str">
        <f>HYPERLINK("http://pfam.sanger.ac.uk/family?acc=PF03973","3E-017")</f>
        <v>3E-017</v>
      </c>
      <c r="BQ27" s="2" t="str">
        <f>HYPERLINK("http://exon.niaid.nih.gov/transcriptome/T_rubida/S2/links/SMART/Triru-92-SMART.txt","TR_FER")</f>
        <v>TR_FER</v>
      </c>
      <c r="BR27" t="str">
        <f>HYPERLINK("http://smart.embl-heidelberg.de/smart/do_annotation.pl?DOMAIN=TR_FER&amp;BLAST=DUMMY","0.55")</f>
        <v>0.55</v>
      </c>
      <c r="BS27" s="17">
        <f t="shared" si="0"/>
        <v>1</v>
      </c>
      <c r="BT27" s="1">
        <f t="shared" si="1"/>
        <v>359</v>
      </c>
      <c r="BU27" s="17">
        <f t="shared" si="2"/>
        <v>1</v>
      </c>
      <c r="BV27" s="1">
        <f t="shared" si="3"/>
        <v>225</v>
      </c>
      <c r="BW27" s="17">
        <f t="shared" si="4"/>
        <v>2</v>
      </c>
      <c r="BX27" s="1">
        <f t="shared" si="5"/>
        <v>70</v>
      </c>
      <c r="BY27" s="17">
        <f t="shared" si="6"/>
        <v>1</v>
      </c>
      <c r="BZ27" s="1">
        <f t="shared" si="7"/>
        <v>69</v>
      </c>
      <c r="CA27" s="17">
        <f t="shared" si="8"/>
        <v>1</v>
      </c>
      <c r="CB27" s="1">
        <f t="shared" si="9"/>
        <v>69</v>
      </c>
      <c r="CC27" s="17">
        <f>HYPERLINK("http://exon.niaid.nih.gov/transcriptome/T_rubida/S2/links/cluster/Triru-pep-ext50-50-Sim-CLU2.txt", 2)</f>
        <v>2</v>
      </c>
      <c r="CD27" s="1">
        <f>HYPERLINK("http://exon.niaid.nih.gov/transcriptome/T_rubida/S2/links/cluster/Triru-pep-ext50-50-Sim-CLTL2.txt", 23)</f>
        <v>23</v>
      </c>
      <c r="CE27" s="17">
        <f>HYPERLINK("http://exon.niaid.nih.gov/transcriptome/T_rubida/S2/links/cluster/Triru-pep-ext55-50-Sim-CLU9.txt", 9)</f>
        <v>9</v>
      </c>
      <c r="CF27" s="1">
        <f>HYPERLINK("http://exon.niaid.nih.gov/transcriptome/T_rubida/S2/links/cluster/Triru-pep-ext55-50-Sim-CLTL9.txt", 2)</f>
        <v>2</v>
      </c>
      <c r="CG27" s="17">
        <f>HYPERLINK("http://exon.niaid.nih.gov/transcriptome/T_rubida/S2/links/cluster/Triru-pep-ext60-50-Sim-CLU10.txt", 10)</f>
        <v>10</v>
      </c>
      <c r="CH27" s="1">
        <f>HYPERLINK("http://exon.niaid.nih.gov/transcriptome/T_rubida/S2/links/cluster/Triru-pep-ext60-50-Sim-CLTL10.txt", 2)</f>
        <v>2</v>
      </c>
      <c r="CI27" s="17">
        <v>45</v>
      </c>
      <c r="CJ27" s="1">
        <v>1</v>
      </c>
      <c r="CK27" s="17">
        <v>49</v>
      </c>
      <c r="CL27" s="1">
        <v>1</v>
      </c>
      <c r="CM27" s="17">
        <v>53</v>
      </c>
      <c r="CN27" s="1">
        <v>1</v>
      </c>
      <c r="CO27" s="17">
        <v>61</v>
      </c>
      <c r="CP27" s="1">
        <v>1</v>
      </c>
      <c r="CQ27" s="17">
        <v>71</v>
      </c>
      <c r="CR27" s="1">
        <v>1</v>
      </c>
      <c r="CS27" s="17">
        <v>76</v>
      </c>
      <c r="CT27" s="1">
        <v>1</v>
      </c>
      <c r="CU27" s="17">
        <v>87</v>
      </c>
      <c r="CV27" s="1">
        <v>1</v>
      </c>
    </row>
    <row r="28" spans="1:100">
      <c r="A28" t="str">
        <f>HYPERLINK("http://exon.niaid.nih.gov/transcriptome/T_rubida/S2/links/pep/Triru-15-pep.txt","Triru-15")</f>
        <v>Triru-15</v>
      </c>
      <c r="B28">
        <v>178</v>
      </c>
      <c r="C28" s="1" t="s">
        <v>15</v>
      </c>
      <c r="D28" s="1" t="s">
        <v>3</v>
      </c>
      <c r="E28" t="str">
        <f>HYPERLINK("http://exon.niaid.nih.gov/transcriptome/T_rubida/S2/links/cds/Triru-15-cds.txt","Triru-15")</f>
        <v>Triru-15</v>
      </c>
      <c r="F28">
        <v>537</v>
      </c>
      <c r="G28" s="2" t="s">
        <v>1890</v>
      </c>
      <c r="H28" s="1">
        <v>7</v>
      </c>
      <c r="I28" s="3" t="s">
        <v>1272</v>
      </c>
      <c r="J28" s="17" t="str">
        <f>HYPERLINK("http://exon.niaid.nih.gov/transcriptome/T_rubida/S2/links/Sigp/Triru-15-SigP.txt","SIG")</f>
        <v>SIG</v>
      </c>
      <c r="K28" t="s">
        <v>1317</v>
      </c>
      <c r="L28" s="1">
        <v>19.713999999999999</v>
      </c>
      <c r="M28" s="1">
        <v>5.84</v>
      </c>
      <c r="N28" s="1">
        <v>17.149999999999999</v>
      </c>
      <c r="O28" s="1">
        <v>5.48</v>
      </c>
      <c r="P28" s="1">
        <v>1.2999999999999999E-2</v>
      </c>
      <c r="Q28" s="1">
        <v>0.95199999999999996</v>
      </c>
      <c r="R28" s="1">
        <v>0.123</v>
      </c>
      <c r="S28" s="17" t="s">
        <v>18</v>
      </c>
      <c r="T28">
        <v>1</v>
      </c>
      <c r="U28" t="s">
        <v>1367</v>
      </c>
      <c r="V28" s="17">
        <v>0</v>
      </c>
      <c r="W28" t="s">
        <v>5</v>
      </c>
      <c r="X28" t="s">
        <v>5</v>
      </c>
      <c r="Y28" t="s">
        <v>5</v>
      </c>
      <c r="Z28" t="s">
        <v>5</v>
      </c>
      <c r="AA28" t="s">
        <v>5</v>
      </c>
      <c r="AB28" s="17" t="str">
        <f>HYPERLINK("http://exon.niaid.nih.gov/transcriptome/T_rubida/S2/links/netoglyc/TRIRU-15-netoglyc.txt","5")</f>
        <v>5</v>
      </c>
      <c r="AC28">
        <v>16.3</v>
      </c>
      <c r="AD28">
        <v>6.7</v>
      </c>
      <c r="AE28">
        <v>4.5</v>
      </c>
      <c r="AF28" s="17" t="s">
        <v>5</v>
      </c>
      <c r="AG28" s="2" t="str">
        <f>HYPERLINK("http://exon.niaid.nih.gov/transcriptome/T_rubida/S2/links/NR/Triru-15-NR.txt","unnamed protein product")</f>
        <v>unnamed protein product</v>
      </c>
      <c r="AH28" t="str">
        <f>HYPERLINK("http://www.ncbi.nlm.nih.gov/sutils/blink.cgi?pid=270046244","4E-043")</f>
        <v>4E-043</v>
      </c>
      <c r="AI28" t="str">
        <f>HYPERLINK("http://www.ncbi.nlm.nih.gov/protein/270046244","gi|270046244")</f>
        <v>gi|270046244</v>
      </c>
      <c r="AJ28">
        <v>177</v>
      </c>
      <c r="AK28">
        <v>174</v>
      </c>
      <c r="AL28">
        <v>177</v>
      </c>
      <c r="AM28">
        <v>53</v>
      </c>
      <c r="AN28">
        <v>99</v>
      </c>
      <c r="AO28" t="s">
        <v>59</v>
      </c>
      <c r="AP28" s="2" t="str">
        <f>HYPERLINK("http://exon.niaid.nih.gov/transcriptome/T_rubida/S2/links/SWISSP/Triru-15-SWISSP.txt","Procalin")</f>
        <v>Procalin</v>
      </c>
      <c r="AQ28" t="str">
        <f>HYPERLINK("http://www.uniprot.org/uniprot/Q9U6R6","7E-028")</f>
        <v>7E-028</v>
      </c>
      <c r="AR28" t="s">
        <v>180</v>
      </c>
      <c r="AS28">
        <v>123</v>
      </c>
      <c r="AT28">
        <v>166</v>
      </c>
      <c r="AU28">
        <v>169</v>
      </c>
      <c r="AV28">
        <v>38</v>
      </c>
      <c r="AW28">
        <v>99</v>
      </c>
      <c r="AX28">
        <v>109</v>
      </c>
      <c r="AY28">
        <v>14</v>
      </c>
      <c r="AZ28">
        <v>2</v>
      </c>
      <c r="BA28">
        <v>8</v>
      </c>
      <c r="BB28">
        <v>1</v>
      </c>
      <c r="BC28" t="s">
        <v>181</v>
      </c>
      <c r="BD28" s="2" t="s">
        <v>5</v>
      </c>
      <c r="BE28" t="s">
        <v>5</v>
      </c>
      <c r="BF28" t="s">
        <v>5</v>
      </c>
      <c r="BG28" t="s">
        <v>5</v>
      </c>
      <c r="BH28" t="s">
        <v>5</v>
      </c>
      <c r="BI28" s="2" t="str">
        <f>HYPERLINK("http://exon.niaid.nih.gov/transcriptome/T_rubida/S2/links/CDD/Triru-15-CDD.txt","Triabin")</f>
        <v>Triabin</v>
      </c>
      <c r="BJ28" t="str">
        <f>HYPERLINK("http://www.ncbi.nlm.nih.gov/Structure/cdd/cddsrv.cgi?uid=pfam03973&amp;version=v4.0","2E-014")</f>
        <v>2E-014</v>
      </c>
      <c r="BK28" t="s">
        <v>799</v>
      </c>
      <c r="BL28" s="2" t="str">
        <f>HYPERLINK("http://exon.niaid.nih.gov/transcriptome/T_rubida/S2/links/KOG/Triru-15-KOG.txt","Membrane-associated protein tyrosine phosphatase PTP-BAS and related proteins, contain FERM domain")</f>
        <v>Membrane-associated protein tyrosine phosphatase PTP-BAS and related proteins, contain FERM domain</v>
      </c>
      <c r="BM28" t="str">
        <f>HYPERLINK("http://www.ncbi.nlm.nih.gov/COG/grace/shokog.cgi?KOG4371","2.6")</f>
        <v>2.6</v>
      </c>
      <c r="BN28" t="s">
        <v>179</v>
      </c>
      <c r="BO28" s="2" t="str">
        <f>HYPERLINK("http://exon.niaid.nih.gov/transcriptome/T_rubida/S2/links/PFAM/Triru-15-PFAM.txt","Triabin")</f>
        <v>Triabin</v>
      </c>
      <c r="BP28" t="str">
        <f>HYPERLINK("http://pfam.sanger.ac.uk/family?acc=PF03973","4E-015")</f>
        <v>4E-015</v>
      </c>
      <c r="BQ28" s="2" t="str">
        <f>HYPERLINK("http://exon.niaid.nih.gov/transcriptome/T_rubida/S2/links/SMART/Triru-15-SMART.txt","EH")</f>
        <v>EH</v>
      </c>
      <c r="BR28" t="str">
        <f>HYPERLINK("http://smart.embl-heidelberg.de/smart/do_annotation.pl?DOMAIN=EH&amp;BLAST=DUMMY","0.72")</f>
        <v>0.72</v>
      </c>
      <c r="BS28" s="17">
        <f t="shared" si="0"/>
        <v>1</v>
      </c>
      <c r="BT28" s="1">
        <f t="shared" si="1"/>
        <v>359</v>
      </c>
      <c r="BU28" s="17">
        <f t="shared" si="2"/>
        <v>1</v>
      </c>
      <c r="BV28" s="1">
        <f t="shared" si="3"/>
        <v>225</v>
      </c>
      <c r="BW28" s="17">
        <f t="shared" si="4"/>
        <v>2</v>
      </c>
      <c r="BX28" s="1">
        <f t="shared" si="5"/>
        <v>70</v>
      </c>
      <c r="BY28" s="17">
        <f t="shared" si="6"/>
        <v>1</v>
      </c>
      <c r="BZ28" s="1">
        <f t="shared" si="7"/>
        <v>69</v>
      </c>
      <c r="CA28" s="17">
        <f t="shared" si="8"/>
        <v>1</v>
      </c>
      <c r="CB28" s="1">
        <f t="shared" si="9"/>
        <v>69</v>
      </c>
      <c r="CC28" s="17">
        <f>HYPERLINK("http://exon.niaid.nih.gov/transcriptome/T_rubida/S2/links/cluster/Triru-pep-ext50-50-Sim-CLU1.txt", 1)</f>
        <v>1</v>
      </c>
      <c r="CD28" s="1">
        <f>HYPERLINK("http://exon.niaid.nih.gov/transcriptome/T_rubida/S2/links/cluster/Triru-pep-ext50-50-Sim-CLTL1.txt", 45)</f>
        <v>45</v>
      </c>
      <c r="CE28" s="17">
        <f>HYPERLINK("http://exon.niaid.nih.gov/transcriptome/T_rubida/S2/links/cluster/Triru-pep-ext55-50-Sim-CLU1.txt", 1)</f>
        <v>1</v>
      </c>
      <c r="CF28" s="1">
        <f>HYPERLINK("http://exon.niaid.nih.gov/transcriptome/T_rubida/S2/links/cluster/Triru-pep-ext55-50-Sim-CLTL1.txt", 45)</f>
        <v>45</v>
      </c>
      <c r="CG28" s="17">
        <f>HYPERLINK("http://exon.niaid.nih.gov/transcriptome/T_rubida/S2/links/cluster/Triru-pep-ext60-50-Sim-CLU1.txt", 1)</f>
        <v>1</v>
      </c>
      <c r="CH28" s="1">
        <f>HYPERLINK("http://exon.niaid.nih.gov/transcriptome/T_rubida/S2/links/cluster/Triru-pep-ext60-50-Sim-CLTL1.txt", 35)</f>
        <v>35</v>
      </c>
      <c r="CI28" s="17">
        <f>HYPERLINK("http://exon.niaid.nih.gov/transcriptome/T_rubida/S2/links/cluster/Triru-pep-ext65-50-Sim-CLU1.txt", 1)</f>
        <v>1</v>
      </c>
      <c r="CJ28" s="1">
        <f>HYPERLINK("http://exon.niaid.nih.gov/transcriptome/T_rubida/S2/links/cluster/Triru-pep-ext65-50-Sim-CLTL1.txt", 30)</f>
        <v>30</v>
      </c>
      <c r="CK28" s="17">
        <f>HYPERLINK("http://exon.niaid.nih.gov/transcriptome/T_rubida/S2/links/cluster/Triru-pep-ext70-50-Sim-CLU1.txt", 1)</f>
        <v>1</v>
      </c>
      <c r="CL28" s="1">
        <f>HYPERLINK("http://exon.niaid.nih.gov/transcriptome/T_rubida/S2/links/cluster/Triru-pep-ext70-50-Sim-CLTL1.txt", 28)</f>
        <v>28</v>
      </c>
      <c r="CM28" s="17">
        <f>HYPERLINK("http://exon.niaid.nih.gov/transcriptome/T_rubida/S2/links/cluster/Triru-pep-ext75-50-Sim-CLU1.txt", 1)</f>
        <v>1</v>
      </c>
      <c r="CN28" s="1">
        <f>HYPERLINK("http://exon.niaid.nih.gov/transcriptome/T_rubida/S2/links/cluster/Triru-pep-ext75-50-Sim-CLTL1.txt", 23)</f>
        <v>23</v>
      </c>
      <c r="CO28" s="17">
        <f>HYPERLINK("http://exon.niaid.nih.gov/transcriptome/T_rubida/S2/links/cluster/Triru-pep-ext80-50-Sim-CLU1.txt", 1)</f>
        <v>1</v>
      </c>
      <c r="CP28" s="1">
        <f>HYPERLINK("http://exon.niaid.nih.gov/transcriptome/T_rubida/S2/links/cluster/Triru-pep-ext80-50-Sim-CLTL1.txt", 23)</f>
        <v>23</v>
      </c>
      <c r="CQ28" s="17">
        <f>HYPERLINK("http://exon.niaid.nih.gov/transcriptome/T_rubida/S2/links/cluster/Triru-pep-ext85-50-Sim-CLU1.txt", 1)</f>
        <v>1</v>
      </c>
      <c r="CR28" s="1">
        <f>HYPERLINK("http://exon.niaid.nih.gov/transcriptome/T_rubida/S2/links/cluster/Triru-pep-ext85-50-Sim-CLTL1.txt", 15)</f>
        <v>15</v>
      </c>
      <c r="CS28" s="17">
        <f>HYPERLINK("http://exon.niaid.nih.gov/transcriptome/T_rubida/S2/links/cluster/Triru-pep-ext90-50-Sim-CLU1.txt", 1)</f>
        <v>1</v>
      </c>
      <c r="CT28" s="1">
        <f>HYPERLINK("http://exon.niaid.nih.gov/transcriptome/T_rubida/S2/links/cluster/Triru-pep-ext90-50-Sim-CLTL1.txt", 13)</f>
        <v>13</v>
      </c>
      <c r="CU28" s="17">
        <f>HYPERLINK("http://exon.niaid.nih.gov/transcriptome/T_rubida/S2/links/cluster/Triru-pep-ext95-50-Sim-CLU1.txt", 1)</f>
        <v>1</v>
      </c>
      <c r="CV28" s="1">
        <f>HYPERLINK("http://exon.niaid.nih.gov/transcriptome/T_rubida/S2/links/cluster/Triru-pep-ext95-50-Sim-CLTL1.txt", 8)</f>
        <v>8</v>
      </c>
    </row>
    <row r="29" spans="1:100">
      <c r="A29" t="str">
        <f>HYPERLINK("http://exon.niaid.nih.gov/transcriptome/T_rubida/S2/links/pep/Triru-58-pep.txt","Triru-58")</f>
        <v>Triru-58</v>
      </c>
      <c r="B29">
        <v>109</v>
      </c>
      <c r="C29" s="1" t="s">
        <v>4</v>
      </c>
      <c r="D29" s="1" t="s">
        <v>3</v>
      </c>
      <c r="E29" t="str">
        <f>HYPERLINK("http://exon.niaid.nih.gov/transcriptome/T_rubida/S2/links/cds/Triru-58-cds.txt","Triru-58")</f>
        <v>Triru-58</v>
      </c>
      <c r="F29">
        <v>330</v>
      </c>
      <c r="G29" s="2" t="s">
        <v>1890</v>
      </c>
      <c r="H29" s="1">
        <v>6</v>
      </c>
      <c r="I29" s="3" t="s">
        <v>1272</v>
      </c>
      <c r="J29" s="17" t="str">
        <f>HYPERLINK("http://exon.niaid.nih.gov/transcriptome/T_rubida/S2/links/Sigp/Triru-58-SigP.txt","CYT")</f>
        <v>CYT</v>
      </c>
      <c r="K29" t="s">
        <v>5</v>
      </c>
      <c r="L29" s="1">
        <v>12.194000000000001</v>
      </c>
      <c r="M29" s="1">
        <v>5.3</v>
      </c>
      <c r="P29" s="1">
        <v>8.5999999999999993E-2</v>
      </c>
      <c r="Q29" s="1">
        <v>5.6000000000000001E-2</v>
      </c>
      <c r="R29" s="1">
        <v>0.93600000000000005</v>
      </c>
      <c r="S29" s="17" t="s">
        <v>1346</v>
      </c>
      <c r="T29">
        <v>1</v>
      </c>
      <c r="U29" t="s">
        <v>1383</v>
      </c>
      <c r="V29" s="17">
        <v>0</v>
      </c>
      <c r="W29" t="s">
        <v>5</v>
      </c>
      <c r="X29" t="s">
        <v>5</v>
      </c>
      <c r="Y29" t="s">
        <v>5</v>
      </c>
      <c r="Z29" t="s">
        <v>5</v>
      </c>
      <c r="AA29" t="s">
        <v>5</v>
      </c>
      <c r="AB29" s="17" t="str">
        <f>HYPERLINK("http://exon.niaid.nih.gov/transcriptome/T_rubida/S2/links/netoglyc/TRIRU-58-netoglyc.txt","0")</f>
        <v>0</v>
      </c>
      <c r="AC29">
        <v>13.8</v>
      </c>
      <c r="AD29">
        <v>8.3000000000000007</v>
      </c>
      <c r="AE29">
        <v>1.8</v>
      </c>
      <c r="AF29" s="17" t="s">
        <v>5</v>
      </c>
      <c r="AG29" s="2" t="str">
        <f>HYPERLINK("http://exon.niaid.nih.gov/transcriptome/T_rubida/S2/links/NR/Triru-58-NR.txt","unnamed protein product")</f>
        <v>unnamed protein product</v>
      </c>
      <c r="AH29" t="str">
        <f>HYPERLINK("http://www.ncbi.nlm.nih.gov/sutils/blink.cgi?pid=270046188","3E-031")</f>
        <v>3E-031</v>
      </c>
      <c r="AI29" t="str">
        <f>HYPERLINK("http://www.ncbi.nlm.nih.gov/protein/270046188","gi|270046188")</f>
        <v>gi|270046188</v>
      </c>
      <c r="AJ29">
        <v>138</v>
      </c>
      <c r="AK29">
        <v>106</v>
      </c>
      <c r="AL29">
        <v>197</v>
      </c>
      <c r="AM29">
        <v>59</v>
      </c>
      <c r="AN29">
        <v>54</v>
      </c>
      <c r="AO29" t="s">
        <v>59</v>
      </c>
      <c r="AP29" s="2" t="str">
        <f>HYPERLINK("http://exon.niaid.nih.gov/transcriptome/T_rubida/S2/links/SWISSP/Triru-58-SWISSP.txt","Crustacyanin-A2 subunit")</f>
        <v>Crustacyanin-A2 subunit</v>
      </c>
      <c r="AQ29" t="str">
        <f>HYPERLINK("http://www.uniprot.org/uniprot/P80007","0.10")</f>
        <v>0.10</v>
      </c>
      <c r="AR29" t="s">
        <v>201</v>
      </c>
      <c r="AS29">
        <v>35.4</v>
      </c>
      <c r="AT29">
        <v>56</v>
      </c>
      <c r="AU29">
        <v>174</v>
      </c>
      <c r="AV29">
        <v>31</v>
      </c>
      <c r="AW29">
        <v>33</v>
      </c>
      <c r="AX29">
        <v>39</v>
      </c>
      <c r="AY29">
        <v>3</v>
      </c>
      <c r="AZ29">
        <v>106</v>
      </c>
      <c r="BA29">
        <v>46</v>
      </c>
      <c r="BB29">
        <v>1</v>
      </c>
      <c r="BC29" t="s">
        <v>202</v>
      </c>
      <c r="BD29" s="2" t="s">
        <v>5</v>
      </c>
      <c r="BE29" t="s">
        <v>5</v>
      </c>
      <c r="BF29" t="s">
        <v>5</v>
      </c>
      <c r="BG29" t="s">
        <v>5</v>
      </c>
      <c r="BH29" t="s">
        <v>5</v>
      </c>
      <c r="BI29" s="2" t="str">
        <f>HYPERLINK("http://exon.niaid.nih.gov/transcriptome/T_rubida/S2/links/CDD/Triru-58-CDD.txt","Triabin")</f>
        <v>Triabin</v>
      </c>
      <c r="BJ29" t="str">
        <f>HYPERLINK("http://www.ncbi.nlm.nih.gov/Structure/cdd/cddsrv.cgi?uid=pfam03973&amp;version=v4.0","2E-009")</f>
        <v>2E-009</v>
      </c>
      <c r="BK29" t="s">
        <v>203</v>
      </c>
      <c r="BL29" s="2" t="str">
        <f>HYPERLINK("http://exon.niaid.nih.gov/transcriptome/T_rubida/S2/links/KOG/Triru-58-KOG.txt","Heavy metal exporter HMT1, ABC superfamily")</f>
        <v>Heavy metal exporter HMT1, ABC superfamily</v>
      </c>
      <c r="BM29" t="str">
        <f>HYPERLINK("http://www.ncbi.nlm.nih.gov/COG/grace/shokog.cgi?KOG0056","1.5")</f>
        <v>1.5</v>
      </c>
      <c r="BN29" t="s">
        <v>117</v>
      </c>
      <c r="BO29" s="2" t="str">
        <f>HYPERLINK("http://exon.niaid.nih.gov/transcriptome/T_rubida/S2/links/PFAM/Triru-58-PFAM.txt","Triabin")</f>
        <v>Triabin</v>
      </c>
      <c r="BP29" t="str">
        <f>HYPERLINK("http://pfam.sanger.ac.uk/family?acc=PF03973","4E-010")</f>
        <v>4E-010</v>
      </c>
      <c r="BQ29" s="2" t="str">
        <f>HYPERLINK("http://exon.niaid.nih.gov/transcriptome/T_rubida/S2/links/SMART/Triru-58-SMART.txt","S_TKc")</f>
        <v>S_TKc</v>
      </c>
      <c r="BR29" t="str">
        <f>HYPERLINK("http://smart.embl-heidelberg.de/smart/do_annotation.pl?DOMAIN=S_TKc&amp;BLAST=DUMMY","1.4")</f>
        <v>1.4</v>
      </c>
      <c r="BS29" s="17">
        <f t="shared" si="0"/>
        <v>1</v>
      </c>
      <c r="BT29" s="1">
        <f t="shared" si="1"/>
        <v>359</v>
      </c>
      <c r="BU29" s="17">
        <f t="shared" si="2"/>
        <v>1</v>
      </c>
      <c r="BV29" s="1">
        <f t="shared" si="3"/>
        <v>225</v>
      </c>
      <c r="BW29" s="17">
        <f t="shared" si="4"/>
        <v>2</v>
      </c>
      <c r="BX29" s="1">
        <f t="shared" si="5"/>
        <v>70</v>
      </c>
      <c r="BY29" s="17">
        <f t="shared" si="6"/>
        <v>1</v>
      </c>
      <c r="BZ29" s="1">
        <f t="shared" si="7"/>
        <v>69</v>
      </c>
      <c r="CA29" s="17">
        <f t="shared" si="8"/>
        <v>1</v>
      </c>
      <c r="CB29" s="1">
        <f t="shared" si="9"/>
        <v>69</v>
      </c>
      <c r="CC29" s="17">
        <f>HYPERLINK("http://exon.niaid.nih.gov/transcriptome/T_rubida/S2/links/cluster/Triru-pep-ext50-50-Sim-CLU2.txt", 2)</f>
        <v>2</v>
      </c>
      <c r="CD29" s="1">
        <f>HYPERLINK("http://exon.niaid.nih.gov/transcriptome/T_rubida/S2/links/cluster/Triru-pep-ext50-50-Sim-CLTL2.txt", 23)</f>
        <v>23</v>
      </c>
      <c r="CE29" s="17">
        <f>HYPERLINK("http://exon.niaid.nih.gov/transcriptome/T_rubida/S2/links/cluster/Triru-pep-ext55-50-Sim-CLU2.txt", 2)</f>
        <v>2</v>
      </c>
      <c r="CF29" s="1">
        <f>HYPERLINK("http://exon.niaid.nih.gov/transcriptome/T_rubida/S2/links/cluster/Triru-pep-ext55-50-Sim-CLTL2.txt", 20)</f>
        <v>20</v>
      </c>
      <c r="CG29" s="17">
        <f>HYPERLINK("http://exon.niaid.nih.gov/transcriptome/T_rubida/S2/links/cluster/Triru-pep-ext60-50-Sim-CLU3.txt", 3)</f>
        <v>3</v>
      </c>
      <c r="CH29" s="1">
        <f>HYPERLINK("http://exon.niaid.nih.gov/transcriptome/T_rubida/S2/links/cluster/Triru-pep-ext60-50-Sim-CLTL3.txt", 12)</f>
        <v>12</v>
      </c>
      <c r="CI29" s="17">
        <f>HYPERLINK("http://exon.niaid.nih.gov/transcriptome/T_rubida/S2/links/cluster/Triru-pep-ext65-50-Sim-CLU2.txt", 2)</f>
        <v>2</v>
      </c>
      <c r="CJ29" s="1">
        <f>HYPERLINK("http://exon.niaid.nih.gov/transcriptome/T_rubida/S2/links/cluster/Triru-pep-ext65-50-Sim-CLTL2.txt", 12)</f>
        <v>12</v>
      </c>
      <c r="CK29" s="17">
        <f>HYPERLINK("http://exon.niaid.nih.gov/transcriptome/T_rubida/S2/links/cluster/Triru-pep-ext70-50-Sim-CLU2.txt", 2)</f>
        <v>2</v>
      </c>
      <c r="CL29" s="1">
        <f>HYPERLINK("http://exon.niaid.nih.gov/transcriptome/T_rubida/S2/links/cluster/Triru-pep-ext70-50-Sim-CLTL2.txt", 11)</f>
        <v>11</v>
      </c>
      <c r="CM29" s="17">
        <f>HYPERLINK("http://exon.niaid.nih.gov/transcriptome/T_rubida/S2/links/cluster/Triru-pep-ext75-50-Sim-CLU2.txt", 2)</f>
        <v>2</v>
      </c>
      <c r="CN29" s="1">
        <f>HYPERLINK("http://exon.niaid.nih.gov/transcriptome/T_rubida/S2/links/cluster/Triru-pep-ext75-50-Sim-CLTL2.txt", 11)</f>
        <v>11</v>
      </c>
      <c r="CO29" s="17">
        <f>HYPERLINK("http://exon.niaid.nih.gov/transcriptome/T_rubida/S2/links/cluster/Triru-pep-ext80-50-Sim-CLU2.txt", 2)</f>
        <v>2</v>
      </c>
      <c r="CP29" s="1">
        <f>HYPERLINK("http://exon.niaid.nih.gov/transcriptome/T_rubida/S2/links/cluster/Triru-pep-ext80-50-Sim-CLTL2.txt", 8)</f>
        <v>8</v>
      </c>
      <c r="CQ29" s="17">
        <f>HYPERLINK("http://exon.niaid.nih.gov/transcriptome/T_rubida/S2/links/cluster/Triru-pep-ext85-50-Sim-CLU5.txt", 5)</f>
        <v>5</v>
      </c>
      <c r="CR29" s="1">
        <f>HYPERLINK("http://exon.niaid.nih.gov/transcriptome/T_rubida/S2/links/cluster/Triru-pep-ext85-50-Sim-CLTL5.txt", 4)</f>
        <v>4</v>
      </c>
      <c r="CS29" s="17">
        <f>HYPERLINK("http://exon.niaid.nih.gov/transcriptome/T_rubida/S2/links/cluster/Triru-pep-ext90-50-Sim-CLU8.txt", 8)</f>
        <v>8</v>
      </c>
      <c r="CT29" s="1">
        <f>HYPERLINK("http://exon.niaid.nih.gov/transcriptome/T_rubida/S2/links/cluster/Triru-pep-ext90-50-Sim-CLTL8.txt", 2)</f>
        <v>2</v>
      </c>
      <c r="CU29" s="17">
        <f>HYPERLINK("http://exon.niaid.nih.gov/transcriptome/T_rubida/S2/links/cluster/Triru-pep-ext95-50-Sim-CLU6.txt", 6)</f>
        <v>6</v>
      </c>
      <c r="CV29" s="1">
        <f>HYPERLINK("http://exon.niaid.nih.gov/transcriptome/T_rubida/S2/links/cluster/Triru-pep-ext95-50-Sim-CLTL6.txt", 2)</f>
        <v>2</v>
      </c>
    </row>
    <row r="30" spans="1:100">
      <c r="A30" t="str">
        <f>HYPERLINK("http://exon.niaid.nih.gov/transcriptome/T_rubida/S2/links/pep/Triru-11-pep.txt","Triru-11")</f>
        <v>Triru-11</v>
      </c>
      <c r="B30">
        <v>150</v>
      </c>
      <c r="C30" s="1" t="s">
        <v>6</v>
      </c>
      <c r="D30" s="1" t="s">
        <v>3</v>
      </c>
      <c r="E30" t="str">
        <f>HYPERLINK("http://exon.niaid.nih.gov/transcriptome/T_rubida/S2/links/cds/Triru-11-cds.txt","Triru-11")</f>
        <v>Triru-11</v>
      </c>
      <c r="F30">
        <v>453</v>
      </c>
      <c r="G30" s="2" t="s">
        <v>1890</v>
      </c>
      <c r="H30" s="1">
        <v>6</v>
      </c>
      <c r="I30" s="3" t="s">
        <v>1272</v>
      </c>
      <c r="J30" s="17" t="str">
        <f>HYPERLINK("http://exon.niaid.nih.gov/transcriptome/T_rubida/S2/links/Sigp/Triru-11-SigP.txt","CYT")</f>
        <v>CYT</v>
      </c>
      <c r="K30" t="s">
        <v>5</v>
      </c>
      <c r="L30" s="1">
        <v>16.564</v>
      </c>
      <c r="M30" s="1">
        <v>5.63</v>
      </c>
      <c r="P30" s="1">
        <v>7.0999999999999994E-2</v>
      </c>
      <c r="Q30" s="1">
        <v>5.7000000000000002E-2</v>
      </c>
      <c r="R30" s="1">
        <v>0.94399999999999995</v>
      </c>
      <c r="S30" s="17" t="s">
        <v>1346</v>
      </c>
      <c r="T30">
        <v>1</v>
      </c>
      <c r="U30" t="s">
        <v>1372</v>
      </c>
      <c r="V30" s="17">
        <v>0</v>
      </c>
      <c r="W30" t="s">
        <v>5</v>
      </c>
      <c r="X30" t="s">
        <v>5</v>
      </c>
      <c r="Y30" t="s">
        <v>5</v>
      </c>
      <c r="Z30" t="s">
        <v>5</v>
      </c>
      <c r="AA30" t="s">
        <v>5</v>
      </c>
      <c r="AB30" s="17" t="str">
        <f>HYPERLINK("http://exon.niaid.nih.gov/transcriptome/T_rubida/S2/links/netoglyc/TRIRU-11-netoglyc.txt","7")</f>
        <v>7</v>
      </c>
      <c r="AC30">
        <v>16.7</v>
      </c>
      <c r="AD30">
        <v>8</v>
      </c>
      <c r="AE30">
        <v>4.7</v>
      </c>
      <c r="AF30" s="17" t="s">
        <v>5</v>
      </c>
      <c r="AG30" s="2" t="str">
        <f>HYPERLINK("http://exon.niaid.nih.gov/transcriptome/T_rubida/S2/links/NR/Triru-11-NR.txt","unnamed protein product")</f>
        <v>unnamed protein product</v>
      </c>
      <c r="AH30" t="str">
        <f>HYPERLINK("http://www.ncbi.nlm.nih.gov/sutils/blink.cgi?pid=270046244","8E-037")</f>
        <v>8E-037</v>
      </c>
      <c r="AI30" t="str">
        <f>HYPERLINK("http://www.ncbi.nlm.nih.gov/protein/270046244","gi|270046244")</f>
        <v>gi|270046244</v>
      </c>
      <c r="AJ30">
        <v>156</v>
      </c>
      <c r="AK30">
        <v>145</v>
      </c>
      <c r="AL30">
        <v>177</v>
      </c>
      <c r="AM30">
        <v>54</v>
      </c>
      <c r="AN30">
        <v>82</v>
      </c>
      <c r="AO30" t="s">
        <v>59</v>
      </c>
      <c r="AP30" s="2" t="str">
        <f>HYPERLINK("http://exon.niaid.nih.gov/transcriptome/T_rubida/S2/links/SWISSP/Triru-11-SWISSP.txt","Procalin")</f>
        <v>Procalin</v>
      </c>
      <c r="AQ30" t="str">
        <f>HYPERLINK("http://www.uniprot.org/uniprot/Q9U6R6","3E-023")</f>
        <v>3E-023</v>
      </c>
      <c r="AR30" t="s">
        <v>180</v>
      </c>
      <c r="AS30">
        <v>107</v>
      </c>
      <c r="AT30">
        <v>141</v>
      </c>
      <c r="AU30">
        <v>169</v>
      </c>
      <c r="AV30">
        <v>37</v>
      </c>
      <c r="AW30">
        <v>84</v>
      </c>
      <c r="AX30">
        <v>90</v>
      </c>
      <c r="AY30">
        <v>7</v>
      </c>
      <c r="AZ30">
        <v>27</v>
      </c>
      <c r="BA30">
        <v>12</v>
      </c>
      <c r="BB30">
        <v>1</v>
      </c>
      <c r="BC30" t="s">
        <v>181</v>
      </c>
      <c r="BD30" s="2" t="s">
        <v>5</v>
      </c>
      <c r="BE30" t="s">
        <v>5</v>
      </c>
      <c r="BF30" t="s">
        <v>5</v>
      </c>
      <c r="BG30" t="s">
        <v>5</v>
      </c>
      <c r="BH30" t="s">
        <v>5</v>
      </c>
      <c r="BI30" s="2" t="str">
        <f>HYPERLINK("http://exon.niaid.nih.gov/transcriptome/T_rubida/S2/links/CDD/Triru-11-CDD.txt","Triabin")</f>
        <v>Triabin</v>
      </c>
      <c r="BJ30" t="str">
        <f>HYPERLINK("http://www.ncbi.nlm.nih.gov/Structure/cdd/cddsrv.cgi?uid=pfam03973&amp;version=v4.0","3E-014")</f>
        <v>3E-014</v>
      </c>
      <c r="BK30" t="s">
        <v>648</v>
      </c>
      <c r="BL30" s="2" t="str">
        <f>HYPERLINK("http://exon.niaid.nih.gov/transcriptome/T_rubida/S2/links/KOG/Triru-11-KOG.txt","Sortilin and related receptors")</f>
        <v>Sortilin and related receptors</v>
      </c>
      <c r="BM30" t="str">
        <f>HYPERLINK("http://www.ncbi.nlm.nih.gov/COG/grace/shokog.cgi?KOG3511","0.30")</f>
        <v>0.30</v>
      </c>
      <c r="BN30" t="s">
        <v>96</v>
      </c>
      <c r="BO30" s="2" t="str">
        <f>HYPERLINK("http://exon.niaid.nih.gov/transcriptome/T_rubida/S2/links/PFAM/Triru-11-PFAM.txt","Triabin")</f>
        <v>Triabin</v>
      </c>
      <c r="BP30" t="str">
        <f>HYPERLINK("http://pfam.sanger.ac.uk/family?acc=PF03973","6E-015")</f>
        <v>6E-015</v>
      </c>
      <c r="BQ30" s="2" t="str">
        <f>HYPERLINK("http://exon.niaid.nih.gov/transcriptome/T_rubida/S2/links/SMART/Triru-11-SMART.txt","MCM")</f>
        <v>MCM</v>
      </c>
      <c r="BR30" t="str">
        <f>HYPERLINK("http://smart.embl-heidelberg.de/smart/do_annotation.pl?DOMAIN=MCM&amp;BLAST=DUMMY","0.48")</f>
        <v>0.48</v>
      </c>
      <c r="BS30" s="17">
        <f t="shared" si="0"/>
        <v>1</v>
      </c>
      <c r="BT30" s="1">
        <f t="shared" si="1"/>
        <v>359</v>
      </c>
      <c r="BU30" s="17">
        <f t="shared" si="2"/>
        <v>1</v>
      </c>
      <c r="BV30" s="1">
        <f t="shared" si="3"/>
        <v>225</v>
      </c>
      <c r="BW30" s="17">
        <f t="shared" si="4"/>
        <v>2</v>
      </c>
      <c r="BX30" s="1">
        <f t="shared" si="5"/>
        <v>70</v>
      </c>
      <c r="BY30" s="17">
        <f t="shared" si="6"/>
        <v>1</v>
      </c>
      <c r="BZ30" s="1">
        <f t="shared" si="7"/>
        <v>69</v>
      </c>
      <c r="CA30" s="17">
        <f t="shared" si="8"/>
        <v>1</v>
      </c>
      <c r="CB30" s="1">
        <f t="shared" si="9"/>
        <v>69</v>
      </c>
      <c r="CC30" s="17">
        <f t="shared" ref="CC30:CC42" si="10">HYPERLINK("http://exon.niaid.nih.gov/transcriptome/T_rubida/S2/links/cluster/Triru-pep-ext50-50-Sim-CLU1.txt", 1)</f>
        <v>1</v>
      </c>
      <c r="CD30" s="1">
        <f t="shared" ref="CD30:CD42" si="11">HYPERLINK("http://exon.niaid.nih.gov/transcriptome/T_rubida/S2/links/cluster/Triru-pep-ext50-50-Sim-CLTL1.txt", 45)</f>
        <v>45</v>
      </c>
      <c r="CE30" s="17">
        <f t="shared" ref="CE30:CE42" si="12">HYPERLINK("http://exon.niaid.nih.gov/transcriptome/T_rubida/S2/links/cluster/Triru-pep-ext55-50-Sim-CLU1.txt", 1)</f>
        <v>1</v>
      </c>
      <c r="CF30" s="1">
        <f t="shared" ref="CF30:CF42" si="13">HYPERLINK("http://exon.niaid.nih.gov/transcriptome/T_rubida/S2/links/cluster/Triru-pep-ext55-50-Sim-CLTL1.txt", 45)</f>
        <v>45</v>
      </c>
      <c r="CG30" s="17">
        <f>HYPERLINK("http://exon.niaid.nih.gov/transcriptome/T_rubida/S2/links/cluster/Triru-pep-ext60-50-Sim-CLU1.txt", 1)</f>
        <v>1</v>
      </c>
      <c r="CH30" s="1">
        <f>HYPERLINK("http://exon.niaid.nih.gov/transcriptome/T_rubida/S2/links/cluster/Triru-pep-ext60-50-Sim-CLTL1.txt", 35)</f>
        <v>35</v>
      </c>
      <c r="CI30" s="17">
        <f>HYPERLINK("http://exon.niaid.nih.gov/transcriptome/T_rubida/S2/links/cluster/Triru-pep-ext65-50-Sim-CLU1.txt", 1)</f>
        <v>1</v>
      </c>
      <c r="CJ30" s="1">
        <f>HYPERLINK("http://exon.niaid.nih.gov/transcriptome/T_rubida/S2/links/cluster/Triru-pep-ext65-50-Sim-CLTL1.txt", 30)</f>
        <v>30</v>
      </c>
      <c r="CK30" s="17">
        <f>HYPERLINK("http://exon.niaid.nih.gov/transcriptome/T_rubida/S2/links/cluster/Triru-pep-ext70-50-Sim-CLU1.txt", 1)</f>
        <v>1</v>
      </c>
      <c r="CL30" s="1">
        <f>HYPERLINK("http://exon.niaid.nih.gov/transcriptome/T_rubida/S2/links/cluster/Triru-pep-ext70-50-Sim-CLTL1.txt", 28)</f>
        <v>28</v>
      </c>
      <c r="CM30" s="17">
        <f>HYPERLINK("http://exon.niaid.nih.gov/transcriptome/T_rubida/S2/links/cluster/Triru-pep-ext75-50-Sim-CLU1.txt", 1)</f>
        <v>1</v>
      </c>
      <c r="CN30" s="1">
        <f>HYPERLINK("http://exon.niaid.nih.gov/transcriptome/T_rubida/S2/links/cluster/Triru-pep-ext75-50-Sim-CLTL1.txt", 23)</f>
        <v>23</v>
      </c>
      <c r="CO30" s="17">
        <f>HYPERLINK("http://exon.niaid.nih.gov/transcriptome/T_rubida/S2/links/cluster/Triru-pep-ext80-50-Sim-CLU1.txt", 1)</f>
        <v>1</v>
      </c>
      <c r="CP30" s="1">
        <f>HYPERLINK("http://exon.niaid.nih.gov/transcriptome/T_rubida/S2/links/cluster/Triru-pep-ext80-50-Sim-CLTL1.txt", 23)</f>
        <v>23</v>
      </c>
      <c r="CQ30" s="17">
        <f>HYPERLINK("http://exon.niaid.nih.gov/transcriptome/T_rubida/S2/links/cluster/Triru-pep-ext85-50-Sim-CLU1.txt", 1)</f>
        <v>1</v>
      </c>
      <c r="CR30" s="1">
        <f>HYPERLINK("http://exon.niaid.nih.gov/transcriptome/T_rubida/S2/links/cluster/Triru-pep-ext85-50-Sim-CLTL1.txt", 15)</f>
        <v>15</v>
      </c>
      <c r="CS30" s="17">
        <f>HYPERLINK("http://exon.niaid.nih.gov/transcriptome/T_rubida/S2/links/cluster/Triru-pep-ext90-50-Sim-CLU1.txt", 1)</f>
        <v>1</v>
      </c>
      <c r="CT30" s="1">
        <f>HYPERLINK("http://exon.niaid.nih.gov/transcriptome/T_rubida/S2/links/cluster/Triru-pep-ext90-50-Sim-CLTL1.txt", 13)</f>
        <v>13</v>
      </c>
      <c r="CU30" s="17">
        <f>HYPERLINK("http://exon.niaid.nih.gov/transcriptome/T_rubida/S2/links/cluster/Triru-pep-ext95-50-Sim-CLU5.txt", 5)</f>
        <v>5</v>
      </c>
      <c r="CV30" s="1">
        <f>HYPERLINK("http://exon.niaid.nih.gov/transcriptome/T_rubida/S2/links/cluster/Triru-pep-ext95-50-Sim-CLTL5.txt", 2)</f>
        <v>2</v>
      </c>
    </row>
    <row r="31" spans="1:100">
      <c r="A31" t="str">
        <f>HYPERLINK("http://exon.niaid.nih.gov/transcriptome/T_rubida/S2/links/pep/Triru-96-pep.txt","Triru-96")</f>
        <v>Triru-96</v>
      </c>
      <c r="B31">
        <v>105</v>
      </c>
      <c r="C31" s="1" t="s">
        <v>4</v>
      </c>
      <c r="D31" s="1" t="s">
        <v>3</v>
      </c>
      <c r="E31" t="str">
        <f>HYPERLINK("http://exon.niaid.nih.gov/transcriptome/T_rubida/S2/links/cds/Triru-96-cds.txt","Triru-96")</f>
        <v>Triru-96</v>
      </c>
      <c r="F31">
        <v>318</v>
      </c>
      <c r="G31" s="2" t="s">
        <v>1890</v>
      </c>
      <c r="H31" s="1">
        <v>6</v>
      </c>
      <c r="I31" s="3" t="s">
        <v>1272</v>
      </c>
      <c r="J31" s="17" t="str">
        <f>HYPERLINK("http://exon.niaid.nih.gov/transcriptome/T_rubida/S2/links/Sigp/Triru-96-SigP.txt","CYT")</f>
        <v>CYT</v>
      </c>
      <c r="K31" t="s">
        <v>5</v>
      </c>
      <c r="L31" s="1">
        <v>11.574999999999999</v>
      </c>
      <c r="M31" s="1">
        <v>4.6399999999999997</v>
      </c>
      <c r="P31" s="1">
        <v>0.1</v>
      </c>
      <c r="Q31" s="1">
        <v>5.2999999999999999E-2</v>
      </c>
      <c r="R31" s="1">
        <v>0.92200000000000004</v>
      </c>
      <c r="S31" s="17" t="s">
        <v>1346</v>
      </c>
      <c r="T31">
        <v>1</v>
      </c>
      <c r="U31" t="s">
        <v>1350</v>
      </c>
      <c r="V31" s="17">
        <v>0</v>
      </c>
      <c r="W31" t="s">
        <v>5</v>
      </c>
      <c r="X31" t="s">
        <v>5</v>
      </c>
      <c r="Y31" t="s">
        <v>5</v>
      </c>
      <c r="Z31" t="s">
        <v>5</v>
      </c>
      <c r="AA31" t="s">
        <v>5</v>
      </c>
      <c r="AB31" s="17" t="str">
        <f>HYPERLINK("http://exon.niaid.nih.gov/transcriptome/T_rubida/S2/links/netoglyc/TRIRU-96-netoglyc.txt","0")</f>
        <v>0</v>
      </c>
      <c r="AC31">
        <v>16.2</v>
      </c>
      <c r="AD31">
        <v>8.6</v>
      </c>
      <c r="AE31">
        <v>3.8</v>
      </c>
      <c r="AF31" s="17" t="s">
        <v>5</v>
      </c>
      <c r="AG31" s="2" t="str">
        <f>HYPERLINK("http://exon.niaid.nih.gov/transcriptome/T_rubida/S2/links/NR/Triru-96-NR.txt","unnamed protein product")</f>
        <v>unnamed protein product</v>
      </c>
      <c r="AH31" t="str">
        <f>HYPERLINK("http://www.ncbi.nlm.nih.gov/sutils/blink.cgi?pid=270046158","2E-018")</f>
        <v>2E-018</v>
      </c>
      <c r="AI31" t="str">
        <f>HYPERLINK("http://www.ncbi.nlm.nih.gov/protein/270046158","gi|270046158")</f>
        <v>gi|270046158</v>
      </c>
      <c r="AJ31">
        <v>95.9</v>
      </c>
      <c r="AK31">
        <v>107</v>
      </c>
      <c r="AL31">
        <v>174</v>
      </c>
      <c r="AM31">
        <v>48</v>
      </c>
      <c r="AN31">
        <v>62</v>
      </c>
      <c r="AO31" t="s">
        <v>59</v>
      </c>
      <c r="AP31" s="2" t="str">
        <f>HYPERLINK("http://exon.niaid.nih.gov/transcriptome/T_rubida/S2/links/SWISSP/Triru-96-SWISSP.txt","Procalin")</f>
        <v>Procalin</v>
      </c>
      <c r="AQ31" t="str">
        <f>HYPERLINK("http://www.uniprot.org/uniprot/Q9U6R6","8E-012")</f>
        <v>8E-012</v>
      </c>
      <c r="AR31" t="s">
        <v>180</v>
      </c>
      <c r="AS31">
        <v>68.900000000000006</v>
      </c>
      <c r="AT31">
        <v>108</v>
      </c>
      <c r="AU31">
        <v>169</v>
      </c>
      <c r="AV31">
        <v>34</v>
      </c>
      <c r="AW31">
        <v>64</v>
      </c>
      <c r="AX31">
        <v>71</v>
      </c>
      <c r="AY31">
        <v>6</v>
      </c>
      <c r="AZ31">
        <v>60</v>
      </c>
      <c r="BA31">
        <v>1</v>
      </c>
      <c r="BB31">
        <v>1</v>
      </c>
      <c r="BC31" t="s">
        <v>181</v>
      </c>
      <c r="BD31" s="2" t="s">
        <v>5</v>
      </c>
      <c r="BE31" t="s">
        <v>5</v>
      </c>
      <c r="BF31" t="s">
        <v>5</v>
      </c>
      <c r="BG31" t="s">
        <v>5</v>
      </c>
      <c r="BH31" t="s">
        <v>5</v>
      </c>
      <c r="BI31" s="2" t="str">
        <f>HYPERLINK("http://exon.niaid.nih.gov/transcriptome/T_rubida/S2/links/CDD/Triru-96-CDD.txt","Triabin")</f>
        <v>Triabin</v>
      </c>
      <c r="BJ31" t="str">
        <f>HYPERLINK("http://www.ncbi.nlm.nih.gov/Structure/cdd/cddsrv.cgi?uid=pfam03973&amp;version=v4.0","2E-006")</f>
        <v>2E-006</v>
      </c>
      <c r="BK31" t="s">
        <v>197</v>
      </c>
      <c r="BL31" s="2" t="str">
        <f>HYPERLINK("http://exon.niaid.nih.gov/transcriptome/T_rubida/S2/links/KOG/Triru-96-KOG.txt","Translation initiation factor 3, subunit c (eIF-3c)")</f>
        <v>Translation initiation factor 3, subunit c (eIF-3c)</v>
      </c>
      <c r="BM31" t="str">
        <f>HYPERLINK("http://www.ncbi.nlm.nih.gov/COG/grace/shokog.cgi?KOG1076","0.91")</f>
        <v>0.91</v>
      </c>
      <c r="BN31" t="s">
        <v>84</v>
      </c>
      <c r="BO31" s="2" t="str">
        <f>HYPERLINK("http://exon.niaid.nih.gov/transcriptome/T_rubida/S2/links/PFAM/Triru-96-PFAM.txt","Triabin")</f>
        <v>Triabin</v>
      </c>
      <c r="BP31" t="str">
        <f>HYPERLINK("http://pfam.sanger.ac.uk/family?acc=PF03973","3E-007")</f>
        <v>3E-007</v>
      </c>
      <c r="BQ31" s="2" t="str">
        <f>HYPERLINK("http://exon.niaid.nih.gov/transcriptome/T_rubida/S2/links/SMART/Triru-96-SMART.txt","Glyco_32")</f>
        <v>Glyco_32</v>
      </c>
      <c r="BR31" t="str">
        <f>HYPERLINK("http://smart.embl-heidelberg.de/smart/do_annotation.pl?DOMAIN=Glyco_32&amp;BLAST=DUMMY","2.1")</f>
        <v>2.1</v>
      </c>
      <c r="BS31" s="17">
        <f t="shared" si="0"/>
        <v>1</v>
      </c>
      <c r="BT31" s="1">
        <f t="shared" si="1"/>
        <v>359</v>
      </c>
      <c r="BU31" s="17">
        <f t="shared" si="2"/>
        <v>1</v>
      </c>
      <c r="BV31" s="1">
        <f t="shared" si="3"/>
        <v>225</v>
      </c>
      <c r="BW31" s="17">
        <f t="shared" si="4"/>
        <v>2</v>
      </c>
      <c r="BX31" s="1">
        <f t="shared" si="5"/>
        <v>70</v>
      </c>
      <c r="BY31" s="17">
        <f t="shared" si="6"/>
        <v>1</v>
      </c>
      <c r="BZ31" s="1">
        <f t="shared" si="7"/>
        <v>69</v>
      </c>
      <c r="CA31" s="17">
        <f t="shared" si="8"/>
        <v>1</v>
      </c>
      <c r="CB31" s="1">
        <f t="shared" si="9"/>
        <v>69</v>
      </c>
      <c r="CC31" s="17">
        <f t="shared" si="10"/>
        <v>1</v>
      </c>
      <c r="CD31" s="1">
        <f t="shared" si="11"/>
        <v>45</v>
      </c>
      <c r="CE31" s="17">
        <f t="shared" si="12"/>
        <v>1</v>
      </c>
      <c r="CF31" s="1">
        <f t="shared" si="13"/>
        <v>45</v>
      </c>
      <c r="CG31" s="17">
        <f>HYPERLINK("http://exon.niaid.nih.gov/transcriptome/T_rubida/S2/links/cluster/Triru-pep-ext60-50-Sim-CLU1.txt", 1)</f>
        <v>1</v>
      </c>
      <c r="CH31" s="1">
        <f>HYPERLINK("http://exon.niaid.nih.gov/transcriptome/T_rubida/S2/links/cluster/Triru-pep-ext60-50-Sim-CLTL1.txt", 35)</f>
        <v>35</v>
      </c>
      <c r="CI31" s="17">
        <v>48</v>
      </c>
      <c r="CJ31" s="1">
        <v>1</v>
      </c>
      <c r="CK31" s="17">
        <v>52</v>
      </c>
      <c r="CL31" s="1">
        <v>1</v>
      </c>
      <c r="CM31" s="17">
        <v>56</v>
      </c>
      <c r="CN31" s="1">
        <v>1</v>
      </c>
      <c r="CO31" s="17">
        <v>64</v>
      </c>
      <c r="CP31" s="1">
        <v>1</v>
      </c>
      <c r="CQ31" s="17">
        <v>74</v>
      </c>
      <c r="CR31" s="1">
        <v>1</v>
      </c>
      <c r="CS31" s="17">
        <v>79</v>
      </c>
      <c r="CT31" s="1">
        <v>1</v>
      </c>
      <c r="CU31" s="17">
        <v>90</v>
      </c>
      <c r="CV31" s="1">
        <v>1</v>
      </c>
    </row>
    <row r="32" spans="1:100">
      <c r="A32" t="str">
        <f>HYPERLINK("http://exon.niaid.nih.gov/transcriptome/T_rubida/S2/links/pep/Triru-12-pep.txt","Triru-12")</f>
        <v>Triru-12</v>
      </c>
      <c r="B32">
        <v>154</v>
      </c>
      <c r="C32" s="1" t="s">
        <v>6</v>
      </c>
      <c r="D32" s="1" t="s">
        <v>3</v>
      </c>
      <c r="E32" t="str">
        <f>HYPERLINK("http://exon.niaid.nih.gov/transcriptome/T_rubida/S2/links/cds/Triru-12-cds.txt","Triru-12")</f>
        <v>Triru-12</v>
      </c>
      <c r="F32">
        <v>465</v>
      </c>
      <c r="G32" s="2" t="s">
        <v>1890</v>
      </c>
      <c r="H32" s="1">
        <v>5</v>
      </c>
      <c r="I32" s="3" t="s">
        <v>1272</v>
      </c>
      <c r="J32" s="17" t="str">
        <f>HYPERLINK("http://exon.niaid.nih.gov/transcriptome/T_rubida/S2/links/Sigp/Triru-12-SigP.txt","CYT")</f>
        <v>CYT</v>
      </c>
      <c r="K32" t="s">
        <v>5</v>
      </c>
      <c r="L32" s="1">
        <v>16.992999999999999</v>
      </c>
      <c r="M32" s="1">
        <v>5.63</v>
      </c>
      <c r="P32" s="1">
        <v>8.8999999999999996E-2</v>
      </c>
      <c r="Q32" s="1">
        <v>7.3999999999999996E-2</v>
      </c>
      <c r="R32" s="1">
        <v>0.90300000000000002</v>
      </c>
      <c r="S32" s="17" t="s">
        <v>1346</v>
      </c>
      <c r="T32">
        <v>1</v>
      </c>
      <c r="U32" t="s">
        <v>1373</v>
      </c>
      <c r="V32" s="17">
        <v>0</v>
      </c>
      <c r="W32" t="s">
        <v>5</v>
      </c>
      <c r="X32" t="s">
        <v>5</v>
      </c>
      <c r="Y32" t="s">
        <v>5</v>
      </c>
      <c r="Z32" t="s">
        <v>5</v>
      </c>
      <c r="AA32" t="s">
        <v>5</v>
      </c>
      <c r="AB32" s="17" t="str">
        <f>HYPERLINK("http://exon.niaid.nih.gov/transcriptome/T_rubida/S2/links/netoglyc/TRIRU-12-netoglyc.txt","6")</f>
        <v>6</v>
      </c>
      <c r="AC32">
        <v>16.899999999999999</v>
      </c>
      <c r="AD32">
        <v>7.8</v>
      </c>
      <c r="AE32">
        <v>4.5</v>
      </c>
      <c r="AF32" s="17" t="s">
        <v>5</v>
      </c>
      <c r="AG32" s="2" t="str">
        <f>HYPERLINK("http://exon.niaid.nih.gov/transcriptome/T_rubida/S2/links/NR/Triru-12-NR.txt","unnamed protein product")</f>
        <v>unnamed protein product</v>
      </c>
      <c r="AH32" t="str">
        <f>HYPERLINK("http://www.ncbi.nlm.nih.gov/sutils/blink.cgi?pid=270046244","8E-037")</f>
        <v>8E-037</v>
      </c>
      <c r="AI32" t="str">
        <f>HYPERLINK("http://www.ncbi.nlm.nih.gov/protein/270046244","gi|270046244")</f>
        <v>gi|270046244</v>
      </c>
      <c r="AJ32">
        <v>156</v>
      </c>
      <c r="AK32">
        <v>145</v>
      </c>
      <c r="AL32">
        <v>177</v>
      </c>
      <c r="AM32">
        <v>54</v>
      </c>
      <c r="AN32">
        <v>82</v>
      </c>
      <c r="AO32" t="s">
        <v>59</v>
      </c>
      <c r="AP32" s="2" t="str">
        <f>HYPERLINK("http://exon.niaid.nih.gov/transcriptome/T_rubida/S2/links/SWISSP/Triru-12-SWISSP.txt","Procalin")</f>
        <v>Procalin</v>
      </c>
      <c r="AQ32" t="str">
        <f>HYPERLINK("http://www.uniprot.org/uniprot/Q9U6R6","3E-023")</f>
        <v>3E-023</v>
      </c>
      <c r="AR32" t="s">
        <v>180</v>
      </c>
      <c r="AS32">
        <v>107</v>
      </c>
      <c r="AT32">
        <v>141</v>
      </c>
      <c r="AU32">
        <v>169</v>
      </c>
      <c r="AV32">
        <v>37</v>
      </c>
      <c r="AW32">
        <v>84</v>
      </c>
      <c r="AX32">
        <v>90</v>
      </c>
      <c r="AY32">
        <v>7</v>
      </c>
      <c r="AZ32">
        <v>27</v>
      </c>
      <c r="BA32">
        <v>16</v>
      </c>
      <c r="BB32">
        <v>1</v>
      </c>
      <c r="BC32" t="s">
        <v>181</v>
      </c>
      <c r="BD32" s="2" t="s">
        <v>5</v>
      </c>
      <c r="BE32" t="s">
        <v>5</v>
      </c>
      <c r="BF32" t="s">
        <v>5</v>
      </c>
      <c r="BG32" t="s">
        <v>5</v>
      </c>
      <c r="BH32" t="s">
        <v>5</v>
      </c>
      <c r="BI32" s="2" t="str">
        <f>HYPERLINK("http://exon.niaid.nih.gov/transcriptome/T_rubida/S2/links/CDD/Triru-12-CDD.txt","Triabin")</f>
        <v>Triabin</v>
      </c>
      <c r="BJ32" t="str">
        <f>HYPERLINK("http://www.ncbi.nlm.nih.gov/Structure/cdd/cddsrv.cgi?uid=pfam03973&amp;version=v4.0","2E-014")</f>
        <v>2E-014</v>
      </c>
      <c r="BK32" t="s">
        <v>654</v>
      </c>
      <c r="BL32" s="2" t="str">
        <f>HYPERLINK("http://exon.niaid.nih.gov/transcriptome/T_rubida/S2/links/KOG/Triru-12-KOG.txt","Sortilin and related receptors")</f>
        <v>Sortilin and related receptors</v>
      </c>
      <c r="BM32" t="str">
        <f>HYPERLINK("http://www.ncbi.nlm.nih.gov/COG/grace/shokog.cgi?KOG3511","0.28")</f>
        <v>0.28</v>
      </c>
      <c r="BN32" t="s">
        <v>96</v>
      </c>
      <c r="BO32" s="2" t="str">
        <f>HYPERLINK("http://exon.niaid.nih.gov/transcriptome/T_rubida/S2/links/PFAM/Triru-12-PFAM.txt","Triabin")</f>
        <v>Triabin</v>
      </c>
      <c r="BP32" t="str">
        <f>HYPERLINK("http://pfam.sanger.ac.uk/family?acc=PF03973","4E-015")</f>
        <v>4E-015</v>
      </c>
      <c r="BQ32" s="2" t="str">
        <f>HYPERLINK("http://exon.niaid.nih.gov/transcriptome/T_rubida/S2/links/SMART/Triru-12-SMART.txt","MCM")</f>
        <v>MCM</v>
      </c>
      <c r="BR32" t="str">
        <f>HYPERLINK("http://smart.embl-heidelberg.de/smart/do_annotation.pl?DOMAIN=MCM&amp;BLAST=DUMMY","0.52")</f>
        <v>0.52</v>
      </c>
      <c r="BS32" s="17">
        <f t="shared" si="0"/>
        <v>1</v>
      </c>
      <c r="BT32" s="1">
        <f t="shared" si="1"/>
        <v>359</v>
      </c>
      <c r="BU32" s="17">
        <f t="shared" si="2"/>
        <v>1</v>
      </c>
      <c r="BV32" s="1">
        <f t="shared" si="3"/>
        <v>225</v>
      </c>
      <c r="BW32" s="17">
        <f t="shared" si="4"/>
        <v>2</v>
      </c>
      <c r="BX32" s="1">
        <f t="shared" si="5"/>
        <v>70</v>
      </c>
      <c r="BY32" s="17">
        <f t="shared" si="6"/>
        <v>1</v>
      </c>
      <c r="BZ32" s="1">
        <f t="shared" si="7"/>
        <v>69</v>
      </c>
      <c r="CA32" s="17">
        <f t="shared" si="8"/>
        <v>1</v>
      </c>
      <c r="CB32" s="1">
        <f t="shared" si="9"/>
        <v>69</v>
      </c>
      <c r="CC32" s="17">
        <f t="shared" si="10"/>
        <v>1</v>
      </c>
      <c r="CD32" s="1">
        <f t="shared" si="11"/>
        <v>45</v>
      </c>
      <c r="CE32" s="17">
        <f t="shared" si="12"/>
        <v>1</v>
      </c>
      <c r="CF32" s="1">
        <f t="shared" si="13"/>
        <v>45</v>
      </c>
      <c r="CG32" s="17">
        <f>HYPERLINK("http://exon.niaid.nih.gov/transcriptome/T_rubida/S2/links/cluster/Triru-pep-ext60-50-Sim-CLU1.txt", 1)</f>
        <v>1</v>
      </c>
      <c r="CH32" s="1">
        <f>HYPERLINK("http://exon.niaid.nih.gov/transcriptome/T_rubida/S2/links/cluster/Triru-pep-ext60-50-Sim-CLTL1.txt", 35)</f>
        <v>35</v>
      </c>
      <c r="CI32" s="17">
        <f>HYPERLINK("http://exon.niaid.nih.gov/transcriptome/T_rubida/S2/links/cluster/Triru-pep-ext65-50-Sim-CLU1.txt", 1)</f>
        <v>1</v>
      </c>
      <c r="CJ32" s="1">
        <f>HYPERLINK("http://exon.niaid.nih.gov/transcriptome/T_rubida/S2/links/cluster/Triru-pep-ext65-50-Sim-CLTL1.txt", 30)</f>
        <v>30</v>
      </c>
      <c r="CK32" s="17">
        <f>HYPERLINK("http://exon.niaid.nih.gov/transcriptome/T_rubida/S2/links/cluster/Triru-pep-ext70-50-Sim-CLU1.txt", 1)</f>
        <v>1</v>
      </c>
      <c r="CL32" s="1">
        <f>HYPERLINK("http://exon.niaid.nih.gov/transcriptome/T_rubida/S2/links/cluster/Triru-pep-ext70-50-Sim-CLTL1.txt", 28)</f>
        <v>28</v>
      </c>
      <c r="CM32" s="17">
        <f>HYPERLINK("http://exon.niaid.nih.gov/transcriptome/T_rubida/S2/links/cluster/Triru-pep-ext75-50-Sim-CLU1.txt", 1)</f>
        <v>1</v>
      </c>
      <c r="CN32" s="1">
        <f>HYPERLINK("http://exon.niaid.nih.gov/transcriptome/T_rubida/S2/links/cluster/Triru-pep-ext75-50-Sim-CLTL1.txt", 23)</f>
        <v>23</v>
      </c>
      <c r="CO32" s="17">
        <f>HYPERLINK("http://exon.niaid.nih.gov/transcriptome/T_rubida/S2/links/cluster/Triru-pep-ext80-50-Sim-CLU1.txt", 1)</f>
        <v>1</v>
      </c>
      <c r="CP32" s="1">
        <f>HYPERLINK("http://exon.niaid.nih.gov/transcriptome/T_rubida/S2/links/cluster/Triru-pep-ext80-50-Sim-CLTL1.txt", 23)</f>
        <v>23</v>
      </c>
      <c r="CQ32" s="17">
        <f>HYPERLINK("http://exon.niaid.nih.gov/transcriptome/T_rubida/S2/links/cluster/Triru-pep-ext85-50-Sim-CLU1.txt", 1)</f>
        <v>1</v>
      </c>
      <c r="CR32" s="1">
        <f>HYPERLINK("http://exon.niaid.nih.gov/transcriptome/T_rubida/S2/links/cluster/Triru-pep-ext85-50-Sim-CLTL1.txt", 15)</f>
        <v>15</v>
      </c>
      <c r="CS32" s="17">
        <f>HYPERLINK("http://exon.niaid.nih.gov/transcriptome/T_rubida/S2/links/cluster/Triru-pep-ext90-50-Sim-CLU1.txt", 1)</f>
        <v>1</v>
      </c>
      <c r="CT32" s="1">
        <f>HYPERLINK("http://exon.niaid.nih.gov/transcriptome/T_rubida/S2/links/cluster/Triru-pep-ext90-50-Sim-CLTL1.txt", 13)</f>
        <v>13</v>
      </c>
      <c r="CU32" s="17">
        <f>HYPERLINK("http://exon.niaid.nih.gov/transcriptome/T_rubida/S2/links/cluster/Triru-pep-ext95-50-Sim-CLU5.txt", 5)</f>
        <v>5</v>
      </c>
      <c r="CV32" s="1">
        <f>HYPERLINK("http://exon.niaid.nih.gov/transcriptome/T_rubida/S2/links/cluster/Triru-pep-ext95-50-Sim-CLTL5.txt", 2)</f>
        <v>2</v>
      </c>
    </row>
    <row r="33" spans="1:100">
      <c r="A33" t="str">
        <f>HYPERLINK("http://exon.niaid.nih.gov/transcriptome/T_rubida/S2/links/pep/Triru-77-pep.txt","Triru-77")</f>
        <v>Triru-77</v>
      </c>
      <c r="B33">
        <v>147</v>
      </c>
      <c r="C33" s="1" t="s">
        <v>9</v>
      </c>
      <c r="D33" s="1" t="s">
        <v>3</v>
      </c>
      <c r="E33" t="str">
        <f>HYPERLINK("http://exon.niaid.nih.gov/transcriptome/T_rubida/S2/links/cds/Triru-77-cds.txt","Triru-77")</f>
        <v>Triru-77</v>
      </c>
      <c r="F33">
        <v>444</v>
      </c>
      <c r="G33" s="2" t="s">
        <v>1890</v>
      </c>
      <c r="H33" s="1">
        <v>5</v>
      </c>
      <c r="I33" s="3" t="s">
        <v>1272</v>
      </c>
      <c r="J33" s="17" t="str">
        <f>HYPERLINK("http://exon.niaid.nih.gov/transcriptome/T_rubida/S2/links/Sigp/Triru-77-SigP.txt","CYT")</f>
        <v>CYT</v>
      </c>
      <c r="K33" t="s">
        <v>5</v>
      </c>
      <c r="L33" s="1">
        <v>16.596</v>
      </c>
      <c r="M33" s="1">
        <v>6.55</v>
      </c>
      <c r="P33" s="1">
        <v>0.17299999999999999</v>
      </c>
      <c r="Q33" s="1">
        <v>7.0000000000000007E-2</v>
      </c>
      <c r="R33" s="1">
        <v>0.76100000000000001</v>
      </c>
      <c r="S33" s="17" t="s">
        <v>1346</v>
      </c>
      <c r="T33">
        <v>3</v>
      </c>
      <c r="U33" t="s">
        <v>1350</v>
      </c>
      <c r="V33" s="17">
        <v>0</v>
      </c>
      <c r="W33" t="s">
        <v>5</v>
      </c>
      <c r="X33" t="s">
        <v>5</v>
      </c>
      <c r="Y33" t="s">
        <v>5</v>
      </c>
      <c r="Z33" t="s">
        <v>5</v>
      </c>
      <c r="AA33" t="s">
        <v>5</v>
      </c>
      <c r="AB33" s="17" t="str">
        <f>HYPERLINK("http://exon.niaid.nih.gov/transcriptome/T_rubida/S2/links/netoglyc/TRIRU-77-netoglyc.txt","0")</f>
        <v>0</v>
      </c>
      <c r="AC33">
        <v>23.8</v>
      </c>
      <c r="AD33">
        <v>6.1</v>
      </c>
      <c r="AE33">
        <v>2.7</v>
      </c>
      <c r="AF33" s="17" t="s">
        <v>5</v>
      </c>
      <c r="AG33" s="2" t="str">
        <f>HYPERLINK("http://exon.niaid.nih.gov/transcriptome/T_rubida/S2/links/NR/Triru-77-NR.txt","salivary lipocalin")</f>
        <v>salivary lipocalin</v>
      </c>
      <c r="AH33" t="str">
        <f>HYPERLINK("http://www.ncbi.nlm.nih.gov/sutils/blink.cgi?pid=116267183","7E-039")</f>
        <v>7E-039</v>
      </c>
      <c r="AI33" t="str">
        <f>HYPERLINK("http://www.ncbi.nlm.nih.gov/protein/116267183","gi|116267183")</f>
        <v>gi|116267183</v>
      </c>
      <c r="AJ33">
        <v>163</v>
      </c>
      <c r="AK33">
        <v>143</v>
      </c>
      <c r="AL33">
        <v>147</v>
      </c>
      <c r="AM33">
        <v>52</v>
      </c>
      <c r="AN33">
        <v>98</v>
      </c>
      <c r="AO33" t="s">
        <v>236</v>
      </c>
      <c r="AP33" s="2" t="str">
        <f>HYPERLINK("http://exon.niaid.nih.gov/transcriptome/T_rubida/S2/links/SWISSP/Triru-77-SWISSP.txt","Procalin")</f>
        <v>Procalin</v>
      </c>
      <c r="AQ33" t="str">
        <f>HYPERLINK("http://www.uniprot.org/uniprot/Q9U6R6","3E-022")</f>
        <v>3E-022</v>
      </c>
      <c r="AR33" t="s">
        <v>180</v>
      </c>
      <c r="AS33">
        <v>103</v>
      </c>
      <c r="AT33">
        <v>141</v>
      </c>
      <c r="AU33">
        <v>169</v>
      </c>
      <c r="AV33">
        <v>36</v>
      </c>
      <c r="AW33">
        <v>84</v>
      </c>
      <c r="AX33">
        <v>90</v>
      </c>
      <c r="AY33">
        <v>3</v>
      </c>
      <c r="AZ33">
        <v>27</v>
      </c>
      <c r="BA33">
        <v>1</v>
      </c>
      <c r="BB33">
        <v>1</v>
      </c>
      <c r="BC33" t="s">
        <v>181</v>
      </c>
      <c r="BD33" s="2" t="s">
        <v>5</v>
      </c>
      <c r="BE33" t="s">
        <v>5</v>
      </c>
      <c r="BF33" t="s">
        <v>5</v>
      </c>
      <c r="BG33" t="s">
        <v>5</v>
      </c>
      <c r="BH33" t="s">
        <v>5</v>
      </c>
      <c r="BI33" s="2" t="str">
        <f>HYPERLINK("http://exon.niaid.nih.gov/transcriptome/T_rubida/S2/links/CDD/Triru-77-CDD.txt","Triabin")</f>
        <v>Triabin</v>
      </c>
      <c r="BJ33" t="str">
        <f>HYPERLINK("http://www.ncbi.nlm.nih.gov/Structure/cdd/cddsrv.cgi?uid=pfam03973&amp;version=v4.0","2E-020")</f>
        <v>2E-020</v>
      </c>
      <c r="BK33" t="s">
        <v>834</v>
      </c>
      <c r="BL33" s="2" t="str">
        <f>HYPERLINK("http://exon.niaid.nih.gov/transcriptome/T_rubida/S2/links/KOG/Triru-77-KOG.txt","emp24/gp25L/p24 family of membrane trafficking proteins")</f>
        <v>emp24/gp25L/p24 family of membrane trafficking proteins</v>
      </c>
      <c r="BM33" t="str">
        <f>HYPERLINK("http://www.ncbi.nlm.nih.gov/COG/grace/shokog.cgi?KOG1691","0.45")</f>
        <v>0.45</v>
      </c>
      <c r="BN33" t="s">
        <v>164</v>
      </c>
      <c r="BO33" s="2" t="str">
        <f>HYPERLINK("http://exon.niaid.nih.gov/transcriptome/T_rubida/S2/links/PFAM/Triru-77-PFAM.txt","Triabin")</f>
        <v>Triabin</v>
      </c>
      <c r="BP33" t="str">
        <f>HYPERLINK("http://pfam.sanger.ac.uk/family?acc=PF03973","5E-021")</f>
        <v>5E-021</v>
      </c>
      <c r="BQ33" s="2" t="str">
        <f>HYPERLINK("http://exon.niaid.nih.gov/transcriptome/T_rubida/S2/links/SMART/Triru-77-SMART.txt","Agenet")</f>
        <v>Agenet</v>
      </c>
      <c r="BR33" t="str">
        <f>HYPERLINK("http://smart.embl-heidelberg.de/smart/do_annotation.pl?DOMAIN=Agenet&amp;BLAST=DUMMY","1.3")</f>
        <v>1.3</v>
      </c>
      <c r="BS33" s="17">
        <f t="shared" si="0"/>
        <v>1</v>
      </c>
      <c r="BT33" s="1">
        <f t="shared" si="1"/>
        <v>359</v>
      </c>
      <c r="BU33" s="17">
        <f t="shared" si="2"/>
        <v>1</v>
      </c>
      <c r="BV33" s="1">
        <f t="shared" si="3"/>
        <v>225</v>
      </c>
      <c r="BW33" s="17">
        <f t="shared" si="4"/>
        <v>2</v>
      </c>
      <c r="BX33" s="1">
        <f t="shared" si="5"/>
        <v>70</v>
      </c>
      <c r="BY33" s="17">
        <f t="shared" si="6"/>
        <v>1</v>
      </c>
      <c r="BZ33" s="1">
        <f t="shared" si="7"/>
        <v>69</v>
      </c>
      <c r="CA33" s="17">
        <f t="shared" si="8"/>
        <v>1</v>
      </c>
      <c r="CB33" s="1">
        <f t="shared" si="9"/>
        <v>69</v>
      </c>
      <c r="CC33" s="17">
        <f t="shared" si="10"/>
        <v>1</v>
      </c>
      <c r="CD33" s="1">
        <f t="shared" si="11"/>
        <v>45</v>
      </c>
      <c r="CE33" s="17">
        <f t="shared" si="12"/>
        <v>1</v>
      </c>
      <c r="CF33" s="1">
        <f t="shared" si="13"/>
        <v>45</v>
      </c>
      <c r="CG33" s="17">
        <f>HYPERLINK("http://exon.niaid.nih.gov/transcriptome/T_rubida/S2/links/cluster/Triru-pep-ext60-50-Sim-CLU5.txt", 5)</f>
        <v>5</v>
      </c>
      <c r="CH33" s="1">
        <f>HYPERLINK("http://exon.niaid.nih.gov/transcriptome/T_rubida/S2/links/cluster/Triru-pep-ext60-50-Sim-CLTL5.txt", 9)</f>
        <v>9</v>
      </c>
      <c r="CI33" s="17">
        <f>HYPERLINK("http://exon.niaid.nih.gov/transcriptome/T_rubida/S2/links/cluster/Triru-pep-ext65-50-Sim-CLU6.txt", 6)</f>
        <v>6</v>
      </c>
      <c r="CJ33" s="1">
        <f>HYPERLINK("http://exon.niaid.nih.gov/transcriptome/T_rubida/S2/links/cluster/Triru-pep-ext65-50-Sim-CLTL6.txt", 7)</f>
        <v>7</v>
      </c>
      <c r="CK33" s="17">
        <f>HYPERLINK("http://exon.niaid.nih.gov/transcriptome/T_rubida/S2/links/cluster/Triru-pep-ext70-50-Sim-CLU6.txt", 6)</f>
        <v>6</v>
      </c>
      <c r="CL33" s="1">
        <f>HYPERLINK("http://exon.niaid.nih.gov/transcriptome/T_rubida/S2/links/cluster/Triru-pep-ext70-50-Sim-CLTL6.txt", 6)</f>
        <v>6</v>
      </c>
      <c r="CM33" s="17">
        <f>HYPERLINK("http://exon.niaid.nih.gov/transcriptome/T_rubida/S2/links/cluster/Triru-pep-ext75-50-Sim-CLU3.txt", 3)</f>
        <v>3</v>
      </c>
      <c r="CN33" s="1">
        <f>HYPERLINK("http://exon.niaid.nih.gov/transcriptome/T_rubida/S2/links/cluster/Triru-pep-ext75-50-Sim-CLTL3.txt", 6)</f>
        <v>6</v>
      </c>
      <c r="CO33" s="17">
        <f>HYPERLINK("http://exon.niaid.nih.gov/transcriptome/T_rubida/S2/links/cluster/Triru-pep-ext80-50-Sim-CLU3.txt", 3)</f>
        <v>3</v>
      </c>
      <c r="CP33" s="1">
        <f>HYPERLINK("http://exon.niaid.nih.gov/transcriptome/T_rubida/S2/links/cluster/Triru-pep-ext80-50-Sim-CLTL3.txt", 5)</f>
        <v>5</v>
      </c>
      <c r="CQ33" s="17">
        <f>HYPERLINK("http://exon.niaid.nih.gov/transcriptome/T_rubida/S2/links/cluster/Triru-pep-ext85-50-Sim-CLU3.txt", 3)</f>
        <v>3</v>
      </c>
      <c r="CR33" s="1">
        <f>HYPERLINK("http://exon.niaid.nih.gov/transcriptome/T_rubida/S2/links/cluster/Triru-pep-ext85-50-Sim-CLTL3.txt", 5)</f>
        <v>5</v>
      </c>
      <c r="CS33" s="17">
        <f>HYPERLINK("http://exon.niaid.nih.gov/transcriptome/T_rubida/S2/links/cluster/Triru-pep-ext90-50-Sim-CLU5.txt", 5)</f>
        <v>5</v>
      </c>
      <c r="CT33" s="1">
        <f>HYPERLINK("http://exon.niaid.nih.gov/transcriptome/T_rubida/S2/links/cluster/Triru-pep-ext90-50-Sim-CLTL5.txt", 3)</f>
        <v>3</v>
      </c>
      <c r="CU33" s="17">
        <v>75</v>
      </c>
      <c r="CV33" s="1">
        <v>1</v>
      </c>
    </row>
    <row r="34" spans="1:100">
      <c r="A34" t="str">
        <f>HYPERLINK("http://exon.niaid.nih.gov/transcriptome/T_rubida/S2/links/pep/Triru-4-pep.txt","Triru-4")</f>
        <v>Triru-4</v>
      </c>
      <c r="B34">
        <v>157</v>
      </c>
      <c r="C34" s="1" t="s">
        <v>13</v>
      </c>
      <c r="D34" s="1" t="s">
        <v>3</v>
      </c>
      <c r="E34" t="str">
        <f>HYPERLINK("http://exon.niaid.nih.gov/transcriptome/T_rubida/S2/links/cds/Triru-4-cds.txt","Triru-4")</f>
        <v>Triru-4</v>
      </c>
      <c r="F34">
        <v>474</v>
      </c>
      <c r="G34" s="2" t="s">
        <v>1890</v>
      </c>
      <c r="H34" s="1">
        <v>5</v>
      </c>
      <c r="I34" s="3" t="s">
        <v>1272</v>
      </c>
      <c r="J34" s="17" t="str">
        <f>HYPERLINK("http://exon.niaid.nih.gov/transcriptome/T_rubida/S2/links/Sigp/Triru-4-SigP.txt","CYT")</f>
        <v>CYT</v>
      </c>
      <c r="K34" t="s">
        <v>5</v>
      </c>
      <c r="L34" s="1">
        <v>17.478000000000002</v>
      </c>
      <c r="M34" s="1">
        <v>8.27</v>
      </c>
      <c r="P34" s="1">
        <v>0.112</v>
      </c>
      <c r="Q34" s="1">
        <v>4.8000000000000001E-2</v>
      </c>
      <c r="R34" s="1">
        <v>0.91700000000000004</v>
      </c>
      <c r="S34" s="17" t="s">
        <v>1346</v>
      </c>
      <c r="T34">
        <v>1</v>
      </c>
      <c r="U34" t="s">
        <v>1369</v>
      </c>
      <c r="V34" s="17">
        <v>0</v>
      </c>
      <c r="W34" t="s">
        <v>5</v>
      </c>
      <c r="X34" t="s">
        <v>5</v>
      </c>
      <c r="Y34" t="s">
        <v>5</v>
      </c>
      <c r="Z34" t="s">
        <v>5</v>
      </c>
      <c r="AA34" t="s">
        <v>5</v>
      </c>
      <c r="AB34" s="17" t="str">
        <f>HYPERLINK("http://exon.niaid.nih.gov/transcriptome/T_rubida/S2/links/netoglyc/TRIRU-4-netoglyc.txt","4")</f>
        <v>4</v>
      </c>
      <c r="AC34">
        <v>17.2</v>
      </c>
      <c r="AD34">
        <v>5.0999999999999996</v>
      </c>
      <c r="AE34">
        <v>4.5</v>
      </c>
      <c r="AF34" s="17" t="s">
        <v>5</v>
      </c>
      <c r="AG34" s="2" t="str">
        <f>HYPERLINK("http://exon.niaid.nih.gov/transcriptome/T_rubida/S2/links/NR/Triru-4-NR.txt","unnamed protein product")</f>
        <v>unnamed protein product</v>
      </c>
      <c r="AH34" t="str">
        <f>HYPERLINK("http://www.ncbi.nlm.nih.gov/sutils/blink.cgi?pid=270046244","6E-027")</f>
        <v>6E-027</v>
      </c>
      <c r="AI34" t="str">
        <f>HYPERLINK("http://www.ncbi.nlm.nih.gov/protein/270046244","gi|270046244")</f>
        <v>gi|270046244</v>
      </c>
      <c r="AJ34">
        <v>124</v>
      </c>
      <c r="AK34">
        <v>144</v>
      </c>
      <c r="AL34">
        <v>177</v>
      </c>
      <c r="AM34">
        <v>47</v>
      </c>
      <c r="AN34">
        <v>82</v>
      </c>
      <c r="AO34" t="s">
        <v>59</v>
      </c>
      <c r="AP34" s="2" t="str">
        <f>HYPERLINK("http://exon.niaid.nih.gov/transcriptome/T_rubida/S2/links/SWISSP/Triru-4-SWISSP.txt","Procalin")</f>
        <v>Procalin</v>
      </c>
      <c r="AQ34" t="str">
        <f>HYPERLINK("http://www.uniprot.org/uniprot/Q9U6R6","6E-016")</f>
        <v>6E-016</v>
      </c>
      <c r="AR34" t="s">
        <v>180</v>
      </c>
      <c r="AS34">
        <v>83.2</v>
      </c>
      <c r="AT34">
        <v>139</v>
      </c>
      <c r="AU34">
        <v>169</v>
      </c>
      <c r="AV34">
        <v>31</v>
      </c>
      <c r="AW34">
        <v>83</v>
      </c>
      <c r="AX34">
        <v>97</v>
      </c>
      <c r="AY34">
        <v>7</v>
      </c>
      <c r="AZ34">
        <v>27</v>
      </c>
      <c r="BA34">
        <v>5</v>
      </c>
      <c r="BB34">
        <v>1</v>
      </c>
      <c r="BC34" t="s">
        <v>181</v>
      </c>
      <c r="BD34" s="2" t="s">
        <v>5</v>
      </c>
      <c r="BE34" t="s">
        <v>5</v>
      </c>
      <c r="BF34" t="s">
        <v>5</v>
      </c>
      <c r="BG34" t="s">
        <v>5</v>
      </c>
      <c r="BH34" t="s">
        <v>5</v>
      </c>
      <c r="BI34" s="2" t="str">
        <f>HYPERLINK("http://exon.niaid.nih.gov/transcriptome/T_rubida/S2/links/CDD/Triru-4-CDD.txt","Triabin")</f>
        <v>Triabin</v>
      </c>
      <c r="BJ34" t="str">
        <f>HYPERLINK("http://www.ncbi.nlm.nih.gov/Structure/cdd/cddsrv.cgi?uid=pfam03973&amp;version=v4.0","6E-015")</f>
        <v>6E-015</v>
      </c>
      <c r="BK34" t="s">
        <v>1027</v>
      </c>
      <c r="BL34" s="2" t="str">
        <f>HYPERLINK("http://exon.niaid.nih.gov/transcriptome/T_rubida/S2/links/KOG/Triru-4-KOG.txt","Amino acid transporters")</f>
        <v>Amino acid transporters</v>
      </c>
      <c r="BM34" t="str">
        <f>HYPERLINK("http://www.ncbi.nlm.nih.gov/COG/grace/shokog.cgi?KOG1288","0.58")</f>
        <v>0.58</v>
      </c>
      <c r="BN34" t="s">
        <v>418</v>
      </c>
      <c r="BO34" s="2" t="str">
        <f>HYPERLINK("http://exon.niaid.nih.gov/transcriptome/T_rubida/S2/links/PFAM/Triru-4-PFAM.txt","Triabin")</f>
        <v>Triabin</v>
      </c>
      <c r="BP34" t="str">
        <f>HYPERLINK("http://pfam.sanger.ac.uk/family?acc=PF03973","1E-015")</f>
        <v>1E-015</v>
      </c>
      <c r="BQ34" s="2" t="str">
        <f>HYPERLINK("http://exon.niaid.nih.gov/transcriptome/T_rubida/S2/links/SMART/Triru-4-SMART.txt","EH")</f>
        <v>EH</v>
      </c>
      <c r="BR34" t="str">
        <f>HYPERLINK("http://smart.embl-heidelberg.de/smart/do_annotation.pl?DOMAIN=EH&amp;BLAST=DUMMY","0.66")</f>
        <v>0.66</v>
      </c>
      <c r="BS34" s="17">
        <f t="shared" si="0"/>
        <v>1</v>
      </c>
      <c r="BT34" s="1">
        <f t="shared" si="1"/>
        <v>359</v>
      </c>
      <c r="BU34" s="17">
        <f t="shared" si="2"/>
        <v>1</v>
      </c>
      <c r="BV34" s="1">
        <f t="shared" si="3"/>
        <v>225</v>
      </c>
      <c r="BW34" s="17">
        <f t="shared" si="4"/>
        <v>2</v>
      </c>
      <c r="BX34" s="1">
        <f t="shared" si="5"/>
        <v>70</v>
      </c>
      <c r="BY34" s="17">
        <f t="shared" si="6"/>
        <v>1</v>
      </c>
      <c r="BZ34" s="1">
        <f t="shared" si="7"/>
        <v>69</v>
      </c>
      <c r="CA34" s="17">
        <f t="shared" si="8"/>
        <v>1</v>
      </c>
      <c r="CB34" s="1">
        <f t="shared" si="9"/>
        <v>69</v>
      </c>
      <c r="CC34" s="17">
        <f t="shared" si="10"/>
        <v>1</v>
      </c>
      <c r="CD34" s="1">
        <f t="shared" si="11"/>
        <v>45</v>
      </c>
      <c r="CE34" s="17">
        <f t="shared" si="12"/>
        <v>1</v>
      </c>
      <c r="CF34" s="1">
        <f t="shared" si="13"/>
        <v>45</v>
      </c>
      <c r="CG34" s="17">
        <f>HYPERLINK("http://exon.niaid.nih.gov/transcriptome/T_rubida/S2/links/cluster/Triru-pep-ext60-50-Sim-CLU1.txt", 1)</f>
        <v>1</v>
      </c>
      <c r="CH34" s="1">
        <f>HYPERLINK("http://exon.niaid.nih.gov/transcriptome/T_rubida/S2/links/cluster/Triru-pep-ext60-50-Sim-CLTL1.txt", 35)</f>
        <v>35</v>
      </c>
      <c r="CI34" s="17">
        <f>HYPERLINK("http://exon.niaid.nih.gov/transcriptome/T_rubida/S2/links/cluster/Triru-pep-ext65-50-Sim-CLU1.txt", 1)</f>
        <v>1</v>
      </c>
      <c r="CJ34" s="1">
        <f>HYPERLINK("http://exon.niaid.nih.gov/transcriptome/T_rubida/S2/links/cluster/Triru-pep-ext65-50-Sim-CLTL1.txt", 30)</f>
        <v>30</v>
      </c>
      <c r="CK34" s="17">
        <f>HYPERLINK("http://exon.niaid.nih.gov/transcriptome/T_rubida/S2/links/cluster/Triru-pep-ext70-50-Sim-CLU1.txt", 1)</f>
        <v>1</v>
      </c>
      <c r="CL34" s="1">
        <f>HYPERLINK("http://exon.niaid.nih.gov/transcriptome/T_rubida/S2/links/cluster/Triru-pep-ext70-50-Sim-CLTL1.txt", 28)</f>
        <v>28</v>
      </c>
      <c r="CM34" s="17">
        <f>HYPERLINK("http://exon.niaid.nih.gov/transcriptome/T_rubida/S2/links/cluster/Triru-pep-ext75-50-Sim-CLU1.txt", 1)</f>
        <v>1</v>
      </c>
      <c r="CN34" s="1">
        <f>HYPERLINK("http://exon.niaid.nih.gov/transcriptome/T_rubida/S2/links/cluster/Triru-pep-ext75-50-Sim-CLTL1.txt", 23)</f>
        <v>23</v>
      </c>
      <c r="CO34" s="17">
        <f>HYPERLINK("http://exon.niaid.nih.gov/transcriptome/T_rubida/S2/links/cluster/Triru-pep-ext80-50-Sim-CLU1.txt", 1)</f>
        <v>1</v>
      </c>
      <c r="CP34" s="1">
        <f>HYPERLINK("http://exon.niaid.nih.gov/transcriptome/T_rubida/S2/links/cluster/Triru-pep-ext80-50-Sim-CLTL1.txt", 23)</f>
        <v>23</v>
      </c>
      <c r="CQ34" s="17">
        <f>HYPERLINK("http://exon.niaid.nih.gov/transcriptome/T_rubida/S2/links/cluster/Triru-pep-ext85-50-Sim-CLU2.txt", 2)</f>
        <v>2</v>
      </c>
      <c r="CR34" s="1">
        <f>HYPERLINK("http://exon.niaid.nih.gov/transcriptome/T_rubida/S2/links/cluster/Triru-pep-ext85-50-Sim-CLTL2.txt", 8)</f>
        <v>8</v>
      </c>
      <c r="CS34" s="17">
        <v>28</v>
      </c>
      <c r="CT34" s="1">
        <v>1</v>
      </c>
      <c r="CU34" s="17">
        <v>24</v>
      </c>
      <c r="CV34" s="1">
        <v>1</v>
      </c>
    </row>
    <row r="35" spans="1:100">
      <c r="A35" t="str">
        <f>HYPERLINK("http://exon.niaid.nih.gov/transcriptome/T_rubida/S2/links/pep/Triru-34-pep.txt","Triru-34")</f>
        <v>Triru-34</v>
      </c>
      <c r="B35">
        <v>105</v>
      </c>
      <c r="C35" s="1" t="s">
        <v>18</v>
      </c>
      <c r="D35" s="1" t="s">
        <v>3</v>
      </c>
      <c r="E35" t="str">
        <f>HYPERLINK("http://exon.niaid.nih.gov/transcriptome/T_rubida/S2/links/cds/Triru-34-cds.txt","Triru-34")</f>
        <v>Triru-34</v>
      </c>
      <c r="F35">
        <v>318</v>
      </c>
      <c r="G35" s="2" t="s">
        <v>1890</v>
      </c>
      <c r="H35" s="1">
        <v>4</v>
      </c>
      <c r="I35" s="3" t="s">
        <v>1272</v>
      </c>
      <c r="J35" s="17" t="str">
        <f>HYPERLINK("http://exon.niaid.nih.gov/transcriptome/T_rubida/S2/links/Sigp/Triru-34-SigP.txt","CYT")</f>
        <v>CYT</v>
      </c>
      <c r="K35" t="s">
        <v>5</v>
      </c>
      <c r="L35" s="1">
        <v>11.722</v>
      </c>
      <c r="M35" s="1">
        <v>4.55</v>
      </c>
      <c r="P35" s="1">
        <v>5.6000000000000001E-2</v>
      </c>
      <c r="Q35" s="1">
        <v>6.2E-2</v>
      </c>
      <c r="R35" s="1">
        <v>0.95099999999999996</v>
      </c>
      <c r="S35" s="17" t="s">
        <v>1346</v>
      </c>
      <c r="T35">
        <v>1</v>
      </c>
      <c r="U35" t="s">
        <v>1378</v>
      </c>
      <c r="V35" s="17">
        <v>0</v>
      </c>
      <c r="W35" t="s">
        <v>5</v>
      </c>
      <c r="X35" t="s">
        <v>5</v>
      </c>
      <c r="Y35" t="s">
        <v>5</v>
      </c>
      <c r="Z35" t="s">
        <v>5</v>
      </c>
      <c r="AA35" t="s">
        <v>5</v>
      </c>
      <c r="AB35" s="17" t="str">
        <f>HYPERLINK("http://exon.niaid.nih.gov/transcriptome/T_rubida/S2/links/netoglyc/TRIRU-34-netoglyc.txt","1")</f>
        <v>1</v>
      </c>
      <c r="AC35">
        <v>18.100000000000001</v>
      </c>
      <c r="AD35">
        <v>7.6</v>
      </c>
      <c r="AE35">
        <v>2.9</v>
      </c>
      <c r="AF35" s="17" t="s">
        <v>5</v>
      </c>
      <c r="AG35" s="2" t="str">
        <f>HYPERLINK("http://exon.niaid.nih.gov/transcriptome/T_rubida/S2/links/NR/Triru-34-NR.txt","unnamed protein product")</f>
        <v>unnamed protein product</v>
      </c>
      <c r="AH35" t="str">
        <f>HYPERLINK("http://www.ncbi.nlm.nih.gov/sutils/blink.cgi?pid=270046166","2E-022")</f>
        <v>2E-022</v>
      </c>
      <c r="AI35" t="str">
        <f>HYPERLINK("http://www.ncbi.nlm.nih.gov/protein/270046166","gi|270046166")</f>
        <v>gi|270046166</v>
      </c>
      <c r="AJ35">
        <v>108</v>
      </c>
      <c r="AK35">
        <v>112</v>
      </c>
      <c r="AL35">
        <v>177</v>
      </c>
      <c r="AM35">
        <v>47</v>
      </c>
      <c r="AN35">
        <v>64</v>
      </c>
      <c r="AO35" t="s">
        <v>59</v>
      </c>
      <c r="AP35" s="2" t="str">
        <f>HYPERLINK("http://exon.niaid.nih.gov/transcriptome/T_rubida/S2/links/SWISSP/Triru-34-SWISSP.txt","Procalin")</f>
        <v>Procalin</v>
      </c>
      <c r="AQ35" t="str">
        <f>HYPERLINK("http://www.uniprot.org/uniprot/Q9U6R6","8E-015")</f>
        <v>8E-015</v>
      </c>
      <c r="AR35" t="s">
        <v>180</v>
      </c>
      <c r="AS35">
        <v>79</v>
      </c>
      <c r="AT35">
        <v>108</v>
      </c>
      <c r="AU35">
        <v>169</v>
      </c>
      <c r="AV35">
        <v>38</v>
      </c>
      <c r="AW35">
        <v>64</v>
      </c>
      <c r="AX35">
        <v>68</v>
      </c>
      <c r="AY35">
        <v>7</v>
      </c>
      <c r="AZ35">
        <v>60</v>
      </c>
      <c r="BA35">
        <v>1</v>
      </c>
      <c r="BB35">
        <v>1</v>
      </c>
      <c r="BC35" t="s">
        <v>181</v>
      </c>
      <c r="BD35" s="2" t="s">
        <v>5</v>
      </c>
      <c r="BE35" t="s">
        <v>5</v>
      </c>
      <c r="BF35" t="s">
        <v>5</v>
      </c>
      <c r="BG35" t="s">
        <v>5</v>
      </c>
      <c r="BH35" t="s">
        <v>5</v>
      </c>
      <c r="BI35" s="2" t="str">
        <f>HYPERLINK("http://exon.niaid.nih.gov/transcriptome/T_rubida/S2/links/CDD/Triru-34-CDD.txt","Triabin")</f>
        <v>Triabin</v>
      </c>
      <c r="BJ35" t="str">
        <f>HYPERLINK("http://www.ncbi.nlm.nih.gov/Structure/cdd/cddsrv.cgi?uid=pfam03973&amp;version=v4.0","0.002")</f>
        <v>0.002</v>
      </c>
      <c r="BK35" t="s">
        <v>1208</v>
      </c>
      <c r="BL35" s="2" t="str">
        <f>HYPERLINK("http://exon.niaid.nih.gov/transcriptome/T_rubida/S2/links/KOG/Triru-34-KOG.txt","Rhodanese-related sulfurtransferase")</f>
        <v>Rhodanese-related sulfurtransferase</v>
      </c>
      <c r="BM35" t="str">
        <f>HYPERLINK("http://www.ncbi.nlm.nih.gov/COG/grace/shokog.cgi?KOG1530","1.3")</f>
        <v>1.3</v>
      </c>
      <c r="BN35" t="s">
        <v>117</v>
      </c>
      <c r="BO35" s="2" t="str">
        <f>HYPERLINK("http://exon.niaid.nih.gov/transcriptome/T_rubida/S2/links/PFAM/Triru-34-PFAM.txt","Triabin")</f>
        <v>Triabin</v>
      </c>
      <c r="BP35" t="str">
        <f>HYPERLINK("http://pfam.sanger.ac.uk/family?acc=PF03973","4E-004")</f>
        <v>4E-004</v>
      </c>
      <c r="BQ35" s="2" t="str">
        <f>HYPERLINK("http://exon.niaid.nih.gov/transcriptome/T_rubida/S2/links/SMART/Triru-34-SMART.txt","SEC63")</f>
        <v>SEC63</v>
      </c>
      <c r="BR35" t="str">
        <f>HYPERLINK("http://smart.embl-heidelberg.de/smart/do_annotation.pl?DOMAIN=SEC63&amp;BLAST=DUMMY","6.6")</f>
        <v>6.6</v>
      </c>
      <c r="BS35" s="17">
        <f t="shared" si="0"/>
        <v>1</v>
      </c>
      <c r="BT35" s="1">
        <f t="shared" si="1"/>
        <v>359</v>
      </c>
      <c r="BU35" s="17">
        <f t="shared" si="2"/>
        <v>1</v>
      </c>
      <c r="BV35" s="1">
        <f t="shared" si="3"/>
        <v>225</v>
      </c>
      <c r="BW35" s="17">
        <f t="shared" si="4"/>
        <v>2</v>
      </c>
      <c r="BX35" s="1">
        <f t="shared" si="5"/>
        <v>70</v>
      </c>
      <c r="BY35" s="17">
        <f t="shared" si="6"/>
        <v>1</v>
      </c>
      <c r="BZ35" s="1">
        <f t="shared" si="7"/>
        <v>69</v>
      </c>
      <c r="CA35" s="17">
        <f t="shared" si="8"/>
        <v>1</v>
      </c>
      <c r="CB35" s="1">
        <f t="shared" si="9"/>
        <v>69</v>
      </c>
      <c r="CC35" s="17">
        <f t="shared" si="10"/>
        <v>1</v>
      </c>
      <c r="CD35" s="1">
        <f t="shared" si="11"/>
        <v>45</v>
      </c>
      <c r="CE35" s="17">
        <f t="shared" si="12"/>
        <v>1</v>
      </c>
      <c r="CF35" s="1">
        <f t="shared" si="13"/>
        <v>45</v>
      </c>
      <c r="CG35" s="17">
        <f>HYPERLINK("http://exon.niaid.nih.gov/transcriptome/T_rubida/S2/links/cluster/Triru-pep-ext60-50-Sim-CLU1.txt", 1)</f>
        <v>1</v>
      </c>
      <c r="CH35" s="1">
        <f>HYPERLINK("http://exon.niaid.nih.gov/transcriptome/T_rubida/S2/links/cluster/Triru-pep-ext60-50-Sim-CLTL1.txt", 35)</f>
        <v>35</v>
      </c>
      <c r="CI35" s="17">
        <f>HYPERLINK("http://exon.niaid.nih.gov/transcriptome/T_rubida/S2/links/cluster/Triru-pep-ext65-50-Sim-CLU1.txt", 1)</f>
        <v>1</v>
      </c>
      <c r="CJ35" s="1">
        <f>HYPERLINK("http://exon.niaid.nih.gov/transcriptome/T_rubida/S2/links/cluster/Triru-pep-ext65-50-Sim-CLTL1.txt", 30)</f>
        <v>30</v>
      </c>
      <c r="CK35" s="17">
        <f>HYPERLINK("http://exon.niaid.nih.gov/transcriptome/T_rubida/S2/links/cluster/Triru-pep-ext70-50-Sim-CLU1.txt", 1)</f>
        <v>1</v>
      </c>
      <c r="CL35" s="1">
        <f>HYPERLINK("http://exon.niaid.nih.gov/transcriptome/T_rubida/S2/links/cluster/Triru-pep-ext70-50-Sim-CLTL1.txt", 28)</f>
        <v>28</v>
      </c>
      <c r="CM35" s="17">
        <f>HYPERLINK("http://exon.niaid.nih.gov/transcriptome/T_rubida/S2/links/cluster/Triru-pep-ext75-50-Sim-CLU4.txt", 4)</f>
        <v>4</v>
      </c>
      <c r="CN35" s="1">
        <f>HYPERLINK("http://exon.niaid.nih.gov/transcriptome/T_rubida/S2/links/cluster/Triru-pep-ext75-50-Sim-CLTL4.txt", 5)</f>
        <v>5</v>
      </c>
      <c r="CO35" s="17">
        <v>36</v>
      </c>
      <c r="CP35" s="1">
        <v>1</v>
      </c>
      <c r="CQ35" s="17">
        <v>38</v>
      </c>
      <c r="CR35" s="1">
        <v>1</v>
      </c>
      <c r="CS35" s="17">
        <v>39</v>
      </c>
      <c r="CT35" s="1">
        <v>1</v>
      </c>
      <c r="CU35" s="17">
        <v>42</v>
      </c>
      <c r="CV35" s="1">
        <v>1</v>
      </c>
    </row>
    <row r="36" spans="1:100">
      <c r="A36" t="str">
        <f>HYPERLINK("http://exon.niaid.nih.gov/transcriptome/T_rubida/S2/links/pep/Triru-35-pep.txt","Triru-35")</f>
        <v>Triru-35</v>
      </c>
      <c r="B36">
        <v>77</v>
      </c>
      <c r="C36" s="1" t="s">
        <v>17</v>
      </c>
      <c r="D36" s="1" t="s">
        <v>3</v>
      </c>
      <c r="E36" t="str">
        <f>HYPERLINK("http://exon.niaid.nih.gov/transcriptome/T_rubida/S2/links/cds/Triru-35-cds.txt","Triru-35")</f>
        <v>Triru-35</v>
      </c>
      <c r="F36">
        <v>234</v>
      </c>
      <c r="G36" s="2" t="s">
        <v>1890</v>
      </c>
      <c r="H36" s="1">
        <v>3</v>
      </c>
      <c r="I36" s="3" t="s">
        <v>1272</v>
      </c>
      <c r="J36" s="17" t="str">
        <f>HYPERLINK("http://exon.niaid.nih.gov/transcriptome/T_rubida/S2/links/Sigp/Triru-35-SigP.txt","CYT")</f>
        <v>CYT</v>
      </c>
      <c r="K36" t="s">
        <v>5</v>
      </c>
      <c r="L36" s="1">
        <v>8.8759999999999994</v>
      </c>
      <c r="M36" s="1">
        <v>5.14</v>
      </c>
      <c r="P36" s="1">
        <v>0.11</v>
      </c>
      <c r="Q36" s="1">
        <v>5.8999999999999997E-2</v>
      </c>
      <c r="R36" s="1">
        <v>0.88400000000000001</v>
      </c>
      <c r="S36" s="17" t="s">
        <v>1346</v>
      </c>
      <c r="T36">
        <v>2</v>
      </c>
      <c r="U36" t="s">
        <v>1389</v>
      </c>
      <c r="V36" s="17">
        <v>0</v>
      </c>
      <c r="W36" t="s">
        <v>5</v>
      </c>
      <c r="X36" t="s">
        <v>5</v>
      </c>
      <c r="Y36" t="s">
        <v>5</v>
      </c>
      <c r="Z36" t="s">
        <v>5</v>
      </c>
      <c r="AA36" t="s">
        <v>5</v>
      </c>
      <c r="AB36" s="17" t="str">
        <f>HYPERLINK("http://exon.niaid.nih.gov/transcriptome/T_rubida/S2/links/netoglyc/TRIRU-35-netoglyc.txt","0")</f>
        <v>0</v>
      </c>
      <c r="AC36">
        <v>19.5</v>
      </c>
      <c r="AD36">
        <v>3.9</v>
      </c>
      <c r="AE36">
        <v>2.6</v>
      </c>
      <c r="AF36" s="17" t="s">
        <v>5</v>
      </c>
      <c r="AG36" s="2" t="str">
        <f>HYPERLINK("http://exon.niaid.nih.gov/transcriptome/T_rubida/S2/links/NR/Triru-35-NR.txt","unnamed protein product")</f>
        <v>unnamed protein product</v>
      </c>
      <c r="AH36" t="str">
        <f>HYPERLINK("http://www.ncbi.nlm.nih.gov/sutils/blink.cgi?pid=270046166","2E-015")</f>
        <v>2E-015</v>
      </c>
      <c r="AI36" t="str">
        <f>HYPERLINK("http://www.ncbi.nlm.nih.gov/protein/270046166","gi|270046166")</f>
        <v>gi|270046166</v>
      </c>
      <c r="AJ36">
        <v>85.9</v>
      </c>
      <c r="AK36">
        <v>79</v>
      </c>
      <c r="AL36">
        <v>177</v>
      </c>
      <c r="AM36">
        <v>52</v>
      </c>
      <c r="AN36">
        <v>45</v>
      </c>
      <c r="AO36" t="s">
        <v>59</v>
      </c>
      <c r="AP36" s="2" t="str">
        <f>HYPERLINK("http://exon.niaid.nih.gov/transcriptome/T_rubida/S2/links/SWISSP/Triru-35-SWISSP.txt","Procalin")</f>
        <v>Procalin</v>
      </c>
      <c r="AQ36" t="str">
        <f>HYPERLINK("http://www.uniprot.org/uniprot/Q9U6R6","3E-011")</f>
        <v>3E-011</v>
      </c>
      <c r="AR36" t="s">
        <v>180</v>
      </c>
      <c r="AS36">
        <v>67</v>
      </c>
      <c r="AT36">
        <v>73</v>
      </c>
      <c r="AU36">
        <v>169</v>
      </c>
      <c r="AV36">
        <v>44</v>
      </c>
      <c r="AW36">
        <v>44</v>
      </c>
      <c r="AX36">
        <v>42</v>
      </c>
      <c r="AY36">
        <v>5</v>
      </c>
      <c r="AZ36">
        <v>95</v>
      </c>
      <c r="BA36">
        <v>7</v>
      </c>
      <c r="BB36">
        <v>1</v>
      </c>
      <c r="BC36" t="s">
        <v>181</v>
      </c>
      <c r="BD36" s="2" t="s">
        <v>5</v>
      </c>
      <c r="BE36" t="s">
        <v>5</v>
      </c>
      <c r="BF36" t="s">
        <v>5</v>
      </c>
      <c r="BG36" t="s">
        <v>5</v>
      </c>
      <c r="BH36" t="s">
        <v>5</v>
      </c>
      <c r="BI36" s="2" t="str">
        <f>HYPERLINK("http://exon.niaid.nih.gov/transcriptome/T_rubida/S2/links/CDD/Triru-35-CDD.txt","Triabin")</f>
        <v>Triabin</v>
      </c>
      <c r="BJ36" t="str">
        <f>HYPERLINK("http://www.ncbi.nlm.nih.gov/Structure/cdd/cddsrv.cgi?uid=pfam03973&amp;version=v4.0","0.18")</f>
        <v>0.18</v>
      </c>
      <c r="BK36" t="s">
        <v>1089</v>
      </c>
      <c r="BL36" s="2" t="str">
        <f>HYPERLINK("http://exon.niaid.nih.gov/transcriptome/T_rubida/S2/links/KOG/Triru-35-KOG.txt","Phosphoglucomutase/phosphomannomutase")</f>
        <v>Phosphoglucomutase/phosphomannomutase</v>
      </c>
      <c r="BM36" t="str">
        <f>HYPERLINK("http://www.ncbi.nlm.nih.gov/COG/grace/shokog.cgi?KOG1220","4.1")</f>
        <v>4.1</v>
      </c>
      <c r="BN36" t="s">
        <v>383</v>
      </c>
      <c r="BO36" s="2" t="str">
        <f>HYPERLINK("http://exon.niaid.nih.gov/transcriptome/T_rubida/S2/links/PFAM/Triru-35-PFAM.txt","Triabin")</f>
        <v>Triabin</v>
      </c>
      <c r="BP36" t="str">
        <f>HYPERLINK("http://pfam.sanger.ac.uk/family?acc=PF03973","0.039")</f>
        <v>0.039</v>
      </c>
      <c r="BQ36" s="2" t="str">
        <f>HYPERLINK("http://exon.niaid.nih.gov/transcriptome/T_rubida/S2/links/SMART/Triru-35-SMART.txt","TOPRIM")</f>
        <v>TOPRIM</v>
      </c>
      <c r="BR36" t="str">
        <f>HYPERLINK("http://smart.embl-heidelberg.de/smart/do_annotation.pl?DOMAIN=TOPRIM&amp;BLAST=DUMMY","5.0")</f>
        <v>5.0</v>
      </c>
      <c r="BS36" s="17">
        <f t="shared" ref="BS36:BS59" si="14">HYPERLINK("http://exon.niaid.nih.gov/transcriptome/T_rubida/S2/links/cluster/Triru-pep-ext25-50-Sim-CLU1.txt", 1)</f>
        <v>1</v>
      </c>
      <c r="BT36" s="1">
        <f t="shared" ref="BT36:BT59" si="15">HYPERLINK("http://exon.niaid.nih.gov/transcriptome/T_rubida/S2/links/cluster/Triru-pep-ext25-50-Sim-CLTL1.txt", 359)</f>
        <v>359</v>
      </c>
      <c r="BU36" s="17">
        <f t="shared" ref="BU36:BU59" si="16">HYPERLINK("http://exon.niaid.nih.gov/transcriptome/T_rubida/S2/links/cluster/Triru-pep-ext30-50-Sim-CLU1.txt", 1)</f>
        <v>1</v>
      </c>
      <c r="BV36" s="1">
        <f t="shared" ref="BV36:BV59" si="17">HYPERLINK("http://exon.niaid.nih.gov/transcriptome/T_rubida/S2/links/cluster/Triru-pep-ext30-50-Sim-CLTL1.txt", 225)</f>
        <v>225</v>
      </c>
      <c r="BW36" s="17">
        <f t="shared" ref="BW36:BW59" si="18">HYPERLINK("http://exon.niaid.nih.gov/transcriptome/T_rubida/S2/links/cluster/Triru-pep-ext35-50-Sim-CLU2.txt", 2)</f>
        <v>2</v>
      </c>
      <c r="BX36" s="1">
        <f t="shared" ref="BX36:BX59" si="19">HYPERLINK("http://exon.niaid.nih.gov/transcriptome/T_rubida/S2/links/cluster/Triru-pep-ext35-50-Sim-CLTL2.txt", 70)</f>
        <v>70</v>
      </c>
      <c r="BY36" s="17">
        <f t="shared" ref="BY36:BY59" si="20">HYPERLINK("http://exon.niaid.nih.gov/transcriptome/T_rubida/S2/links/cluster/Triru-pep-ext40-50-Sim-CLU1.txt", 1)</f>
        <v>1</v>
      </c>
      <c r="BZ36" s="1">
        <f t="shared" ref="BZ36:BZ59" si="21">HYPERLINK("http://exon.niaid.nih.gov/transcriptome/T_rubida/S2/links/cluster/Triru-pep-ext40-50-Sim-CLTL1.txt", 69)</f>
        <v>69</v>
      </c>
      <c r="CA36" s="17">
        <f t="shared" ref="CA36:CA59" si="22">HYPERLINK("http://exon.niaid.nih.gov/transcriptome/T_rubida/S2/links/cluster/Triru-pep-ext45-50-Sim-CLU1.txt", 1)</f>
        <v>1</v>
      </c>
      <c r="CB36" s="1">
        <f t="shared" ref="CB36:CB59" si="23">HYPERLINK("http://exon.niaid.nih.gov/transcriptome/T_rubida/S2/links/cluster/Triru-pep-ext45-50-Sim-CLTL1.txt", 69)</f>
        <v>69</v>
      </c>
      <c r="CC36" s="17">
        <f t="shared" si="10"/>
        <v>1</v>
      </c>
      <c r="CD36" s="1">
        <f t="shared" si="11"/>
        <v>45</v>
      </c>
      <c r="CE36" s="17">
        <f t="shared" si="12"/>
        <v>1</v>
      </c>
      <c r="CF36" s="1">
        <f t="shared" si="13"/>
        <v>45</v>
      </c>
      <c r="CG36" s="17">
        <f>HYPERLINK("http://exon.niaid.nih.gov/transcriptome/T_rubida/S2/links/cluster/Triru-pep-ext60-50-Sim-CLU1.txt", 1)</f>
        <v>1</v>
      </c>
      <c r="CH36" s="1">
        <f>HYPERLINK("http://exon.niaid.nih.gov/transcriptome/T_rubida/S2/links/cluster/Triru-pep-ext60-50-Sim-CLTL1.txt", 35)</f>
        <v>35</v>
      </c>
      <c r="CI36" s="17">
        <f>HYPERLINK("http://exon.niaid.nih.gov/transcriptome/T_rubida/S2/links/cluster/Triru-pep-ext65-50-Sim-CLU1.txt", 1)</f>
        <v>1</v>
      </c>
      <c r="CJ36" s="1">
        <f>HYPERLINK("http://exon.niaid.nih.gov/transcriptome/T_rubida/S2/links/cluster/Triru-pep-ext65-50-Sim-CLTL1.txt", 30)</f>
        <v>30</v>
      </c>
      <c r="CK36" s="17">
        <f>HYPERLINK("http://exon.niaid.nih.gov/transcriptome/T_rubida/S2/links/cluster/Triru-pep-ext70-50-Sim-CLU9.txt", 9)</f>
        <v>9</v>
      </c>
      <c r="CL36" s="1">
        <f>HYPERLINK("http://exon.niaid.nih.gov/transcriptome/T_rubida/S2/links/cluster/Triru-pep-ext70-50-Sim-CLTL9.txt", 2)</f>
        <v>2</v>
      </c>
      <c r="CM36" s="17">
        <f>HYPERLINK("http://exon.niaid.nih.gov/transcriptome/T_rubida/S2/links/cluster/Triru-pep-ext75-50-Sim-CLU10.txt", 10)</f>
        <v>10</v>
      </c>
      <c r="CN36" s="1">
        <f>HYPERLINK("http://exon.niaid.nih.gov/transcriptome/T_rubida/S2/links/cluster/Triru-pep-ext75-50-Sim-CLTL10.txt", 2)</f>
        <v>2</v>
      </c>
      <c r="CO36" s="17">
        <v>37</v>
      </c>
      <c r="CP36" s="1">
        <v>1</v>
      </c>
      <c r="CQ36" s="17">
        <v>39</v>
      </c>
      <c r="CR36" s="1">
        <v>1</v>
      </c>
      <c r="CS36" s="17">
        <v>40</v>
      </c>
      <c r="CT36" s="1">
        <v>1</v>
      </c>
      <c r="CU36" s="17">
        <v>43</v>
      </c>
      <c r="CV36" s="1">
        <v>1</v>
      </c>
    </row>
    <row r="37" spans="1:100">
      <c r="A37" t="str">
        <f>HYPERLINK("http://exon.niaid.nih.gov/transcriptome/T_rubida/S2/links/pep/Triru-74-pep.txt","Triru-74")</f>
        <v>Triru-74</v>
      </c>
      <c r="B37">
        <v>137</v>
      </c>
      <c r="C37" s="1" t="s">
        <v>12</v>
      </c>
      <c r="D37" s="1" t="s">
        <v>3</v>
      </c>
      <c r="E37" t="str">
        <f>HYPERLINK("http://exon.niaid.nih.gov/transcriptome/T_rubida/S2/links/cds/Triru-74-cds.txt","Triru-74")</f>
        <v>Triru-74</v>
      </c>
      <c r="F37">
        <v>414</v>
      </c>
      <c r="G37" s="2" t="s">
        <v>1890</v>
      </c>
      <c r="H37" s="1">
        <v>3</v>
      </c>
      <c r="I37" s="3" t="s">
        <v>1272</v>
      </c>
      <c r="J37" s="17" t="str">
        <f>HYPERLINK("http://exon.niaid.nih.gov/transcriptome/T_rubida/S2/links/Sigp/Triru-74-SigP.txt","CYT")</f>
        <v>CYT</v>
      </c>
      <c r="K37" t="s">
        <v>5</v>
      </c>
      <c r="L37" s="1">
        <v>15.185</v>
      </c>
      <c r="M37" s="1">
        <v>7.49</v>
      </c>
      <c r="P37" s="1">
        <v>9.7000000000000003E-2</v>
      </c>
      <c r="Q37" s="1">
        <v>5.7000000000000002E-2</v>
      </c>
      <c r="R37" s="1">
        <v>0.90600000000000003</v>
      </c>
      <c r="S37" s="17" t="s">
        <v>1346</v>
      </c>
      <c r="T37">
        <v>1</v>
      </c>
      <c r="U37" t="s">
        <v>1372</v>
      </c>
      <c r="V37" s="17">
        <v>0</v>
      </c>
      <c r="W37" t="s">
        <v>5</v>
      </c>
      <c r="X37" t="s">
        <v>5</v>
      </c>
      <c r="Y37" t="s">
        <v>5</v>
      </c>
      <c r="Z37" t="s">
        <v>5</v>
      </c>
      <c r="AA37" t="s">
        <v>5</v>
      </c>
      <c r="AB37" s="17" t="str">
        <f>HYPERLINK("http://exon.niaid.nih.gov/transcriptome/T_rubida/S2/links/netoglyc/TRIRU-74-netoglyc.txt","1")</f>
        <v>1</v>
      </c>
      <c r="AC37">
        <v>21.9</v>
      </c>
      <c r="AD37">
        <v>5.8</v>
      </c>
      <c r="AE37">
        <v>2.9</v>
      </c>
      <c r="AF37" s="17" t="s">
        <v>5</v>
      </c>
      <c r="AG37" s="2" t="str">
        <f>HYPERLINK("http://exon.niaid.nih.gov/transcriptome/T_rubida/S2/links/NR/Triru-74-NR.txt","lipocalin-like TiLipo37")</f>
        <v>lipocalin-like TiLipo37</v>
      </c>
      <c r="AH37" t="str">
        <f>HYPERLINK("http://www.ncbi.nlm.nih.gov/sutils/blink.cgi?pid=34421652","5E-034")</f>
        <v>5E-034</v>
      </c>
      <c r="AI37" t="str">
        <f>HYPERLINK("http://www.ncbi.nlm.nih.gov/protein/34421652","gi|34421652")</f>
        <v>gi|34421652</v>
      </c>
      <c r="AJ37">
        <v>147</v>
      </c>
      <c r="AK37">
        <v>133</v>
      </c>
      <c r="AL37">
        <v>178</v>
      </c>
      <c r="AM37">
        <v>56</v>
      </c>
      <c r="AN37">
        <v>75</v>
      </c>
      <c r="AO37" t="s">
        <v>80</v>
      </c>
      <c r="AP37" s="2" t="str">
        <f>HYPERLINK("http://exon.niaid.nih.gov/transcriptome/T_rubida/S2/links/SWISSP/Triru-74-SWISSP.txt","Procalin")</f>
        <v>Procalin</v>
      </c>
      <c r="AQ37" t="str">
        <f>HYPERLINK("http://www.uniprot.org/uniprot/Q9U6R6","2E-020")</f>
        <v>2E-020</v>
      </c>
      <c r="AR37" t="s">
        <v>180</v>
      </c>
      <c r="AS37">
        <v>97.8</v>
      </c>
      <c r="AT37">
        <v>125</v>
      </c>
      <c r="AU37">
        <v>169</v>
      </c>
      <c r="AV37">
        <v>39</v>
      </c>
      <c r="AW37">
        <v>75</v>
      </c>
      <c r="AX37">
        <v>77</v>
      </c>
      <c r="AY37">
        <v>2</v>
      </c>
      <c r="AZ37">
        <v>43</v>
      </c>
      <c r="BA37">
        <v>1</v>
      </c>
      <c r="BB37">
        <v>1</v>
      </c>
      <c r="BC37" t="s">
        <v>181</v>
      </c>
      <c r="BD37" s="2" t="s">
        <v>5</v>
      </c>
      <c r="BE37" t="s">
        <v>5</v>
      </c>
      <c r="BF37" t="s">
        <v>5</v>
      </c>
      <c r="BG37" t="s">
        <v>5</v>
      </c>
      <c r="BH37" t="s">
        <v>5</v>
      </c>
      <c r="BI37" s="2" t="str">
        <f>HYPERLINK("http://exon.niaid.nih.gov/transcriptome/T_rubida/S2/links/CDD/Triru-74-CDD.txt","Triabin")</f>
        <v>Triabin</v>
      </c>
      <c r="BJ37" t="str">
        <f>HYPERLINK("http://www.ncbi.nlm.nih.gov/Structure/cdd/cddsrv.cgi?uid=pfam03973&amp;version=v4.0","5E-013")</f>
        <v>5E-013</v>
      </c>
      <c r="BK37" t="s">
        <v>1223</v>
      </c>
      <c r="BL37" s="2" t="str">
        <f>HYPERLINK("http://exon.niaid.nih.gov/transcriptome/T_rubida/S2/links/KOG/Triru-74-KOG.txt","Thyroid hormone receptor-associated protein complex, subunit TRAP240")</f>
        <v>Thyroid hormone receptor-associated protein complex, subunit TRAP240</v>
      </c>
      <c r="BM37" t="str">
        <f>HYPERLINK("http://www.ncbi.nlm.nih.gov/COG/grace/shokog.cgi?KOG3600","1.5")</f>
        <v>1.5</v>
      </c>
      <c r="BN37" t="s">
        <v>251</v>
      </c>
      <c r="BO37" s="2" t="str">
        <f>HYPERLINK("http://exon.niaid.nih.gov/transcriptome/T_rubida/S2/links/PFAM/Triru-74-PFAM.txt","Triabin")</f>
        <v>Triabin</v>
      </c>
      <c r="BP37" t="str">
        <f>HYPERLINK("http://pfam.sanger.ac.uk/family?acc=PF03973","1E-013")</f>
        <v>1E-013</v>
      </c>
      <c r="BQ37" s="2" t="str">
        <f>HYPERLINK("http://exon.niaid.nih.gov/transcriptome/T_rubida/S2/links/SMART/Triru-74-SMART.txt","IG_FLMN")</f>
        <v>IG_FLMN</v>
      </c>
      <c r="BR37" t="str">
        <f>HYPERLINK("http://smart.embl-heidelberg.de/smart/do_annotation.pl?DOMAIN=IG_FLMN&amp;BLAST=DUMMY","0.16")</f>
        <v>0.16</v>
      </c>
      <c r="BS37" s="17">
        <f t="shared" si="14"/>
        <v>1</v>
      </c>
      <c r="BT37" s="1">
        <f t="shared" si="15"/>
        <v>359</v>
      </c>
      <c r="BU37" s="17">
        <f t="shared" si="16"/>
        <v>1</v>
      </c>
      <c r="BV37" s="1">
        <f t="shared" si="17"/>
        <v>225</v>
      </c>
      <c r="BW37" s="17">
        <f t="shared" si="18"/>
        <v>2</v>
      </c>
      <c r="BX37" s="1">
        <f t="shared" si="19"/>
        <v>70</v>
      </c>
      <c r="BY37" s="17">
        <f t="shared" si="20"/>
        <v>1</v>
      </c>
      <c r="BZ37" s="1">
        <f t="shared" si="21"/>
        <v>69</v>
      </c>
      <c r="CA37" s="17">
        <f t="shared" si="22"/>
        <v>1</v>
      </c>
      <c r="CB37" s="1">
        <f t="shared" si="23"/>
        <v>69</v>
      </c>
      <c r="CC37" s="17">
        <f t="shared" si="10"/>
        <v>1</v>
      </c>
      <c r="CD37" s="1">
        <f t="shared" si="11"/>
        <v>45</v>
      </c>
      <c r="CE37" s="17">
        <f t="shared" si="12"/>
        <v>1</v>
      </c>
      <c r="CF37" s="1">
        <f t="shared" si="13"/>
        <v>45</v>
      </c>
      <c r="CG37" s="17">
        <f>HYPERLINK("http://exon.niaid.nih.gov/transcriptome/T_rubida/S2/links/cluster/Triru-pep-ext60-50-Sim-CLU5.txt", 5)</f>
        <v>5</v>
      </c>
      <c r="CH37" s="1">
        <f>HYPERLINK("http://exon.niaid.nih.gov/transcriptome/T_rubida/S2/links/cluster/Triru-pep-ext60-50-Sim-CLTL5.txt", 9)</f>
        <v>9</v>
      </c>
      <c r="CI37" s="17">
        <f>HYPERLINK("http://exon.niaid.nih.gov/transcriptome/T_rubida/S2/links/cluster/Triru-pep-ext65-50-Sim-CLU6.txt", 6)</f>
        <v>6</v>
      </c>
      <c r="CJ37" s="1">
        <f>HYPERLINK("http://exon.niaid.nih.gov/transcriptome/T_rubida/S2/links/cluster/Triru-pep-ext65-50-Sim-CLTL6.txt", 7)</f>
        <v>7</v>
      </c>
      <c r="CK37" s="17">
        <f>HYPERLINK("http://exon.niaid.nih.gov/transcriptome/T_rubida/S2/links/cluster/Triru-pep-ext70-50-Sim-CLU6.txt", 6)</f>
        <v>6</v>
      </c>
      <c r="CL37" s="1">
        <f>HYPERLINK("http://exon.niaid.nih.gov/transcriptome/T_rubida/S2/links/cluster/Triru-pep-ext70-50-Sim-CLTL6.txt", 6)</f>
        <v>6</v>
      </c>
      <c r="CM37" s="17">
        <f>HYPERLINK("http://exon.niaid.nih.gov/transcriptome/T_rubida/S2/links/cluster/Triru-pep-ext75-50-Sim-CLU3.txt", 3)</f>
        <v>3</v>
      </c>
      <c r="CN37" s="1">
        <f>HYPERLINK("http://exon.niaid.nih.gov/transcriptome/T_rubida/S2/links/cluster/Triru-pep-ext75-50-Sim-CLTL3.txt", 6)</f>
        <v>6</v>
      </c>
      <c r="CO37" s="17">
        <f>HYPERLINK("http://exon.niaid.nih.gov/transcriptome/T_rubida/S2/links/cluster/Triru-pep-ext80-50-Sim-CLU3.txt", 3)</f>
        <v>3</v>
      </c>
      <c r="CP37" s="1">
        <f>HYPERLINK("http://exon.niaid.nih.gov/transcriptome/T_rubida/S2/links/cluster/Triru-pep-ext80-50-Sim-CLTL3.txt", 5)</f>
        <v>5</v>
      </c>
      <c r="CQ37" s="17">
        <f>HYPERLINK("http://exon.niaid.nih.gov/transcriptome/T_rubida/S2/links/cluster/Triru-pep-ext85-50-Sim-CLU3.txt", 3)</f>
        <v>3</v>
      </c>
      <c r="CR37" s="1">
        <f>HYPERLINK("http://exon.niaid.nih.gov/transcriptome/T_rubida/S2/links/cluster/Triru-pep-ext85-50-Sim-CLTL3.txt", 5)</f>
        <v>5</v>
      </c>
      <c r="CS37" s="17">
        <f>HYPERLINK("http://exon.niaid.nih.gov/transcriptome/T_rubida/S2/links/cluster/Triru-pep-ext90-50-Sim-CLU9.txt", 9)</f>
        <v>9</v>
      </c>
      <c r="CT37" s="1">
        <f>HYPERLINK("http://exon.niaid.nih.gov/transcriptome/T_rubida/S2/links/cluster/Triru-pep-ext90-50-Sim-CLTL9.txt", 2)</f>
        <v>2</v>
      </c>
      <c r="CU37" s="17">
        <f>HYPERLINK("http://exon.niaid.nih.gov/transcriptome/T_rubida/S2/links/cluster/Triru-pep-ext95-50-Sim-CLU7.txt", 7)</f>
        <v>7</v>
      </c>
      <c r="CV37" s="1">
        <f>HYPERLINK("http://exon.niaid.nih.gov/transcriptome/T_rubida/S2/links/cluster/Triru-pep-ext95-50-Sim-CLTL7.txt", 2)</f>
        <v>2</v>
      </c>
    </row>
    <row r="38" spans="1:100">
      <c r="A38" t="str">
        <f>HYPERLINK("http://exon.niaid.nih.gov/transcriptome/T_rubida/S2/links/pep/Triru-13-pep.txt","Triru-13")</f>
        <v>Triru-13</v>
      </c>
      <c r="B38">
        <v>186</v>
      </c>
      <c r="C38" s="1" t="s">
        <v>9</v>
      </c>
      <c r="D38" s="1" t="s">
        <v>3</v>
      </c>
      <c r="E38" t="str">
        <f>HYPERLINK("http://exon.niaid.nih.gov/transcriptome/T_rubida/S2/links/cds/Triru-13-cds.txt","Triru-13")</f>
        <v>Triru-13</v>
      </c>
      <c r="F38">
        <v>561</v>
      </c>
      <c r="G38" s="2" t="s">
        <v>1890</v>
      </c>
      <c r="H38" s="1">
        <v>3</v>
      </c>
      <c r="I38" s="3" t="s">
        <v>1272</v>
      </c>
      <c r="J38" s="17" t="str">
        <f>HYPERLINK("http://exon.niaid.nih.gov/transcriptome/T_rubida/S2/links/Sigp/Triru-13-SigP.txt","SIG")</f>
        <v>SIG</v>
      </c>
      <c r="K38" t="s">
        <v>1318</v>
      </c>
      <c r="L38" s="1">
        <v>20.765999999999998</v>
      </c>
      <c r="M38" s="1">
        <v>5.71</v>
      </c>
      <c r="N38" s="1">
        <v>18.763999999999999</v>
      </c>
      <c r="O38" s="1">
        <v>5.5</v>
      </c>
      <c r="P38" s="1">
        <v>0.02</v>
      </c>
      <c r="Q38" s="1">
        <v>0.94199999999999995</v>
      </c>
      <c r="R38" s="1">
        <v>9.2999999999999999E-2</v>
      </c>
      <c r="S38" s="17" t="s">
        <v>18</v>
      </c>
      <c r="T38">
        <v>1</v>
      </c>
      <c r="U38" t="s">
        <v>1366</v>
      </c>
      <c r="V38" s="17">
        <v>0</v>
      </c>
      <c r="W38" t="s">
        <v>5</v>
      </c>
      <c r="X38" t="s">
        <v>5</v>
      </c>
      <c r="Y38" t="s">
        <v>5</v>
      </c>
      <c r="Z38" t="s">
        <v>5</v>
      </c>
      <c r="AA38" t="s">
        <v>5</v>
      </c>
      <c r="AB38" s="17" t="str">
        <f>HYPERLINK("http://exon.niaid.nih.gov/transcriptome/T_rubida/S2/links/netoglyc/TRIRU-13-netoglyc.txt","5")</f>
        <v>5</v>
      </c>
      <c r="AC38">
        <v>15.6</v>
      </c>
      <c r="AD38">
        <v>6.5</v>
      </c>
      <c r="AE38">
        <v>4.3</v>
      </c>
      <c r="AF38" s="17" t="s">
        <v>5</v>
      </c>
      <c r="AG38" s="2" t="str">
        <f>HYPERLINK("http://exon.niaid.nih.gov/transcriptome/T_rubida/S2/links/NR/Triru-13-NR.txt","unnamed protein product")</f>
        <v>unnamed protein product</v>
      </c>
      <c r="AH38" t="str">
        <f>HYPERLINK("http://www.ncbi.nlm.nih.gov/sutils/blink.cgi?pid=270046244","1E-042")</f>
        <v>1E-042</v>
      </c>
      <c r="AI38" t="str">
        <f>HYPERLINK("http://www.ncbi.nlm.nih.gov/protein/270046244","gi|270046244")</f>
        <v>gi|270046244</v>
      </c>
      <c r="AJ38">
        <v>176</v>
      </c>
      <c r="AK38">
        <v>174</v>
      </c>
      <c r="AL38">
        <v>177</v>
      </c>
      <c r="AM38">
        <v>53</v>
      </c>
      <c r="AN38">
        <v>99</v>
      </c>
      <c r="AO38" t="s">
        <v>59</v>
      </c>
      <c r="AP38" s="2" t="str">
        <f>HYPERLINK("http://exon.niaid.nih.gov/transcriptome/T_rubida/S2/links/SWISSP/Triru-13-SWISSP.txt","Procalin")</f>
        <v>Procalin</v>
      </c>
      <c r="AQ38" t="str">
        <f>HYPERLINK("http://www.uniprot.org/uniprot/Q9U6R6","1E-027")</f>
        <v>1E-027</v>
      </c>
      <c r="AR38" t="s">
        <v>180</v>
      </c>
      <c r="AS38">
        <v>122</v>
      </c>
      <c r="AT38">
        <v>165</v>
      </c>
      <c r="AU38">
        <v>169</v>
      </c>
      <c r="AV38">
        <v>38</v>
      </c>
      <c r="AW38">
        <v>98</v>
      </c>
      <c r="AX38">
        <v>108</v>
      </c>
      <c r="AY38">
        <v>14</v>
      </c>
      <c r="AZ38">
        <v>1</v>
      </c>
      <c r="BA38">
        <v>1</v>
      </c>
      <c r="BB38">
        <v>1</v>
      </c>
      <c r="BC38" t="s">
        <v>181</v>
      </c>
      <c r="BD38" s="2" t="s">
        <v>5</v>
      </c>
      <c r="BE38" t="s">
        <v>5</v>
      </c>
      <c r="BF38" t="s">
        <v>5</v>
      </c>
      <c r="BG38" t="s">
        <v>5</v>
      </c>
      <c r="BH38" t="s">
        <v>5</v>
      </c>
      <c r="BI38" s="2" t="str">
        <f>HYPERLINK("http://exon.niaid.nih.gov/transcriptome/T_rubida/S2/links/CDD/Triru-13-CDD.txt","Triabin")</f>
        <v>Triabin</v>
      </c>
      <c r="BJ38" t="str">
        <f>HYPERLINK("http://www.ncbi.nlm.nih.gov/Structure/cdd/cddsrv.cgi?uid=pfam03973&amp;version=v4.0","1E-014")</f>
        <v>1E-014</v>
      </c>
      <c r="BK38" t="s">
        <v>853</v>
      </c>
      <c r="BL38" s="2" t="str">
        <f>HYPERLINK("http://exon.niaid.nih.gov/transcriptome/T_rubida/S2/links/KOG/Triru-13-KOG.txt","Apolipoprotein D/Lipocalin")</f>
        <v>Apolipoprotein D/Lipocalin</v>
      </c>
      <c r="BM38" t="str">
        <f>HYPERLINK("http://www.ncbi.nlm.nih.gov/COG/grace/shokog.cgi?KOG4824","0.42")</f>
        <v>0.42</v>
      </c>
      <c r="BN38" t="s">
        <v>238</v>
      </c>
      <c r="BO38" s="2" t="str">
        <f>HYPERLINK("http://exon.niaid.nih.gov/transcriptome/T_rubida/S2/links/PFAM/Triru-13-PFAM.txt","Triabin")</f>
        <v>Triabin</v>
      </c>
      <c r="BP38" t="str">
        <f>HYPERLINK("http://pfam.sanger.ac.uk/family?acc=PF03973","3E-015")</f>
        <v>3E-015</v>
      </c>
      <c r="BQ38" s="2" t="str">
        <f>HYPERLINK("http://exon.niaid.nih.gov/transcriptome/T_rubida/S2/links/SMART/Triru-13-SMART.txt","EH")</f>
        <v>EH</v>
      </c>
      <c r="BR38" t="str">
        <f>HYPERLINK("http://smart.embl-heidelberg.de/smart/do_annotation.pl?DOMAIN=EH&amp;BLAST=DUMMY","0.79")</f>
        <v>0.79</v>
      </c>
      <c r="BS38" s="17">
        <f t="shared" si="14"/>
        <v>1</v>
      </c>
      <c r="BT38" s="1">
        <f t="shared" si="15"/>
        <v>359</v>
      </c>
      <c r="BU38" s="17">
        <f t="shared" si="16"/>
        <v>1</v>
      </c>
      <c r="BV38" s="1">
        <f t="shared" si="17"/>
        <v>225</v>
      </c>
      <c r="BW38" s="17">
        <f t="shared" si="18"/>
        <v>2</v>
      </c>
      <c r="BX38" s="1">
        <f t="shared" si="19"/>
        <v>70</v>
      </c>
      <c r="BY38" s="17">
        <f t="shared" si="20"/>
        <v>1</v>
      </c>
      <c r="BZ38" s="1">
        <f t="shared" si="21"/>
        <v>69</v>
      </c>
      <c r="CA38" s="17">
        <f t="shared" si="22"/>
        <v>1</v>
      </c>
      <c r="CB38" s="1">
        <f t="shared" si="23"/>
        <v>69</v>
      </c>
      <c r="CC38" s="17">
        <f t="shared" si="10"/>
        <v>1</v>
      </c>
      <c r="CD38" s="1">
        <f t="shared" si="11"/>
        <v>45</v>
      </c>
      <c r="CE38" s="17">
        <f t="shared" si="12"/>
        <v>1</v>
      </c>
      <c r="CF38" s="1">
        <f t="shared" si="13"/>
        <v>45</v>
      </c>
      <c r="CG38" s="17">
        <f>HYPERLINK("http://exon.niaid.nih.gov/transcriptome/T_rubida/S2/links/cluster/Triru-pep-ext60-50-Sim-CLU1.txt", 1)</f>
        <v>1</v>
      </c>
      <c r="CH38" s="1">
        <f>HYPERLINK("http://exon.niaid.nih.gov/transcriptome/T_rubida/S2/links/cluster/Triru-pep-ext60-50-Sim-CLTL1.txt", 35)</f>
        <v>35</v>
      </c>
      <c r="CI38" s="17">
        <f>HYPERLINK("http://exon.niaid.nih.gov/transcriptome/T_rubida/S2/links/cluster/Triru-pep-ext65-50-Sim-CLU1.txt", 1)</f>
        <v>1</v>
      </c>
      <c r="CJ38" s="1">
        <f>HYPERLINK("http://exon.niaid.nih.gov/transcriptome/T_rubida/S2/links/cluster/Triru-pep-ext65-50-Sim-CLTL1.txt", 30)</f>
        <v>30</v>
      </c>
      <c r="CK38" s="17">
        <f>HYPERLINK("http://exon.niaid.nih.gov/transcriptome/T_rubida/S2/links/cluster/Triru-pep-ext70-50-Sim-CLU1.txt", 1)</f>
        <v>1</v>
      </c>
      <c r="CL38" s="1">
        <f>HYPERLINK("http://exon.niaid.nih.gov/transcriptome/T_rubida/S2/links/cluster/Triru-pep-ext70-50-Sim-CLTL1.txt", 28)</f>
        <v>28</v>
      </c>
      <c r="CM38" s="17">
        <f>HYPERLINK("http://exon.niaid.nih.gov/transcriptome/T_rubida/S2/links/cluster/Triru-pep-ext75-50-Sim-CLU1.txt", 1)</f>
        <v>1</v>
      </c>
      <c r="CN38" s="1">
        <f>HYPERLINK("http://exon.niaid.nih.gov/transcriptome/T_rubida/S2/links/cluster/Triru-pep-ext75-50-Sim-CLTL1.txt", 23)</f>
        <v>23</v>
      </c>
      <c r="CO38" s="17">
        <f>HYPERLINK("http://exon.niaid.nih.gov/transcriptome/T_rubida/S2/links/cluster/Triru-pep-ext80-50-Sim-CLU1.txt", 1)</f>
        <v>1</v>
      </c>
      <c r="CP38" s="1">
        <f>HYPERLINK("http://exon.niaid.nih.gov/transcriptome/T_rubida/S2/links/cluster/Triru-pep-ext80-50-Sim-CLTL1.txt", 23)</f>
        <v>23</v>
      </c>
      <c r="CQ38" s="17">
        <f>HYPERLINK("http://exon.niaid.nih.gov/transcriptome/T_rubida/S2/links/cluster/Triru-pep-ext85-50-Sim-CLU1.txt", 1)</f>
        <v>1</v>
      </c>
      <c r="CR38" s="1">
        <f>HYPERLINK("http://exon.niaid.nih.gov/transcriptome/T_rubida/S2/links/cluster/Triru-pep-ext85-50-Sim-CLTL1.txt", 15)</f>
        <v>15</v>
      </c>
      <c r="CS38" s="17">
        <f>HYPERLINK("http://exon.niaid.nih.gov/transcriptome/T_rubida/S2/links/cluster/Triru-pep-ext90-50-Sim-CLU1.txt", 1)</f>
        <v>1</v>
      </c>
      <c r="CT38" s="1">
        <f>HYPERLINK("http://exon.niaid.nih.gov/transcriptome/T_rubida/S2/links/cluster/Triru-pep-ext90-50-Sim-CLTL1.txt", 13)</f>
        <v>13</v>
      </c>
      <c r="CU38" s="17">
        <v>27</v>
      </c>
      <c r="CV38" s="1">
        <v>1</v>
      </c>
    </row>
    <row r="39" spans="1:100">
      <c r="A39" t="str">
        <f>HYPERLINK("http://exon.niaid.nih.gov/transcriptome/T_rubida/S2/links/pep/Triru-18-pep.txt","Triru-18")</f>
        <v>Triru-18</v>
      </c>
      <c r="B39">
        <v>172</v>
      </c>
      <c r="C39" s="1" t="s">
        <v>9</v>
      </c>
      <c r="D39" s="1" t="s">
        <v>3</v>
      </c>
      <c r="E39" t="str">
        <f>HYPERLINK("http://exon.niaid.nih.gov/transcriptome/T_rubida/S2/links/cds/Triru-18-cds.txt","Triru-18")</f>
        <v>Triru-18</v>
      </c>
      <c r="F39">
        <v>519</v>
      </c>
      <c r="G39" s="2" t="s">
        <v>1890</v>
      </c>
      <c r="H39" s="1">
        <v>3</v>
      </c>
      <c r="I39" s="3" t="s">
        <v>1272</v>
      </c>
      <c r="J39" s="17" t="str">
        <f>HYPERLINK("http://exon.niaid.nih.gov/transcriptome/T_rubida/S2/links/Sigp/Triru-18-SigP.txt","SIG")</f>
        <v>SIG</v>
      </c>
      <c r="K39" t="s">
        <v>1318</v>
      </c>
      <c r="L39" s="1">
        <v>19.079000000000001</v>
      </c>
      <c r="M39" s="1">
        <v>5.83</v>
      </c>
      <c r="N39" s="1">
        <v>17.074999999999999</v>
      </c>
      <c r="O39" s="1">
        <v>5.63</v>
      </c>
      <c r="P39" s="1">
        <v>2.1000000000000001E-2</v>
      </c>
      <c r="Q39" s="1">
        <v>0.93799999999999994</v>
      </c>
      <c r="R39" s="1">
        <v>9.4E-2</v>
      </c>
      <c r="S39" s="17" t="s">
        <v>18</v>
      </c>
      <c r="T39">
        <v>1</v>
      </c>
      <c r="U39" t="s">
        <v>1363</v>
      </c>
      <c r="V39" s="17">
        <v>0</v>
      </c>
      <c r="W39" t="s">
        <v>5</v>
      </c>
      <c r="X39" t="s">
        <v>5</v>
      </c>
      <c r="Y39" t="s">
        <v>5</v>
      </c>
      <c r="Z39" t="s">
        <v>5</v>
      </c>
      <c r="AA39" t="s">
        <v>5</v>
      </c>
      <c r="AB39" s="17" t="str">
        <f>HYPERLINK("http://exon.niaid.nih.gov/transcriptome/T_rubida/S2/links/netoglyc/TRIRU-18-netoglyc.txt","5")</f>
        <v>5</v>
      </c>
      <c r="AC39">
        <v>16.899999999999999</v>
      </c>
      <c r="AD39">
        <v>7</v>
      </c>
      <c r="AE39">
        <v>3.5</v>
      </c>
      <c r="AF39" s="17" t="s">
        <v>5</v>
      </c>
      <c r="AG39" s="2" t="str">
        <f>HYPERLINK("http://exon.niaid.nih.gov/transcriptome/T_rubida/S2/links/NR/Triru-18-NR.txt","unnamed protein product")</f>
        <v>unnamed protein product</v>
      </c>
      <c r="AH39" t="str">
        <f>HYPERLINK("http://www.ncbi.nlm.nih.gov/sutils/blink.cgi?pid=270046178","2E-044")</f>
        <v>2E-044</v>
      </c>
      <c r="AI39" t="str">
        <f>HYPERLINK("http://www.ncbi.nlm.nih.gov/protein/270046178","gi|270046178")</f>
        <v>gi|270046178</v>
      </c>
      <c r="AJ39">
        <v>182</v>
      </c>
      <c r="AK39">
        <v>176</v>
      </c>
      <c r="AL39">
        <v>178</v>
      </c>
      <c r="AM39">
        <v>53</v>
      </c>
      <c r="AN39">
        <v>99</v>
      </c>
      <c r="AO39" t="s">
        <v>59</v>
      </c>
      <c r="AP39" s="2" t="str">
        <f>HYPERLINK("http://exon.niaid.nih.gov/transcriptome/T_rubida/S2/links/SWISSP/Triru-18-SWISSP.txt","Procalin")</f>
        <v>Procalin</v>
      </c>
      <c r="AQ39" t="str">
        <f>HYPERLINK("http://www.uniprot.org/uniprot/Q9U6R6","5E-029")</f>
        <v>5E-029</v>
      </c>
      <c r="AR39" t="s">
        <v>180</v>
      </c>
      <c r="AS39">
        <v>127</v>
      </c>
      <c r="AT39">
        <v>167</v>
      </c>
      <c r="AU39">
        <v>169</v>
      </c>
      <c r="AV39">
        <v>38</v>
      </c>
      <c r="AW39">
        <v>99</v>
      </c>
      <c r="AX39">
        <v>108</v>
      </c>
      <c r="AY39">
        <v>14</v>
      </c>
      <c r="AZ39">
        <v>1</v>
      </c>
      <c r="BA39">
        <v>1</v>
      </c>
      <c r="BB39">
        <v>1</v>
      </c>
      <c r="BC39" t="s">
        <v>181</v>
      </c>
      <c r="BD39" s="2" t="s">
        <v>5</v>
      </c>
      <c r="BE39" t="s">
        <v>5</v>
      </c>
      <c r="BF39" t="s">
        <v>5</v>
      </c>
      <c r="BG39" t="s">
        <v>5</v>
      </c>
      <c r="BH39" t="s">
        <v>5</v>
      </c>
      <c r="BI39" s="2" t="str">
        <f>HYPERLINK("http://exon.niaid.nih.gov/transcriptome/T_rubida/S2/links/CDD/Triru-18-CDD.txt","Triabin")</f>
        <v>Triabin</v>
      </c>
      <c r="BJ39" t="str">
        <f>HYPERLINK("http://www.ncbi.nlm.nih.gov/Structure/cdd/cddsrv.cgi?uid=pfam03973&amp;version=v4.0","9E-015")</f>
        <v>9E-015</v>
      </c>
      <c r="BK39" t="s">
        <v>848</v>
      </c>
      <c r="BL39" s="2" t="str">
        <f>HYPERLINK("http://exon.niaid.nih.gov/transcriptome/T_rubida/S2/links/KOG/Triru-18-KOG.txt","Sortilin and related receptors")</f>
        <v>Sortilin and related receptors</v>
      </c>
      <c r="BM39" t="str">
        <f>HYPERLINK("http://www.ncbi.nlm.nih.gov/COG/grace/shokog.cgi?KOG3511","0.32")</f>
        <v>0.32</v>
      </c>
      <c r="BN39" t="s">
        <v>96</v>
      </c>
      <c r="BO39" s="2" t="str">
        <f>HYPERLINK("http://exon.niaid.nih.gov/transcriptome/T_rubida/S2/links/PFAM/Triru-18-PFAM.txt","Triabin")</f>
        <v>Triabin</v>
      </c>
      <c r="BP39" t="str">
        <f>HYPERLINK("http://pfam.sanger.ac.uk/family?acc=PF03973","2E-015")</f>
        <v>2E-015</v>
      </c>
      <c r="BQ39" s="2" t="str">
        <f>HYPERLINK("http://exon.niaid.nih.gov/transcriptome/T_rubida/S2/links/SMART/Triru-18-SMART.txt","EH")</f>
        <v>EH</v>
      </c>
      <c r="BR39" t="str">
        <f>HYPERLINK("http://smart.embl-heidelberg.de/smart/do_annotation.pl?DOMAIN=EH&amp;BLAST=DUMMY","0.55")</f>
        <v>0.55</v>
      </c>
      <c r="BS39" s="17">
        <f t="shared" si="14"/>
        <v>1</v>
      </c>
      <c r="BT39" s="1">
        <f t="shared" si="15"/>
        <v>359</v>
      </c>
      <c r="BU39" s="17">
        <f t="shared" si="16"/>
        <v>1</v>
      </c>
      <c r="BV39" s="1">
        <f t="shared" si="17"/>
        <v>225</v>
      </c>
      <c r="BW39" s="17">
        <f t="shared" si="18"/>
        <v>2</v>
      </c>
      <c r="BX39" s="1">
        <f t="shared" si="19"/>
        <v>70</v>
      </c>
      <c r="BY39" s="17">
        <f t="shared" si="20"/>
        <v>1</v>
      </c>
      <c r="BZ39" s="1">
        <f t="shared" si="21"/>
        <v>69</v>
      </c>
      <c r="CA39" s="17">
        <f t="shared" si="22"/>
        <v>1</v>
      </c>
      <c r="CB39" s="1">
        <f t="shared" si="23"/>
        <v>69</v>
      </c>
      <c r="CC39" s="17">
        <f t="shared" si="10"/>
        <v>1</v>
      </c>
      <c r="CD39" s="1">
        <f t="shared" si="11"/>
        <v>45</v>
      </c>
      <c r="CE39" s="17">
        <f t="shared" si="12"/>
        <v>1</v>
      </c>
      <c r="CF39" s="1">
        <f t="shared" si="13"/>
        <v>45</v>
      </c>
      <c r="CG39" s="17">
        <f>HYPERLINK("http://exon.niaid.nih.gov/transcriptome/T_rubida/S2/links/cluster/Triru-pep-ext60-50-Sim-CLU1.txt", 1)</f>
        <v>1</v>
      </c>
      <c r="CH39" s="1">
        <f>HYPERLINK("http://exon.niaid.nih.gov/transcriptome/T_rubida/S2/links/cluster/Triru-pep-ext60-50-Sim-CLTL1.txt", 35)</f>
        <v>35</v>
      </c>
      <c r="CI39" s="17">
        <f>HYPERLINK("http://exon.niaid.nih.gov/transcriptome/T_rubida/S2/links/cluster/Triru-pep-ext65-50-Sim-CLU1.txt", 1)</f>
        <v>1</v>
      </c>
      <c r="CJ39" s="1">
        <f>HYPERLINK("http://exon.niaid.nih.gov/transcriptome/T_rubida/S2/links/cluster/Triru-pep-ext65-50-Sim-CLTL1.txt", 30)</f>
        <v>30</v>
      </c>
      <c r="CK39" s="17">
        <f>HYPERLINK("http://exon.niaid.nih.gov/transcriptome/T_rubida/S2/links/cluster/Triru-pep-ext70-50-Sim-CLU1.txt", 1)</f>
        <v>1</v>
      </c>
      <c r="CL39" s="1">
        <f>HYPERLINK("http://exon.niaid.nih.gov/transcriptome/T_rubida/S2/links/cluster/Triru-pep-ext70-50-Sim-CLTL1.txt", 28)</f>
        <v>28</v>
      </c>
      <c r="CM39" s="17">
        <f>HYPERLINK("http://exon.niaid.nih.gov/transcriptome/T_rubida/S2/links/cluster/Triru-pep-ext75-50-Sim-CLU1.txt", 1)</f>
        <v>1</v>
      </c>
      <c r="CN39" s="1">
        <f>HYPERLINK("http://exon.niaid.nih.gov/transcriptome/T_rubida/S2/links/cluster/Triru-pep-ext75-50-Sim-CLTL1.txt", 23)</f>
        <v>23</v>
      </c>
      <c r="CO39" s="17">
        <f>HYPERLINK("http://exon.niaid.nih.gov/transcriptome/T_rubida/S2/links/cluster/Triru-pep-ext80-50-Sim-CLU1.txt", 1)</f>
        <v>1</v>
      </c>
      <c r="CP39" s="1">
        <f>HYPERLINK("http://exon.niaid.nih.gov/transcriptome/T_rubida/S2/links/cluster/Triru-pep-ext80-50-Sim-CLTL1.txt", 23)</f>
        <v>23</v>
      </c>
      <c r="CQ39" s="17">
        <f>HYPERLINK("http://exon.niaid.nih.gov/transcriptome/T_rubida/S2/links/cluster/Triru-pep-ext85-50-Sim-CLU1.txt", 1)</f>
        <v>1</v>
      </c>
      <c r="CR39" s="1">
        <f>HYPERLINK("http://exon.niaid.nih.gov/transcriptome/T_rubida/S2/links/cluster/Triru-pep-ext85-50-Sim-CLTL1.txt", 15)</f>
        <v>15</v>
      </c>
      <c r="CS39" s="17">
        <f>HYPERLINK("http://exon.niaid.nih.gov/transcriptome/T_rubida/S2/links/cluster/Triru-pep-ext90-50-Sim-CLU1.txt", 1)</f>
        <v>1</v>
      </c>
      <c r="CT39" s="1">
        <f>HYPERLINK("http://exon.niaid.nih.gov/transcriptome/T_rubida/S2/links/cluster/Triru-pep-ext90-50-Sim-CLTL1.txt", 13)</f>
        <v>13</v>
      </c>
      <c r="CU39" s="17">
        <f>HYPERLINK("http://exon.niaid.nih.gov/transcriptome/T_rubida/S2/links/cluster/Triru-pep-ext95-50-Sim-CLU1.txt", 1)</f>
        <v>1</v>
      </c>
      <c r="CV39" s="1">
        <f>HYPERLINK("http://exon.niaid.nih.gov/transcriptome/T_rubida/S2/links/cluster/Triru-pep-ext95-50-Sim-CLTL1.txt", 8)</f>
        <v>8</v>
      </c>
    </row>
    <row r="40" spans="1:100">
      <c r="A40" t="str">
        <f>HYPERLINK("http://exon.niaid.nih.gov/transcriptome/T_rubida/S2/links/pep/Triru-79-pep.txt","Triru-79")</f>
        <v>Triru-79</v>
      </c>
      <c r="B40">
        <v>110</v>
      </c>
      <c r="C40" s="1" t="s">
        <v>14</v>
      </c>
      <c r="D40" s="1" t="s">
        <v>3</v>
      </c>
      <c r="E40" t="str">
        <f>HYPERLINK("http://exon.niaid.nih.gov/transcriptome/T_rubida/S2/links/cds/Triru-79-cds.txt","Triru-79")</f>
        <v>Triru-79</v>
      </c>
      <c r="F40">
        <v>333</v>
      </c>
      <c r="G40" s="2" t="s">
        <v>1890</v>
      </c>
      <c r="H40" s="1">
        <v>3</v>
      </c>
      <c r="I40" s="3" t="s">
        <v>1272</v>
      </c>
      <c r="J40" s="17" t="str">
        <f>HYPERLINK("http://exon.niaid.nih.gov/transcriptome/T_rubida/S2/links/Sigp/Triru-79-SigP.txt","CYT")</f>
        <v>CYT</v>
      </c>
      <c r="K40" t="s">
        <v>5</v>
      </c>
      <c r="L40" s="1">
        <v>12.244999999999999</v>
      </c>
      <c r="M40" s="1">
        <v>4.8099999999999996</v>
      </c>
      <c r="P40" s="1">
        <v>5.8999999999999997E-2</v>
      </c>
      <c r="Q40" s="1">
        <v>5.7000000000000002E-2</v>
      </c>
      <c r="R40" s="1">
        <v>0.95</v>
      </c>
      <c r="S40" s="17" t="s">
        <v>1346</v>
      </c>
      <c r="T40">
        <v>1</v>
      </c>
      <c r="U40" t="s">
        <v>1379</v>
      </c>
      <c r="V40" s="17">
        <v>0</v>
      </c>
      <c r="W40" t="s">
        <v>5</v>
      </c>
      <c r="X40" t="s">
        <v>5</v>
      </c>
      <c r="Y40" t="s">
        <v>5</v>
      </c>
      <c r="Z40" t="s">
        <v>5</v>
      </c>
      <c r="AA40" t="s">
        <v>5</v>
      </c>
      <c r="AB40" s="17" t="str">
        <f>HYPERLINK("http://exon.niaid.nih.gov/transcriptome/T_rubida/S2/links/netoglyc/TRIRU-79-netoglyc.txt","0")</f>
        <v>0</v>
      </c>
      <c r="AC40">
        <v>17.3</v>
      </c>
      <c r="AD40">
        <v>7.3</v>
      </c>
      <c r="AE40">
        <v>2.7</v>
      </c>
      <c r="AF40" s="17" t="s">
        <v>5</v>
      </c>
      <c r="AG40" s="2" t="str">
        <f>HYPERLINK("http://exon.niaid.nih.gov/transcriptome/T_rubida/S2/links/NR/Triru-79-NR.txt","lipocalin-like TiLipo37")</f>
        <v>lipocalin-like TiLipo37</v>
      </c>
      <c r="AH40" t="str">
        <f>HYPERLINK("http://www.ncbi.nlm.nih.gov/sutils/blink.cgi?pid=34421652","2E-027")</f>
        <v>2E-027</v>
      </c>
      <c r="AI40" t="str">
        <f>HYPERLINK("http://www.ncbi.nlm.nih.gov/protein/34421652","gi|34421652")</f>
        <v>gi|34421652</v>
      </c>
      <c r="AJ40">
        <v>125</v>
      </c>
      <c r="AK40">
        <v>108</v>
      </c>
      <c r="AL40">
        <v>178</v>
      </c>
      <c r="AM40">
        <v>56</v>
      </c>
      <c r="AN40">
        <v>61</v>
      </c>
      <c r="AO40" t="s">
        <v>80</v>
      </c>
      <c r="AP40" s="2" t="str">
        <f>HYPERLINK("http://exon.niaid.nih.gov/transcriptome/T_rubida/S2/links/SWISSP/Triru-79-SWISSP.txt","Procalin")</f>
        <v>Procalin</v>
      </c>
      <c r="AQ40" t="str">
        <f>HYPERLINK("http://www.uniprot.org/uniprot/Q9U6R6","9E-014")</f>
        <v>9E-014</v>
      </c>
      <c r="AR40" t="s">
        <v>180</v>
      </c>
      <c r="AS40">
        <v>75.5</v>
      </c>
      <c r="AT40">
        <v>100</v>
      </c>
      <c r="AU40">
        <v>169</v>
      </c>
      <c r="AV40">
        <v>37</v>
      </c>
      <c r="AW40">
        <v>60</v>
      </c>
      <c r="AX40">
        <v>64</v>
      </c>
      <c r="AY40">
        <v>3</v>
      </c>
      <c r="AZ40">
        <v>68</v>
      </c>
      <c r="BA40">
        <v>2</v>
      </c>
      <c r="BB40">
        <v>1</v>
      </c>
      <c r="BC40" t="s">
        <v>181</v>
      </c>
      <c r="BD40" s="2" t="s">
        <v>5</v>
      </c>
      <c r="BE40" t="s">
        <v>5</v>
      </c>
      <c r="BF40" t="s">
        <v>5</v>
      </c>
      <c r="BG40" t="s">
        <v>5</v>
      </c>
      <c r="BH40" t="s">
        <v>5</v>
      </c>
      <c r="BI40" s="2" t="str">
        <f>HYPERLINK("http://exon.niaid.nih.gov/transcriptome/T_rubida/S2/links/CDD/Triru-79-CDD.txt","Triabin")</f>
        <v>Triabin</v>
      </c>
      <c r="BJ40" t="str">
        <f>HYPERLINK("http://www.ncbi.nlm.nih.gov/Structure/cdd/cddsrv.cgi?uid=pfam03973&amp;version=v4.0","2E-008")</f>
        <v>2E-008</v>
      </c>
      <c r="BK40" t="s">
        <v>751</v>
      </c>
      <c r="BL40" s="2" t="str">
        <f>HYPERLINK("http://exon.niaid.nih.gov/transcriptome/T_rubida/S2/links/KOG/Triru-79-KOG.txt","Apolipoprotein D/Lipocalin")</f>
        <v>Apolipoprotein D/Lipocalin</v>
      </c>
      <c r="BM40" t="str">
        <f>HYPERLINK("http://www.ncbi.nlm.nih.gov/COG/grace/shokog.cgi?KOG4824","0.32")</f>
        <v>0.32</v>
      </c>
      <c r="BN40" t="s">
        <v>238</v>
      </c>
      <c r="BO40" s="2" t="str">
        <f>HYPERLINK("http://exon.niaid.nih.gov/transcriptome/T_rubida/S2/links/PFAM/Triru-79-PFAM.txt","Triabin")</f>
        <v>Triabin</v>
      </c>
      <c r="BP40" t="str">
        <f>HYPERLINK("http://pfam.sanger.ac.uk/family?acc=PF03973","5E-009")</f>
        <v>5E-009</v>
      </c>
      <c r="BQ40" s="2" t="str">
        <f>HYPERLINK("http://exon.niaid.nih.gov/transcriptome/T_rubida/S2/links/SMART/Triru-79-SMART.txt","POLBc")</f>
        <v>POLBc</v>
      </c>
      <c r="BR40" t="str">
        <f>HYPERLINK("http://smart.embl-heidelberg.de/smart/do_annotation.pl?DOMAIN=POLBc&amp;BLAST=DUMMY","0.98")</f>
        <v>0.98</v>
      </c>
      <c r="BS40" s="17">
        <f t="shared" si="14"/>
        <v>1</v>
      </c>
      <c r="BT40" s="1">
        <f t="shared" si="15"/>
        <v>359</v>
      </c>
      <c r="BU40" s="17">
        <f t="shared" si="16"/>
        <v>1</v>
      </c>
      <c r="BV40" s="1">
        <f t="shared" si="17"/>
        <v>225</v>
      </c>
      <c r="BW40" s="17">
        <f t="shared" si="18"/>
        <v>2</v>
      </c>
      <c r="BX40" s="1">
        <f t="shared" si="19"/>
        <v>70</v>
      </c>
      <c r="BY40" s="17">
        <f t="shared" si="20"/>
        <v>1</v>
      </c>
      <c r="BZ40" s="1">
        <f t="shared" si="21"/>
        <v>69</v>
      </c>
      <c r="CA40" s="17">
        <f t="shared" si="22"/>
        <v>1</v>
      </c>
      <c r="CB40" s="1">
        <f t="shared" si="23"/>
        <v>69</v>
      </c>
      <c r="CC40" s="17">
        <f t="shared" si="10"/>
        <v>1</v>
      </c>
      <c r="CD40" s="1">
        <f t="shared" si="11"/>
        <v>45</v>
      </c>
      <c r="CE40" s="17">
        <f t="shared" si="12"/>
        <v>1</v>
      </c>
      <c r="CF40" s="1">
        <f t="shared" si="13"/>
        <v>45</v>
      </c>
      <c r="CG40" s="17">
        <f>HYPERLINK("http://exon.niaid.nih.gov/transcriptome/T_rubida/S2/links/cluster/Triru-pep-ext60-50-Sim-CLU5.txt", 5)</f>
        <v>5</v>
      </c>
      <c r="CH40" s="1">
        <f>HYPERLINK("http://exon.niaid.nih.gov/transcriptome/T_rubida/S2/links/cluster/Triru-pep-ext60-50-Sim-CLTL5.txt", 9)</f>
        <v>9</v>
      </c>
      <c r="CI40" s="17">
        <f>HYPERLINK("http://exon.niaid.nih.gov/transcriptome/T_rubida/S2/links/cluster/Triru-pep-ext65-50-Sim-CLU6.txt", 6)</f>
        <v>6</v>
      </c>
      <c r="CJ40" s="1">
        <f>HYPERLINK("http://exon.niaid.nih.gov/transcriptome/T_rubida/S2/links/cluster/Triru-pep-ext65-50-Sim-CLTL6.txt", 7)</f>
        <v>7</v>
      </c>
      <c r="CK40" s="17">
        <v>43</v>
      </c>
      <c r="CL40" s="1">
        <v>1</v>
      </c>
      <c r="CM40" s="17">
        <v>45</v>
      </c>
      <c r="CN40" s="1">
        <v>1</v>
      </c>
      <c r="CO40" s="17">
        <v>53</v>
      </c>
      <c r="CP40" s="1">
        <v>1</v>
      </c>
      <c r="CQ40" s="17">
        <v>63</v>
      </c>
      <c r="CR40" s="1">
        <v>1</v>
      </c>
      <c r="CS40" s="17">
        <v>68</v>
      </c>
      <c r="CT40" s="1">
        <v>1</v>
      </c>
      <c r="CU40" s="17">
        <v>77</v>
      </c>
      <c r="CV40" s="1">
        <v>1</v>
      </c>
    </row>
    <row r="41" spans="1:100">
      <c r="A41" t="str">
        <f>HYPERLINK("http://exon.niaid.nih.gov/transcriptome/T_rubida/S2/links/pep/Triru-75-pep.txt","Triru-75")</f>
        <v>Triru-75</v>
      </c>
      <c r="B41">
        <v>128</v>
      </c>
      <c r="C41" s="1" t="s">
        <v>6</v>
      </c>
      <c r="D41" s="1" t="s">
        <v>3</v>
      </c>
      <c r="E41" t="str">
        <f>HYPERLINK("http://exon.niaid.nih.gov/transcriptome/T_rubida/S2/links/cds/Triru-75-cds.txt","Triru-75")</f>
        <v>Triru-75</v>
      </c>
      <c r="F41">
        <v>387</v>
      </c>
      <c r="G41" s="2" t="s">
        <v>1890</v>
      </c>
      <c r="H41" s="1">
        <v>3</v>
      </c>
      <c r="I41" s="3" t="s">
        <v>1272</v>
      </c>
      <c r="J41" s="17" t="str">
        <f>HYPERLINK("http://exon.niaid.nih.gov/transcriptome/T_rubida/S2/links/Sigp/Triru-75-SigP.txt","CYT")</f>
        <v>CYT</v>
      </c>
      <c r="K41" t="s">
        <v>5</v>
      </c>
      <c r="L41" s="1">
        <v>14.263</v>
      </c>
      <c r="M41" s="1">
        <v>4.9000000000000004</v>
      </c>
      <c r="P41" s="1">
        <v>0.122</v>
      </c>
      <c r="Q41" s="1">
        <v>4.9000000000000002E-2</v>
      </c>
      <c r="R41" s="1">
        <v>0.88500000000000001</v>
      </c>
      <c r="S41" s="17" t="s">
        <v>1346</v>
      </c>
      <c r="T41">
        <v>2</v>
      </c>
      <c r="U41" t="s">
        <v>1373</v>
      </c>
      <c r="V41" s="17">
        <v>0</v>
      </c>
      <c r="W41" t="s">
        <v>5</v>
      </c>
      <c r="X41" t="s">
        <v>5</v>
      </c>
      <c r="Y41" t="s">
        <v>5</v>
      </c>
      <c r="Z41" t="s">
        <v>5</v>
      </c>
      <c r="AA41" t="s">
        <v>5</v>
      </c>
      <c r="AB41" s="17" t="str">
        <f>HYPERLINK("http://exon.niaid.nih.gov/transcriptome/T_rubida/S2/links/netoglyc/TRIRU-75-netoglyc.txt","1")</f>
        <v>1</v>
      </c>
      <c r="AC41">
        <v>24.2</v>
      </c>
      <c r="AD41">
        <v>6.3</v>
      </c>
      <c r="AE41">
        <v>2.2999999999999998</v>
      </c>
      <c r="AF41" s="17" t="s">
        <v>5</v>
      </c>
      <c r="AG41" s="2" t="str">
        <f>HYPERLINK("http://exon.niaid.nih.gov/transcriptome/T_rubida/S2/links/NR/Triru-75-NR.txt","salivary lipocalin")</f>
        <v>salivary lipocalin</v>
      </c>
      <c r="AH41" t="str">
        <f>HYPERLINK("http://www.ncbi.nlm.nih.gov/sutils/blink.cgi?pid=149689058","2E-030")</f>
        <v>2E-030</v>
      </c>
      <c r="AI41" t="str">
        <f>HYPERLINK("http://www.ncbi.nlm.nih.gov/protein/149689058","gi|149689058")</f>
        <v>gi|149689058</v>
      </c>
      <c r="AJ41">
        <v>135</v>
      </c>
      <c r="AK41">
        <v>126</v>
      </c>
      <c r="AL41">
        <v>179</v>
      </c>
      <c r="AM41">
        <v>56</v>
      </c>
      <c r="AN41">
        <v>71</v>
      </c>
      <c r="AO41" t="s">
        <v>80</v>
      </c>
      <c r="AP41" s="2" t="str">
        <f>HYPERLINK("http://exon.niaid.nih.gov/transcriptome/T_rubida/S2/links/SWISSP/Triru-75-SWISSP.txt","Procalin")</f>
        <v>Procalin</v>
      </c>
      <c r="AQ41" t="str">
        <f>HYPERLINK("http://www.uniprot.org/uniprot/Q9U6R6","1E-014")</f>
        <v>1E-014</v>
      </c>
      <c r="AR41" t="s">
        <v>180</v>
      </c>
      <c r="AS41">
        <v>78.2</v>
      </c>
      <c r="AT41">
        <v>123</v>
      </c>
      <c r="AU41">
        <v>169</v>
      </c>
      <c r="AV41">
        <v>35</v>
      </c>
      <c r="AW41">
        <v>73</v>
      </c>
      <c r="AX41">
        <v>80</v>
      </c>
      <c r="AY41">
        <v>6</v>
      </c>
      <c r="AZ41">
        <v>45</v>
      </c>
      <c r="BA41">
        <v>3</v>
      </c>
      <c r="BB41">
        <v>1</v>
      </c>
      <c r="BC41" t="s">
        <v>181</v>
      </c>
      <c r="BD41" s="2" t="s">
        <v>5</v>
      </c>
      <c r="BE41" t="s">
        <v>5</v>
      </c>
      <c r="BF41" t="s">
        <v>5</v>
      </c>
      <c r="BG41" t="s">
        <v>5</v>
      </c>
      <c r="BH41" t="s">
        <v>5</v>
      </c>
      <c r="BI41" s="2" t="str">
        <f>HYPERLINK("http://exon.niaid.nih.gov/transcriptome/T_rubida/S2/links/CDD/Triru-75-CDD.txt","Triabin")</f>
        <v>Triabin</v>
      </c>
      <c r="BJ41" t="str">
        <f>HYPERLINK("http://www.ncbi.nlm.nih.gov/Structure/cdd/cddsrv.cgi?uid=pfam03973&amp;version=v4.0","3E-013")</f>
        <v>3E-013</v>
      </c>
      <c r="BK41" t="s">
        <v>624</v>
      </c>
      <c r="BL41" s="2" t="str">
        <f>HYPERLINK("http://exon.niaid.nih.gov/transcriptome/T_rubida/S2/links/KOG/Triru-75-KOG.txt","emp24/gp25L/p24 family of membrane trafficking proteins")</f>
        <v>emp24/gp25L/p24 family of membrane trafficking proteins</v>
      </c>
      <c r="BM41" t="str">
        <f>HYPERLINK("http://www.ncbi.nlm.nih.gov/COG/grace/shokog.cgi?KOG1691","0.073")</f>
        <v>0.073</v>
      </c>
      <c r="BN41" t="s">
        <v>164</v>
      </c>
      <c r="BO41" s="2" t="str">
        <f>HYPERLINK("http://exon.niaid.nih.gov/transcriptome/T_rubida/S2/links/PFAM/Triru-75-PFAM.txt","Triabin")</f>
        <v>Triabin</v>
      </c>
      <c r="BP41" t="str">
        <f>HYPERLINK("http://pfam.sanger.ac.uk/family?acc=PF03973","7E-014")</f>
        <v>7E-014</v>
      </c>
      <c r="BQ41" s="2" t="str">
        <f>HYPERLINK("http://exon.niaid.nih.gov/transcriptome/T_rubida/S2/links/SMART/Triru-75-SMART.txt","IGv")</f>
        <v>IGv</v>
      </c>
      <c r="BR41" t="str">
        <f>HYPERLINK("http://smart.embl-heidelberg.de/smart/do_annotation.pl?DOMAIN=IGv&amp;BLAST=DUMMY","2.0")</f>
        <v>2.0</v>
      </c>
      <c r="BS41" s="17">
        <f t="shared" si="14"/>
        <v>1</v>
      </c>
      <c r="BT41" s="1">
        <f t="shared" si="15"/>
        <v>359</v>
      </c>
      <c r="BU41" s="17">
        <f t="shared" si="16"/>
        <v>1</v>
      </c>
      <c r="BV41" s="1">
        <f t="shared" si="17"/>
        <v>225</v>
      </c>
      <c r="BW41" s="17">
        <f t="shared" si="18"/>
        <v>2</v>
      </c>
      <c r="BX41" s="1">
        <f t="shared" si="19"/>
        <v>70</v>
      </c>
      <c r="BY41" s="17">
        <f t="shared" si="20"/>
        <v>1</v>
      </c>
      <c r="BZ41" s="1">
        <f t="shared" si="21"/>
        <v>69</v>
      </c>
      <c r="CA41" s="17">
        <f t="shared" si="22"/>
        <v>1</v>
      </c>
      <c r="CB41" s="1">
        <f t="shared" si="23"/>
        <v>69</v>
      </c>
      <c r="CC41" s="17">
        <f t="shared" si="10"/>
        <v>1</v>
      </c>
      <c r="CD41" s="1">
        <f t="shared" si="11"/>
        <v>45</v>
      </c>
      <c r="CE41" s="17">
        <f t="shared" si="12"/>
        <v>1</v>
      </c>
      <c r="CF41" s="1">
        <f t="shared" si="13"/>
        <v>45</v>
      </c>
      <c r="CG41" s="17">
        <f>HYPERLINK("http://exon.niaid.nih.gov/transcriptome/T_rubida/S2/links/cluster/Triru-pep-ext60-50-Sim-CLU5.txt", 5)</f>
        <v>5</v>
      </c>
      <c r="CH41" s="1">
        <f>HYPERLINK("http://exon.niaid.nih.gov/transcriptome/T_rubida/S2/links/cluster/Triru-pep-ext60-50-Sim-CLTL5.txt", 9)</f>
        <v>9</v>
      </c>
      <c r="CI41" s="17">
        <f>HYPERLINK("http://exon.niaid.nih.gov/transcriptome/T_rubida/S2/links/cluster/Triru-pep-ext65-50-Sim-CLU6.txt", 6)</f>
        <v>6</v>
      </c>
      <c r="CJ41" s="1">
        <f>HYPERLINK("http://exon.niaid.nih.gov/transcriptome/T_rubida/S2/links/cluster/Triru-pep-ext65-50-Sim-CLTL6.txt", 7)</f>
        <v>7</v>
      </c>
      <c r="CK41" s="17">
        <f>HYPERLINK("http://exon.niaid.nih.gov/transcriptome/T_rubida/S2/links/cluster/Triru-pep-ext70-50-Sim-CLU6.txt", 6)</f>
        <v>6</v>
      </c>
      <c r="CL41" s="1">
        <f>HYPERLINK("http://exon.niaid.nih.gov/transcriptome/T_rubida/S2/links/cluster/Triru-pep-ext70-50-Sim-CLTL6.txt", 6)</f>
        <v>6</v>
      </c>
      <c r="CM41" s="17">
        <f>HYPERLINK("http://exon.niaid.nih.gov/transcriptome/T_rubida/S2/links/cluster/Triru-pep-ext75-50-Sim-CLU3.txt", 3)</f>
        <v>3</v>
      </c>
      <c r="CN41" s="1">
        <f>HYPERLINK("http://exon.niaid.nih.gov/transcriptome/T_rubida/S2/links/cluster/Triru-pep-ext75-50-Sim-CLTL3.txt", 6)</f>
        <v>6</v>
      </c>
      <c r="CO41" s="17">
        <f>HYPERLINK("http://exon.niaid.nih.gov/transcriptome/T_rubida/S2/links/cluster/Triru-pep-ext80-50-Sim-CLU3.txt", 3)</f>
        <v>3</v>
      </c>
      <c r="CP41" s="1">
        <f>HYPERLINK("http://exon.niaid.nih.gov/transcriptome/T_rubida/S2/links/cluster/Triru-pep-ext80-50-Sim-CLTL3.txt", 5)</f>
        <v>5</v>
      </c>
      <c r="CQ41" s="17">
        <f>HYPERLINK("http://exon.niaid.nih.gov/transcriptome/T_rubida/S2/links/cluster/Triru-pep-ext85-50-Sim-CLU3.txt", 3)</f>
        <v>3</v>
      </c>
      <c r="CR41" s="1">
        <f>HYPERLINK("http://exon.niaid.nih.gov/transcriptome/T_rubida/S2/links/cluster/Triru-pep-ext85-50-Sim-CLTL3.txt", 5)</f>
        <v>5</v>
      </c>
      <c r="CS41" s="17">
        <f>HYPERLINK("http://exon.niaid.nih.gov/transcriptome/T_rubida/S2/links/cluster/Triru-pep-ext90-50-Sim-CLU5.txt", 5)</f>
        <v>5</v>
      </c>
      <c r="CT41" s="1">
        <f>HYPERLINK("http://exon.niaid.nih.gov/transcriptome/T_rubida/S2/links/cluster/Triru-pep-ext90-50-Sim-CLTL5.txt", 3)</f>
        <v>3</v>
      </c>
      <c r="CU41" s="17">
        <v>73</v>
      </c>
      <c r="CV41" s="1">
        <v>1</v>
      </c>
    </row>
    <row r="42" spans="1:100">
      <c r="A42" t="str">
        <f>HYPERLINK("http://exon.niaid.nih.gov/transcriptome/T_rubida/S2/links/pep/Triru-3-pep.txt","Triru-3")</f>
        <v>Triru-3</v>
      </c>
      <c r="B42">
        <v>143</v>
      </c>
      <c r="C42" s="1" t="s">
        <v>12</v>
      </c>
      <c r="D42" s="1" t="s">
        <v>3</v>
      </c>
      <c r="E42" t="str">
        <f>HYPERLINK("http://exon.niaid.nih.gov/transcriptome/T_rubida/S2/links/cds/Triru-3-cds.txt","Triru-3")</f>
        <v>Triru-3</v>
      </c>
      <c r="F42">
        <v>432</v>
      </c>
      <c r="G42" s="2" t="s">
        <v>1890</v>
      </c>
      <c r="H42" s="1">
        <v>3</v>
      </c>
      <c r="I42" s="3" t="s">
        <v>1272</v>
      </c>
      <c r="J42" s="17" t="str">
        <f>HYPERLINK("http://exon.niaid.nih.gov/transcriptome/T_rubida/S2/links/Sigp/Triru-3-SigP.txt","CYT")</f>
        <v>CYT</v>
      </c>
      <c r="K42" t="s">
        <v>5</v>
      </c>
      <c r="L42" s="1">
        <v>15.893000000000001</v>
      </c>
      <c r="M42" s="1">
        <v>6.38</v>
      </c>
      <c r="P42" s="1">
        <v>0.106</v>
      </c>
      <c r="Q42" s="1">
        <v>5.1999999999999998E-2</v>
      </c>
      <c r="R42" s="1">
        <v>0.91600000000000004</v>
      </c>
      <c r="S42" s="17" t="s">
        <v>1346</v>
      </c>
      <c r="T42">
        <v>1</v>
      </c>
      <c r="U42" t="s">
        <v>1376</v>
      </c>
      <c r="V42" s="17">
        <v>0</v>
      </c>
      <c r="W42" t="s">
        <v>5</v>
      </c>
      <c r="X42" t="s">
        <v>5</v>
      </c>
      <c r="Y42" t="s">
        <v>5</v>
      </c>
      <c r="Z42" t="s">
        <v>5</v>
      </c>
      <c r="AA42" t="s">
        <v>5</v>
      </c>
      <c r="AB42" s="17" t="str">
        <f>HYPERLINK("http://exon.niaid.nih.gov/transcriptome/T_rubida/S2/links/netoglyc/TRIRU-3-netoglyc.txt","4")</f>
        <v>4</v>
      </c>
      <c r="AC42">
        <v>18.2</v>
      </c>
      <c r="AD42">
        <v>5.6</v>
      </c>
      <c r="AE42">
        <v>4.2</v>
      </c>
      <c r="AF42" s="17" t="s">
        <v>5</v>
      </c>
      <c r="AG42" s="2" t="str">
        <f>HYPERLINK("http://exon.niaid.nih.gov/transcriptome/T_rubida/S2/links/NR/Triru-3-NR.txt","unnamed protein product")</f>
        <v>unnamed protein product</v>
      </c>
      <c r="AH42" t="str">
        <f>HYPERLINK("http://www.ncbi.nlm.nih.gov/sutils/blink.cgi?pid=270046244","2E-027")</f>
        <v>2E-027</v>
      </c>
      <c r="AI42" t="str">
        <f>HYPERLINK("http://www.ncbi.nlm.nih.gov/protein/270046244","gi|270046244")</f>
        <v>gi|270046244</v>
      </c>
      <c r="AJ42">
        <v>125</v>
      </c>
      <c r="AK42">
        <v>145</v>
      </c>
      <c r="AL42">
        <v>177</v>
      </c>
      <c r="AM42">
        <v>47</v>
      </c>
      <c r="AN42">
        <v>82</v>
      </c>
      <c r="AO42" t="s">
        <v>59</v>
      </c>
      <c r="AP42" s="2" t="str">
        <f>HYPERLINK("http://exon.niaid.nih.gov/transcriptome/T_rubida/S2/links/SWISSP/Triru-3-SWISSP.txt","Procalin")</f>
        <v>Procalin</v>
      </c>
      <c r="AQ42" t="str">
        <f>HYPERLINK("http://www.uniprot.org/uniprot/Q9U6R6","7E-017")</f>
        <v>7E-017</v>
      </c>
      <c r="AR42" t="s">
        <v>180</v>
      </c>
      <c r="AS42">
        <v>85.9</v>
      </c>
      <c r="AT42">
        <v>141</v>
      </c>
      <c r="AU42">
        <v>169</v>
      </c>
      <c r="AV42">
        <v>31</v>
      </c>
      <c r="AW42">
        <v>84</v>
      </c>
      <c r="AX42">
        <v>98</v>
      </c>
      <c r="AY42">
        <v>7</v>
      </c>
      <c r="AZ42">
        <v>27</v>
      </c>
      <c r="BA42">
        <v>5</v>
      </c>
      <c r="BB42">
        <v>1</v>
      </c>
      <c r="BC42" t="s">
        <v>181</v>
      </c>
      <c r="BD42" s="2" t="s">
        <v>5</v>
      </c>
      <c r="BE42" t="s">
        <v>5</v>
      </c>
      <c r="BF42" t="s">
        <v>5</v>
      </c>
      <c r="BG42" t="s">
        <v>5</v>
      </c>
      <c r="BH42" t="s">
        <v>5</v>
      </c>
      <c r="BI42" s="2" t="str">
        <f>HYPERLINK("http://exon.niaid.nih.gov/transcriptome/T_rubida/S2/links/CDD/Triru-3-CDD.txt","Triabin")</f>
        <v>Triabin</v>
      </c>
      <c r="BJ42" t="str">
        <f>HYPERLINK("http://www.ncbi.nlm.nih.gov/Structure/cdd/cddsrv.cgi?uid=pfam03973&amp;version=v4.0","2E-014")</f>
        <v>2E-014</v>
      </c>
      <c r="BK42" t="s">
        <v>1224</v>
      </c>
      <c r="BL42" s="2" t="str">
        <f>HYPERLINK("http://exon.niaid.nih.gov/transcriptome/T_rubida/S2/links/KOG/Triru-3-KOG.txt","Amino acid transporters")</f>
        <v>Amino acid transporters</v>
      </c>
      <c r="BM42" t="str">
        <f>HYPERLINK("http://www.ncbi.nlm.nih.gov/COG/grace/shokog.cgi?KOG1288","0.48")</f>
        <v>0.48</v>
      </c>
      <c r="BN42" t="s">
        <v>418</v>
      </c>
      <c r="BO42" s="2" t="str">
        <f>HYPERLINK("http://exon.niaid.nih.gov/transcriptome/T_rubida/S2/links/PFAM/Triru-3-PFAM.txt","Triabin")</f>
        <v>Triabin</v>
      </c>
      <c r="BP42" t="str">
        <f>HYPERLINK("http://pfam.sanger.ac.uk/family?acc=PF03973","4E-015")</f>
        <v>4E-015</v>
      </c>
      <c r="BQ42" s="2" t="str">
        <f>HYPERLINK("http://exon.niaid.nih.gov/transcriptome/T_rubida/S2/links/SMART/Triru-3-SMART.txt","EH")</f>
        <v>EH</v>
      </c>
      <c r="BR42" t="str">
        <f>HYPERLINK("http://smart.embl-heidelberg.de/smart/do_annotation.pl?DOMAIN=EH&amp;BLAST=DUMMY","0.53")</f>
        <v>0.53</v>
      </c>
      <c r="BS42" s="17">
        <f t="shared" si="14"/>
        <v>1</v>
      </c>
      <c r="BT42" s="1">
        <f t="shared" si="15"/>
        <v>359</v>
      </c>
      <c r="BU42" s="17">
        <f t="shared" si="16"/>
        <v>1</v>
      </c>
      <c r="BV42" s="1">
        <f t="shared" si="17"/>
        <v>225</v>
      </c>
      <c r="BW42" s="17">
        <f t="shared" si="18"/>
        <v>2</v>
      </c>
      <c r="BX42" s="1">
        <f t="shared" si="19"/>
        <v>70</v>
      </c>
      <c r="BY42" s="17">
        <f t="shared" si="20"/>
        <v>1</v>
      </c>
      <c r="BZ42" s="1">
        <f t="shared" si="21"/>
        <v>69</v>
      </c>
      <c r="CA42" s="17">
        <f t="shared" si="22"/>
        <v>1</v>
      </c>
      <c r="CB42" s="1">
        <f t="shared" si="23"/>
        <v>69</v>
      </c>
      <c r="CC42" s="17">
        <f t="shared" si="10"/>
        <v>1</v>
      </c>
      <c r="CD42" s="1">
        <f t="shared" si="11"/>
        <v>45</v>
      </c>
      <c r="CE42" s="17">
        <f t="shared" si="12"/>
        <v>1</v>
      </c>
      <c r="CF42" s="1">
        <f t="shared" si="13"/>
        <v>45</v>
      </c>
      <c r="CG42" s="17">
        <f>HYPERLINK("http://exon.niaid.nih.gov/transcriptome/T_rubida/S2/links/cluster/Triru-pep-ext60-50-Sim-CLU1.txt", 1)</f>
        <v>1</v>
      </c>
      <c r="CH42" s="1">
        <f>HYPERLINK("http://exon.niaid.nih.gov/transcriptome/T_rubida/S2/links/cluster/Triru-pep-ext60-50-Sim-CLTL1.txt", 35)</f>
        <v>35</v>
      </c>
      <c r="CI42" s="17">
        <f>HYPERLINK("http://exon.niaid.nih.gov/transcriptome/T_rubida/S2/links/cluster/Triru-pep-ext65-50-Sim-CLU1.txt", 1)</f>
        <v>1</v>
      </c>
      <c r="CJ42" s="1">
        <f>HYPERLINK("http://exon.niaid.nih.gov/transcriptome/T_rubida/S2/links/cluster/Triru-pep-ext65-50-Sim-CLTL1.txt", 30)</f>
        <v>30</v>
      </c>
      <c r="CK42" s="17">
        <f>HYPERLINK("http://exon.niaid.nih.gov/transcriptome/T_rubida/S2/links/cluster/Triru-pep-ext70-50-Sim-CLU1.txt", 1)</f>
        <v>1</v>
      </c>
      <c r="CL42" s="1">
        <f>HYPERLINK("http://exon.niaid.nih.gov/transcriptome/T_rubida/S2/links/cluster/Triru-pep-ext70-50-Sim-CLTL1.txt", 28)</f>
        <v>28</v>
      </c>
      <c r="CM42" s="17">
        <f>HYPERLINK("http://exon.niaid.nih.gov/transcriptome/T_rubida/S2/links/cluster/Triru-pep-ext75-50-Sim-CLU1.txt", 1)</f>
        <v>1</v>
      </c>
      <c r="CN42" s="1">
        <f>HYPERLINK("http://exon.niaid.nih.gov/transcriptome/T_rubida/S2/links/cluster/Triru-pep-ext75-50-Sim-CLTL1.txt", 23)</f>
        <v>23</v>
      </c>
      <c r="CO42" s="17">
        <f>HYPERLINK("http://exon.niaid.nih.gov/transcriptome/T_rubida/S2/links/cluster/Triru-pep-ext80-50-Sim-CLU1.txt", 1)</f>
        <v>1</v>
      </c>
      <c r="CP42" s="1">
        <f>HYPERLINK("http://exon.niaid.nih.gov/transcriptome/T_rubida/S2/links/cluster/Triru-pep-ext80-50-Sim-CLTL1.txt", 23)</f>
        <v>23</v>
      </c>
      <c r="CQ42" s="17">
        <f>HYPERLINK("http://exon.niaid.nih.gov/transcriptome/T_rubida/S2/links/cluster/Triru-pep-ext85-50-Sim-CLU2.txt", 2)</f>
        <v>2</v>
      </c>
      <c r="CR42" s="1">
        <f>HYPERLINK("http://exon.niaid.nih.gov/transcriptome/T_rubida/S2/links/cluster/Triru-pep-ext85-50-Sim-CLTL2.txt", 8)</f>
        <v>8</v>
      </c>
      <c r="CS42" s="17">
        <f>HYPERLINK("http://exon.niaid.nih.gov/transcriptome/T_rubida/S2/links/cluster/Triru-pep-ext90-50-Sim-CLU3.txt", 3)</f>
        <v>3</v>
      </c>
      <c r="CT42" s="1">
        <f>HYPERLINK("http://exon.niaid.nih.gov/transcriptome/T_rubida/S2/links/cluster/Triru-pep-ext90-50-Sim-CLTL3.txt", 3)</f>
        <v>3</v>
      </c>
      <c r="CU42" s="17">
        <f>HYPERLINK("http://exon.niaid.nih.gov/transcriptome/T_rubida/S2/links/cluster/Triru-pep-ext95-50-Sim-CLU4.txt", 4)</f>
        <v>4</v>
      </c>
      <c r="CV42" s="1">
        <f>HYPERLINK("http://exon.niaid.nih.gov/transcriptome/T_rubida/S2/links/cluster/Triru-pep-ext95-50-Sim-CLTL4.txt", 2)</f>
        <v>2</v>
      </c>
    </row>
    <row r="43" spans="1:100">
      <c r="A43" t="str">
        <f>HYPERLINK("http://exon.niaid.nih.gov/transcriptome/T_rubida/S2/links/pep/Triru-54-pep.txt","Triru-54")</f>
        <v>Triru-54</v>
      </c>
      <c r="B43">
        <v>151</v>
      </c>
      <c r="C43" s="1" t="s">
        <v>6</v>
      </c>
      <c r="D43" s="1" t="s">
        <v>3</v>
      </c>
      <c r="E43" t="str">
        <f>HYPERLINK("http://exon.niaid.nih.gov/transcriptome/T_rubida/S2/links/cds/Triru-54-cds.txt","Triru-54")</f>
        <v>Triru-54</v>
      </c>
      <c r="F43">
        <v>456</v>
      </c>
      <c r="G43" s="2" t="s">
        <v>1890</v>
      </c>
      <c r="H43" s="1">
        <v>3</v>
      </c>
      <c r="I43" s="3" t="s">
        <v>1272</v>
      </c>
      <c r="J43" s="17" t="str">
        <f>HYPERLINK("http://exon.niaid.nih.gov/transcriptome/T_rubida/S2/links/Sigp/Triru-54-SigP.txt","CYT")</f>
        <v>CYT</v>
      </c>
      <c r="K43" t="s">
        <v>5</v>
      </c>
      <c r="L43" s="1">
        <v>17.323</v>
      </c>
      <c r="M43" s="1">
        <v>5.28</v>
      </c>
      <c r="P43" s="1">
        <v>0.46500000000000002</v>
      </c>
      <c r="Q43" s="1">
        <v>5.7000000000000002E-2</v>
      </c>
      <c r="R43" s="1">
        <v>0.52</v>
      </c>
      <c r="S43" s="17" t="s">
        <v>1346</v>
      </c>
      <c r="T43">
        <v>5</v>
      </c>
      <c r="U43" t="s">
        <v>1350</v>
      </c>
      <c r="V43" s="17">
        <v>0</v>
      </c>
      <c r="W43" t="s">
        <v>5</v>
      </c>
      <c r="X43" t="s">
        <v>5</v>
      </c>
      <c r="Y43" t="s">
        <v>5</v>
      </c>
      <c r="Z43" t="s">
        <v>5</v>
      </c>
      <c r="AA43" t="s">
        <v>5</v>
      </c>
      <c r="AB43" s="17" t="str">
        <f>HYPERLINK("http://exon.niaid.nih.gov/transcriptome/T_rubida/S2/links/netoglyc/TRIRU-54-netoglyc.txt","0")</f>
        <v>0</v>
      </c>
      <c r="AC43">
        <v>16.600000000000001</v>
      </c>
      <c r="AD43">
        <v>7.3</v>
      </c>
      <c r="AE43">
        <v>2</v>
      </c>
      <c r="AF43" s="17" t="s">
        <v>5</v>
      </c>
      <c r="AG43" s="2" t="str">
        <f>HYPERLINK("http://exon.niaid.nih.gov/transcriptome/T_rubida/S2/links/NR/Triru-54-NR.txt","unnamed protein product")</f>
        <v>unnamed protein product</v>
      </c>
      <c r="AH43" t="str">
        <f>HYPERLINK("http://www.ncbi.nlm.nih.gov/sutils/blink.cgi?pid=270046188","1E-054")</f>
        <v>1E-054</v>
      </c>
      <c r="AI43" t="str">
        <f>HYPERLINK("http://www.ncbi.nlm.nih.gov/protein/270046188","gi|270046188")</f>
        <v>gi|270046188</v>
      </c>
      <c r="AJ43">
        <v>216</v>
      </c>
      <c r="AK43">
        <v>150</v>
      </c>
      <c r="AL43">
        <v>197</v>
      </c>
      <c r="AM43">
        <v>66</v>
      </c>
      <c r="AN43">
        <v>77</v>
      </c>
      <c r="AO43" t="s">
        <v>59</v>
      </c>
      <c r="AP43" s="2" t="str">
        <f>HYPERLINK("http://exon.niaid.nih.gov/transcriptome/T_rubida/S2/links/SWISSP/Triru-54-SWISSP.txt","Triabin")</f>
        <v>Triabin</v>
      </c>
      <c r="AQ43" t="str">
        <f>HYPERLINK("http://www.uniprot.org/uniprot/Q27049","2E-004")</f>
        <v>2E-004</v>
      </c>
      <c r="AR43" t="s">
        <v>649</v>
      </c>
      <c r="AS43">
        <v>44.7</v>
      </c>
      <c r="AT43">
        <v>118</v>
      </c>
      <c r="AU43">
        <v>160</v>
      </c>
      <c r="AV43">
        <v>23</v>
      </c>
      <c r="AW43">
        <v>74</v>
      </c>
      <c r="AX43">
        <v>101</v>
      </c>
      <c r="AY43">
        <v>16</v>
      </c>
      <c r="AZ43">
        <v>41</v>
      </c>
      <c r="BA43">
        <v>1</v>
      </c>
      <c r="BB43">
        <v>1</v>
      </c>
      <c r="BC43" t="s">
        <v>650</v>
      </c>
      <c r="BD43" s="2" t="s">
        <v>5</v>
      </c>
      <c r="BE43" t="s">
        <v>5</v>
      </c>
      <c r="BF43" t="s">
        <v>5</v>
      </c>
      <c r="BG43" t="s">
        <v>5</v>
      </c>
      <c r="BH43" t="s">
        <v>5</v>
      </c>
      <c r="BI43" s="2" t="str">
        <f>HYPERLINK("http://exon.niaid.nih.gov/transcriptome/T_rubida/S2/links/CDD/Triru-54-CDD.txt","Triabin")</f>
        <v>Triabin</v>
      </c>
      <c r="BJ43" t="str">
        <f>HYPERLINK("http://www.ncbi.nlm.nih.gov/Structure/cdd/cddsrv.cgi?uid=pfam03973&amp;version=v4.0","1E-012")</f>
        <v>1E-012</v>
      </c>
      <c r="BK43" t="s">
        <v>651</v>
      </c>
      <c r="BL43" s="2" t="str">
        <f>HYPERLINK("http://exon.niaid.nih.gov/transcriptome/T_rubida/S2/links/KOG/Triru-54-KOG.txt","U5 snRNP spliceosome subunit")</f>
        <v>U5 snRNP spliceosome subunit</v>
      </c>
      <c r="BM43" t="str">
        <f>HYPERLINK("http://www.ncbi.nlm.nih.gov/COG/grace/shokog.cgi?KOG1795","0.50")</f>
        <v>0.50</v>
      </c>
      <c r="BN43" t="s">
        <v>206</v>
      </c>
      <c r="BO43" s="2" t="str">
        <f>HYPERLINK("http://exon.niaid.nih.gov/transcriptome/T_rubida/S2/links/PFAM/Triru-54-PFAM.txt","Triabin")</f>
        <v>Triabin</v>
      </c>
      <c r="BP43" t="str">
        <f>HYPERLINK("http://pfam.sanger.ac.uk/family?acc=PF03973","2E-013")</f>
        <v>2E-013</v>
      </c>
      <c r="BQ43" s="2" t="str">
        <f>HYPERLINK("http://exon.niaid.nih.gov/transcriptome/T_rubida/S2/links/SMART/Triru-54-SMART.txt","Glyco_18")</f>
        <v>Glyco_18</v>
      </c>
      <c r="BR43" t="str">
        <f>HYPERLINK("http://smart.embl-heidelberg.de/smart/do_annotation.pl?DOMAIN=Glyco_18&amp;BLAST=DUMMY","0.78")</f>
        <v>0.78</v>
      </c>
      <c r="BS43" s="17">
        <f t="shared" si="14"/>
        <v>1</v>
      </c>
      <c r="BT43" s="1">
        <f t="shared" si="15"/>
        <v>359</v>
      </c>
      <c r="BU43" s="17">
        <f t="shared" si="16"/>
        <v>1</v>
      </c>
      <c r="BV43" s="1">
        <f t="shared" si="17"/>
        <v>225</v>
      </c>
      <c r="BW43" s="17">
        <f t="shared" si="18"/>
        <v>2</v>
      </c>
      <c r="BX43" s="1">
        <f t="shared" si="19"/>
        <v>70</v>
      </c>
      <c r="BY43" s="17">
        <f t="shared" si="20"/>
        <v>1</v>
      </c>
      <c r="BZ43" s="1">
        <f t="shared" si="21"/>
        <v>69</v>
      </c>
      <c r="CA43" s="17">
        <f t="shared" si="22"/>
        <v>1</v>
      </c>
      <c r="CB43" s="1">
        <f t="shared" si="23"/>
        <v>69</v>
      </c>
      <c r="CC43" s="17">
        <f t="shared" ref="CC43:CC48" si="24">HYPERLINK("http://exon.niaid.nih.gov/transcriptome/T_rubida/S2/links/cluster/Triru-pep-ext50-50-Sim-CLU2.txt", 2)</f>
        <v>2</v>
      </c>
      <c r="CD43" s="1">
        <f t="shared" ref="CD43:CD48" si="25">HYPERLINK("http://exon.niaid.nih.gov/transcriptome/T_rubida/S2/links/cluster/Triru-pep-ext50-50-Sim-CLTL2.txt", 23)</f>
        <v>23</v>
      </c>
      <c r="CE43" s="17">
        <f>HYPERLINK("http://exon.niaid.nih.gov/transcriptome/T_rubida/S2/links/cluster/Triru-pep-ext55-50-Sim-CLU2.txt", 2)</f>
        <v>2</v>
      </c>
      <c r="CF43" s="1">
        <f>HYPERLINK("http://exon.niaid.nih.gov/transcriptome/T_rubida/S2/links/cluster/Triru-pep-ext55-50-Sim-CLTL2.txt", 20)</f>
        <v>20</v>
      </c>
      <c r="CG43" s="17">
        <f>HYPERLINK("http://exon.niaid.nih.gov/transcriptome/T_rubida/S2/links/cluster/Triru-pep-ext60-50-Sim-CLU3.txt", 3)</f>
        <v>3</v>
      </c>
      <c r="CH43" s="1">
        <f>HYPERLINK("http://exon.niaid.nih.gov/transcriptome/T_rubida/S2/links/cluster/Triru-pep-ext60-50-Sim-CLTL3.txt", 12)</f>
        <v>12</v>
      </c>
      <c r="CI43" s="17">
        <f>HYPERLINK("http://exon.niaid.nih.gov/transcriptome/T_rubida/S2/links/cluster/Triru-pep-ext65-50-Sim-CLU2.txt", 2)</f>
        <v>2</v>
      </c>
      <c r="CJ43" s="1">
        <f>HYPERLINK("http://exon.niaid.nih.gov/transcriptome/T_rubida/S2/links/cluster/Triru-pep-ext65-50-Sim-CLTL2.txt", 12)</f>
        <v>12</v>
      </c>
      <c r="CK43" s="17">
        <f>HYPERLINK("http://exon.niaid.nih.gov/transcriptome/T_rubida/S2/links/cluster/Triru-pep-ext70-50-Sim-CLU2.txt", 2)</f>
        <v>2</v>
      </c>
      <c r="CL43" s="1">
        <f>HYPERLINK("http://exon.niaid.nih.gov/transcriptome/T_rubida/S2/links/cluster/Triru-pep-ext70-50-Sim-CLTL2.txt", 11)</f>
        <v>11</v>
      </c>
      <c r="CM43" s="17">
        <f>HYPERLINK("http://exon.niaid.nih.gov/transcriptome/T_rubida/S2/links/cluster/Triru-pep-ext75-50-Sim-CLU2.txt", 2)</f>
        <v>2</v>
      </c>
      <c r="CN43" s="1">
        <f>HYPERLINK("http://exon.niaid.nih.gov/transcriptome/T_rubida/S2/links/cluster/Triru-pep-ext75-50-Sim-CLTL2.txt", 11)</f>
        <v>11</v>
      </c>
      <c r="CO43" s="17">
        <f>HYPERLINK("http://exon.niaid.nih.gov/transcriptome/T_rubida/S2/links/cluster/Triru-pep-ext80-50-Sim-CLU2.txt", 2)</f>
        <v>2</v>
      </c>
      <c r="CP43" s="1">
        <f>HYPERLINK("http://exon.niaid.nih.gov/transcriptome/T_rubida/S2/links/cluster/Triru-pep-ext80-50-Sim-CLTL2.txt", 8)</f>
        <v>8</v>
      </c>
      <c r="CQ43" s="17">
        <v>49</v>
      </c>
      <c r="CR43" s="1">
        <v>1</v>
      </c>
      <c r="CS43" s="17">
        <v>52</v>
      </c>
      <c r="CT43" s="1">
        <v>1</v>
      </c>
      <c r="CU43" s="17">
        <v>56</v>
      </c>
      <c r="CV43" s="1">
        <v>1</v>
      </c>
    </row>
    <row r="44" spans="1:100">
      <c r="A44" t="str">
        <f>HYPERLINK("http://exon.niaid.nih.gov/transcriptome/T_rubida/S2/links/pep/Triru-55-pep.txt","Triru-55")</f>
        <v>Triru-55</v>
      </c>
      <c r="B44">
        <v>91</v>
      </c>
      <c r="C44" s="1" t="s">
        <v>6</v>
      </c>
      <c r="D44" s="1" t="s">
        <v>3</v>
      </c>
      <c r="E44" t="str">
        <f>HYPERLINK("http://exon.niaid.nih.gov/transcriptome/T_rubida/S2/links/cds/Triru-55-cds.txt","Triru-55")</f>
        <v>Triru-55</v>
      </c>
      <c r="F44">
        <v>276</v>
      </c>
      <c r="G44" s="2" t="s">
        <v>1890</v>
      </c>
      <c r="H44" s="1">
        <v>3</v>
      </c>
      <c r="I44" s="3" t="s">
        <v>1272</v>
      </c>
      <c r="J44" s="17" t="str">
        <f>HYPERLINK("http://exon.niaid.nih.gov/transcriptome/T_rubida/S2/links/Sigp/Triru-55-SigP.txt","CYT")</f>
        <v>CYT</v>
      </c>
      <c r="K44" t="s">
        <v>5</v>
      </c>
      <c r="L44" s="1">
        <v>10.397</v>
      </c>
      <c r="M44" s="1">
        <v>5.78</v>
      </c>
      <c r="P44" s="1">
        <v>0.123</v>
      </c>
      <c r="Q44" s="1">
        <v>7.9000000000000001E-2</v>
      </c>
      <c r="R44" s="1">
        <v>0.83899999999999997</v>
      </c>
      <c r="S44" s="17" t="s">
        <v>1346</v>
      </c>
      <c r="T44">
        <v>2</v>
      </c>
      <c r="U44" t="s">
        <v>1347</v>
      </c>
      <c r="V44" s="17">
        <v>0</v>
      </c>
      <c r="W44" t="s">
        <v>5</v>
      </c>
      <c r="X44" t="s">
        <v>5</v>
      </c>
      <c r="Y44" t="s">
        <v>5</v>
      </c>
      <c r="Z44" t="s">
        <v>5</v>
      </c>
      <c r="AA44" t="s">
        <v>5</v>
      </c>
      <c r="AB44" s="17" t="str">
        <f>HYPERLINK("http://exon.niaid.nih.gov/transcriptome/T_rubida/S2/links/netoglyc/TRIRU-55-netoglyc.txt","0")</f>
        <v>0</v>
      </c>
      <c r="AC44">
        <v>11</v>
      </c>
      <c r="AD44">
        <v>7.7</v>
      </c>
      <c r="AE44">
        <v>2.2000000000000002</v>
      </c>
      <c r="AF44" s="17" t="s">
        <v>5</v>
      </c>
      <c r="AG44" s="2" t="str">
        <f>HYPERLINK("http://exon.niaid.nih.gov/transcriptome/T_rubida/S2/links/NR/Triru-55-NR.txt","unnamed protein product")</f>
        <v>unnamed protein product</v>
      </c>
      <c r="AH44" t="str">
        <f>HYPERLINK("http://www.ncbi.nlm.nih.gov/sutils/blink.cgi?pid=270046188","2E-027")</f>
        <v>2E-027</v>
      </c>
      <c r="AI44" t="str">
        <f>HYPERLINK("http://www.ncbi.nlm.nih.gov/protein/270046188","gi|270046188")</f>
        <v>gi|270046188</v>
      </c>
      <c r="AJ44">
        <v>125</v>
      </c>
      <c r="AK44">
        <v>86</v>
      </c>
      <c r="AL44">
        <v>197</v>
      </c>
      <c r="AM44">
        <v>66</v>
      </c>
      <c r="AN44">
        <v>44</v>
      </c>
      <c r="AO44" t="s">
        <v>59</v>
      </c>
      <c r="AP44" s="2" t="str">
        <f>HYPERLINK("http://exon.niaid.nih.gov/transcriptome/T_rubida/S2/links/SWISSP/Triru-55-SWISSP.txt","Uncharacterized protein C1D4.14")</f>
        <v>Uncharacterized protein C1D4.14</v>
      </c>
      <c r="AQ44" t="str">
        <f>HYPERLINK("http://www.uniprot.org/uniprot/Q09779","0.50")</f>
        <v>0.50</v>
      </c>
      <c r="AR44" t="s">
        <v>562</v>
      </c>
      <c r="AS44">
        <v>33.1</v>
      </c>
      <c r="AT44">
        <v>79</v>
      </c>
      <c r="AU44">
        <v>1628</v>
      </c>
      <c r="AV44">
        <v>28</v>
      </c>
      <c r="AW44">
        <v>5</v>
      </c>
      <c r="AX44">
        <v>59</v>
      </c>
      <c r="AY44">
        <v>9</v>
      </c>
      <c r="AZ44">
        <v>281</v>
      </c>
      <c r="BA44">
        <v>3</v>
      </c>
      <c r="BB44">
        <v>1</v>
      </c>
      <c r="BC44" t="s">
        <v>70</v>
      </c>
      <c r="BD44" s="2" t="s">
        <v>5</v>
      </c>
      <c r="BE44" t="s">
        <v>5</v>
      </c>
      <c r="BF44" t="s">
        <v>5</v>
      </c>
      <c r="BG44" t="s">
        <v>5</v>
      </c>
      <c r="BH44" t="s">
        <v>5</v>
      </c>
      <c r="BI44" s="2" t="str">
        <f>HYPERLINK("http://exon.niaid.nih.gov/transcriptome/T_rubida/S2/links/CDD/Triru-55-CDD.txt","Triabin")</f>
        <v>Triabin</v>
      </c>
      <c r="BJ44" t="str">
        <f>HYPERLINK("http://www.ncbi.nlm.nih.gov/Structure/cdd/cddsrv.cgi?uid=pfam03973&amp;version=v4.0","4E-007")</f>
        <v>4E-007</v>
      </c>
      <c r="BK44" t="s">
        <v>563</v>
      </c>
      <c r="BL44" s="2" t="str">
        <f>HYPERLINK("http://exon.niaid.nih.gov/transcriptome/T_rubida/S2/links/KOG/Triru-55-KOG.txt","Heavy metal exporter HMT1, ABC superfamily")</f>
        <v>Heavy metal exporter HMT1, ABC superfamily</v>
      </c>
      <c r="BM44" t="str">
        <f>HYPERLINK("http://www.ncbi.nlm.nih.gov/COG/grace/shokog.cgi?KOG0056","0.98")</f>
        <v>0.98</v>
      </c>
      <c r="BN44" t="s">
        <v>117</v>
      </c>
      <c r="BO44" s="2" t="str">
        <f>HYPERLINK("http://exon.niaid.nih.gov/transcriptome/T_rubida/S2/links/PFAM/Triru-55-PFAM.txt","Triabin")</f>
        <v>Triabin</v>
      </c>
      <c r="BP44" t="str">
        <f>HYPERLINK("http://pfam.sanger.ac.uk/family?acc=PF03973","9E-008")</f>
        <v>9E-008</v>
      </c>
      <c r="BQ44" s="2" t="str">
        <f>HYPERLINK("http://exon.niaid.nih.gov/transcriptome/T_rubida/S2/links/SMART/Triru-55-SMART.txt","S_TKc")</f>
        <v>S_TKc</v>
      </c>
      <c r="BR44" t="str">
        <f>HYPERLINK("http://smart.embl-heidelberg.de/smart/do_annotation.pl?DOMAIN=S_TKc&amp;BLAST=DUMMY","3.1")</f>
        <v>3.1</v>
      </c>
      <c r="BS44" s="17">
        <f t="shared" si="14"/>
        <v>1</v>
      </c>
      <c r="BT44" s="1">
        <f t="shared" si="15"/>
        <v>359</v>
      </c>
      <c r="BU44" s="17">
        <f t="shared" si="16"/>
        <v>1</v>
      </c>
      <c r="BV44" s="1">
        <f t="shared" si="17"/>
        <v>225</v>
      </c>
      <c r="BW44" s="17">
        <f t="shared" si="18"/>
        <v>2</v>
      </c>
      <c r="BX44" s="1">
        <f t="shared" si="19"/>
        <v>70</v>
      </c>
      <c r="BY44" s="17">
        <f t="shared" si="20"/>
        <v>1</v>
      </c>
      <c r="BZ44" s="1">
        <f t="shared" si="21"/>
        <v>69</v>
      </c>
      <c r="CA44" s="17">
        <f t="shared" si="22"/>
        <v>1</v>
      </c>
      <c r="CB44" s="1">
        <f t="shared" si="23"/>
        <v>69</v>
      </c>
      <c r="CC44" s="17">
        <f t="shared" si="24"/>
        <v>2</v>
      </c>
      <c r="CD44" s="1">
        <f t="shared" si="25"/>
        <v>23</v>
      </c>
      <c r="CE44" s="17">
        <f>HYPERLINK("http://exon.niaid.nih.gov/transcriptome/T_rubida/S2/links/cluster/Triru-pep-ext55-50-Sim-CLU2.txt", 2)</f>
        <v>2</v>
      </c>
      <c r="CF44" s="1">
        <f>HYPERLINK("http://exon.niaid.nih.gov/transcriptome/T_rubida/S2/links/cluster/Triru-pep-ext55-50-Sim-CLTL2.txt", 20)</f>
        <v>20</v>
      </c>
      <c r="CG44" s="17">
        <f>HYPERLINK("http://exon.niaid.nih.gov/transcriptome/T_rubida/S2/links/cluster/Triru-pep-ext60-50-Sim-CLU3.txt", 3)</f>
        <v>3</v>
      </c>
      <c r="CH44" s="1">
        <f>HYPERLINK("http://exon.niaid.nih.gov/transcriptome/T_rubida/S2/links/cluster/Triru-pep-ext60-50-Sim-CLTL3.txt", 12)</f>
        <v>12</v>
      </c>
      <c r="CI44" s="17">
        <f>HYPERLINK("http://exon.niaid.nih.gov/transcriptome/T_rubida/S2/links/cluster/Triru-pep-ext65-50-Sim-CLU2.txt", 2)</f>
        <v>2</v>
      </c>
      <c r="CJ44" s="1">
        <f>HYPERLINK("http://exon.niaid.nih.gov/transcriptome/T_rubida/S2/links/cluster/Triru-pep-ext65-50-Sim-CLTL2.txt", 12)</f>
        <v>12</v>
      </c>
      <c r="CK44" s="17">
        <f>HYPERLINK("http://exon.niaid.nih.gov/transcriptome/T_rubida/S2/links/cluster/Triru-pep-ext70-50-Sim-CLU2.txt", 2)</f>
        <v>2</v>
      </c>
      <c r="CL44" s="1">
        <f>HYPERLINK("http://exon.niaid.nih.gov/transcriptome/T_rubida/S2/links/cluster/Triru-pep-ext70-50-Sim-CLTL2.txt", 11)</f>
        <v>11</v>
      </c>
      <c r="CM44" s="17">
        <f>HYPERLINK("http://exon.niaid.nih.gov/transcriptome/T_rubida/S2/links/cluster/Triru-pep-ext75-50-Sim-CLU2.txt", 2)</f>
        <v>2</v>
      </c>
      <c r="CN44" s="1">
        <f>HYPERLINK("http://exon.niaid.nih.gov/transcriptome/T_rubida/S2/links/cluster/Triru-pep-ext75-50-Sim-CLTL2.txt", 11)</f>
        <v>11</v>
      </c>
      <c r="CO44" s="17">
        <f>HYPERLINK("http://exon.niaid.nih.gov/transcriptome/T_rubida/S2/links/cluster/Triru-pep-ext80-50-Sim-CLU2.txt", 2)</f>
        <v>2</v>
      </c>
      <c r="CP44" s="1">
        <f>HYPERLINK("http://exon.niaid.nih.gov/transcriptome/T_rubida/S2/links/cluster/Triru-pep-ext80-50-Sim-CLTL2.txt", 8)</f>
        <v>8</v>
      </c>
      <c r="CQ44" s="17">
        <f>HYPERLINK("http://exon.niaid.nih.gov/transcriptome/T_rubida/S2/links/cluster/Triru-pep-ext85-50-Sim-CLU5.txt", 5)</f>
        <v>5</v>
      </c>
      <c r="CR44" s="1">
        <f>HYPERLINK("http://exon.niaid.nih.gov/transcriptome/T_rubida/S2/links/cluster/Triru-pep-ext85-50-Sim-CLTL5.txt", 4)</f>
        <v>4</v>
      </c>
      <c r="CS44" s="17">
        <f>HYPERLINK("http://exon.niaid.nih.gov/transcriptome/T_rubida/S2/links/cluster/Triru-pep-ext90-50-Sim-CLU7.txt", 7)</f>
        <v>7</v>
      </c>
      <c r="CT44" s="1">
        <f>HYPERLINK("http://exon.niaid.nih.gov/transcriptome/T_rubida/S2/links/cluster/Triru-pep-ext90-50-Sim-CLTL7.txt", 2)</f>
        <v>2</v>
      </c>
      <c r="CU44" s="17">
        <v>57</v>
      </c>
      <c r="CV44" s="1">
        <v>1</v>
      </c>
    </row>
    <row r="45" spans="1:100">
      <c r="A45" t="str">
        <f>HYPERLINK("http://exon.niaid.nih.gov/transcriptome/T_rubida/S2/links/pep/Triru-91-pep.txt","Triru-91")</f>
        <v>Triru-91</v>
      </c>
      <c r="B45">
        <v>100</v>
      </c>
      <c r="C45" s="1" t="s">
        <v>13</v>
      </c>
      <c r="D45" s="1" t="s">
        <v>3</v>
      </c>
      <c r="E45" t="str">
        <f>HYPERLINK("http://exon.niaid.nih.gov/transcriptome/T_rubida/S2/links/cds/Triru-91-cds.txt","Triru-91")</f>
        <v>Triru-91</v>
      </c>
      <c r="F45">
        <v>303</v>
      </c>
      <c r="G45" s="2" t="s">
        <v>1890</v>
      </c>
      <c r="H45" s="1">
        <v>2</v>
      </c>
      <c r="I45" s="3" t="s">
        <v>1272</v>
      </c>
      <c r="J45" s="17" t="str">
        <f>HYPERLINK("http://exon.niaid.nih.gov/transcriptome/T_rubida/S2/links/Sigp/Triru-91-SigP.txt","CYT")</f>
        <v>CYT</v>
      </c>
      <c r="K45" t="s">
        <v>5</v>
      </c>
      <c r="L45" s="1">
        <v>10.926</v>
      </c>
      <c r="M45" s="1">
        <v>4.78</v>
      </c>
      <c r="P45" s="1">
        <v>9.4E-2</v>
      </c>
      <c r="Q45" s="1">
        <v>6.9000000000000006E-2</v>
      </c>
      <c r="R45" s="1">
        <v>0.89500000000000002</v>
      </c>
      <c r="S45" s="17" t="s">
        <v>1346</v>
      </c>
      <c r="T45">
        <v>1</v>
      </c>
      <c r="U45" t="s">
        <v>1382</v>
      </c>
      <c r="V45" s="17">
        <v>0</v>
      </c>
      <c r="W45" t="s">
        <v>5</v>
      </c>
      <c r="X45" t="s">
        <v>5</v>
      </c>
      <c r="Y45" t="s">
        <v>5</v>
      </c>
      <c r="Z45" t="s">
        <v>5</v>
      </c>
      <c r="AA45" t="s">
        <v>5</v>
      </c>
      <c r="AB45" s="17" t="str">
        <f>HYPERLINK("http://exon.niaid.nih.gov/transcriptome/T_rubida/S2/links/netoglyc/TRIRU-91-netoglyc.txt","3")</f>
        <v>3</v>
      </c>
      <c r="AC45">
        <v>23</v>
      </c>
      <c r="AD45">
        <v>8</v>
      </c>
      <c r="AE45">
        <v>2</v>
      </c>
      <c r="AF45" s="17" t="s">
        <v>5</v>
      </c>
      <c r="AG45" s="2" t="str">
        <f>HYPERLINK("http://exon.niaid.nih.gov/transcriptome/T_rubida/S2/links/NR/Triru-91-NR.txt","pallidipin 2")</f>
        <v>pallidipin 2</v>
      </c>
      <c r="AH45" t="str">
        <f>HYPERLINK("http://www.ncbi.nlm.nih.gov/sutils/blink.cgi?pid=388359","2E-023")</f>
        <v>2E-023</v>
      </c>
      <c r="AI45" t="str">
        <f>HYPERLINK("http://www.ncbi.nlm.nih.gov/protein/388359","gi|388359")</f>
        <v>gi|388359</v>
      </c>
      <c r="AJ45">
        <v>112</v>
      </c>
      <c r="AK45">
        <v>99</v>
      </c>
      <c r="AL45">
        <v>188</v>
      </c>
      <c r="AM45">
        <v>55</v>
      </c>
      <c r="AN45">
        <v>53</v>
      </c>
      <c r="AO45" t="s">
        <v>650</v>
      </c>
      <c r="AP45" s="2" t="str">
        <f>HYPERLINK("http://exon.niaid.nih.gov/transcriptome/T_rubida/S2/links/SWISSP/Triru-91-SWISSP.txt","Allergen Bla g 4 (Fragment)")</f>
        <v>Allergen Bla g 4 (Fragment)</v>
      </c>
      <c r="AQ45" t="str">
        <f>HYPERLINK("http://www.uniprot.org/uniprot/P54962","1.1")</f>
        <v>1.1</v>
      </c>
      <c r="AR45" t="s">
        <v>1024</v>
      </c>
      <c r="AS45">
        <v>32</v>
      </c>
      <c r="AT45">
        <v>33</v>
      </c>
      <c r="AU45">
        <v>182</v>
      </c>
      <c r="AV45">
        <v>41</v>
      </c>
      <c r="AW45">
        <v>19</v>
      </c>
      <c r="AX45">
        <v>20</v>
      </c>
      <c r="AY45">
        <v>0</v>
      </c>
      <c r="AZ45">
        <v>93</v>
      </c>
      <c r="BA45">
        <v>27</v>
      </c>
      <c r="BB45">
        <v>1</v>
      </c>
      <c r="BC45" t="s">
        <v>171</v>
      </c>
      <c r="BD45" s="2" t="s">
        <v>5</v>
      </c>
      <c r="BE45" t="s">
        <v>5</v>
      </c>
      <c r="BF45" t="s">
        <v>5</v>
      </c>
      <c r="BG45" t="s">
        <v>5</v>
      </c>
      <c r="BH45" t="s">
        <v>5</v>
      </c>
      <c r="BI45" s="2" t="str">
        <f>HYPERLINK("http://exon.niaid.nih.gov/transcriptome/T_rubida/S2/links/CDD/Triru-91-CDD.txt","Triabin")</f>
        <v>Triabin</v>
      </c>
      <c r="BJ45" t="str">
        <f>HYPERLINK("http://www.ncbi.nlm.nih.gov/Structure/cdd/cddsrv.cgi?uid=pfam03973&amp;version=v4.0","5E-010")</f>
        <v>5E-010</v>
      </c>
      <c r="BK45" t="s">
        <v>1025</v>
      </c>
      <c r="BL45" s="2" t="str">
        <f>HYPERLINK("http://exon.niaid.nih.gov/transcriptome/T_rubida/S2/links/KOG/Triru-91-KOG.txt","Na+/H+ antiporter")</f>
        <v>Na+/H+ antiporter</v>
      </c>
      <c r="BM45" t="str">
        <f>HYPERLINK("http://www.ncbi.nlm.nih.gov/COG/grace/shokog.cgi?KOG4505","2.2")</f>
        <v>2.2</v>
      </c>
      <c r="BN45" t="s">
        <v>117</v>
      </c>
      <c r="BO45" s="2" t="str">
        <f>HYPERLINK("http://exon.niaid.nih.gov/transcriptome/T_rubida/S2/links/PFAM/Triru-91-PFAM.txt","Triabin")</f>
        <v>Triabin</v>
      </c>
      <c r="BP45" t="str">
        <f>HYPERLINK("http://pfam.sanger.ac.uk/family?acc=PF03973","1E-010")</f>
        <v>1E-010</v>
      </c>
      <c r="BQ45" s="2" t="str">
        <f>HYPERLINK("http://exon.niaid.nih.gov/transcriptome/T_rubida/S2/links/SMART/Triru-91-SMART.txt","ARF")</f>
        <v>ARF</v>
      </c>
      <c r="BR45" t="str">
        <f>HYPERLINK("http://smart.embl-heidelberg.de/smart/do_annotation.pl?DOMAIN=ARF&amp;BLAST=DUMMY","0.55")</f>
        <v>0.55</v>
      </c>
      <c r="BS45" s="17">
        <f t="shared" si="14"/>
        <v>1</v>
      </c>
      <c r="BT45" s="1">
        <f t="shared" si="15"/>
        <v>359</v>
      </c>
      <c r="BU45" s="17">
        <f t="shared" si="16"/>
        <v>1</v>
      </c>
      <c r="BV45" s="1">
        <f t="shared" si="17"/>
        <v>225</v>
      </c>
      <c r="BW45" s="17">
        <f t="shared" si="18"/>
        <v>2</v>
      </c>
      <c r="BX45" s="1">
        <f t="shared" si="19"/>
        <v>70</v>
      </c>
      <c r="BY45" s="17">
        <f t="shared" si="20"/>
        <v>1</v>
      </c>
      <c r="BZ45" s="1">
        <f t="shared" si="21"/>
        <v>69</v>
      </c>
      <c r="CA45" s="17">
        <f t="shared" si="22"/>
        <v>1</v>
      </c>
      <c r="CB45" s="1">
        <f t="shared" si="23"/>
        <v>69</v>
      </c>
      <c r="CC45" s="17">
        <f t="shared" si="24"/>
        <v>2</v>
      </c>
      <c r="CD45" s="1">
        <f t="shared" si="25"/>
        <v>23</v>
      </c>
      <c r="CE45" s="17">
        <f>HYPERLINK("http://exon.niaid.nih.gov/transcriptome/T_rubida/S2/links/cluster/Triru-pep-ext55-50-Sim-CLU9.txt", 9)</f>
        <v>9</v>
      </c>
      <c r="CF45" s="1">
        <f>HYPERLINK("http://exon.niaid.nih.gov/transcriptome/T_rubida/S2/links/cluster/Triru-pep-ext55-50-Sim-CLTL9.txt", 2)</f>
        <v>2</v>
      </c>
      <c r="CG45" s="17">
        <f>HYPERLINK("http://exon.niaid.nih.gov/transcriptome/T_rubida/S2/links/cluster/Triru-pep-ext60-50-Sim-CLU10.txt", 10)</f>
        <v>10</v>
      </c>
      <c r="CH45" s="1">
        <f>HYPERLINK("http://exon.niaid.nih.gov/transcriptome/T_rubida/S2/links/cluster/Triru-pep-ext60-50-Sim-CLTL10.txt", 2)</f>
        <v>2</v>
      </c>
      <c r="CI45" s="17">
        <v>44</v>
      </c>
      <c r="CJ45" s="1">
        <v>1</v>
      </c>
      <c r="CK45" s="17">
        <v>48</v>
      </c>
      <c r="CL45" s="1">
        <v>1</v>
      </c>
      <c r="CM45" s="17">
        <v>52</v>
      </c>
      <c r="CN45" s="1">
        <v>1</v>
      </c>
      <c r="CO45" s="17">
        <v>60</v>
      </c>
      <c r="CP45" s="1">
        <v>1</v>
      </c>
      <c r="CQ45" s="17">
        <v>70</v>
      </c>
      <c r="CR45" s="1">
        <v>1</v>
      </c>
      <c r="CS45" s="17">
        <v>75</v>
      </c>
      <c r="CT45" s="1">
        <v>1</v>
      </c>
      <c r="CU45" s="17">
        <v>86</v>
      </c>
      <c r="CV45" s="1">
        <v>1</v>
      </c>
    </row>
    <row r="46" spans="1:100">
      <c r="A46" t="str">
        <f>HYPERLINK("http://exon.niaid.nih.gov/transcriptome/T_rubida/S2/links/pep/Triru-53-pep.txt","Triru-53")</f>
        <v>Triru-53</v>
      </c>
      <c r="B46">
        <v>130</v>
      </c>
      <c r="C46" s="1" t="s">
        <v>4</v>
      </c>
      <c r="D46" s="1" t="s">
        <v>3</v>
      </c>
      <c r="E46" t="str">
        <f>HYPERLINK("http://exon.niaid.nih.gov/transcriptome/T_rubida/S2/links/cds/Triru-53-cds.txt","Triru-53")</f>
        <v>Triru-53</v>
      </c>
      <c r="F46">
        <v>393</v>
      </c>
      <c r="G46" s="2" t="s">
        <v>1890</v>
      </c>
      <c r="H46" s="1">
        <v>2</v>
      </c>
      <c r="I46" s="3" t="s">
        <v>1272</v>
      </c>
      <c r="J46" s="17" t="str">
        <f>HYPERLINK("http://exon.niaid.nih.gov/transcriptome/T_rubida/S2/links/Sigp/Triru-53-SigP.txt","CYT")</f>
        <v>CYT</v>
      </c>
      <c r="K46" t="s">
        <v>5</v>
      </c>
      <c r="L46" s="1">
        <v>14.657999999999999</v>
      </c>
      <c r="M46" s="1">
        <v>4.95</v>
      </c>
      <c r="P46" s="1">
        <v>5.7000000000000002E-2</v>
      </c>
      <c r="Q46" s="1">
        <v>7.2999999999999995E-2</v>
      </c>
      <c r="R46" s="1">
        <v>0.94799999999999995</v>
      </c>
      <c r="S46" s="17" t="s">
        <v>1346</v>
      </c>
      <c r="T46">
        <v>1</v>
      </c>
      <c r="U46" t="s">
        <v>1373</v>
      </c>
      <c r="V46" s="17">
        <v>0</v>
      </c>
      <c r="W46" t="s">
        <v>5</v>
      </c>
      <c r="X46" t="s">
        <v>5</v>
      </c>
      <c r="Y46" t="s">
        <v>5</v>
      </c>
      <c r="Z46" t="s">
        <v>5</v>
      </c>
      <c r="AA46" t="s">
        <v>5</v>
      </c>
      <c r="AB46" s="17" t="str">
        <f>HYPERLINK("http://exon.niaid.nih.gov/transcriptome/T_rubida/S2/links/netoglyc/TRIRU-53-netoglyc.txt","0")</f>
        <v>0</v>
      </c>
      <c r="AC46">
        <v>14.6</v>
      </c>
      <c r="AD46">
        <v>9.1999999999999993</v>
      </c>
      <c r="AE46">
        <v>1.5</v>
      </c>
      <c r="AF46" s="17" t="s">
        <v>5</v>
      </c>
      <c r="AG46" s="2" t="str">
        <f>HYPERLINK("http://exon.niaid.nih.gov/transcriptome/T_rubida/S2/links/NR/Triru-53-NR.txt","unnamed protein product")</f>
        <v>unnamed protein product</v>
      </c>
      <c r="AH46" t="str">
        <f>HYPERLINK("http://www.ncbi.nlm.nih.gov/sutils/blink.cgi?pid=270046188","7E-041")</f>
        <v>7E-041</v>
      </c>
      <c r="AI46" t="str">
        <f>HYPERLINK("http://www.ncbi.nlm.nih.gov/protein/270046188","gi|270046188")</f>
        <v>gi|270046188</v>
      </c>
      <c r="AJ46">
        <v>170</v>
      </c>
      <c r="AK46">
        <v>127</v>
      </c>
      <c r="AL46">
        <v>197</v>
      </c>
      <c r="AM46">
        <v>63</v>
      </c>
      <c r="AN46">
        <v>65</v>
      </c>
      <c r="AO46" t="s">
        <v>59</v>
      </c>
      <c r="AP46" s="2" t="str">
        <f>HYPERLINK("http://exon.niaid.nih.gov/transcriptome/T_rubida/S2/links/SWISSP/Triru-53-SWISSP.txt","Apolipoprotein D")</f>
        <v>Apolipoprotein D</v>
      </c>
      <c r="AQ46" t="str">
        <f>HYPERLINK("http://www.uniprot.org/uniprot/P51910","0.17")</f>
        <v>0.17</v>
      </c>
      <c r="AR46" t="s">
        <v>234</v>
      </c>
      <c r="AS46">
        <v>34.700000000000003</v>
      </c>
      <c r="AT46">
        <v>123</v>
      </c>
      <c r="AU46">
        <v>189</v>
      </c>
      <c r="AV46">
        <v>28</v>
      </c>
      <c r="AW46">
        <v>66</v>
      </c>
      <c r="AX46">
        <v>94</v>
      </c>
      <c r="AY46">
        <v>22</v>
      </c>
      <c r="AZ46">
        <v>62</v>
      </c>
      <c r="BA46">
        <v>12</v>
      </c>
      <c r="BB46">
        <v>1</v>
      </c>
      <c r="BC46" t="s">
        <v>75</v>
      </c>
      <c r="BD46" s="2" t="s">
        <v>5</v>
      </c>
      <c r="BE46" t="s">
        <v>5</v>
      </c>
      <c r="BF46" t="s">
        <v>5</v>
      </c>
      <c r="BG46" t="s">
        <v>5</v>
      </c>
      <c r="BH46" t="s">
        <v>5</v>
      </c>
      <c r="BI46" s="2" t="str">
        <f>HYPERLINK("http://exon.niaid.nih.gov/transcriptome/T_rubida/S2/links/CDD/Triru-53-CDD.txt","Triabin")</f>
        <v>Triabin</v>
      </c>
      <c r="BJ46" t="str">
        <f>HYPERLINK("http://www.ncbi.nlm.nih.gov/Structure/cdd/cddsrv.cgi?uid=pfam03973&amp;version=v4.0","4E-010")</f>
        <v>4E-010</v>
      </c>
      <c r="BK46" t="s">
        <v>235</v>
      </c>
      <c r="BL46" s="2" t="str">
        <f>HYPERLINK("http://exon.niaid.nih.gov/transcriptome/T_rubida/S2/links/KOG/Triru-53-KOG.txt","Heavy metal exporter HMT1, ABC superfamily")</f>
        <v>Heavy metal exporter HMT1, ABC superfamily</v>
      </c>
      <c r="BM46" t="str">
        <f>HYPERLINK("http://www.ncbi.nlm.nih.gov/COG/grace/shokog.cgi?KOG0056","0.83")</f>
        <v>0.83</v>
      </c>
      <c r="BN46" t="s">
        <v>117</v>
      </c>
      <c r="BO46" s="2" t="str">
        <f>HYPERLINK("http://exon.niaid.nih.gov/transcriptome/T_rubida/S2/links/PFAM/Triru-53-PFAM.txt","Triabin")</f>
        <v>Triabin</v>
      </c>
      <c r="BP46" t="str">
        <f>HYPERLINK("http://pfam.sanger.ac.uk/family?acc=PF03973","9E-011")</f>
        <v>9E-011</v>
      </c>
      <c r="BQ46" s="2" t="str">
        <f>HYPERLINK("http://exon.niaid.nih.gov/transcriptome/T_rubida/S2/links/SMART/Triru-53-SMART.txt","SEC14")</f>
        <v>SEC14</v>
      </c>
      <c r="BR46" t="str">
        <f>HYPERLINK("http://smart.embl-heidelberg.de/smart/do_annotation.pl?DOMAIN=SEC14&amp;BLAST=DUMMY","1.1")</f>
        <v>1.1</v>
      </c>
      <c r="BS46" s="17">
        <f t="shared" si="14"/>
        <v>1</v>
      </c>
      <c r="BT46" s="1">
        <f t="shared" si="15"/>
        <v>359</v>
      </c>
      <c r="BU46" s="17">
        <f t="shared" si="16"/>
        <v>1</v>
      </c>
      <c r="BV46" s="1">
        <f t="shared" si="17"/>
        <v>225</v>
      </c>
      <c r="BW46" s="17">
        <f t="shared" si="18"/>
        <v>2</v>
      </c>
      <c r="BX46" s="1">
        <f t="shared" si="19"/>
        <v>70</v>
      </c>
      <c r="BY46" s="17">
        <f t="shared" si="20"/>
        <v>1</v>
      </c>
      <c r="BZ46" s="1">
        <f t="shared" si="21"/>
        <v>69</v>
      </c>
      <c r="CA46" s="17">
        <f t="shared" si="22"/>
        <v>1</v>
      </c>
      <c r="CB46" s="1">
        <f t="shared" si="23"/>
        <v>69</v>
      </c>
      <c r="CC46" s="17">
        <f t="shared" si="24"/>
        <v>2</v>
      </c>
      <c r="CD46" s="1">
        <f t="shared" si="25"/>
        <v>23</v>
      </c>
      <c r="CE46" s="17">
        <f>HYPERLINK("http://exon.niaid.nih.gov/transcriptome/T_rubida/S2/links/cluster/Triru-pep-ext55-50-Sim-CLU2.txt", 2)</f>
        <v>2</v>
      </c>
      <c r="CF46" s="1">
        <f>HYPERLINK("http://exon.niaid.nih.gov/transcriptome/T_rubida/S2/links/cluster/Triru-pep-ext55-50-Sim-CLTL2.txt", 20)</f>
        <v>20</v>
      </c>
      <c r="CG46" s="17">
        <f>HYPERLINK("http://exon.niaid.nih.gov/transcriptome/T_rubida/S2/links/cluster/Triru-pep-ext60-50-Sim-CLU3.txt", 3)</f>
        <v>3</v>
      </c>
      <c r="CH46" s="1">
        <f>HYPERLINK("http://exon.niaid.nih.gov/transcriptome/T_rubida/S2/links/cluster/Triru-pep-ext60-50-Sim-CLTL3.txt", 12)</f>
        <v>12</v>
      </c>
      <c r="CI46" s="17">
        <f>HYPERLINK("http://exon.niaid.nih.gov/transcriptome/T_rubida/S2/links/cluster/Triru-pep-ext65-50-Sim-CLU2.txt", 2)</f>
        <v>2</v>
      </c>
      <c r="CJ46" s="1">
        <f>HYPERLINK("http://exon.niaid.nih.gov/transcriptome/T_rubida/S2/links/cluster/Triru-pep-ext65-50-Sim-CLTL2.txt", 12)</f>
        <v>12</v>
      </c>
      <c r="CK46" s="17">
        <f>HYPERLINK("http://exon.niaid.nih.gov/transcriptome/T_rubida/S2/links/cluster/Triru-pep-ext70-50-Sim-CLU2.txt", 2)</f>
        <v>2</v>
      </c>
      <c r="CL46" s="1">
        <f>HYPERLINK("http://exon.niaid.nih.gov/transcriptome/T_rubida/S2/links/cluster/Triru-pep-ext70-50-Sim-CLTL2.txt", 11)</f>
        <v>11</v>
      </c>
      <c r="CM46" s="17">
        <f>HYPERLINK("http://exon.niaid.nih.gov/transcriptome/T_rubida/S2/links/cluster/Triru-pep-ext75-50-Sim-CLU2.txt", 2)</f>
        <v>2</v>
      </c>
      <c r="CN46" s="1">
        <f>HYPERLINK("http://exon.niaid.nih.gov/transcriptome/T_rubida/S2/links/cluster/Triru-pep-ext75-50-Sim-CLTL2.txt", 11)</f>
        <v>11</v>
      </c>
      <c r="CO46" s="17">
        <f>HYPERLINK("http://exon.niaid.nih.gov/transcriptome/T_rubida/S2/links/cluster/Triru-pep-ext80-50-Sim-CLU2.txt", 2)</f>
        <v>2</v>
      </c>
      <c r="CP46" s="1">
        <f>HYPERLINK("http://exon.niaid.nih.gov/transcriptome/T_rubida/S2/links/cluster/Triru-pep-ext80-50-Sim-CLTL2.txt", 8)</f>
        <v>8</v>
      </c>
      <c r="CQ46" s="17">
        <f>HYPERLINK("http://exon.niaid.nih.gov/transcriptome/T_rubida/S2/links/cluster/Triru-pep-ext85-50-Sim-CLU8.txt", 8)</f>
        <v>8</v>
      </c>
      <c r="CR46" s="1">
        <f>HYPERLINK("http://exon.niaid.nih.gov/transcriptome/T_rubida/S2/links/cluster/Triru-pep-ext85-50-Sim-CLTL8.txt", 2)</f>
        <v>2</v>
      </c>
      <c r="CS46" s="17">
        <v>51</v>
      </c>
      <c r="CT46" s="1">
        <v>1</v>
      </c>
      <c r="CU46" s="17">
        <v>55</v>
      </c>
      <c r="CV46" s="1">
        <v>1</v>
      </c>
    </row>
    <row r="47" spans="1:100">
      <c r="A47" t="str">
        <f>HYPERLINK("http://exon.niaid.nih.gov/transcriptome/T_rubida/S2/links/pep/Triru-59-pep.txt","Triru-59")</f>
        <v>Triru-59</v>
      </c>
      <c r="B47">
        <v>96</v>
      </c>
      <c r="C47" s="1" t="s">
        <v>10</v>
      </c>
      <c r="D47" s="1" t="s">
        <v>3</v>
      </c>
      <c r="E47" t="str">
        <f>HYPERLINK("http://exon.niaid.nih.gov/transcriptome/T_rubida/S2/links/cds/Triru-59-cds.txt","Triru-59")</f>
        <v>Triru-59</v>
      </c>
      <c r="F47">
        <v>291</v>
      </c>
      <c r="G47" s="2" t="s">
        <v>1890</v>
      </c>
      <c r="H47" s="1">
        <v>2</v>
      </c>
      <c r="I47" s="3" t="s">
        <v>1272</v>
      </c>
      <c r="J47" s="17" t="str">
        <f>HYPERLINK("http://exon.niaid.nih.gov/transcriptome/T_rubida/S2/links/Sigp/Triru-59-SigP.txt","CYT")</f>
        <v>CYT</v>
      </c>
      <c r="K47" t="s">
        <v>5</v>
      </c>
      <c r="L47" s="1">
        <v>10.731999999999999</v>
      </c>
      <c r="M47" s="1">
        <v>5.75</v>
      </c>
      <c r="P47" s="1">
        <v>0.126</v>
      </c>
      <c r="Q47" s="1">
        <v>5.7000000000000002E-2</v>
      </c>
      <c r="R47" s="1">
        <v>0.874</v>
      </c>
      <c r="S47" s="17" t="s">
        <v>1346</v>
      </c>
      <c r="T47">
        <v>2</v>
      </c>
      <c r="U47" t="s">
        <v>1390</v>
      </c>
      <c r="V47" s="17">
        <v>0</v>
      </c>
      <c r="W47" t="s">
        <v>5</v>
      </c>
      <c r="X47" t="s">
        <v>5</v>
      </c>
      <c r="Y47" t="s">
        <v>5</v>
      </c>
      <c r="Z47" t="s">
        <v>5</v>
      </c>
      <c r="AA47" t="s">
        <v>5</v>
      </c>
      <c r="AB47" s="17" t="str">
        <f>HYPERLINK("http://exon.niaid.nih.gov/transcriptome/T_rubida/S2/links/netoglyc/TRIRU-59-netoglyc.txt","0")</f>
        <v>0</v>
      </c>
      <c r="AC47">
        <v>10.4</v>
      </c>
      <c r="AD47">
        <v>9.4</v>
      </c>
      <c r="AE47">
        <v>3.1</v>
      </c>
      <c r="AF47" s="17" t="s">
        <v>5</v>
      </c>
      <c r="AG47" s="2" t="str">
        <f>HYPERLINK("http://exon.niaid.nih.gov/transcriptome/T_rubida/S2/links/NR/Triru-59-NR.txt","unnamed protein product")</f>
        <v>unnamed protein product</v>
      </c>
      <c r="AH47" t="str">
        <f>HYPERLINK("http://www.ncbi.nlm.nih.gov/sutils/blink.cgi?pid=270046188","4E-025")</f>
        <v>4E-025</v>
      </c>
      <c r="AI47" t="str">
        <f>HYPERLINK("http://www.ncbi.nlm.nih.gov/protein/270046188","gi|270046188")</f>
        <v>gi|270046188</v>
      </c>
      <c r="AJ47">
        <v>117</v>
      </c>
      <c r="AK47">
        <v>86</v>
      </c>
      <c r="AL47">
        <v>197</v>
      </c>
      <c r="AM47">
        <v>63</v>
      </c>
      <c r="AN47">
        <v>44</v>
      </c>
      <c r="AO47" t="s">
        <v>59</v>
      </c>
      <c r="AP47" s="2" t="str">
        <f>HYPERLINK("http://exon.niaid.nih.gov/transcriptome/T_rubida/S2/links/SWISSP/Triru-59-SWISSP.txt","Crustacyanin-A2 subunit")</f>
        <v>Crustacyanin-A2 subunit</v>
      </c>
      <c r="AQ47" t="str">
        <f>HYPERLINK("http://www.uniprot.org/uniprot/P80007","0.38")</f>
        <v>0.38</v>
      </c>
      <c r="AR47" t="s">
        <v>201</v>
      </c>
      <c r="AS47">
        <v>33.5</v>
      </c>
      <c r="AT47">
        <v>56</v>
      </c>
      <c r="AU47">
        <v>174</v>
      </c>
      <c r="AV47">
        <v>29</v>
      </c>
      <c r="AW47">
        <v>33</v>
      </c>
      <c r="AX47">
        <v>40</v>
      </c>
      <c r="AY47">
        <v>3</v>
      </c>
      <c r="AZ47">
        <v>106</v>
      </c>
      <c r="BA47">
        <v>33</v>
      </c>
      <c r="BB47">
        <v>1</v>
      </c>
      <c r="BC47" t="s">
        <v>202</v>
      </c>
      <c r="BD47" s="2" t="s">
        <v>5</v>
      </c>
      <c r="BE47" t="s">
        <v>5</v>
      </c>
      <c r="BF47" t="s">
        <v>5</v>
      </c>
      <c r="BG47" t="s">
        <v>5</v>
      </c>
      <c r="BH47" t="s">
        <v>5</v>
      </c>
      <c r="BI47" s="2" t="str">
        <f>HYPERLINK("http://exon.niaid.nih.gov/transcriptome/T_rubida/S2/links/CDD/Triru-59-CDD.txt","Triabin")</f>
        <v>Triabin</v>
      </c>
      <c r="BJ47" t="str">
        <f>HYPERLINK("http://www.ncbi.nlm.nih.gov/Structure/cdd/cddsrv.cgi?uid=pfam03973&amp;version=v4.0","1E-006")</f>
        <v>1E-006</v>
      </c>
      <c r="BK47" t="s">
        <v>980</v>
      </c>
      <c r="BL47" s="2" t="str">
        <f>HYPERLINK("http://exon.niaid.nih.gov/transcriptome/T_rubida/S2/links/KOG/Triru-59-KOG.txt","Xanthine dehydrogenase")</f>
        <v>Xanthine dehydrogenase</v>
      </c>
      <c r="BM47" t="str">
        <f>HYPERLINK("http://www.ncbi.nlm.nih.gov/COG/grace/shokog.cgi?KOG0430","1.2")</f>
        <v>1.2</v>
      </c>
      <c r="BN47" t="s">
        <v>420</v>
      </c>
      <c r="BO47" s="2" t="str">
        <f>HYPERLINK("http://exon.niaid.nih.gov/transcriptome/T_rubida/S2/links/PFAM/Triru-59-PFAM.txt","Triabin")</f>
        <v>Triabin</v>
      </c>
      <c r="BP47" t="str">
        <f>HYPERLINK("http://pfam.sanger.ac.uk/family?acc=PF03973","3E-007")</f>
        <v>3E-007</v>
      </c>
      <c r="BQ47" s="2" t="str">
        <f>HYPERLINK("http://exon.niaid.nih.gov/transcriptome/T_rubida/S2/links/SMART/Triru-59-SMART.txt","S_TKc")</f>
        <v>S_TKc</v>
      </c>
      <c r="BR47" t="str">
        <f>HYPERLINK("http://smart.embl-heidelberg.de/smart/do_annotation.pl?DOMAIN=S_TKc&amp;BLAST=DUMMY","1.3")</f>
        <v>1.3</v>
      </c>
      <c r="BS47" s="17">
        <f t="shared" si="14"/>
        <v>1</v>
      </c>
      <c r="BT47" s="1">
        <f t="shared" si="15"/>
        <v>359</v>
      </c>
      <c r="BU47" s="17">
        <f t="shared" si="16"/>
        <v>1</v>
      </c>
      <c r="BV47" s="1">
        <f t="shared" si="17"/>
        <v>225</v>
      </c>
      <c r="BW47" s="17">
        <f t="shared" si="18"/>
        <v>2</v>
      </c>
      <c r="BX47" s="1">
        <f t="shared" si="19"/>
        <v>70</v>
      </c>
      <c r="BY47" s="17">
        <f t="shared" si="20"/>
        <v>1</v>
      </c>
      <c r="BZ47" s="1">
        <f t="shared" si="21"/>
        <v>69</v>
      </c>
      <c r="CA47" s="17">
        <f t="shared" si="22"/>
        <v>1</v>
      </c>
      <c r="CB47" s="1">
        <f t="shared" si="23"/>
        <v>69</v>
      </c>
      <c r="CC47" s="17">
        <f t="shared" si="24"/>
        <v>2</v>
      </c>
      <c r="CD47" s="1">
        <f t="shared" si="25"/>
        <v>23</v>
      </c>
      <c r="CE47" s="17">
        <f>HYPERLINK("http://exon.niaid.nih.gov/transcriptome/T_rubida/S2/links/cluster/Triru-pep-ext55-50-Sim-CLU2.txt", 2)</f>
        <v>2</v>
      </c>
      <c r="CF47" s="1">
        <f>HYPERLINK("http://exon.niaid.nih.gov/transcriptome/T_rubida/S2/links/cluster/Triru-pep-ext55-50-Sim-CLTL2.txt", 20)</f>
        <v>20</v>
      </c>
      <c r="CG47" s="17">
        <f>HYPERLINK("http://exon.niaid.nih.gov/transcriptome/T_rubida/S2/links/cluster/Triru-pep-ext60-50-Sim-CLU3.txt", 3)</f>
        <v>3</v>
      </c>
      <c r="CH47" s="1">
        <f>HYPERLINK("http://exon.niaid.nih.gov/transcriptome/T_rubida/S2/links/cluster/Triru-pep-ext60-50-Sim-CLTL3.txt", 12)</f>
        <v>12</v>
      </c>
      <c r="CI47" s="17">
        <f>HYPERLINK("http://exon.niaid.nih.gov/transcriptome/T_rubida/S2/links/cluster/Triru-pep-ext65-50-Sim-CLU2.txt", 2)</f>
        <v>2</v>
      </c>
      <c r="CJ47" s="1">
        <f>HYPERLINK("http://exon.niaid.nih.gov/transcriptome/T_rubida/S2/links/cluster/Triru-pep-ext65-50-Sim-CLTL2.txt", 12)</f>
        <v>12</v>
      </c>
      <c r="CK47" s="17">
        <f>HYPERLINK("http://exon.niaid.nih.gov/transcriptome/T_rubida/S2/links/cluster/Triru-pep-ext70-50-Sim-CLU2.txt", 2)</f>
        <v>2</v>
      </c>
      <c r="CL47" s="1">
        <f>HYPERLINK("http://exon.niaid.nih.gov/transcriptome/T_rubida/S2/links/cluster/Triru-pep-ext70-50-Sim-CLTL2.txt", 11)</f>
        <v>11</v>
      </c>
      <c r="CM47" s="17">
        <f>HYPERLINK("http://exon.niaid.nih.gov/transcriptome/T_rubida/S2/links/cluster/Triru-pep-ext75-50-Sim-CLU2.txt", 2)</f>
        <v>2</v>
      </c>
      <c r="CN47" s="1">
        <f>HYPERLINK("http://exon.niaid.nih.gov/transcriptome/T_rubida/S2/links/cluster/Triru-pep-ext75-50-Sim-CLTL2.txt", 11)</f>
        <v>11</v>
      </c>
      <c r="CO47" s="17">
        <f>HYPERLINK("http://exon.niaid.nih.gov/transcriptome/T_rubida/S2/links/cluster/Triru-pep-ext80-50-Sim-CLU2.txt", 2)</f>
        <v>2</v>
      </c>
      <c r="CP47" s="1">
        <f>HYPERLINK("http://exon.niaid.nih.gov/transcriptome/T_rubida/S2/links/cluster/Triru-pep-ext80-50-Sim-CLTL2.txt", 8)</f>
        <v>8</v>
      </c>
      <c r="CQ47" s="17">
        <f>HYPERLINK("http://exon.niaid.nih.gov/transcriptome/T_rubida/S2/links/cluster/Triru-pep-ext85-50-Sim-CLU5.txt", 5)</f>
        <v>5</v>
      </c>
      <c r="CR47" s="1">
        <f>HYPERLINK("http://exon.niaid.nih.gov/transcriptome/T_rubida/S2/links/cluster/Triru-pep-ext85-50-Sim-CLTL5.txt", 4)</f>
        <v>4</v>
      </c>
      <c r="CS47" s="17">
        <f>HYPERLINK("http://exon.niaid.nih.gov/transcriptome/T_rubida/S2/links/cluster/Triru-pep-ext90-50-Sim-CLU7.txt", 7)</f>
        <v>7</v>
      </c>
      <c r="CT47" s="1">
        <f>HYPERLINK("http://exon.niaid.nih.gov/transcriptome/T_rubida/S2/links/cluster/Triru-pep-ext90-50-Sim-CLTL7.txt", 2)</f>
        <v>2</v>
      </c>
      <c r="CU47" s="17">
        <v>60</v>
      </c>
      <c r="CV47" s="1">
        <v>1</v>
      </c>
    </row>
    <row r="48" spans="1:100">
      <c r="A48" t="str">
        <f>HYPERLINK("http://exon.niaid.nih.gov/transcriptome/T_rubida/S2/links/pep/Triru-57-pep.txt","Triru-57")</f>
        <v>Triru-57</v>
      </c>
      <c r="B48">
        <v>178</v>
      </c>
      <c r="C48" s="1" t="s">
        <v>14</v>
      </c>
      <c r="D48" s="1" t="s">
        <v>3</v>
      </c>
      <c r="E48" t="str">
        <f>HYPERLINK("http://exon.niaid.nih.gov/transcriptome/T_rubida/S2/links/cds/Triru-57-cds.txt","Triru-57")</f>
        <v>Triru-57</v>
      </c>
      <c r="F48">
        <v>537</v>
      </c>
      <c r="G48" s="2" t="s">
        <v>1890</v>
      </c>
      <c r="H48" s="1">
        <v>2</v>
      </c>
      <c r="I48" s="3" t="s">
        <v>1272</v>
      </c>
      <c r="J48" s="17" t="str">
        <f>HYPERLINK("http://exon.niaid.nih.gov/transcriptome/T_rubida/S2/links/Sigp/Triru-57-SigP.txt","CYT")</f>
        <v>CYT</v>
      </c>
      <c r="K48" t="s">
        <v>5</v>
      </c>
      <c r="L48" s="1">
        <v>19.545000000000002</v>
      </c>
      <c r="M48" s="1">
        <v>5.08</v>
      </c>
      <c r="P48" s="1">
        <v>7.9000000000000001E-2</v>
      </c>
      <c r="Q48" s="1">
        <v>0.04</v>
      </c>
      <c r="R48" s="1">
        <v>0.94799999999999995</v>
      </c>
      <c r="S48" s="17" t="s">
        <v>1346</v>
      </c>
      <c r="T48">
        <v>1</v>
      </c>
      <c r="U48" t="s">
        <v>1370</v>
      </c>
      <c r="V48" s="17">
        <v>0</v>
      </c>
      <c r="W48" t="s">
        <v>5</v>
      </c>
      <c r="X48" t="s">
        <v>5</v>
      </c>
      <c r="Y48" t="s">
        <v>5</v>
      </c>
      <c r="Z48" t="s">
        <v>5</v>
      </c>
      <c r="AA48" t="s">
        <v>5</v>
      </c>
      <c r="AB48" s="17" t="str">
        <f>HYPERLINK("http://exon.niaid.nih.gov/transcriptome/T_rubida/S2/links/netoglyc/TRIRU-57-netoglyc.txt","0")</f>
        <v>0</v>
      </c>
      <c r="AC48">
        <v>15.2</v>
      </c>
      <c r="AD48">
        <v>7.9</v>
      </c>
      <c r="AE48">
        <v>2.2000000000000002</v>
      </c>
      <c r="AF48" s="17" t="s">
        <v>5</v>
      </c>
      <c r="AG48" s="2" t="str">
        <f>HYPERLINK("http://exon.niaid.nih.gov/transcriptome/T_rubida/S2/links/NR/Triru-57-NR.txt","unnamed protein product")</f>
        <v>unnamed protein product</v>
      </c>
      <c r="AH48" t="str">
        <f>HYPERLINK("http://www.ncbi.nlm.nih.gov/sutils/blink.cgi?pid=270046188","2E-060")</f>
        <v>2E-060</v>
      </c>
      <c r="AI48" t="str">
        <f>HYPERLINK("http://www.ncbi.nlm.nih.gov/protein/270046188","gi|270046188")</f>
        <v>gi|270046188</v>
      </c>
      <c r="AJ48">
        <v>235</v>
      </c>
      <c r="AK48">
        <v>176</v>
      </c>
      <c r="AL48">
        <v>197</v>
      </c>
      <c r="AM48">
        <v>64</v>
      </c>
      <c r="AN48">
        <v>90</v>
      </c>
      <c r="AO48" t="s">
        <v>59</v>
      </c>
      <c r="AP48" s="2" t="str">
        <f>HYPERLINK("http://exon.niaid.nih.gov/transcriptome/T_rubida/S2/links/SWISSP/Triru-57-SWISSP.txt","Nitrophorin-7")</f>
        <v>Nitrophorin-7</v>
      </c>
      <c r="AQ48" t="str">
        <f>HYPERLINK("http://www.uniprot.org/uniprot/Q6PQK2","5E-005")</f>
        <v>5E-005</v>
      </c>
      <c r="AR48" t="s">
        <v>763</v>
      </c>
      <c r="AS48">
        <v>47.4</v>
      </c>
      <c r="AT48">
        <v>159</v>
      </c>
      <c r="AU48">
        <v>205</v>
      </c>
      <c r="AV48">
        <v>29</v>
      </c>
      <c r="AW48">
        <v>78</v>
      </c>
      <c r="AX48">
        <v>116</v>
      </c>
      <c r="AY48">
        <v>11</v>
      </c>
      <c r="AZ48">
        <v>34</v>
      </c>
      <c r="BA48">
        <v>19</v>
      </c>
      <c r="BB48">
        <v>1</v>
      </c>
      <c r="BC48" t="s">
        <v>764</v>
      </c>
      <c r="BD48" s="2" t="s">
        <v>5</v>
      </c>
      <c r="BE48" t="s">
        <v>5</v>
      </c>
      <c r="BF48" t="s">
        <v>5</v>
      </c>
      <c r="BG48" t="s">
        <v>5</v>
      </c>
      <c r="BH48" t="s">
        <v>5</v>
      </c>
      <c r="BI48" s="2" t="str">
        <f>HYPERLINK("http://exon.niaid.nih.gov/transcriptome/T_rubida/S2/links/CDD/Triru-57-CDD.txt","Triabin")</f>
        <v>Triabin</v>
      </c>
      <c r="BJ48" t="str">
        <f>HYPERLINK("http://www.ncbi.nlm.nih.gov/Structure/cdd/cddsrv.cgi?uid=pfam03973&amp;version=v4.0","2E-014")</f>
        <v>2E-014</v>
      </c>
      <c r="BK48" t="s">
        <v>765</v>
      </c>
      <c r="BL48" s="2" t="s">
        <v>5</v>
      </c>
      <c r="BM48" t="s">
        <v>5</v>
      </c>
      <c r="BN48" t="s">
        <v>5</v>
      </c>
      <c r="BO48" s="2" t="str">
        <f>HYPERLINK("http://exon.niaid.nih.gov/transcriptome/T_rubida/S2/links/PFAM/Triru-57-PFAM.txt","Triabin")</f>
        <v>Triabin</v>
      </c>
      <c r="BP48" t="str">
        <f>HYPERLINK("http://pfam.sanger.ac.uk/family?acc=PF03973","3E-015")</f>
        <v>3E-015</v>
      </c>
      <c r="BQ48" s="2" t="str">
        <f>HYPERLINK("http://exon.niaid.nih.gov/transcriptome/T_rubida/S2/links/SMART/Triru-57-SMART.txt","NRF")</f>
        <v>NRF</v>
      </c>
      <c r="BR48" t="str">
        <f>HYPERLINK("http://smart.embl-heidelberg.de/smart/do_annotation.pl?DOMAIN=NRF&amp;BLAST=DUMMY","7.3")</f>
        <v>7.3</v>
      </c>
      <c r="BS48" s="17">
        <f t="shared" si="14"/>
        <v>1</v>
      </c>
      <c r="BT48" s="1">
        <f t="shared" si="15"/>
        <v>359</v>
      </c>
      <c r="BU48" s="17">
        <f t="shared" si="16"/>
        <v>1</v>
      </c>
      <c r="BV48" s="1">
        <f t="shared" si="17"/>
        <v>225</v>
      </c>
      <c r="BW48" s="17">
        <f t="shared" si="18"/>
        <v>2</v>
      </c>
      <c r="BX48" s="1">
        <f t="shared" si="19"/>
        <v>70</v>
      </c>
      <c r="BY48" s="17">
        <f t="shared" si="20"/>
        <v>1</v>
      </c>
      <c r="BZ48" s="1">
        <f t="shared" si="21"/>
        <v>69</v>
      </c>
      <c r="CA48" s="17">
        <f t="shared" si="22"/>
        <v>1</v>
      </c>
      <c r="CB48" s="1">
        <f t="shared" si="23"/>
        <v>69</v>
      </c>
      <c r="CC48" s="17">
        <f t="shared" si="24"/>
        <v>2</v>
      </c>
      <c r="CD48" s="1">
        <f t="shared" si="25"/>
        <v>23</v>
      </c>
      <c r="CE48" s="17">
        <f>HYPERLINK("http://exon.niaid.nih.gov/transcriptome/T_rubida/S2/links/cluster/Triru-pep-ext55-50-Sim-CLU2.txt", 2)</f>
        <v>2</v>
      </c>
      <c r="CF48" s="1">
        <f>HYPERLINK("http://exon.niaid.nih.gov/transcriptome/T_rubida/S2/links/cluster/Triru-pep-ext55-50-Sim-CLTL2.txt", 20)</f>
        <v>20</v>
      </c>
      <c r="CG48" s="17">
        <f>HYPERLINK("http://exon.niaid.nih.gov/transcriptome/T_rubida/S2/links/cluster/Triru-pep-ext60-50-Sim-CLU3.txt", 3)</f>
        <v>3</v>
      </c>
      <c r="CH48" s="1">
        <f>HYPERLINK("http://exon.niaid.nih.gov/transcriptome/T_rubida/S2/links/cluster/Triru-pep-ext60-50-Sim-CLTL3.txt", 12)</f>
        <v>12</v>
      </c>
      <c r="CI48" s="17">
        <f>HYPERLINK("http://exon.niaid.nih.gov/transcriptome/T_rubida/S2/links/cluster/Triru-pep-ext65-50-Sim-CLU2.txt", 2)</f>
        <v>2</v>
      </c>
      <c r="CJ48" s="1">
        <f>HYPERLINK("http://exon.niaid.nih.gov/transcriptome/T_rubida/S2/links/cluster/Triru-pep-ext65-50-Sim-CLTL2.txt", 12)</f>
        <v>12</v>
      </c>
      <c r="CK48" s="17">
        <f>HYPERLINK("http://exon.niaid.nih.gov/transcriptome/T_rubida/S2/links/cluster/Triru-pep-ext70-50-Sim-CLU2.txt", 2)</f>
        <v>2</v>
      </c>
      <c r="CL48" s="1">
        <f>HYPERLINK("http://exon.niaid.nih.gov/transcriptome/T_rubida/S2/links/cluster/Triru-pep-ext70-50-Sim-CLTL2.txt", 11)</f>
        <v>11</v>
      </c>
      <c r="CM48" s="17">
        <f>HYPERLINK("http://exon.niaid.nih.gov/transcriptome/T_rubida/S2/links/cluster/Triru-pep-ext75-50-Sim-CLU2.txt", 2)</f>
        <v>2</v>
      </c>
      <c r="CN48" s="1">
        <f>HYPERLINK("http://exon.niaid.nih.gov/transcriptome/T_rubida/S2/links/cluster/Triru-pep-ext75-50-Sim-CLTL2.txt", 11)</f>
        <v>11</v>
      </c>
      <c r="CO48" s="17">
        <f>HYPERLINK("http://exon.niaid.nih.gov/transcriptome/T_rubida/S2/links/cluster/Triru-pep-ext80-50-Sim-CLU6.txt", 6)</f>
        <v>6</v>
      </c>
      <c r="CP48" s="1">
        <f>HYPERLINK("http://exon.niaid.nih.gov/transcriptome/T_rubida/S2/links/cluster/Triru-pep-ext80-50-Sim-CLTL6.txt", 3)</f>
        <v>3</v>
      </c>
      <c r="CQ48" s="17">
        <f>HYPERLINK("http://exon.niaid.nih.gov/transcriptome/T_rubida/S2/links/cluster/Triru-pep-ext85-50-Sim-CLU7.txt", 7)</f>
        <v>7</v>
      </c>
      <c r="CR48" s="1">
        <f>HYPERLINK("http://exon.niaid.nih.gov/transcriptome/T_rubida/S2/links/cluster/Triru-pep-ext85-50-Sim-CLTL7.txt", 2)</f>
        <v>2</v>
      </c>
      <c r="CS48" s="17">
        <v>54</v>
      </c>
      <c r="CT48" s="1">
        <v>1</v>
      </c>
      <c r="CU48" s="17">
        <v>59</v>
      </c>
      <c r="CV48" s="1">
        <v>1</v>
      </c>
    </row>
    <row r="49" spans="1:100">
      <c r="A49" t="str">
        <f>HYPERLINK("http://exon.niaid.nih.gov/transcriptome/T_rubida/S2/links/pep/Triru-31-pep.txt","Triru-31")</f>
        <v>Triru-31</v>
      </c>
      <c r="B49">
        <v>169</v>
      </c>
      <c r="C49" s="1" t="s">
        <v>9</v>
      </c>
      <c r="D49" s="1" t="s">
        <v>3</v>
      </c>
      <c r="E49" t="str">
        <f>HYPERLINK("http://exon.niaid.nih.gov/transcriptome/T_rubida/S2/links/cds/Triru-31-cds.txt","Triru-31")</f>
        <v>Triru-31</v>
      </c>
      <c r="F49">
        <v>510</v>
      </c>
      <c r="G49" s="2" t="s">
        <v>1890</v>
      </c>
      <c r="H49" s="1">
        <v>2</v>
      </c>
      <c r="I49" s="3" t="s">
        <v>1272</v>
      </c>
      <c r="J49" s="17" t="str">
        <f>HYPERLINK("http://exon.niaid.nih.gov/transcriptome/T_rubida/S2/links/Sigp/Triru-31-SigP.txt","SIG")</f>
        <v>SIG</v>
      </c>
      <c r="K49" t="s">
        <v>1318</v>
      </c>
      <c r="L49" s="1">
        <v>19.192</v>
      </c>
      <c r="M49" s="1">
        <v>5.6</v>
      </c>
      <c r="N49" s="1">
        <v>17.172999999999998</v>
      </c>
      <c r="O49" s="1">
        <v>5.35</v>
      </c>
      <c r="P49" s="1">
        <v>3.9E-2</v>
      </c>
      <c r="Q49" s="1">
        <v>0.78900000000000003</v>
      </c>
      <c r="R49" s="1">
        <v>0.33100000000000002</v>
      </c>
      <c r="S49" s="17" t="s">
        <v>18</v>
      </c>
      <c r="T49">
        <v>3</v>
      </c>
      <c r="U49" t="s">
        <v>1357</v>
      </c>
      <c r="V49" s="17">
        <v>0</v>
      </c>
      <c r="W49" t="s">
        <v>5</v>
      </c>
      <c r="X49" t="s">
        <v>5</v>
      </c>
      <c r="Y49" t="s">
        <v>5</v>
      </c>
      <c r="Z49" t="s">
        <v>5</v>
      </c>
      <c r="AA49" t="s">
        <v>5</v>
      </c>
      <c r="AB49" s="17" t="str">
        <f>HYPERLINK("http://exon.niaid.nih.gov/transcriptome/T_rubida/S2/links/netoglyc/TRIRU-31-netoglyc.txt","3")</f>
        <v>3</v>
      </c>
      <c r="AC49">
        <v>20.100000000000001</v>
      </c>
      <c r="AD49">
        <v>5.9</v>
      </c>
      <c r="AE49">
        <v>3.6</v>
      </c>
      <c r="AF49" s="17" t="s">
        <v>5</v>
      </c>
      <c r="AG49" s="2" t="str">
        <f>HYPERLINK("http://exon.niaid.nih.gov/transcriptome/T_rubida/S2/links/NR/Triru-31-NR.txt","unnamed protein product")</f>
        <v>unnamed protein product</v>
      </c>
      <c r="AH49" t="str">
        <f>HYPERLINK("http://www.ncbi.nlm.nih.gov/sutils/blink.cgi?pid=270046166","3E-044")</f>
        <v>3E-044</v>
      </c>
      <c r="AI49" t="str">
        <f>HYPERLINK("http://www.ncbi.nlm.nih.gov/protein/270046166","gi|270046166")</f>
        <v>gi|270046166</v>
      </c>
      <c r="AJ49">
        <v>181</v>
      </c>
      <c r="AK49">
        <v>175</v>
      </c>
      <c r="AL49">
        <v>177</v>
      </c>
      <c r="AM49">
        <v>51</v>
      </c>
      <c r="AN49">
        <v>99</v>
      </c>
      <c r="AO49" t="s">
        <v>59</v>
      </c>
      <c r="AP49" s="2" t="str">
        <f>HYPERLINK("http://exon.niaid.nih.gov/transcriptome/T_rubida/S2/links/SWISSP/Triru-31-SWISSP.txt","Procalin")</f>
        <v>Procalin</v>
      </c>
      <c r="AQ49" t="str">
        <f>HYPERLINK("http://www.uniprot.org/uniprot/Q9U6R6","2E-030")</f>
        <v>2E-030</v>
      </c>
      <c r="AR49" t="s">
        <v>180</v>
      </c>
      <c r="AS49">
        <v>131</v>
      </c>
      <c r="AT49">
        <v>167</v>
      </c>
      <c r="AU49">
        <v>169</v>
      </c>
      <c r="AV49">
        <v>39</v>
      </c>
      <c r="AW49">
        <v>99</v>
      </c>
      <c r="AX49">
        <v>106</v>
      </c>
      <c r="AY49">
        <v>12</v>
      </c>
      <c r="AZ49">
        <v>1</v>
      </c>
      <c r="BA49">
        <v>1</v>
      </c>
      <c r="BB49">
        <v>1</v>
      </c>
      <c r="BC49" t="s">
        <v>181</v>
      </c>
      <c r="BD49" s="2" t="s">
        <v>5</v>
      </c>
      <c r="BE49" t="s">
        <v>5</v>
      </c>
      <c r="BF49" t="s">
        <v>5</v>
      </c>
      <c r="BG49" t="s">
        <v>5</v>
      </c>
      <c r="BH49" t="s">
        <v>5</v>
      </c>
      <c r="BI49" s="2" t="str">
        <f>HYPERLINK("http://exon.niaid.nih.gov/transcriptome/T_rubida/S2/links/CDD/Triru-31-CDD.txt","Triabin")</f>
        <v>Triabin</v>
      </c>
      <c r="BJ49" t="str">
        <f>HYPERLINK("http://www.ncbi.nlm.nih.gov/Structure/cdd/cddsrv.cgi?uid=pfam03973&amp;version=v4.0","9E-009")</f>
        <v>9E-009</v>
      </c>
      <c r="BK49" t="s">
        <v>842</v>
      </c>
      <c r="BL49" s="2" t="str">
        <f>HYPERLINK("http://exon.niaid.nih.gov/transcriptome/T_rubida/S2/links/KOG/Triru-31-KOG.txt","Rhodanese-related sulfurtransferase")</f>
        <v>Rhodanese-related sulfurtransferase</v>
      </c>
      <c r="BM49" t="str">
        <f>HYPERLINK("http://www.ncbi.nlm.nih.gov/COG/grace/shokog.cgi?KOG1530","3.6")</f>
        <v>3.6</v>
      </c>
      <c r="BN49" t="s">
        <v>117</v>
      </c>
      <c r="BO49" s="2" t="str">
        <f>HYPERLINK("http://exon.niaid.nih.gov/transcriptome/T_rubida/S2/links/PFAM/Triru-31-PFAM.txt","Triabin")</f>
        <v>Triabin</v>
      </c>
      <c r="BP49" t="str">
        <f>HYPERLINK("http://pfam.sanger.ac.uk/family?acc=PF03973","2E-009")</f>
        <v>2E-009</v>
      </c>
      <c r="BQ49" s="2" t="str">
        <f>HYPERLINK("http://exon.niaid.nih.gov/transcriptome/T_rubida/S2/links/SMART/Triru-31-SMART.txt","TBOX")</f>
        <v>TBOX</v>
      </c>
      <c r="BR49" t="str">
        <f>HYPERLINK("http://smart.embl-heidelberg.de/smart/do_annotation.pl?DOMAIN=TBOX&amp;BLAST=DUMMY","0.86")</f>
        <v>0.86</v>
      </c>
      <c r="BS49" s="17">
        <f t="shared" si="14"/>
        <v>1</v>
      </c>
      <c r="BT49" s="1">
        <f t="shared" si="15"/>
        <v>359</v>
      </c>
      <c r="BU49" s="17">
        <f t="shared" si="16"/>
        <v>1</v>
      </c>
      <c r="BV49" s="1">
        <f t="shared" si="17"/>
        <v>225</v>
      </c>
      <c r="BW49" s="17">
        <f t="shared" si="18"/>
        <v>2</v>
      </c>
      <c r="BX49" s="1">
        <f t="shared" si="19"/>
        <v>70</v>
      </c>
      <c r="BY49" s="17">
        <f t="shared" si="20"/>
        <v>1</v>
      </c>
      <c r="BZ49" s="1">
        <f t="shared" si="21"/>
        <v>69</v>
      </c>
      <c r="CA49" s="17">
        <f t="shared" si="22"/>
        <v>1</v>
      </c>
      <c r="CB49" s="1">
        <f t="shared" si="23"/>
        <v>69</v>
      </c>
      <c r="CC49" s="17">
        <f t="shared" ref="CC49:CC54" si="26">HYPERLINK("http://exon.niaid.nih.gov/transcriptome/T_rubida/S2/links/cluster/Triru-pep-ext50-50-Sim-CLU1.txt", 1)</f>
        <v>1</v>
      </c>
      <c r="CD49" s="1">
        <f t="shared" ref="CD49:CD54" si="27">HYPERLINK("http://exon.niaid.nih.gov/transcriptome/T_rubida/S2/links/cluster/Triru-pep-ext50-50-Sim-CLTL1.txt", 45)</f>
        <v>45</v>
      </c>
      <c r="CE49" s="17">
        <f t="shared" ref="CE49:CE54" si="28">HYPERLINK("http://exon.niaid.nih.gov/transcriptome/T_rubida/S2/links/cluster/Triru-pep-ext55-50-Sim-CLU1.txt", 1)</f>
        <v>1</v>
      </c>
      <c r="CF49" s="1">
        <f t="shared" ref="CF49:CF54" si="29">HYPERLINK("http://exon.niaid.nih.gov/transcriptome/T_rubida/S2/links/cluster/Triru-pep-ext55-50-Sim-CLTL1.txt", 45)</f>
        <v>45</v>
      </c>
      <c r="CG49" s="17">
        <f>HYPERLINK("http://exon.niaid.nih.gov/transcriptome/T_rubida/S2/links/cluster/Triru-pep-ext60-50-Sim-CLU1.txt", 1)</f>
        <v>1</v>
      </c>
      <c r="CH49" s="1">
        <f>HYPERLINK("http://exon.niaid.nih.gov/transcriptome/T_rubida/S2/links/cluster/Triru-pep-ext60-50-Sim-CLTL1.txt", 35)</f>
        <v>35</v>
      </c>
      <c r="CI49" s="17">
        <f>HYPERLINK("http://exon.niaid.nih.gov/transcriptome/T_rubida/S2/links/cluster/Triru-pep-ext65-50-Sim-CLU1.txt", 1)</f>
        <v>1</v>
      </c>
      <c r="CJ49" s="1">
        <f>HYPERLINK("http://exon.niaid.nih.gov/transcriptome/T_rubida/S2/links/cluster/Triru-pep-ext65-50-Sim-CLTL1.txt", 30)</f>
        <v>30</v>
      </c>
      <c r="CK49" s="17">
        <f>HYPERLINK("http://exon.niaid.nih.gov/transcriptome/T_rubida/S2/links/cluster/Triru-pep-ext70-50-Sim-CLU1.txt", 1)</f>
        <v>1</v>
      </c>
      <c r="CL49" s="1">
        <f>HYPERLINK("http://exon.niaid.nih.gov/transcriptome/T_rubida/S2/links/cluster/Triru-pep-ext70-50-Sim-CLTL1.txt", 28)</f>
        <v>28</v>
      </c>
      <c r="CM49" s="17">
        <f>HYPERLINK("http://exon.niaid.nih.gov/transcriptome/T_rubida/S2/links/cluster/Triru-pep-ext75-50-Sim-CLU4.txt", 4)</f>
        <v>4</v>
      </c>
      <c r="CN49" s="1">
        <f>HYPERLINK("http://exon.niaid.nih.gov/transcriptome/T_rubida/S2/links/cluster/Triru-pep-ext75-50-Sim-CLTL4.txt", 5)</f>
        <v>5</v>
      </c>
      <c r="CO49" s="17">
        <f>HYPERLINK("http://exon.niaid.nih.gov/transcriptome/T_rubida/S2/links/cluster/Triru-pep-ext80-50-Sim-CLU4.txt", 4)</f>
        <v>4</v>
      </c>
      <c r="CP49" s="1">
        <f>HYPERLINK("http://exon.niaid.nih.gov/transcriptome/T_rubida/S2/links/cluster/Triru-pep-ext80-50-Sim-CLTL4.txt", 4)</f>
        <v>4</v>
      </c>
      <c r="CQ49" s="17">
        <f>HYPERLINK("http://exon.niaid.nih.gov/transcriptome/T_rubida/S2/links/cluster/Triru-pep-ext85-50-Sim-CLU4.txt", 4)</f>
        <v>4</v>
      </c>
      <c r="CR49" s="1">
        <f>HYPERLINK("http://exon.niaid.nih.gov/transcriptome/T_rubida/S2/links/cluster/Triru-pep-ext85-50-Sim-CLTL4.txt", 4)</f>
        <v>4</v>
      </c>
      <c r="CS49" s="17">
        <f>HYPERLINK("http://exon.niaid.nih.gov/transcriptome/T_rubida/S2/links/cluster/Triru-pep-ext90-50-Sim-CLU4.txt", 4)</f>
        <v>4</v>
      </c>
      <c r="CT49" s="1">
        <f>HYPERLINK("http://exon.niaid.nih.gov/transcriptome/T_rubida/S2/links/cluster/Triru-pep-ext90-50-Sim-CLTL4.txt", 3)</f>
        <v>3</v>
      </c>
      <c r="CU49" s="17">
        <v>39</v>
      </c>
      <c r="CV49" s="1">
        <v>1</v>
      </c>
    </row>
    <row r="50" spans="1:100">
      <c r="A50" t="str">
        <f>HYPERLINK("http://exon.niaid.nih.gov/transcriptome/T_rubida/S2/links/pep/Triru-20-pep.txt","Triru-20")</f>
        <v>Triru-20</v>
      </c>
      <c r="B50">
        <v>90</v>
      </c>
      <c r="C50" s="1" t="s">
        <v>4</v>
      </c>
      <c r="D50" s="1" t="s">
        <v>3</v>
      </c>
      <c r="E50" t="str">
        <f>HYPERLINK("http://exon.niaid.nih.gov/transcriptome/T_rubida/S2/links/cds/Triru-20-cds.txt","Triru-20")</f>
        <v>Triru-20</v>
      </c>
      <c r="F50">
        <v>273</v>
      </c>
      <c r="G50" s="2" t="s">
        <v>1890</v>
      </c>
      <c r="H50" s="1">
        <v>2</v>
      </c>
      <c r="I50" s="3" t="s">
        <v>1272</v>
      </c>
      <c r="J50" s="17" t="str">
        <f>HYPERLINK("http://exon.niaid.nih.gov/transcriptome/T_rubida/S2/links/Sigp/Triru-20-SigP.txt","CYT")</f>
        <v>CYT</v>
      </c>
      <c r="K50" t="s">
        <v>5</v>
      </c>
      <c r="L50" s="1">
        <v>9.9610000000000003</v>
      </c>
      <c r="M50" s="1">
        <v>6.08</v>
      </c>
      <c r="P50" s="1">
        <v>0.154</v>
      </c>
      <c r="Q50" s="1">
        <v>5.7000000000000002E-2</v>
      </c>
      <c r="R50" s="1">
        <v>0.86499999999999999</v>
      </c>
      <c r="S50" s="17" t="s">
        <v>1346</v>
      </c>
      <c r="T50">
        <v>2</v>
      </c>
      <c r="U50" t="s">
        <v>1381</v>
      </c>
      <c r="V50" s="17">
        <v>0</v>
      </c>
      <c r="W50" t="s">
        <v>5</v>
      </c>
      <c r="X50" t="s">
        <v>5</v>
      </c>
      <c r="Y50" t="s">
        <v>5</v>
      </c>
      <c r="Z50" t="s">
        <v>5</v>
      </c>
      <c r="AA50" t="s">
        <v>5</v>
      </c>
      <c r="AB50" s="17" t="str">
        <f>HYPERLINK("http://exon.niaid.nih.gov/transcriptome/T_rubida/S2/links/netoglyc/TRIRU-20-netoglyc.txt","1")</f>
        <v>1</v>
      </c>
      <c r="AC50">
        <v>15.6</v>
      </c>
      <c r="AD50">
        <v>6.7</v>
      </c>
      <c r="AE50">
        <v>4.4000000000000004</v>
      </c>
      <c r="AF50" s="17" t="s">
        <v>5</v>
      </c>
      <c r="AG50" s="2" t="str">
        <f>HYPERLINK("http://exon.niaid.nih.gov/transcriptome/T_rubida/S2/links/NR/Triru-20-NR.txt","unnamed protein product")</f>
        <v>unnamed protein product</v>
      </c>
      <c r="AH50" t="str">
        <f>HYPERLINK("http://www.ncbi.nlm.nih.gov/sutils/blink.cgi?pid=270046244","2E-017")</f>
        <v>2E-017</v>
      </c>
      <c r="AI50" t="str">
        <f>HYPERLINK("http://www.ncbi.nlm.nih.gov/protein/270046244","gi|270046244")</f>
        <v>gi|270046244</v>
      </c>
      <c r="AJ50">
        <v>92.4</v>
      </c>
      <c r="AK50">
        <v>96</v>
      </c>
      <c r="AL50">
        <v>177</v>
      </c>
      <c r="AM50">
        <v>52</v>
      </c>
      <c r="AN50">
        <v>55</v>
      </c>
      <c r="AO50" t="s">
        <v>59</v>
      </c>
      <c r="AP50" s="2" t="str">
        <f>HYPERLINK("http://exon.niaid.nih.gov/transcriptome/T_rubida/S2/links/SWISSP/Triru-20-SWISSP.txt","Procalin")</f>
        <v>Procalin</v>
      </c>
      <c r="AQ50" t="str">
        <f>HYPERLINK("http://www.uniprot.org/uniprot/Q9U6R6","4E-012")</f>
        <v>4E-012</v>
      </c>
      <c r="AR50" t="s">
        <v>180</v>
      </c>
      <c r="AS50">
        <v>70.099999999999994</v>
      </c>
      <c r="AT50">
        <v>85</v>
      </c>
      <c r="AU50">
        <v>169</v>
      </c>
      <c r="AV50">
        <v>38</v>
      </c>
      <c r="AW50">
        <v>51</v>
      </c>
      <c r="AX50">
        <v>53</v>
      </c>
      <c r="AY50">
        <v>4</v>
      </c>
      <c r="AZ50">
        <v>81</v>
      </c>
      <c r="BA50">
        <v>7</v>
      </c>
      <c r="BB50">
        <v>1</v>
      </c>
      <c r="BC50" t="s">
        <v>181</v>
      </c>
      <c r="BD50" s="2" t="s">
        <v>5</v>
      </c>
      <c r="BE50" t="s">
        <v>5</v>
      </c>
      <c r="BF50" t="s">
        <v>5</v>
      </c>
      <c r="BG50" t="s">
        <v>5</v>
      </c>
      <c r="BH50" t="s">
        <v>5</v>
      </c>
      <c r="BI50" s="2" t="str">
        <f>HYPERLINK("http://exon.niaid.nih.gov/transcriptome/T_rubida/S2/links/CDD/Triru-20-CDD.txt","Triabin")</f>
        <v>Triabin</v>
      </c>
      <c r="BJ50" t="str">
        <f>HYPERLINK("http://www.ncbi.nlm.nih.gov/Structure/cdd/cddsrv.cgi?uid=pfam03973&amp;version=v4.0","0.002")</f>
        <v>0.002</v>
      </c>
      <c r="BK50" t="s">
        <v>182</v>
      </c>
      <c r="BL50" s="2" t="str">
        <f>HYPERLINK("http://exon.niaid.nih.gov/transcriptome/T_rubida/S2/links/KOG/Triru-20-KOG.txt","Actin filament-binding protein Afadin")</f>
        <v>Actin filament-binding protein Afadin</v>
      </c>
      <c r="BM50" t="str">
        <f>HYPERLINK("http://www.ncbi.nlm.nih.gov/COG/grace/shokog.cgi?KOG1892","3.9")</f>
        <v>3.9</v>
      </c>
      <c r="BN50" t="s">
        <v>147</v>
      </c>
      <c r="BO50" s="2" t="str">
        <f>HYPERLINK("http://exon.niaid.nih.gov/transcriptome/T_rubida/S2/links/PFAM/Triru-20-PFAM.txt","Triabin")</f>
        <v>Triabin</v>
      </c>
      <c r="BP50" t="str">
        <f>HYPERLINK("http://pfam.sanger.ac.uk/family?acc=PF03973","5E-004")</f>
        <v>5E-004</v>
      </c>
      <c r="BQ50" s="2" t="str">
        <f>HYPERLINK("http://exon.niaid.nih.gov/transcriptome/T_rubida/S2/links/SMART/Triru-20-SMART.txt","IG_like")</f>
        <v>IG_like</v>
      </c>
      <c r="BR50" t="str">
        <f>HYPERLINK("http://smart.embl-heidelberg.de/smart/do_annotation.pl?DOMAIN=IG_like&amp;BLAST=DUMMY","0.76")</f>
        <v>0.76</v>
      </c>
      <c r="BS50" s="17">
        <f t="shared" si="14"/>
        <v>1</v>
      </c>
      <c r="BT50" s="1">
        <f t="shared" si="15"/>
        <v>359</v>
      </c>
      <c r="BU50" s="17">
        <f t="shared" si="16"/>
        <v>1</v>
      </c>
      <c r="BV50" s="1">
        <f t="shared" si="17"/>
        <v>225</v>
      </c>
      <c r="BW50" s="17">
        <f t="shared" si="18"/>
        <v>2</v>
      </c>
      <c r="BX50" s="1">
        <f t="shared" si="19"/>
        <v>70</v>
      </c>
      <c r="BY50" s="17">
        <f t="shared" si="20"/>
        <v>1</v>
      </c>
      <c r="BZ50" s="1">
        <f t="shared" si="21"/>
        <v>69</v>
      </c>
      <c r="CA50" s="17">
        <f t="shared" si="22"/>
        <v>1</v>
      </c>
      <c r="CB50" s="1">
        <f t="shared" si="23"/>
        <v>69</v>
      </c>
      <c r="CC50" s="17">
        <f t="shared" si="26"/>
        <v>1</v>
      </c>
      <c r="CD50" s="1">
        <f t="shared" si="27"/>
        <v>45</v>
      </c>
      <c r="CE50" s="17">
        <f t="shared" si="28"/>
        <v>1</v>
      </c>
      <c r="CF50" s="1">
        <f t="shared" si="29"/>
        <v>45</v>
      </c>
      <c r="CG50" s="17">
        <f>HYPERLINK("http://exon.niaid.nih.gov/transcriptome/T_rubida/S2/links/cluster/Triru-pep-ext60-50-Sim-CLU1.txt", 1)</f>
        <v>1</v>
      </c>
      <c r="CH50" s="1">
        <f>HYPERLINK("http://exon.niaid.nih.gov/transcriptome/T_rubida/S2/links/cluster/Triru-pep-ext60-50-Sim-CLTL1.txt", 35)</f>
        <v>35</v>
      </c>
      <c r="CI50" s="17">
        <f>HYPERLINK("http://exon.niaid.nih.gov/transcriptome/T_rubida/S2/links/cluster/Triru-pep-ext65-50-Sim-CLU9.txt", 9)</f>
        <v>9</v>
      </c>
      <c r="CJ50" s="1">
        <f>HYPERLINK("http://exon.niaid.nih.gov/transcriptome/T_rubida/S2/links/cluster/Triru-pep-ext65-50-Sim-CLTL9.txt", 2)</f>
        <v>2</v>
      </c>
      <c r="CK50" s="17">
        <f>HYPERLINK("http://exon.niaid.nih.gov/transcriptome/T_rubida/S2/links/cluster/Triru-pep-ext70-50-Sim-CLU8.txt", 8)</f>
        <v>8</v>
      </c>
      <c r="CL50" s="1">
        <f>HYPERLINK("http://exon.niaid.nih.gov/transcriptome/T_rubida/S2/links/cluster/Triru-pep-ext70-50-Sim-CLTL8.txt", 2)</f>
        <v>2</v>
      </c>
      <c r="CM50" s="17">
        <f>HYPERLINK("http://exon.niaid.nih.gov/transcriptome/T_rubida/S2/links/cluster/Triru-pep-ext75-50-Sim-CLU9.txt", 9)</f>
        <v>9</v>
      </c>
      <c r="CN50" s="1">
        <f>HYPERLINK("http://exon.niaid.nih.gov/transcriptome/T_rubida/S2/links/cluster/Triru-pep-ext75-50-Sim-CLTL9.txt", 2)</f>
        <v>2</v>
      </c>
      <c r="CO50" s="17">
        <v>31</v>
      </c>
      <c r="CP50" s="1">
        <v>1</v>
      </c>
      <c r="CQ50" s="17">
        <v>31</v>
      </c>
      <c r="CR50" s="1">
        <v>1</v>
      </c>
      <c r="CS50" s="17">
        <v>29</v>
      </c>
      <c r="CT50" s="1">
        <v>1</v>
      </c>
      <c r="CU50" s="17">
        <v>29</v>
      </c>
      <c r="CV50" s="1">
        <v>1</v>
      </c>
    </row>
    <row r="51" spans="1:100">
      <c r="A51" t="str">
        <f>HYPERLINK("http://exon.niaid.nih.gov/transcriptome/T_rubida/S2/links/pep/Triru-78-pep.txt","Triru-78")</f>
        <v>Triru-78</v>
      </c>
      <c r="B51">
        <v>131</v>
      </c>
      <c r="C51" s="1" t="s">
        <v>4</v>
      </c>
      <c r="D51" s="1" t="s">
        <v>3</v>
      </c>
      <c r="E51" t="str">
        <f>HYPERLINK("http://exon.niaid.nih.gov/transcriptome/T_rubida/S2/links/cds/Triru-78-cds.txt","Triru-78")</f>
        <v>Triru-78</v>
      </c>
      <c r="F51">
        <v>396</v>
      </c>
      <c r="G51" s="2" t="s">
        <v>1890</v>
      </c>
      <c r="H51" s="1">
        <v>2</v>
      </c>
      <c r="I51" s="3" t="s">
        <v>1272</v>
      </c>
      <c r="J51" s="17" t="str">
        <f>HYPERLINK("http://exon.niaid.nih.gov/transcriptome/T_rubida/S2/links/Sigp/Triru-78-SigP.txt","CYT")</f>
        <v>CYT</v>
      </c>
      <c r="K51" t="s">
        <v>5</v>
      </c>
      <c r="L51" s="1">
        <v>14.486000000000001</v>
      </c>
      <c r="M51" s="1">
        <v>8.26</v>
      </c>
      <c r="P51" s="1">
        <v>0.13800000000000001</v>
      </c>
      <c r="Q51" s="1">
        <v>4.2000000000000003E-2</v>
      </c>
      <c r="R51" s="1">
        <v>0.873</v>
      </c>
      <c r="S51" s="17" t="s">
        <v>1346</v>
      </c>
      <c r="T51">
        <v>2</v>
      </c>
      <c r="U51" t="s">
        <v>1373</v>
      </c>
      <c r="V51" s="17">
        <v>0</v>
      </c>
      <c r="W51" t="s">
        <v>5</v>
      </c>
      <c r="X51" t="s">
        <v>5</v>
      </c>
      <c r="Y51" t="s">
        <v>5</v>
      </c>
      <c r="Z51" t="s">
        <v>5</v>
      </c>
      <c r="AA51" t="s">
        <v>5</v>
      </c>
      <c r="AB51" s="17" t="str">
        <f>HYPERLINK("http://exon.niaid.nih.gov/transcriptome/T_rubida/S2/links/netoglyc/TRIRU-78-netoglyc.txt","0")</f>
        <v>0</v>
      </c>
      <c r="AC51">
        <v>21.4</v>
      </c>
      <c r="AD51">
        <v>8.4</v>
      </c>
      <c r="AE51">
        <v>0.8</v>
      </c>
      <c r="AF51" s="17" t="s">
        <v>5</v>
      </c>
      <c r="AG51" s="2" t="str">
        <f>HYPERLINK("http://exon.niaid.nih.gov/transcriptome/T_rubida/S2/links/NR/Triru-78-NR.txt","salivary lipocalin")</f>
        <v>salivary lipocalin</v>
      </c>
      <c r="AH51" t="str">
        <f>HYPERLINK("http://www.ncbi.nlm.nih.gov/sutils/blink.cgi?pid=111379913","3E-032")</f>
        <v>3E-032</v>
      </c>
      <c r="AI51" t="str">
        <f>HYPERLINK("http://www.ncbi.nlm.nih.gov/protein/111379913","gi|111379913")</f>
        <v>gi|111379913</v>
      </c>
      <c r="AJ51">
        <v>141</v>
      </c>
      <c r="AK51">
        <v>127</v>
      </c>
      <c r="AL51">
        <v>179</v>
      </c>
      <c r="AM51">
        <v>55</v>
      </c>
      <c r="AN51">
        <v>72</v>
      </c>
      <c r="AO51" t="s">
        <v>236</v>
      </c>
      <c r="AP51" s="2" t="str">
        <f>HYPERLINK("http://exon.niaid.nih.gov/transcriptome/T_rubida/S2/links/SWISSP/Triru-78-SWISSP.txt","Procalin")</f>
        <v>Procalin</v>
      </c>
      <c r="AQ51" t="str">
        <f>HYPERLINK("http://www.uniprot.org/uniprot/Q9U6R6","9E-017")</f>
        <v>9E-017</v>
      </c>
      <c r="AR51" t="s">
        <v>180</v>
      </c>
      <c r="AS51">
        <v>85.5</v>
      </c>
      <c r="AT51">
        <v>127</v>
      </c>
      <c r="AU51">
        <v>169</v>
      </c>
      <c r="AV51">
        <v>36</v>
      </c>
      <c r="AW51">
        <v>76</v>
      </c>
      <c r="AX51">
        <v>83</v>
      </c>
      <c r="AY51">
        <v>4</v>
      </c>
      <c r="AZ51">
        <v>41</v>
      </c>
      <c r="BA51">
        <v>3</v>
      </c>
      <c r="BB51">
        <v>1</v>
      </c>
      <c r="BC51" t="s">
        <v>181</v>
      </c>
      <c r="BD51" s="2" t="s">
        <v>5</v>
      </c>
      <c r="BE51" t="s">
        <v>5</v>
      </c>
      <c r="BF51" t="s">
        <v>5</v>
      </c>
      <c r="BG51" t="s">
        <v>5</v>
      </c>
      <c r="BH51" t="s">
        <v>5</v>
      </c>
      <c r="BI51" s="2" t="str">
        <f>HYPERLINK("http://exon.niaid.nih.gov/transcriptome/T_rubida/S2/links/CDD/Triru-78-CDD.txt","Triabin")</f>
        <v>Triabin</v>
      </c>
      <c r="BJ51" t="str">
        <f>HYPERLINK("http://www.ncbi.nlm.nih.gov/Structure/cdd/cddsrv.cgi?uid=pfam03973&amp;version=v4.0","2E-014")</f>
        <v>2E-014</v>
      </c>
      <c r="BK51" t="s">
        <v>237</v>
      </c>
      <c r="BL51" s="2" t="str">
        <f>HYPERLINK("http://exon.niaid.nih.gov/transcriptome/T_rubida/S2/links/KOG/Triru-78-KOG.txt","Apolipoprotein D/Lipocalin")</f>
        <v>Apolipoprotein D/Lipocalin</v>
      </c>
      <c r="BM51" t="str">
        <f>HYPERLINK("http://www.ncbi.nlm.nih.gov/COG/grace/shokog.cgi?KOG4824","0.50")</f>
        <v>0.50</v>
      </c>
      <c r="BN51" t="s">
        <v>238</v>
      </c>
      <c r="BO51" s="2" t="str">
        <f>HYPERLINK("http://exon.niaid.nih.gov/transcriptome/T_rubida/S2/links/PFAM/Triru-78-PFAM.txt","Triabin")</f>
        <v>Triabin</v>
      </c>
      <c r="BP51" t="str">
        <f>HYPERLINK("http://pfam.sanger.ac.uk/family?acc=PF03973","4E-015")</f>
        <v>4E-015</v>
      </c>
      <c r="BQ51" s="2" t="str">
        <f>HYPERLINK("http://exon.niaid.nih.gov/transcriptome/T_rubida/S2/links/SMART/Triru-78-SMART.txt","IGv")</f>
        <v>IGv</v>
      </c>
      <c r="BR51" t="str">
        <f>HYPERLINK("http://smart.embl-heidelberg.de/smart/do_annotation.pl?DOMAIN=IGv&amp;BLAST=DUMMY","0.49")</f>
        <v>0.49</v>
      </c>
      <c r="BS51" s="17">
        <f t="shared" si="14"/>
        <v>1</v>
      </c>
      <c r="BT51" s="1">
        <f t="shared" si="15"/>
        <v>359</v>
      </c>
      <c r="BU51" s="17">
        <f t="shared" si="16"/>
        <v>1</v>
      </c>
      <c r="BV51" s="1">
        <f t="shared" si="17"/>
        <v>225</v>
      </c>
      <c r="BW51" s="17">
        <f t="shared" si="18"/>
        <v>2</v>
      </c>
      <c r="BX51" s="1">
        <f t="shared" si="19"/>
        <v>70</v>
      </c>
      <c r="BY51" s="17">
        <f t="shared" si="20"/>
        <v>1</v>
      </c>
      <c r="BZ51" s="1">
        <f t="shared" si="21"/>
        <v>69</v>
      </c>
      <c r="CA51" s="17">
        <f t="shared" si="22"/>
        <v>1</v>
      </c>
      <c r="CB51" s="1">
        <f t="shared" si="23"/>
        <v>69</v>
      </c>
      <c r="CC51" s="17">
        <f t="shared" si="26"/>
        <v>1</v>
      </c>
      <c r="CD51" s="1">
        <f t="shared" si="27"/>
        <v>45</v>
      </c>
      <c r="CE51" s="17">
        <f t="shared" si="28"/>
        <v>1</v>
      </c>
      <c r="CF51" s="1">
        <f t="shared" si="29"/>
        <v>45</v>
      </c>
      <c r="CG51" s="17">
        <f>HYPERLINK("http://exon.niaid.nih.gov/transcriptome/T_rubida/S2/links/cluster/Triru-pep-ext60-50-Sim-CLU5.txt", 5)</f>
        <v>5</v>
      </c>
      <c r="CH51" s="1">
        <f>HYPERLINK("http://exon.niaid.nih.gov/transcriptome/T_rubida/S2/links/cluster/Triru-pep-ext60-50-Sim-CLTL5.txt", 9)</f>
        <v>9</v>
      </c>
      <c r="CI51" s="17">
        <f>HYPERLINK("http://exon.niaid.nih.gov/transcriptome/T_rubida/S2/links/cluster/Triru-pep-ext65-50-Sim-CLU6.txt", 6)</f>
        <v>6</v>
      </c>
      <c r="CJ51" s="1">
        <f>HYPERLINK("http://exon.niaid.nih.gov/transcriptome/T_rubida/S2/links/cluster/Triru-pep-ext65-50-Sim-CLTL6.txt", 7)</f>
        <v>7</v>
      </c>
      <c r="CK51" s="17">
        <f>HYPERLINK("http://exon.niaid.nih.gov/transcriptome/T_rubida/S2/links/cluster/Triru-pep-ext70-50-Sim-CLU6.txt", 6)</f>
        <v>6</v>
      </c>
      <c r="CL51" s="1">
        <f>HYPERLINK("http://exon.niaid.nih.gov/transcriptome/T_rubida/S2/links/cluster/Triru-pep-ext70-50-Sim-CLTL6.txt", 6)</f>
        <v>6</v>
      </c>
      <c r="CM51" s="17">
        <f>HYPERLINK("http://exon.niaid.nih.gov/transcriptome/T_rubida/S2/links/cluster/Triru-pep-ext75-50-Sim-CLU3.txt", 3)</f>
        <v>3</v>
      </c>
      <c r="CN51" s="1">
        <f>HYPERLINK("http://exon.niaid.nih.gov/transcriptome/T_rubida/S2/links/cluster/Triru-pep-ext75-50-Sim-CLTL3.txt", 6)</f>
        <v>6</v>
      </c>
      <c r="CO51" s="17">
        <v>52</v>
      </c>
      <c r="CP51" s="1">
        <v>1</v>
      </c>
      <c r="CQ51" s="17">
        <v>62</v>
      </c>
      <c r="CR51" s="1">
        <v>1</v>
      </c>
      <c r="CS51" s="17">
        <v>67</v>
      </c>
      <c r="CT51" s="1">
        <v>1</v>
      </c>
      <c r="CU51" s="17">
        <v>76</v>
      </c>
      <c r="CV51" s="1">
        <v>1</v>
      </c>
    </row>
    <row r="52" spans="1:100">
      <c r="A52" t="str">
        <f>HYPERLINK("http://exon.niaid.nih.gov/transcriptome/T_rubida/S2/links/pep/Triru-5-pep.txt","Triru-5")</f>
        <v>Triru-5</v>
      </c>
      <c r="B52">
        <v>143</v>
      </c>
      <c r="C52" s="1" t="s">
        <v>13</v>
      </c>
      <c r="D52" s="1" t="s">
        <v>3</v>
      </c>
      <c r="E52" t="str">
        <f>HYPERLINK("http://exon.niaid.nih.gov/transcriptome/T_rubida/S2/links/cds/Triru-5-cds.txt","Triru-5")</f>
        <v>Triru-5</v>
      </c>
      <c r="F52">
        <v>432</v>
      </c>
      <c r="G52" s="2" t="s">
        <v>1890</v>
      </c>
      <c r="H52" s="1">
        <v>2</v>
      </c>
      <c r="I52" s="3" t="s">
        <v>1272</v>
      </c>
      <c r="J52" s="17" t="str">
        <f>HYPERLINK("http://exon.niaid.nih.gov/transcriptome/T_rubida/S2/links/Sigp/Triru-5-SigP.txt","CYT")</f>
        <v>CYT</v>
      </c>
      <c r="K52" t="s">
        <v>5</v>
      </c>
      <c r="L52" s="1">
        <v>15.94</v>
      </c>
      <c r="M52" s="1">
        <v>5.46</v>
      </c>
      <c r="P52" s="1">
        <v>0.105</v>
      </c>
      <c r="Q52" s="1">
        <v>4.7E-2</v>
      </c>
      <c r="R52" s="1">
        <v>0.92100000000000004</v>
      </c>
      <c r="S52" s="17" t="s">
        <v>1346</v>
      </c>
      <c r="T52">
        <v>1</v>
      </c>
      <c r="U52" t="s">
        <v>1375</v>
      </c>
      <c r="V52" s="17">
        <v>0</v>
      </c>
      <c r="W52" t="s">
        <v>5</v>
      </c>
      <c r="X52" t="s">
        <v>5</v>
      </c>
      <c r="Y52" t="s">
        <v>5</v>
      </c>
      <c r="Z52" t="s">
        <v>5</v>
      </c>
      <c r="AA52" t="s">
        <v>5</v>
      </c>
      <c r="AB52" s="17" t="str">
        <f>HYPERLINK("http://exon.niaid.nih.gov/transcriptome/T_rubida/S2/links/netoglyc/TRIRU-5-netoglyc.txt","4")</f>
        <v>4</v>
      </c>
      <c r="AC52">
        <v>17.5</v>
      </c>
      <c r="AD52">
        <v>6.3</v>
      </c>
      <c r="AE52">
        <v>4.2</v>
      </c>
      <c r="AF52" s="17" t="s">
        <v>5</v>
      </c>
      <c r="AG52" s="2" t="str">
        <f>HYPERLINK("http://exon.niaid.nih.gov/transcriptome/T_rubida/S2/links/NR/Triru-5-NR.txt","unnamed protein product")</f>
        <v>unnamed protein product</v>
      </c>
      <c r="AH52" t="str">
        <f>HYPERLINK("http://www.ncbi.nlm.nih.gov/sutils/blink.cgi?pid=270046244","5E-032")</f>
        <v>5E-032</v>
      </c>
      <c r="AI52" t="str">
        <f>HYPERLINK("http://www.ncbi.nlm.nih.gov/protein/270046244","gi|270046244")</f>
        <v>gi|270046244</v>
      </c>
      <c r="AJ52">
        <v>140</v>
      </c>
      <c r="AK52">
        <v>145</v>
      </c>
      <c r="AL52">
        <v>177</v>
      </c>
      <c r="AM52">
        <v>50</v>
      </c>
      <c r="AN52">
        <v>82</v>
      </c>
      <c r="AO52" t="s">
        <v>59</v>
      </c>
      <c r="AP52" s="2" t="str">
        <f>HYPERLINK("http://exon.niaid.nih.gov/transcriptome/T_rubida/S2/links/SWISSP/Triru-5-SWISSP.txt","Procalin")</f>
        <v>Procalin</v>
      </c>
      <c r="AQ52" t="str">
        <f>HYPERLINK("http://www.uniprot.org/uniprot/Q9U6R6","1E-020")</f>
        <v>1E-020</v>
      </c>
      <c r="AR52" t="s">
        <v>180</v>
      </c>
      <c r="AS52">
        <v>98.6</v>
      </c>
      <c r="AT52">
        <v>141</v>
      </c>
      <c r="AU52">
        <v>169</v>
      </c>
      <c r="AV52">
        <v>35</v>
      </c>
      <c r="AW52">
        <v>84</v>
      </c>
      <c r="AX52">
        <v>93</v>
      </c>
      <c r="AY52">
        <v>7</v>
      </c>
      <c r="AZ52">
        <v>27</v>
      </c>
      <c r="BA52">
        <v>5</v>
      </c>
      <c r="BB52">
        <v>1</v>
      </c>
      <c r="BC52" t="s">
        <v>181</v>
      </c>
      <c r="BD52" s="2" t="s">
        <v>5</v>
      </c>
      <c r="BE52" t="s">
        <v>5</v>
      </c>
      <c r="BF52" t="s">
        <v>5</v>
      </c>
      <c r="BG52" t="s">
        <v>5</v>
      </c>
      <c r="BH52" t="s">
        <v>5</v>
      </c>
      <c r="BI52" s="2" t="str">
        <f>HYPERLINK("http://exon.niaid.nih.gov/transcriptome/T_rubida/S2/links/CDD/Triru-5-CDD.txt","Triabin")</f>
        <v>Triabin</v>
      </c>
      <c r="BJ52" t="str">
        <f>HYPERLINK("http://www.ncbi.nlm.nih.gov/Structure/cdd/cddsrv.cgi?uid=pfam03973&amp;version=v4.0","4E-014")</f>
        <v>4E-014</v>
      </c>
      <c r="BK52" t="s">
        <v>1026</v>
      </c>
      <c r="BL52" s="2" t="str">
        <f>HYPERLINK("http://exon.niaid.nih.gov/transcriptome/T_rubida/S2/links/KOG/Triru-5-KOG.txt","Cadherin EGF LAG seven-pass G-type receptor")</f>
        <v>Cadherin EGF LAG seven-pass G-type receptor</v>
      </c>
      <c r="BM52" t="str">
        <f>HYPERLINK("http://www.ncbi.nlm.nih.gov/COG/grace/shokog.cgi?KOG4289","0.79")</f>
        <v>0.79</v>
      </c>
      <c r="BN52" t="s">
        <v>179</v>
      </c>
      <c r="BO52" s="2" t="str">
        <f>HYPERLINK("http://exon.niaid.nih.gov/transcriptome/T_rubida/S2/links/PFAM/Triru-5-PFAM.txt","Triabin")</f>
        <v>Triabin</v>
      </c>
      <c r="BP52" t="str">
        <f>HYPERLINK("http://pfam.sanger.ac.uk/family?acc=PF03973","9E-015")</f>
        <v>9E-015</v>
      </c>
      <c r="BQ52" s="2" t="str">
        <f>HYPERLINK("http://exon.niaid.nih.gov/transcriptome/T_rubida/S2/links/SMART/Triru-5-SMART.txt","EH")</f>
        <v>EH</v>
      </c>
      <c r="BR52" t="str">
        <f>HYPERLINK("http://smart.embl-heidelberg.de/smart/do_annotation.pl?DOMAIN=EH&amp;BLAST=DUMMY","0.52")</f>
        <v>0.52</v>
      </c>
      <c r="BS52" s="17">
        <f t="shared" si="14"/>
        <v>1</v>
      </c>
      <c r="BT52" s="1">
        <f t="shared" si="15"/>
        <v>359</v>
      </c>
      <c r="BU52" s="17">
        <f t="shared" si="16"/>
        <v>1</v>
      </c>
      <c r="BV52" s="1">
        <f t="shared" si="17"/>
        <v>225</v>
      </c>
      <c r="BW52" s="17">
        <f t="shared" si="18"/>
        <v>2</v>
      </c>
      <c r="BX52" s="1">
        <f t="shared" si="19"/>
        <v>70</v>
      </c>
      <c r="BY52" s="17">
        <f t="shared" si="20"/>
        <v>1</v>
      </c>
      <c r="BZ52" s="1">
        <f t="shared" si="21"/>
        <v>69</v>
      </c>
      <c r="CA52" s="17">
        <f t="shared" si="22"/>
        <v>1</v>
      </c>
      <c r="CB52" s="1">
        <f t="shared" si="23"/>
        <v>69</v>
      </c>
      <c r="CC52" s="17">
        <f t="shared" si="26"/>
        <v>1</v>
      </c>
      <c r="CD52" s="1">
        <f t="shared" si="27"/>
        <v>45</v>
      </c>
      <c r="CE52" s="17">
        <f t="shared" si="28"/>
        <v>1</v>
      </c>
      <c r="CF52" s="1">
        <f t="shared" si="29"/>
        <v>45</v>
      </c>
      <c r="CG52" s="17">
        <f>HYPERLINK("http://exon.niaid.nih.gov/transcriptome/T_rubida/S2/links/cluster/Triru-pep-ext60-50-Sim-CLU1.txt", 1)</f>
        <v>1</v>
      </c>
      <c r="CH52" s="1">
        <f>HYPERLINK("http://exon.niaid.nih.gov/transcriptome/T_rubida/S2/links/cluster/Triru-pep-ext60-50-Sim-CLTL1.txt", 35)</f>
        <v>35</v>
      </c>
      <c r="CI52" s="17">
        <f>HYPERLINK("http://exon.niaid.nih.gov/transcriptome/T_rubida/S2/links/cluster/Triru-pep-ext65-50-Sim-CLU1.txt", 1)</f>
        <v>1</v>
      </c>
      <c r="CJ52" s="1">
        <f>HYPERLINK("http://exon.niaid.nih.gov/transcriptome/T_rubida/S2/links/cluster/Triru-pep-ext65-50-Sim-CLTL1.txt", 30)</f>
        <v>30</v>
      </c>
      <c r="CK52" s="17">
        <f>HYPERLINK("http://exon.niaid.nih.gov/transcriptome/T_rubida/S2/links/cluster/Triru-pep-ext70-50-Sim-CLU1.txt", 1)</f>
        <v>1</v>
      </c>
      <c r="CL52" s="1">
        <f>HYPERLINK("http://exon.niaid.nih.gov/transcriptome/T_rubida/S2/links/cluster/Triru-pep-ext70-50-Sim-CLTL1.txt", 28)</f>
        <v>28</v>
      </c>
      <c r="CM52" s="17">
        <f>HYPERLINK("http://exon.niaid.nih.gov/transcriptome/T_rubida/S2/links/cluster/Triru-pep-ext75-50-Sim-CLU1.txt", 1)</f>
        <v>1</v>
      </c>
      <c r="CN52" s="1">
        <f>HYPERLINK("http://exon.niaid.nih.gov/transcriptome/T_rubida/S2/links/cluster/Triru-pep-ext75-50-Sim-CLTL1.txt", 23)</f>
        <v>23</v>
      </c>
      <c r="CO52" s="17">
        <f>HYPERLINK("http://exon.niaid.nih.gov/transcriptome/T_rubida/S2/links/cluster/Triru-pep-ext80-50-Sim-CLU1.txt", 1)</f>
        <v>1</v>
      </c>
      <c r="CP52" s="1">
        <f>HYPERLINK("http://exon.niaid.nih.gov/transcriptome/T_rubida/S2/links/cluster/Triru-pep-ext80-50-Sim-CLTL1.txt", 23)</f>
        <v>23</v>
      </c>
      <c r="CQ52" s="17">
        <f>HYPERLINK("http://exon.niaid.nih.gov/transcriptome/T_rubida/S2/links/cluster/Triru-pep-ext85-50-Sim-CLU2.txt", 2)</f>
        <v>2</v>
      </c>
      <c r="CR52" s="1">
        <f>HYPERLINK("http://exon.niaid.nih.gov/transcriptome/T_rubida/S2/links/cluster/Triru-pep-ext85-50-Sim-CLTL2.txt", 8)</f>
        <v>8</v>
      </c>
      <c r="CS52" s="17">
        <f>HYPERLINK("http://exon.niaid.nih.gov/transcriptome/T_rubida/S2/links/cluster/Triru-pep-ext90-50-Sim-CLU3.txt", 3)</f>
        <v>3</v>
      </c>
      <c r="CT52" s="1">
        <f>HYPERLINK("http://exon.niaid.nih.gov/transcriptome/T_rubida/S2/links/cluster/Triru-pep-ext90-50-Sim-CLTL3.txt", 3)</f>
        <v>3</v>
      </c>
      <c r="CU52" s="17">
        <v>25</v>
      </c>
      <c r="CV52" s="1">
        <v>1</v>
      </c>
    </row>
    <row r="53" spans="1:100">
      <c r="A53" t="str">
        <f>HYPERLINK("http://exon.niaid.nih.gov/transcriptome/T_rubida/S2/links/pep/Triru-16-pep.txt","Triru-16")</f>
        <v>Triru-16</v>
      </c>
      <c r="B53">
        <v>148</v>
      </c>
      <c r="C53" s="1" t="s">
        <v>12</v>
      </c>
      <c r="D53" s="1" t="s">
        <v>3</v>
      </c>
      <c r="E53" t="str">
        <f>HYPERLINK("http://exon.niaid.nih.gov/transcriptome/T_rubida/S2/links/cds/Triru-16-cds.txt","Triru-16")</f>
        <v>Triru-16</v>
      </c>
      <c r="F53">
        <v>447</v>
      </c>
      <c r="G53" s="2" t="s">
        <v>1890</v>
      </c>
      <c r="H53" s="1">
        <v>2</v>
      </c>
      <c r="I53" s="3" t="s">
        <v>1272</v>
      </c>
      <c r="J53" s="17" t="str">
        <f>HYPERLINK("http://exon.niaid.nih.gov/transcriptome/T_rubida/S2/links/Sigp/Triru-16-SigP.txt","CYT")</f>
        <v>CYT</v>
      </c>
      <c r="K53" t="s">
        <v>5</v>
      </c>
      <c r="L53" s="1">
        <v>16.37</v>
      </c>
      <c r="M53" s="1">
        <v>7.57</v>
      </c>
      <c r="P53" s="1">
        <v>0.115</v>
      </c>
      <c r="Q53" s="1">
        <v>4.8000000000000001E-2</v>
      </c>
      <c r="R53" s="1">
        <v>0.91500000000000004</v>
      </c>
      <c r="S53" s="17" t="s">
        <v>1346</v>
      </c>
      <c r="T53">
        <v>1</v>
      </c>
      <c r="U53" t="s">
        <v>1369</v>
      </c>
      <c r="V53" s="17">
        <v>0</v>
      </c>
      <c r="W53" t="s">
        <v>5</v>
      </c>
      <c r="X53" t="s">
        <v>5</v>
      </c>
      <c r="Y53" t="s">
        <v>5</v>
      </c>
      <c r="Z53" t="s">
        <v>5</v>
      </c>
      <c r="AA53" t="s">
        <v>5</v>
      </c>
      <c r="AB53" s="17" t="str">
        <f>HYPERLINK("http://exon.niaid.nih.gov/transcriptome/T_rubida/S2/links/netoglyc/TRIRU-16-netoglyc.txt","4")</f>
        <v>4</v>
      </c>
      <c r="AC53">
        <v>18.2</v>
      </c>
      <c r="AD53">
        <v>4.7</v>
      </c>
      <c r="AE53">
        <v>4.7</v>
      </c>
      <c r="AF53" s="17" t="s">
        <v>5</v>
      </c>
      <c r="AG53" s="2" t="str">
        <f>HYPERLINK("http://exon.niaid.nih.gov/transcriptome/T_rubida/S2/links/NR/Triru-16-NR.txt","unnamed protein product")</f>
        <v>unnamed protein product</v>
      </c>
      <c r="AH53" t="str">
        <f>HYPERLINK("http://www.ncbi.nlm.nih.gov/sutils/blink.cgi?pid=270046164","2E-026")</f>
        <v>2E-026</v>
      </c>
      <c r="AI53" t="str">
        <f>HYPERLINK("http://www.ncbi.nlm.nih.gov/protein/270046164","gi|270046164")</f>
        <v>gi|270046164</v>
      </c>
      <c r="AJ53">
        <v>122</v>
      </c>
      <c r="AK53">
        <v>146</v>
      </c>
      <c r="AL53">
        <v>177</v>
      </c>
      <c r="AM53">
        <v>43</v>
      </c>
      <c r="AN53">
        <v>83</v>
      </c>
      <c r="AO53" t="s">
        <v>59</v>
      </c>
      <c r="AP53" s="2" t="str">
        <f>HYPERLINK("http://exon.niaid.nih.gov/transcriptome/T_rubida/S2/links/SWISSP/Triru-16-SWISSP.txt","Procalin")</f>
        <v>Procalin</v>
      </c>
      <c r="AQ53" t="str">
        <f>HYPERLINK("http://www.uniprot.org/uniprot/Q9U6R6","1E-018")</f>
        <v>1E-018</v>
      </c>
      <c r="AR53" t="s">
        <v>180</v>
      </c>
      <c r="AS53">
        <v>92</v>
      </c>
      <c r="AT53">
        <v>141</v>
      </c>
      <c r="AU53">
        <v>169</v>
      </c>
      <c r="AV53">
        <v>33</v>
      </c>
      <c r="AW53">
        <v>84</v>
      </c>
      <c r="AX53">
        <v>96</v>
      </c>
      <c r="AY53">
        <v>7</v>
      </c>
      <c r="AZ53">
        <v>27</v>
      </c>
      <c r="BA53">
        <v>5</v>
      </c>
      <c r="BB53">
        <v>1</v>
      </c>
      <c r="BC53" t="s">
        <v>181</v>
      </c>
      <c r="BD53" s="2" t="s">
        <v>5</v>
      </c>
      <c r="BE53" t="s">
        <v>5</v>
      </c>
      <c r="BF53" t="s">
        <v>5</v>
      </c>
      <c r="BG53" t="s">
        <v>5</v>
      </c>
      <c r="BH53" t="s">
        <v>5</v>
      </c>
      <c r="BI53" s="2" t="str">
        <f>HYPERLINK("http://exon.niaid.nih.gov/transcriptome/T_rubida/S2/links/CDD/Triru-16-CDD.txt","Triabin")</f>
        <v>Triabin</v>
      </c>
      <c r="BJ53" t="str">
        <f>HYPERLINK("http://www.ncbi.nlm.nih.gov/Structure/cdd/cddsrv.cgi?uid=pfam03973&amp;version=v4.0","5E-014")</f>
        <v>5E-014</v>
      </c>
      <c r="BK53" t="s">
        <v>1226</v>
      </c>
      <c r="BL53" s="2" t="str">
        <f>HYPERLINK("http://exon.niaid.nih.gov/transcriptome/T_rubida/S2/links/KOG/Triru-16-KOG.txt","Cadherin EGF LAG seven-pass G-type receptor")</f>
        <v>Cadherin EGF LAG seven-pass G-type receptor</v>
      </c>
      <c r="BM53" t="str">
        <f>HYPERLINK("http://www.ncbi.nlm.nih.gov/COG/grace/shokog.cgi?KOG4289","0.76")</f>
        <v>0.76</v>
      </c>
      <c r="BN53" t="s">
        <v>179</v>
      </c>
      <c r="BO53" s="2" t="str">
        <f>HYPERLINK("http://exon.niaid.nih.gov/transcriptome/T_rubida/S2/links/PFAM/Triru-16-PFAM.txt","Triabin")</f>
        <v>Triabin</v>
      </c>
      <c r="BP53" t="str">
        <f>HYPERLINK("http://pfam.sanger.ac.uk/family?acc=PF03973","1E-014")</f>
        <v>1E-014</v>
      </c>
      <c r="BQ53" s="2" t="str">
        <f>HYPERLINK("http://exon.niaid.nih.gov/transcriptome/T_rubida/S2/links/SMART/Triru-16-SMART.txt","LH2")</f>
        <v>LH2</v>
      </c>
      <c r="BR53" t="str">
        <f>HYPERLINK("http://smart.embl-heidelberg.de/smart/do_annotation.pl?DOMAIN=LH2&amp;BLAST=DUMMY","0.91")</f>
        <v>0.91</v>
      </c>
      <c r="BS53" s="17">
        <f t="shared" si="14"/>
        <v>1</v>
      </c>
      <c r="BT53" s="1">
        <f t="shared" si="15"/>
        <v>359</v>
      </c>
      <c r="BU53" s="17">
        <f t="shared" si="16"/>
        <v>1</v>
      </c>
      <c r="BV53" s="1">
        <f t="shared" si="17"/>
        <v>225</v>
      </c>
      <c r="BW53" s="17">
        <f t="shared" si="18"/>
        <v>2</v>
      </c>
      <c r="BX53" s="1">
        <f t="shared" si="19"/>
        <v>70</v>
      </c>
      <c r="BY53" s="17">
        <f t="shared" si="20"/>
        <v>1</v>
      </c>
      <c r="BZ53" s="1">
        <f t="shared" si="21"/>
        <v>69</v>
      </c>
      <c r="CA53" s="17">
        <f t="shared" si="22"/>
        <v>1</v>
      </c>
      <c r="CB53" s="1">
        <f t="shared" si="23"/>
        <v>69</v>
      </c>
      <c r="CC53" s="17">
        <f t="shared" si="26"/>
        <v>1</v>
      </c>
      <c r="CD53" s="1">
        <f t="shared" si="27"/>
        <v>45</v>
      </c>
      <c r="CE53" s="17">
        <f t="shared" si="28"/>
        <v>1</v>
      </c>
      <c r="CF53" s="1">
        <f t="shared" si="29"/>
        <v>45</v>
      </c>
      <c r="CG53" s="17">
        <f>HYPERLINK("http://exon.niaid.nih.gov/transcriptome/T_rubida/S2/links/cluster/Triru-pep-ext60-50-Sim-CLU1.txt", 1)</f>
        <v>1</v>
      </c>
      <c r="CH53" s="1">
        <f>HYPERLINK("http://exon.niaid.nih.gov/transcriptome/T_rubida/S2/links/cluster/Triru-pep-ext60-50-Sim-CLTL1.txt", 35)</f>
        <v>35</v>
      </c>
      <c r="CI53" s="17">
        <f>HYPERLINK("http://exon.niaid.nih.gov/transcriptome/T_rubida/S2/links/cluster/Triru-pep-ext65-50-Sim-CLU1.txt", 1)</f>
        <v>1</v>
      </c>
      <c r="CJ53" s="1">
        <f>HYPERLINK("http://exon.niaid.nih.gov/transcriptome/T_rubida/S2/links/cluster/Triru-pep-ext65-50-Sim-CLTL1.txt", 30)</f>
        <v>30</v>
      </c>
      <c r="CK53" s="17">
        <f>HYPERLINK("http://exon.niaid.nih.gov/transcriptome/T_rubida/S2/links/cluster/Triru-pep-ext70-50-Sim-CLU1.txt", 1)</f>
        <v>1</v>
      </c>
      <c r="CL53" s="1">
        <f>HYPERLINK("http://exon.niaid.nih.gov/transcriptome/T_rubida/S2/links/cluster/Triru-pep-ext70-50-Sim-CLTL1.txt", 28)</f>
        <v>28</v>
      </c>
      <c r="CM53" s="17">
        <f>HYPERLINK("http://exon.niaid.nih.gov/transcriptome/T_rubida/S2/links/cluster/Triru-pep-ext75-50-Sim-CLU1.txt", 1)</f>
        <v>1</v>
      </c>
      <c r="CN53" s="1">
        <f>HYPERLINK("http://exon.niaid.nih.gov/transcriptome/T_rubida/S2/links/cluster/Triru-pep-ext75-50-Sim-CLTL1.txt", 23)</f>
        <v>23</v>
      </c>
      <c r="CO53" s="17">
        <f>HYPERLINK("http://exon.niaid.nih.gov/transcriptome/T_rubida/S2/links/cluster/Triru-pep-ext80-50-Sim-CLU1.txt", 1)</f>
        <v>1</v>
      </c>
      <c r="CP53" s="1">
        <f>HYPERLINK("http://exon.niaid.nih.gov/transcriptome/T_rubida/S2/links/cluster/Triru-pep-ext80-50-Sim-CLTL1.txt", 23)</f>
        <v>23</v>
      </c>
      <c r="CQ53" s="17">
        <f>HYPERLINK("http://exon.niaid.nih.gov/transcriptome/T_rubida/S2/links/cluster/Triru-pep-ext85-50-Sim-CLU2.txt", 2)</f>
        <v>2</v>
      </c>
      <c r="CR53" s="1">
        <f>HYPERLINK("http://exon.niaid.nih.gov/transcriptome/T_rubida/S2/links/cluster/Triru-pep-ext85-50-Sim-CLTL2.txt", 8)</f>
        <v>8</v>
      </c>
      <c r="CS53" s="17">
        <f>HYPERLINK("http://exon.niaid.nih.gov/transcriptome/T_rubida/S2/links/cluster/Triru-pep-ext90-50-Sim-CLU2.txt", 2)</f>
        <v>2</v>
      </c>
      <c r="CT53" s="1">
        <f>HYPERLINK("http://exon.niaid.nih.gov/transcriptome/T_rubida/S2/links/cluster/Triru-pep-ext90-50-Sim-CLTL2.txt", 4)</f>
        <v>4</v>
      </c>
      <c r="CU53" s="17">
        <f>HYPERLINK("http://exon.niaid.nih.gov/transcriptome/T_rubida/S2/links/cluster/Triru-pep-ext95-50-Sim-CLU2.txt", 2)</f>
        <v>2</v>
      </c>
      <c r="CV53" s="1">
        <f>HYPERLINK("http://exon.niaid.nih.gov/transcriptome/T_rubida/S2/links/cluster/Triru-pep-ext95-50-Sim-CLTL2.txt", 3)</f>
        <v>3</v>
      </c>
    </row>
    <row r="54" spans="1:100">
      <c r="A54" t="str">
        <f>HYPERLINK("http://exon.niaid.nih.gov/transcriptome/T_rubida/S2/links/pep/Triru-21-pep.txt","Triru-21")</f>
        <v>Triru-21</v>
      </c>
      <c r="B54">
        <v>99</v>
      </c>
      <c r="C54" s="1" t="s">
        <v>12</v>
      </c>
      <c r="D54" s="1" t="s">
        <v>3</v>
      </c>
      <c r="E54" t="str">
        <f>HYPERLINK("http://exon.niaid.nih.gov/transcriptome/T_rubida/S2/links/cds/Triru-21-cds.txt","Triru-21")</f>
        <v>Triru-21</v>
      </c>
      <c r="F54">
        <v>300</v>
      </c>
      <c r="G54" s="2" t="s">
        <v>1890</v>
      </c>
      <c r="H54" s="1">
        <v>2</v>
      </c>
      <c r="I54" s="3" t="s">
        <v>1272</v>
      </c>
      <c r="J54" s="17" t="str">
        <f>HYPERLINK("http://exon.niaid.nih.gov/transcriptome/T_rubida/S2/links/Sigp/Triru-21-SigP.txt","CYT")</f>
        <v>CYT</v>
      </c>
      <c r="K54" t="s">
        <v>5</v>
      </c>
      <c r="L54" s="1">
        <v>11.231</v>
      </c>
      <c r="M54" s="1">
        <v>9.02</v>
      </c>
      <c r="P54" s="1">
        <v>0.16900000000000001</v>
      </c>
      <c r="Q54" s="1">
        <v>0.14799999999999999</v>
      </c>
      <c r="R54" s="1">
        <v>0.752</v>
      </c>
      <c r="S54" s="17" t="s">
        <v>1346</v>
      </c>
      <c r="T54">
        <v>3</v>
      </c>
      <c r="U54" t="s">
        <v>1380</v>
      </c>
      <c r="V54" s="17" t="str">
        <f>HYPERLINK("http://exon.niaid.nih.gov/transcriptome/T_rubida/S2/links/tmhmm/TRIRU-21-tmhmm.txt","1")</f>
        <v>1</v>
      </c>
      <c r="W54">
        <v>22.2</v>
      </c>
      <c r="X54">
        <v>38.4</v>
      </c>
      <c r="Y54">
        <v>39.4</v>
      </c>
      <c r="Z54" t="s">
        <v>5</v>
      </c>
      <c r="AA54">
        <v>39</v>
      </c>
      <c r="AB54" s="17" t="str">
        <f>HYPERLINK("http://exon.niaid.nih.gov/transcriptome/T_rubida/S2/links/netoglyc/TRIRU-21-netoglyc.txt","0")</f>
        <v>0</v>
      </c>
      <c r="AC54">
        <v>13.1</v>
      </c>
      <c r="AD54">
        <v>8.1</v>
      </c>
      <c r="AE54">
        <v>7.1</v>
      </c>
      <c r="AF54" s="17" t="s">
        <v>5</v>
      </c>
      <c r="AG54" s="2" t="str">
        <f>HYPERLINK("http://exon.niaid.nih.gov/transcriptome/T_rubida/S2/links/NR/Triru-21-NR.txt","unnamed protein product")</f>
        <v>unnamed protein product</v>
      </c>
      <c r="AH54" t="str">
        <f>HYPERLINK("http://www.ncbi.nlm.nih.gov/sutils/blink.cgi?pid=270046244","3E-014")</f>
        <v>3E-014</v>
      </c>
      <c r="AI54" t="str">
        <f>HYPERLINK("http://www.ncbi.nlm.nih.gov/protein/270046244","gi|270046244")</f>
        <v>gi|270046244</v>
      </c>
      <c r="AJ54">
        <v>82</v>
      </c>
      <c r="AK54">
        <v>104</v>
      </c>
      <c r="AL54">
        <v>177</v>
      </c>
      <c r="AM54">
        <v>47</v>
      </c>
      <c r="AN54">
        <v>59</v>
      </c>
      <c r="AO54" t="s">
        <v>59</v>
      </c>
      <c r="AP54" s="2" t="str">
        <f>HYPERLINK("http://exon.niaid.nih.gov/transcriptome/T_rubida/S2/links/SWISSP/Triru-21-SWISSP.txt","Procalin")</f>
        <v>Procalin</v>
      </c>
      <c r="AQ54" t="str">
        <f>HYPERLINK("http://www.uniprot.org/uniprot/Q9U6R6","2E-005")</f>
        <v>2E-005</v>
      </c>
      <c r="AR54" t="s">
        <v>180</v>
      </c>
      <c r="AS54">
        <v>47.8</v>
      </c>
      <c r="AT54">
        <v>102</v>
      </c>
      <c r="AU54">
        <v>169</v>
      </c>
      <c r="AV54">
        <v>27</v>
      </c>
      <c r="AW54">
        <v>61</v>
      </c>
      <c r="AX54">
        <v>76</v>
      </c>
      <c r="AY54">
        <v>9</v>
      </c>
      <c r="AZ54">
        <v>66</v>
      </c>
      <c r="BA54">
        <v>2</v>
      </c>
      <c r="BB54">
        <v>1</v>
      </c>
      <c r="BC54" t="s">
        <v>181</v>
      </c>
      <c r="BD54" s="2" t="s">
        <v>5</v>
      </c>
      <c r="BE54" t="s">
        <v>5</v>
      </c>
      <c r="BF54" t="s">
        <v>5</v>
      </c>
      <c r="BG54" t="s">
        <v>5</v>
      </c>
      <c r="BH54" t="s">
        <v>5</v>
      </c>
      <c r="BI54" s="2" t="str">
        <f>HYPERLINK("http://exon.niaid.nih.gov/transcriptome/T_rubida/S2/links/CDD/Triru-21-CDD.txt","Triabin")</f>
        <v>Triabin</v>
      </c>
      <c r="BJ54" t="str">
        <f>HYPERLINK("http://www.ncbi.nlm.nih.gov/Structure/cdd/cddsrv.cgi?uid=pfam03973&amp;version=v4.0","0.079")</f>
        <v>0.079</v>
      </c>
      <c r="BK54" t="s">
        <v>1221</v>
      </c>
      <c r="BL54" s="2" t="str">
        <f>HYPERLINK("http://exon.niaid.nih.gov/transcriptome/T_rubida/S2/links/KOG/Triru-21-KOG.txt","RNA polymerase, subunit L")</f>
        <v>RNA polymerase, subunit L</v>
      </c>
      <c r="BM54" t="str">
        <f>HYPERLINK("http://www.ncbi.nlm.nih.gov/COG/grace/shokog.cgi?KOG4392","0.34")</f>
        <v>0.34</v>
      </c>
      <c r="BN54" t="s">
        <v>251</v>
      </c>
      <c r="BO54" s="2" t="str">
        <f>HYPERLINK("http://exon.niaid.nih.gov/transcriptome/T_rubida/S2/links/PFAM/Triru-21-PFAM.txt","Triabin")</f>
        <v>Triabin</v>
      </c>
      <c r="BP54" t="str">
        <f>HYPERLINK("http://pfam.sanger.ac.uk/family?acc=PF03973","0.017")</f>
        <v>0.017</v>
      </c>
      <c r="BQ54" s="2" t="str">
        <f>HYPERLINK("http://exon.niaid.nih.gov/transcriptome/T_rubida/S2/links/SMART/Triru-21-SMART.txt","EH")</f>
        <v>EH</v>
      </c>
      <c r="BR54" t="str">
        <f>HYPERLINK("http://smart.embl-heidelberg.de/smart/do_annotation.pl?DOMAIN=EH&amp;BLAST=DUMMY","0.42")</f>
        <v>0.42</v>
      </c>
      <c r="BS54" s="17">
        <f t="shared" si="14"/>
        <v>1</v>
      </c>
      <c r="BT54" s="1">
        <f t="shared" si="15"/>
        <v>359</v>
      </c>
      <c r="BU54" s="17">
        <f t="shared" si="16"/>
        <v>1</v>
      </c>
      <c r="BV54" s="1">
        <f t="shared" si="17"/>
        <v>225</v>
      </c>
      <c r="BW54" s="17">
        <f t="shared" si="18"/>
        <v>2</v>
      </c>
      <c r="BX54" s="1">
        <f t="shared" si="19"/>
        <v>70</v>
      </c>
      <c r="BY54" s="17">
        <f t="shared" si="20"/>
        <v>1</v>
      </c>
      <c r="BZ54" s="1">
        <f t="shared" si="21"/>
        <v>69</v>
      </c>
      <c r="CA54" s="17">
        <f t="shared" si="22"/>
        <v>1</v>
      </c>
      <c r="CB54" s="1">
        <f t="shared" si="23"/>
        <v>69</v>
      </c>
      <c r="CC54" s="17">
        <f t="shared" si="26"/>
        <v>1</v>
      </c>
      <c r="CD54" s="1">
        <f t="shared" si="27"/>
        <v>45</v>
      </c>
      <c r="CE54" s="17">
        <f t="shared" si="28"/>
        <v>1</v>
      </c>
      <c r="CF54" s="1">
        <f t="shared" si="29"/>
        <v>45</v>
      </c>
      <c r="CG54" s="17">
        <f>HYPERLINK("http://exon.niaid.nih.gov/transcriptome/T_rubida/S2/links/cluster/Triru-pep-ext60-50-Sim-CLU1.txt", 1)</f>
        <v>1</v>
      </c>
      <c r="CH54" s="1">
        <f>HYPERLINK("http://exon.niaid.nih.gov/transcriptome/T_rubida/S2/links/cluster/Triru-pep-ext60-50-Sim-CLTL1.txt", 35)</f>
        <v>35</v>
      </c>
      <c r="CI54" s="17">
        <v>34</v>
      </c>
      <c r="CJ54" s="1">
        <v>1</v>
      </c>
      <c r="CK54" s="17">
        <v>34</v>
      </c>
      <c r="CL54" s="1">
        <v>1</v>
      </c>
      <c r="CM54" s="17">
        <v>34</v>
      </c>
      <c r="CN54" s="1">
        <v>1</v>
      </c>
      <c r="CO54" s="17">
        <v>32</v>
      </c>
      <c r="CP54" s="1">
        <v>1</v>
      </c>
      <c r="CQ54" s="17">
        <v>32</v>
      </c>
      <c r="CR54" s="1">
        <v>1</v>
      </c>
      <c r="CS54" s="17">
        <v>30</v>
      </c>
      <c r="CT54" s="1">
        <v>1</v>
      </c>
      <c r="CU54" s="17">
        <v>30</v>
      </c>
      <c r="CV54" s="1">
        <v>1</v>
      </c>
    </row>
    <row r="55" spans="1:100">
      <c r="A55" t="str">
        <f>HYPERLINK("http://exon.niaid.nih.gov/transcriptome/T_rubida/S2/links/pep/Triru-655-pep.txt","Triru-655")</f>
        <v>Triru-655</v>
      </c>
      <c r="B55">
        <v>108</v>
      </c>
      <c r="C55" s="1" t="s">
        <v>10</v>
      </c>
      <c r="D55" s="1" t="s">
        <v>3</v>
      </c>
      <c r="E55" t="str">
        <f>HYPERLINK("http://exon.niaid.nih.gov/transcriptome/T_rubida/S2/links/cds/Triru-655-cds.txt","Triru-655")</f>
        <v>Triru-655</v>
      </c>
      <c r="F55">
        <v>327</v>
      </c>
      <c r="G55" s="2" t="s">
        <v>1890</v>
      </c>
      <c r="H55" s="1">
        <v>1</v>
      </c>
      <c r="I55" s="3" t="s">
        <v>1272</v>
      </c>
      <c r="J55" s="17" t="str">
        <f>HYPERLINK("http://exon.niaid.nih.gov/transcriptome/T_rubida/S2/links/Sigp/Triru-655-SigP.txt","CYT")</f>
        <v>CYT</v>
      </c>
      <c r="K55" t="s">
        <v>5</v>
      </c>
      <c r="L55" s="1">
        <v>12.089</v>
      </c>
      <c r="M55" s="1">
        <v>9.6999999999999993</v>
      </c>
      <c r="P55" s="1">
        <v>0.104</v>
      </c>
      <c r="Q55" s="1">
        <v>7.2999999999999995E-2</v>
      </c>
      <c r="R55" s="1">
        <v>0.89500000000000002</v>
      </c>
      <c r="S55" s="17" t="s">
        <v>1346</v>
      </c>
      <c r="T55">
        <v>2</v>
      </c>
      <c r="U55" t="s">
        <v>1391</v>
      </c>
      <c r="V55" s="17">
        <v>0</v>
      </c>
      <c r="W55" t="s">
        <v>5</v>
      </c>
      <c r="X55" t="s">
        <v>5</v>
      </c>
      <c r="Y55" t="s">
        <v>5</v>
      </c>
      <c r="Z55" t="s">
        <v>5</v>
      </c>
      <c r="AA55" t="s">
        <v>5</v>
      </c>
      <c r="AB55" s="17" t="str">
        <f>HYPERLINK("http://exon.niaid.nih.gov/transcriptome/T_rubida/S2/links/netoglyc/TRIRU-655-netoglyc.txt","0")</f>
        <v>0</v>
      </c>
      <c r="AC55">
        <v>14.8</v>
      </c>
      <c r="AD55">
        <v>7.4</v>
      </c>
      <c r="AE55">
        <v>2.8</v>
      </c>
      <c r="AF55" s="17" t="s">
        <v>5</v>
      </c>
      <c r="AG55" s="2" t="str">
        <f>HYPERLINK("http://exon.niaid.nih.gov/transcriptome/T_rubida/S2/links/NR/Triru-655-NR.txt","unnamed protein product")</f>
        <v>unnamed protein product</v>
      </c>
      <c r="AH55" t="str">
        <f>HYPERLINK("http://www.ncbi.nlm.nih.gov/sutils/blink.cgi?pid=270046200","3E-014")</f>
        <v>3E-014</v>
      </c>
      <c r="AI55" t="str">
        <f>HYPERLINK("http://www.ncbi.nlm.nih.gov/protein/270046200","gi|270046200")</f>
        <v>gi|270046200</v>
      </c>
      <c r="AJ55">
        <v>82</v>
      </c>
      <c r="AK55">
        <v>87</v>
      </c>
      <c r="AL55">
        <v>200</v>
      </c>
      <c r="AM55">
        <v>51</v>
      </c>
      <c r="AN55">
        <v>44</v>
      </c>
      <c r="AO55" t="s">
        <v>59</v>
      </c>
      <c r="AP55" s="2" t="str">
        <f>HYPERLINK("http://exon.niaid.nih.gov/transcriptome/T_rubida/S2/links/SWISSP/Triru-655-SWISSP.txt","Crustacyanin-C1 subunit")</f>
        <v>Crustacyanin-C1 subunit</v>
      </c>
      <c r="AQ55" t="str">
        <f>HYPERLINK("http://www.uniprot.org/uniprot/P80029","0.51")</f>
        <v>0.51</v>
      </c>
      <c r="AR55" t="s">
        <v>989</v>
      </c>
      <c r="AS55">
        <v>33.1</v>
      </c>
      <c r="AT55">
        <v>78</v>
      </c>
      <c r="AU55">
        <v>181</v>
      </c>
      <c r="AV55">
        <v>29</v>
      </c>
      <c r="AW55">
        <v>44</v>
      </c>
      <c r="AX55">
        <v>56</v>
      </c>
      <c r="AY55">
        <v>2</v>
      </c>
      <c r="AZ55">
        <v>101</v>
      </c>
      <c r="BA55">
        <v>23</v>
      </c>
      <c r="BB55">
        <v>1</v>
      </c>
      <c r="BC55" t="s">
        <v>202</v>
      </c>
      <c r="BD55" s="2" t="s">
        <v>5</v>
      </c>
      <c r="BE55" t="s">
        <v>5</v>
      </c>
      <c r="BF55" t="s">
        <v>5</v>
      </c>
      <c r="BG55" t="s">
        <v>5</v>
      </c>
      <c r="BH55" t="s">
        <v>5</v>
      </c>
      <c r="BI55" s="2" t="str">
        <f>HYPERLINK("http://exon.niaid.nih.gov/transcriptome/T_rubida/S2/links/CDD/Triru-655-CDD.txt","Triabin")</f>
        <v>Triabin</v>
      </c>
      <c r="BJ55" t="str">
        <f>HYPERLINK("http://www.ncbi.nlm.nih.gov/Structure/cdd/cddsrv.cgi?uid=pfam03973&amp;version=v4.0","0.007")</f>
        <v>0.007</v>
      </c>
      <c r="BK55" t="s">
        <v>990</v>
      </c>
      <c r="BL55" s="2" t="str">
        <f>HYPERLINK("http://exon.niaid.nih.gov/transcriptome/T_rubida/S2/links/KOG/Triru-655-KOG.txt","Apolipoprotein D/Lipocalin")</f>
        <v>Apolipoprotein D/Lipocalin</v>
      </c>
      <c r="BM55" t="str">
        <f>HYPERLINK("http://www.ncbi.nlm.nih.gov/COG/grace/shokog.cgi?KOG4824","0.31")</f>
        <v>0.31</v>
      </c>
      <c r="BN55" t="s">
        <v>238</v>
      </c>
      <c r="BO55" s="2" t="str">
        <f>HYPERLINK("http://exon.niaid.nih.gov/transcriptome/T_rubida/S2/links/PFAM/Triru-655-PFAM.txt","Triabin")</f>
        <v>Triabin</v>
      </c>
      <c r="BP55" t="str">
        <f>HYPERLINK("http://pfam.sanger.ac.uk/family?acc=PF03973","0.001")</f>
        <v>0.001</v>
      </c>
      <c r="BQ55" s="2" t="str">
        <f>HYPERLINK("http://exon.niaid.nih.gov/transcriptome/T_rubida/S2/links/SMART/Triru-655-SMART.txt","POLBc")</f>
        <v>POLBc</v>
      </c>
      <c r="BR55" t="str">
        <f>HYPERLINK("http://smart.embl-heidelberg.de/smart/do_annotation.pl?DOMAIN=POLBc&amp;BLAST=DUMMY","1.8")</f>
        <v>1.8</v>
      </c>
      <c r="BS55" s="17">
        <f t="shared" si="14"/>
        <v>1</v>
      </c>
      <c r="BT55" s="1">
        <f t="shared" si="15"/>
        <v>359</v>
      </c>
      <c r="BU55" s="17">
        <f t="shared" si="16"/>
        <v>1</v>
      </c>
      <c r="BV55" s="1">
        <f t="shared" si="17"/>
        <v>225</v>
      </c>
      <c r="BW55" s="17">
        <f t="shared" si="18"/>
        <v>2</v>
      </c>
      <c r="BX55" s="1">
        <f t="shared" si="19"/>
        <v>70</v>
      </c>
      <c r="BY55" s="17">
        <f t="shared" si="20"/>
        <v>1</v>
      </c>
      <c r="BZ55" s="1">
        <f t="shared" si="21"/>
        <v>69</v>
      </c>
      <c r="CA55" s="17">
        <f t="shared" si="22"/>
        <v>1</v>
      </c>
      <c r="CB55" s="1">
        <f t="shared" si="23"/>
        <v>69</v>
      </c>
      <c r="CC55" s="17">
        <f>HYPERLINK("http://exon.niaid.nih.gov/transcriptome/T_rubida/S2/links/cluster/Triru-pep-ext50-50-Sim-CLU2.txt", 2)</f>
        <v>2</v>
      </c>
      <c r="CD55" s="1">
        <f>HYPERLINK("http://exon.niaid.nih.gov/transcriptome/T_rubida/S2/links/cluster/Triru-pep-ext50-50-Sim-CLTL2.txt", 23)</f>
        <v>23</v>
      </c>
      <c r="CE55" s="17">
        <v>467</v>
      </c>
      <c r="CF55" s="1">
        <v>1</v>
      </c>
      <c r="CG55" s="17">
        <v>476</v>
      </c>
      <c r="CH55" s="1">
        <v>1</v>
      </c>
      <c r="CI55" s="17">
        <v>491</v>
      </c>
      <c r="CJ55" s="1">
        <v>1</v>
      </c>
      <c r="CK55" s="17">
        <v>497</v>
      </c>
      <c r="CL55" s="1">
        <v>1</v>
      </c>
      <c r="CM55" s="17">
        <v>510</v>
      </c>
      <c r="CN55" s="1">
        <v>1</v>
      </c>
      <c r="CO55" s="17">
        <v>522</v>
      </c>
      <c r="CP55" s="1">
        <v>1</v>
      </c>
      <c r="CQ55" s="17">
        <v>532</v>
      </c>
      <c r="CR55" s="1">
        <v>1</v>
      </c>
      <c r="CS55" s="17">
        <v>545</v>
      </c>
      <c r="CT55" s="1">
        <v>1</v>
      </c>
      <c r="CU55" s="17">
        <v>558</v>
      </c>
      <c r="CV55" s="1">
        <v>1</v>
      </c>
    </row>
    <row r="56" spans="1:100">
      <c r="A56" t="str">
        <f>HYPERLINK("http://exon.niaid.nih.gov/transcriptome/T_rubida/S2/links/pep/Triru-70-pep.txt","Triru-70")</f>
        <v>Triru-70</v>
      </c>
      <c r="B56">
        <v>143</v>
      </c>
      <c r="C56" s="1" t="s">
        <v>6</v>
      </c>
      <c r="D56" s="1" t="s">
        <v>3</v>
      </c>
      <c r="E56" t="str">
        <f>HYPERLINK("http://exon.niaid.nih.gov/transcriptome/T_rubida/S2/links/cds/Triru-70-cds.txt","Triru-70")</f>
        <v>Triru-70</v>
      </c>
      <c r="F56">
        <v>432</v>
      </c>
      <c r="G56" s="2" t="s">
        <v>1890</v>
      </c>
      <c r="H56" s="1">
        <v>1</v>
      </c>
      <c r="I56" s="3" t="s">
        <v>1272</v>
      </c>
      <c r="J56" s="17" t="str">
        <f>HYPERLINK("http://exon.niaid.nih.gov/transcriptome/T_rubida/S2/links/Sigp/Triru-70-SigP.txt","CYT")</f>
        <v>CYT</v>
      </c>
      <c r="K56" t="s">
        <v>5</v>
      </c>
      <c r="L56" s="1">
        <v>15.44</v>
      </c>
      <c r="M56" s="1">
        <v>8.65</v>
      </c>
      <c r="P56" s="1">
        <v>8.8999999999999996E-2</v>
      </c>
      <c r="Q56" s="1">
        <v>5.8000000000000003E-2</v>
      </c>
      <c r="R56" s="1">
        <v>0.91900000000000004</v>
      </c>
      <c r="S56" s="17" t="s">
        <v>1346</v>
      </c>
      <c r="T56">
        <v>1</v>
      </c>
      <c r="U56" t="s">
        <v>1348</v>
      </c>
      <c r="V56" s="17">
        <v>0</v>
      </c>
      <c r="W56" t="s">
        <v>5</v>
      </c>
      <c r="X56" t="s">
        <v>5</v>
      </c>
      <c r="Y56" t="s">
        <v>5</v>
      </c>
      <c r="Z56" t="s">
        <v>5</v>
      </c>
      <c r="AA56" t="s">
        <v>5</v>
      </c>
      <c r="AB56" s="17" t="str">
        <f>HYPERLINK("http://exon.niaid.nih.gov/transcriptome/T_rubida/S2/links/netoglyc/TRIRU-70-netoglyc.txt","0")</f>
        <v>0</v>
      </c>
      <c r="AC56">
        <v>14.7</v>
      </c>
      <c r="AD56">
        <v>9.1</v>
      </c>
      <c r="AE56">
        <v>1.4</v>
      </c>
      <c r="AF56" s="17" t="s">
        <v>5</v>
      </c>
      <c r="AG56" s="2" t="str">
        <f>HYPERLINK("http://exon.niaid.nih.gov/transcriptome/T_rubida/S2/links/NR/Triru-70-NR.txt","unnamed protein product")</f>
        <v>unnamed protein product</v>
      </c>
      <c r="AH56" t="str">
        <f>HYPERLINK("http://www.ncbi.nlm.nih.gov/sutils/blink.cgi?pid=270046202","2E-029")</f>
        <v>2E-029</v>
      </c>
      <c r="AI56" t="str">
        <f>HYPERLINK("http://www.ncbi.nlm.nih.gov/protein/270046202","gi|270046202")</f>
        <v>gi|270046202</v>
      </c>
      <c r="AJ56">
        <v>132</v>
      </c>
      <c r="AK56">
        <v>136</v>
      </c>
      <c r="AL56">
        <v>200</v>
      </c>
      <c r="AM56">
        <v>51</v>
      </c>
      <c r="AN56">
        <v>69</v>
      </c>
      <c r="AO56" t="s">
        <v>59</v>
      </c>
      <c r="AP56" s="2" t="str">
        <f>HYPERLINK("http://exon.niaid.nih.gov/transcriptome/T_rubida/S2/links/SWISSP/Triru-70-SWISSP.txt","Lazarillo protein")</f>
        <v>Lazarillo protein</v>
      </c>
      <c r="AQ56" t="str">
        <f>HYPERLINK("http://www.uniprot.org/uniprot/P49291","0.006")</f>
        <v>0.006</v>
      </c>
      <c r="AR56" t="s">
        <v>596</v>
      </c>
      <c r="AS56">
        <v>39.700000000000003</v>
      </c>
      <c r="AT56">
        <v>58</v>
      </c>
      <c r="AU56">
        <v>214</v>
      </c>
      <c r="AV56">
        <v>28</v>
      </c>
      <c r="AW56">
        <v>28</v>
      </c>
      <c r="AX56">
        <v>42</v>
      </c>
      <c r="AY56">
        <v>0</v>
      </c>
      <c r="AZ56">
        <v>123</v>
      </c>
      <c r="BA56">
        <v>71</v>
      </c>
      <c r="BB56">
        <v>1</v>
      </c>
      <c r="BC56" t="s">
        <v>597</v>
      </c>
      <c r="BD56" s="2" t="s">
        <v>5</v>
      </c>
      <c r="BE56" t="s">
        <v>5</v>
      </c>
      <c r="BF56" t="s">
        <v>5</v>
      </c>
      <c r="BG56" t="s">
        <v>5</v>
      </c>
      <c r="BH56" t="s">
        <v>5</v>
      </c>
      <c r="BI56" s="2" t="str">
        <f>HYPERLINK("http://exon.niaid.nih.gov/transcriptome/T_rubida/S2/links/CDD/Triru-70-CDD.txt","Triabin")</f>
        <v>Triabin</v>
      </c>
      <c r="BJ56" t="str">
        <f>HYPERLINK("http://www.ncbi.nlm.nih.gov/Structure/cdd/cddsrv.cgi?uid=pfam03973&amp;version=v4.0","2E-005")</f>
        <v>2E-005</v>
      </c>
      <c r="BK56" t="s">
        <v>647</v>
      </c>
      <c r="BL56" s="2" t="str">
        <f>HYPERLINK("http://exon.niaid.nih.gov/transcriptome/T_rubida/S2/links/KOG/Triru-70-KOG.txt","Predicted patched transmembrane receptor")</f>
        <v>Predicted patched transmembrane receptor</v>
      </c>
      <c r="BM56" t="str">
        <f>HYPERLINK("http://www.ncbi.nlm.nih.gov/COG/grace/shokog.cgi?KOG3664","1.6")</f>
        <v>1.6</v>
      </c>
      <c r="BN56" t="s">
        <v>179</v>
      </c>
      <c r="BO56" s="2" t="str">
        <f>HYPERLINK("http://exon.niaid.nih.gov/transcriptome/T_rubida/S2/links/PFAM/Triru-70-PFAM.txt","Triabin")</f>
        <v>Triabin</v>
      </c>
      <c r="BP56" t="str">
        <f>HYPERLINK("http://pfam.sanger.ac.uk/family?acc=PF03973","5E-006")</f>
        <v>5E-006</v>
      </c>
      <c r="BQ56" s="2" t="str">
        <f>HYPERLINK("http://exon.niaid.nih.gov/transcriptome/T_rubida/S2/links/SMART/Triru-70-SMART.txt","alkPPc")</f>
        <v>alkPPc</v>
      </c>
      <c r="BR56" t="str">
        <f>HYPERLINK("http://smart.embl-heidelberg.de/smart/do_annotation.pl?DOMAIN=alkPPc&amp;BLAST=DUMMY","2.3")</f>
        <v>2.3</v>
      </c>
      <c r="BS56" s="17">
        <f t="shared" si="14"/>
        <v>1</v>
      </c>
      <c r="BT56" s="1">
        <f t="shared" si="15"/>
        <v>359</v>
      </c>
      <c r="BU56" s="17">
        <f t="shared" si="16"/>
        <v>1</v>
      </c>
      <c r="BV56" s="1">
        <f t="shared" si="17"/>
        <v>225</v>
      </c>
      <c r="BW56" s="17">
        <f t="shared" si="18"/>
        <v>2</v>
      </c>
      <c r="BX56" s="1">
        <f t="shared" si="19"/>
        <v>70</v>
      </c>
      <c r="BY56" s="17">
        <f t="shared" si="20"/>
        <v>1</v>
      </c>
      <c r="BZ56" s="1">
        <f t="shared" si="21"/>
        <v>69</v>
      </c>
      <c r="CA56" s="17">
        <f t="shared" si="22"/>
        <v>1</v>
      </c>
      <c r="CB56" s="1">
        <f t="shared" si="23"/>
        <v>69</v>
      </c>
      <c r="CC56" s="17">
        <f>HYPERLINK("http://exon.niaid.nih.gov/transcriptome/T_rubida/S2/links/cluster/Triru-pep-ext50-50-Sim-CLU2.txt", 2)</f>
        <v>2</v>
      </c>
      <c r="CD56" s="1">
        <f>HYPERLINK("http://exon.niaid.nih.gov/transcriptome/T_rubida/S2/links/cluster/Triru-pep-ext50-50-Sim-CLTL2.txt", 23)</f>
        <v>23</v>
      </c>
      <c r="CE56" s="17">
        <f>HYPERLINK("http://exon.niaid.nih.gov/transcriptome/T_rubida/S2/links/cluster/Triru-pep-ext55-50-Sim-CLU2.txt", 2)</f>
        <v>2</v>
      </c>
      <c r="CF56" s="1">
        <f>HYPERLINK("http://exon.niaid.nih.gov/transcriptome/T_rubida/S2/links/cluster/Triru-pep-ext55-50-Sim-CLTL2.txt", 20)</f>
        <v>20</v>
      </c>
      <c r="CG56" s="17">
        <f>HYPERLINK("http://exon.niaid.nih.gov/transcriptome/T_rubida/S2/links/cluster/Triru-pep-ext60-50-Sim-CLU6.txt", 6)</f>
        <v>6</v>
      </c>
      <c r="CH56" s="1">
        <f>HYPERLINK("http://exon.niaid.nih.gov/transcriptome/T_rubida/S2/links/cluster/Triru-pep-ext60-50-Sim-CLTL6.txt", 8)</f>
        <v>8</v>
      </c>
      <c r="CI56" s="17">
        <f>HYPERLINK("http://exon.niaid.nih.gov/transcriptome/T_rubida/S2/links/cluster/Triru-pep-ext65-50-Sim-CLU4.txt", 4)</f>
        <v>4</v>
      </c>
      <c r="CJ56" s="1">
        <f>HYPERLINK("http://exon.niaid.nih.gov/transcriptome/T_rubida/S2/links/cluster/Triru-pep-ext65-50-Sim-CLTL4.txt", 8)</f>
        <v>8</v>
      </c>
      <c r="CK56" s="17">
        <f>HYPERLINK("http://exon.niaid.nih.gov/transcriptome/T_rubida/S2/links/cluster/Triru-pep-ext70-50-Sim-CLU4.txt", 4)</f>
        <v>4</v>
      </c>
      <c r="CL56" s="1">
        <f>HYPERLINK("http://exon.niaid.nih.gov/transcriptome/T_rubida/S2/links/cluster/Triru-pep-ext70-50-Sim-CLTL4.txt", 8)</f>
        <v>8</v>
      </c>
      <c r="CM56" s="17">
        <f>HYPERLINK("http://exon.niaid.nih.gov/transcriptome/T_rubida/S2/links/cluster/Triru-pep-ext75-50-Sim-CLU5.txt", 5)</f>
        <v>5</v>
      </c>
      <c r="CN56" s="1">
        <f>HYPERLINK("http://exon.niaid.nih.gov/transcriptome/T_rubida/S2/links/cluster/Triru-pep-ext75-50-Sim-CLTL5.txt", 5)</f>
        <v>5</v>
      </c>
      <c r="CO56" s="17">
        <f>HYPERLINK("http://exon.niaid.nih.gov/transcriptome/T_rubida/S2/links/cluster/Triru-pep-ext80-50-Sim-CLU10.txt", 10)</f>
        <v>10</v>
      </c>
      <c r="CP56" s="1">
        <f>HYPERLINK("http://exon.niaid.nih.gov/transcriptome/T_rubida/S2/links/cluster/Triru-pep-ext80-50-Sim-CLTL10.txt", 2)</f>
        <v>2</v>
      </c>
      <c r="CQ56" s="17">
        <v>59</v>
      </c>
      <c r="CR56" s="1">
        <v>1</v>
      </c>
      <c r="CS56" s="17">
        <v>64</v>
      </c>
      <c r="CT56" s="1">
        <v>1</v>
      </c>
      <c r="CU56" s="17">
        <v>70</v>
      </c>
      <c r="CV56" s="1">
        <v>1</v>
      </c>
    </row>
    <row r="57" spans="1:100">
      <c r="A57" t="str">
        <f>HYPERLINK("http://exon.niaid.nih.gov/transcriptome/T_rubida/S2/links/pep/Triru-72-pep.txt","Triru-72")</f>
        <v>Triru-72</v>
      </c>
      <c r="B57">
        <v>103</v>
      </c>
      <c r="C57" s="1" t="s">
        <v>6</v>
      </c>
      <c r="D57" s="1" t="s">
        <v>3</v>
      </c>
      <c r="E57" t="str">
        <f>HYPERLINK("http://exon.niaid.nih.gov/transcriptome/T_rubida/S2/links/cds/Triru-72-cds.txt","Triru-72")</f>
        <v>Triru-72</v>
      </c>
      <c r="F57">
        <v>312</v>
      </c>
      <c r="G57" s="2" t="s">
        <v>1890</v>
      </c>
      <c r="H57" s="1">
        <v>1</v>
      </c>
      <c r="I57" s="3" t="s">
        <v>1272</v>
      </c>
      <c r="J57" s="17" t="str">
        <f>HYPERLINK("http://exon.niaid.nih.gov/transcriptome/T_rubida/S2/links/Sigp/Triru-72-SigP.txt","CYT")</f>
        <v>CYT</v>
      </c>
      <c r="K57" t="s">
        <v>5</v>
      </c>
      <c r="L57" s="1">
        <v>11.769</v>
      </c>
      <c r="M57" s="1">
        <v>7.86</v>
      </c>
      <c r="P57" s="1">
        <v>0.15</v>
      </c>
      <c r="Q57" s="1">
        <v>5.8999999999999997E-2</v>
      </c>
      <c r="R57" s="1">
        <v>0.85399999999999998</v>
      </c>
      <c r="S57" s="17" t="s">
        <v>1346</v>
      </c>
      <c r="T57">
        <v>2</v>
      </c>
      <c r="U57" t="s">
        <v>1347</v>
      </c>
      <c r="V57" s="17">
        <v>0</v>
      </c>
      <c r="W57" t="s">
        <v>5</v>
      </c>
      <c r="X57" t="s">
        <v>5</v>
      </c>
      <c r="Y57" t="s">
        <v>5</v>
      </c>
      <c r="Z57" t="s">
        <v>5</v>
      </c>
      <c r="AA57" t="s">
        <v>5</v>
      </c>
      <c r="AB57" s="17" t="str">
        <f>HYPERLINK("http://exon.niaid.nih.gov/transcriptome/T_rubida/S2/links/netoglyc/TRIRU-72-netoglyc.txt","0")</f>
        <v>0</v>
      </c>
      <c r="AC57">
        <v>16.5</v>
      </c>
      <c r="AD57">
        <v>6.8</v>
      </c>
      <c r="AE57">
        <v>1</v>
      </c>
      <c r="AF57" s="17" t="s">
        <v>5</v>
      </c>
      <c r="AG57" s="2" t="str">
        <f>HYPERLINK("http://exon.niaid.nih.gov/transcriptome/T_rubida/S2/links/NR/Triru-72-NR.txt","unnamed protein product")</f>
        <v>unnamed protein product</v>
      </c>
      <c r="AH57" t="str">
        <f>HYPERLINK("http://www.ncbi.nlm.nih.gov/sutils/blink.cgi?pid=270046200","8E-021")</f>
        <v>8E-021</v>
      </c>
      <c r="AI57" t="str">
        <f>HYPERLINK("http://www.ncbi.nlm.nih.gov/protein/270046200","gi|270046200")</f>
        <v>gi|270046200</v>
      </c>
      <c r="AJ57">
        <v>103</v>
      </c>
      <c r="AK57">
        <v>99</v>
      </c>
      <c r="AL57">
        <v>200</v>
      </c>
      <c r="AM57">
        <v>52</v>
      </c>
      <c r="AN57">
        <v>50</v>
      </c>
      <c r="AO57" t="s">
        <v>59</v>
      </c>
      <c r="AP57" s="2" t="str">
        <f>HYPERLINK("http://exon.niaid.nih.gov/transcriptome/T_rubida/S2/links/SWISSP/Triru-72-SWISSP.txt","Lazarillo protein")</f>
        <v>Lazarillo protein</v>
      </c>
      <c r="AQ57" t="str">
        <f>HYPERLINK("http://www.uniprot.org/uniprot/P49291","0.005")</f>
        <v>0.005</v>
      </c>
      <c r="AR57" t="s">
        <v>596</v>
      </c>
      <c r="AS57">
        <v>39.700000000000003</v>
      </c>
      <c r="AT57">
        <v>58</v>
      </c>
      <c r="AU57">
        <v>214</v>
      </c>
      <c r="AV57">
        <v>28</v>
      </c>
      <c r="AW57">
        <v>28</v>
      </c>
      <c r="AX57">
        <v>42</v>
      </c>
      <c r="AY57">
        <v>0</v>
      </c>
      <c r="AZ57">
        <v>123</v>
      </c>
      <c r="BA57">
        <v>31</v>
      </c>
      <c r="BB57">
        <v>1</v>
      </c>
      <c r="BC57" t="s">
        <v>597</v>
      </c>
      <c r="BD57" s="2" t="s">
        <v>5</v>
      </c>
      <c r="BE57" t="s">
        <v>5</v>
      </c>
      <c r="BF57" t="s">
        <v>5</v>
      </c>
      <c r="BG57" t="s">
        <v>5</v>
      </c>
      <c r="BH57" t="s">
        <v>5</v>
      </c>
      <c r="BI57" s="2" t="str">
        <f>HYPERLINK("http://exon.niaid.nih.gov/transcriptome/T_rubida/S2/links/CDD/Triru-72-CDD.txt","Triabin")</f>
        <v>Triabin</v>
      </c>
      <c r="BJ57" t="str">
        <f>HYPERLINK("http://www.ncbi.nlm.nih.gov/Structure/cdd/cddsrv.cgi?uid=pfam03973&amp;version=v4.0","2E-005")</f>
        <v>2E-005</v>
      </c>
      <c r="BK57" t="s">
        <v>598</v>
      </c>
      <c r="BL57" s="2" t="str">
        <f>HYPERLINK("http://exon.niaid.nih.gov/transcriptome/T_rubida/S2/links/KOG/Triru-72-KOG.txt","Predicted patched transmembrane receptor")</f>
        <v>Predicted patched transmembrane receptor</v>
      </c>
      <c r="BM57" t="str">
        <f>HYPERLINK("http://www.ncbi.nlm.nih.gov/COG/grace/shokog.cgi?KOG3664","1.1")</f>
        <v>1.1</v>
      </c>
      <c r="BN57" t="s">
        <v>179</v>
      </c>
      <c r="BO57" s="2" t="str">
        <f>HYPERLINK("http://exon.niaid.nih.gov/transcriptome/T_rubida/S2/links/PFAM/Triru-72-PFAM.txt","Triabin")</f>
        <v>Triabin</v>
      </c>
      <c r="BP57" t="str">
        <f>HYPERLINK("http://pfam.sanger.ac.uk/family?acc=PF03973","4E-006")</f>
        <v>4E-006</v>
      </c>
      <c r="BQ57" s="2" t="str">
        <f>HYPERLINK("http://exon.niaid.nih.gov/transcriptome/T_rubida/S2/links/SMART/Triru-72-SMART.txt","TOP4c")</f>
        <v>TOP4c</v>
      </c>
      <c r="BR57" t="str">
        <f>HYPERLINK("http://smart.embl-heidelberg.de/smart/do_annotation.pl?DOMAIN=TOP4c&amp;BLAST=DUMMY","1.7")</f>
        <v>1.7</v>
      </c>
      <c r="BS57" s="17">
        <f t="shared" si="14"/>
        <v>1</v>
      </c>
      <c r="BT57" s="1">
        <f t="shared" si="15"/>
        <v>359</v>
      </c>
      <c r="BU57" s="17">
        <f t="shared" si="16"/>
        <v>1</v>
      </c>
      <c r="BV57" s="1">
        <f t="shared" si="17"/>
        <v>225</v>
      </c>
      <c r="BW57" s="17">
        <f t="shared" si="18"/>
        <v>2</v>
      </c>
      <c r="BX57" s="1">
        <f t="shared" si="19"/>
        <v>70</v>
      </c>
      <c r="BY57" s="17">
        <f t="shared" si="20"/>
        <v>1</v>
      </c>
      <c r="BZ57" s="1">
        <f t="shared" si="21"/>
        <v>69</v>
      </c>
      <c r="CA57" s="17">
        <f t="shared" si="22"/>
        <v>1</v>
      </c>
      <c r="CB57" s="1">
        <f t="shared" si="23"/>
        <v>69</v>
      </c>
      <c r="CC57" s="17">
        <f>HYPERLINK("http://exon.niaid.nih.gov/transcriptome/T_rubida/S2/links/cluster/Triru-pep-ext50-50-Sim-CLU2.txt", 2)</f>
        <v>2</v>
      </c>
      <c r="CD57" s="1">
        <f>HYPERLINK("http://exon.niaid.nih.gov/transcriptome/T_rubida/S2/links/cluster/Triru-pep-ext50-50-Sim-CLTL2.txt", 23)</f>
        <v>23</v>
      </c>
      <c r="CE57" s="17">
        <f>HYPERLINK("http://exon.niaid.nih.gov/transcriptome/T_rubida/S2/links/cluster/Triru-pep-ext55-50-Sim-CLU2.txt", 2)</f>
        <v>2</v>
      </c>
      <c r="CF57" s="1">
        <f>HYPERLINK("http://exon.niaid.nih.gov/transcriptome/T_rubida/S2/links/cluster/Triru-pep-ext55-50-Sim-CLTL2.txt", 20)</f>
        <v>20</v>
      </c>
      <c r="CG57" s="17">
        <f>HYPERLINK("http://exon.niaid.nih.gov/transcriptome/T_rubida/S2/links/cluster/Triru-pep-ext60-50-Sim-CLU6.txt", 6)</f>
        <v>6</v>
      </c>
      <c r="CH57" s="1">
        <f>HYPERLINK("http://exon.niaid.nih.gov/transcriptome/T_rubida/S2/links/cluster/Triru-pep-ext60-50-Sim-CLTL6.txt", 8)</f>
        <v>8</v>
      </c>
      <c r="CI57" s="17">
        <f>HYPERLINK("http://exon.niaid.nih.gov/transcriptome/T_rubida/S2/links/cluster/Triru-pep-ext65-50-Sim-CLU4.txt", 4)</f>
        <v>4</v>
      </c>
      <c r="CJ57" s="1">
        <f>HYPERLINK("http://exon.niaid.nih.gov/transcriptome/T_rubida/S2/links/cluster/Triru-pep-ext65-50-Sim-CLTL4.txt", 8)</f>
        <v>8</v>
      </c>
      <c r="CK57" s="17">
        <f>HYPERLINK("http://exon.niaid.nih.gov/transcriptome/T_rubida/S2/links/cluster/Triru-pep-ext70-50-Sim-CLU4.txt", 4)</f>
        <v>4</v>
      </c>
      <c r="CL57" s="1">
        <f>HYPERLINK("http://exon.niaid.nih.gov/transcriptome/T_rubida/S2/links/cluster/Triru-pep-ext70-50-Sim-CLTL4.txt", 8)</f>
        <v>8</v>
      </c>
      <c r="CM57" s="17">
        <f>HYPERLINK("http://exon.niaid.nih.gov/transcriptome/T_rubida/S2/links/cluster/Triru-pep-ext75-50-Sim-CLU11.txt", 11)</f>
        <v>11</v>
      </c>
      <c r="CN57" s="1">
        <f>HYPERLINK("http://exon.niaid.nih.gov/transcriptome/T_rubida/S2/links/cluster/Triru-pep-ext75-50-Sim-CLTL11.txt", 2)</f>
        <v>2</v>
      </c>
      <c r="CO57" s="17">
        <f>HYPERLINK("http://exon.niaid.nih.gov/transcriptome/T_rubida/S2/links/cluster/Triru-pep-ext80-50-Sim-CLU9.txt", 9)</f>
        <v>9</v>
      </c>
      <c r="CP57" s="1">
        <f>HYPERLINK("http://exon.niaid.nih.gov/transcriptome/T_rubida/S2/links/cluster/Triru-pep-ext80-50-Sim-CLTL9.txt", 2)</f>
        <v>2</v>
      </c>
      <c r="CQ57" s="17">
        <v>61</v>
      </c>
      <c r="CR57" s="1">
        <v>1</v>
      </c>
      <c r="CS57" s="17">
        <v>66</v>
      </c>
      <c r="CT57" s="1">
        <v>1</v>
      </c>
      <c r="CU57" s="17">
        <v>72</v>
      </c>
      <c r="CV57" s="1">
        <v>1</v>
      </c>
    </row>
    <row r="58" spans="1:100">
      <c r="A58" t="str">
        <f>HYPERLINK("http://exon.niaid.nih.gov/transcriptome/T_rubida/S2/links/pep/Triru-288-pep.txt","Triru-288")</f>
        <v>Triru-288</v>
      </c>
      <c r="B58">
        <v>93</v>
      </c>
      <c r="C58" s="1" t="s">
        <v>6</v>
      </c>
      <c r="D58" s="1" t="s">
        <v>3</v>
      </c>
      <c r="E58" t="str">
        <f>HYPERLINK("http://exon.niaid.nih.gov/transcriptome/T_rubida/S2/links/cds/Triru-288-cds.txt","Triru-288")</f>
        <v>Triru-288</v>
      </c>
      <c r="F58">
        <v>282</v>
      </c>
      <c r="G58" s="2" t="s">
        <v>1890</v>
      </c>
      <c r="H58" s="1">
        <v>1</v>
      </c>
      <c r="I58" s="3" t="s">
        <v>1272</v>
      </c>
      <c r="J58" s="17" t="str">
        <f>HYPERLINK("http://exon.niaid.nih.gov/transcriptome/T_rubida/S2/links/Sigp/Triru-288-SigP.txt","CYT")</f>
        <v>CYT</v>
      </c>
      <c r="K58" t="s">
        <v>5</v>
      </c>
      <c r="L58" s="1">
        <v>10.983000000000001</v>
      </c>
      <c r="M58" s="1">
        <v>5.93</v>
      </c>
      <c r="P58" s="1">
        <v>0.151</v>
      </c>
      <c r="Q58" s="1">
        <v>5.2999999999999999E-2</v>
      </c>
      <c r="R58" s="1">
        <v>0.86399999999999999</v>
      </c>
      <c r="S58" s="17" t="s">
        <v>1346</v>
      </c>
      <c r="T58">
        <v>2</v>
      </c>
      <c r="U58" t="s">
        <v>1382</v>
      </c>
      <c r="V58" s="17">
        <v>0</v>
      </c>
      <c r="W58" t="s">
        <v>5</v>
      </c>
      <c r="X58" t="s">
        <v>5</v>
      </c>
      <c r="Y58" t="s">
        <v>5</v>
      </c>
      <c r="Z58" t="s">
        <v>5</v>
      </c>
      <c r="AA58" t="s">
        <v>5</v>
      </c>
      <c r="AB58" s="17" t="str">
        <f>HYPERLINK("http://exon.niaid.nih.gov/transcriptome/T_rubida/S2/links/netoglyc/TRIRU-288-netoglyc.txt","0")</f>
        <v>0</v>
      </c>
      <c r="AC58">
        <v>11.8</v>
      </c>
      <c r="AD58">
        <v>5.4</v>
      </c>
      <c r="AE58">
        <v>1.1000000000000001</v>
      </c>
      <c r="AF58" s="17" t="s">
        <v>5</v>
      </c>
      <c r="AG58" s="2" t="str">
        <f>HYPERLINK("http://exon.niaid.nih.gov/transcriptome/T_rubida/S2/links/NR/Triru-288-NR.txt","unnamed protein product")</f>
        <v>unnamed protein product</v>
      </c>
      <c r="AH58" t="str">
        <f>HYPERLINK("http://www.ncbi.nlm.nih.gov/sutils/blink.cgi?pid=270046230","5E-013")</f>
        <v>5E-013</v>
      </c>
      <c r="AI58" t="str">
        <f>HYPERLINK("http://www.ncbi.nlm.nih.gov/protein/270046230","gi|270046230")</f>
        <v>gi|270046230</v>
      </c>
      <c r="AJ58">
        <v>77.8</v>
      </c>
      <c r="AK58">
        <v>78</v>
      </c>
      <c r="AL58">
        <v>195</v>
      </c>
      <c r="AM58">
        <v>53</v>
      </c>
      <c r="AN58">
        <v>41</v>
      </c>
      <c r="AO58" t="s">
        <v>59</v>
      </c>
      <c r="AP58" s="2" t="str">
        <f>HYPERLINK("http://exon.niaid.nih.gov/transcriptome/T_rubida/S2/links/SWISSP/Triru-288-SWISSP.txt","Lopap")</f>
        <v>Lopap</v>
      </c>
      <c r="AQ58" t="str">
        <f>HYPERLINK("http://www.uniprot.org/uniprot/Q5ECE3","0.027")</f>
        <v>0.027</v>
      </c>
      <c r="AR58" t="s">
        <v>566</v>
      </c>
      <c r="AS58">
        <v>37.4</v>
      </c>
      <c r="AT58">
        <v>51</v>
      </c>
      <c r="AU58">
        <v>201</v>
      </c>
      <c r="AV58">
        <v>41</v>
      </c>
      <c r="AW58">
        <v>26</v>
      </c>
      <c r="AX58">
        <v>31</v>
      </c>
      <c r="AY58">
        <v>2</v>
      </c>
      <c r="AZ58">
        <v>118</v>
      </c>
      <c r="BA58">
        <v>20</v>
      </c>
      <c r="BB58">
        <v>1</v>
      </c>
      <c r="BC58" t="s">
        <v>567</v>
      </c>
      <c r="BD58" s="2" t="s">
        <v>5</v>
      </c>
      <c r="BE58" t="s">
        <v>5</v>
      </c>
      <c r="BF58" t="s">
        <v>5</v>
      </c>
      <c r="BG58" t="s">
        <v>5</v>
      </c>
      <c r="BH58" t="s">
        <v>5</v>
      </c>
      <c r="BI58" s="2" t="str">
        <f>HYPERLINK("http://exon.niaid.nih.gov/transcriptome/T_rubida/S2/links/CDD/Triru-288-CDD.txt","Triabin")</f>
        <v>Triabin</v>
      </c>
      <c r="BJ58" t="str">
        <f>HYPERLINK("http://www.ncbi.nlm.nih.gov/Structure/cdd/cddsrv.cgi?uid=pfam03973&amp;version=v4.0","0.012")</f>
        <v>0.012</v>
      </c>
      <c r="BK58" t="s">
        <v>568</v>
      </c>
      <c r="BL58" s="2" t="str">
        <f>HYPERLINK("http://exon.niaid.nih.gov/transcriptome/T_rubida/S2/links/KOG/Triru-288-KOG.txt","Apolipoprotein D/Lipocalin")</f>
        <v>Apolipoprotein D/Lipocalin</v>
      </c>
      <c r="BM58" t="str">
        <f>HYPERLINK("http://www.ncbi.nlm.nih.gov/COG/grace/shokog.cgi?KOG4824","0.003")</f>
        <v>0.003</v>
      </c>
      <c r="BN58" t="s">
        <v>238</v>
      </c>
      <c r="BO58" s="2" t="str">
        <f>HYPERLINK("http://exon.niaid.nih.gov/transcriptome/T_rubida/S2/links/PFAM/Triru-288-PFAM.txt","Triabin")</f>
        <v>Triabin</v>
      </c>
      <c r="BP58" t="str">
        <f>HYPERLINK("http://pfam.sanger.ac.uk/family?acc=PF03973","0.003")</f>
        <v>0.003</v>
      </c>
      <c r="BQ58" s="2" t="str">
        <f>HYPERLINK("http://exon.niaid.nih.gov/transcriptome/T_rubida/S2/links/SMART/Triru-288-SMART.txt","PX")</f>
        <v>PX</v>
      </c>
      <c r="BR58" t="str">
        <f>HYPERLINK("http://smart.embl-heidelberg.de/smart/do_annotation.pl?DOMAIN=PX&amp;BLAST=DUMMY","0.69")</f>
        <v>0.69</v>
      </c>
      <c r="BS58" s="17">
        <f t="shared" si="14"/>
        <v>1</v>
      </c>
      <c r="BT58" s="1">
        <f t="shared" si="15"/>
        <v>359</v>
      </c>
      <c r="BU58" s="17">
        <f t="shared" si="16"/>
        <v>1</v>
      </c>
      <c r="BV58" s="1">
        <f t="shared" si="17"/>
        <v>225</v>
      </c>
      <c r="BW58" s="17">
        <f t="shared" si="18"/>
        <v>2</v>
      </c>
      <c r="BX58" s="1">
        <f t="shared" si="19"/>
        <v>70</v>
      </c>
      <c r="BY58" s="17">
        <f t="shared" si="20"/>
        <v>1</v>
      </c>
      <c r="BZ58" s="1">
        <f t="shared" si="21"/>
        <v>69</v>
      </c>
      <c r="CA58" s="17">
        <f t="shared" si="22"/>
        <v>1</v>
      </c>
      <c r="CB58" s="1">
        <f t="shared" si="23"/>
        <v>69</v>
      </c>
      <c r="CC58" s="17">
        <v>180</v>
      </c>
      <c r="CD58" s="1">
        <v>1</v>
      </c>
      <c r="CE58" s="17">
        <v>185</v>
      </c>
      <c r="CF58" s="1">
        <v>1</v>
      </c>
      <c r="CG58" s="17">
        <v>187</v>
      </c>
      <c r="CH58" s="1">
        <v>1</v>
      </c>
      <c r="CI58" s="17">
        <v>194</v>
      </c>
      <c r="CJ58" s="1">
        <v>1</v>
      </c>
      <c r="CK58" s="17">
        <v>199</v>
      </c>
      <c r="CL58" s="1">
        <v>1</v>
      </c>
      <c r="CM58" s="17">
        <v>205</v>
      </c>
      <c r="CN58" s="1">
        <v>1</v>
      </c>
      <c r="CO58" s="17">
        <v>215</v>
      </c>
      <c r="CP58" s="1">
        <v>1</v>
      </c>
      <c r="CQ58" s="17">
        <v>225</v>
      </c>
      <c r="CR58" s="1">
        <v>1</v>
      </c>
      <c r="CS58" s="17">
        <v>232</v>
      </c>
      <c r="CT58" s="1">
        <v>1</v>
      </c>
      <c r="CU58" s="17">
        <v>243</v>
      </c>
      <c r="CV58" s="1">
        <v>1</v>
      </c>
    </row>
    <row r="59" spans="1:100">
      <c r="A59" t="str">
        <f>HYPERLINK("http://exon.niaid.nih.gov/transcriptome/T_rubida/S2/links/pep/Triru-62-pep.txt","Triru-62")</f>
        <v>Triru-62</v>
      </c>
      <c r="B59">
        <v>110</v>
      </c>
      <c r="C59" s="1" t="s">
        <v>17</v>
      </c>
      <c r="D59" s="1" t="s">
        <v>3</v>
      </c>
      <c r="E59" t="str">
        <f>HYPERLINK("http://exon.niaid.nih.gov/transcriptome/T_rubida/S2/links/cds/Triru-62-cds.txt","Triru-62")</f>
        <v>Triru-62</v>
      </c>
      <c r="F59">
        <v>333</v>
      </c>
      <c r="G59" s="2" t="s">
        <v>1890</v>
      </c>
      <c r="H59" s="1">
        <v>1</v>
      </c>
      <c r="I59" s="3" t="s">
        <v>1272</v>
      </c>
      <c r="J59" s="17" t="str">
        <f>HYPERLINK("http://exon.niaid.nih.gov/transcriptome/T_rubida/S2/links/Sigp/Triru-62-SigP.txt","CYT")</f>
        <v>CYT</v>
      </c>
      <c r="K59" t="s">
        <v>5</v>
      </c>
      <c r="L59" s="1">
        <v>12.817</v>
      </c>
      <c r="M59" s="1">
        <v>8.59</v>
      </c>
      <c r="P59" s="1">
        <v>9.4E-2</v>
      </c>
      <c r="Q59" s="1">
        <v>0.188</v>
      </c>
      <c r="R59" s="1">
        <v>0.66800000000000004</v>
      </c>
      <c r="S59" s="17" t="s">
        <v>1346</v>
      </c>
      <c r="T59">
        <v>3</v>
      </c>
      <c r="U59" t="s">
        <v>1385</v>
      </c>
      <c r="V59" s="17">
        <v>0</v>
      </c>
      <c r="W59" t="s">
        <v>5</v>
      </c>
      <c r="X59" t="s">
        <v>5</v>
      </c>
      <c r="Y59" t="s">
        <v>5</v>
      </c>
      <c r="Z59" t="s">
        <v>5</v>
      </c>
      <c r="AA59" t="s">
        <v>5</v>
      </c>
      <c r="AB59" s="17" t="str">
        <f>HYPERLINK("http://exon.niaid.nih.gov/transcriptome/T_rubida/S2/links/netoglyc/TRIRU-62-netoglyc.txt","0")</f>
        <v>0</v>
      </c>
      <c r="AC59">
        <v>14.5</v>
      </c>
      <c r="AD59">
        <v>0.9</v>
      </c>
      <c r="AE59">
        <v>5.5</v>
      </c>
      <c r="AF59" s="17" t="s">
        <v>5</v>
      </c>
      <c r="AG59" s="2" t="str">
        <f>HYPERLINK("http://exon.niaid.nih.gov/transcriptome/T_rubida/S2/links/NR/Triru-62-NR.txt","unnamed protein product")</f>
        <v>unnamed protein product</v>
      </c>
      <c r="AH59" t="str">
        <f>HYPERLINK("http://www.ncbi.nlm.nih.gov/sutils/blink.cgi?pid=270046188","9E-012")</f>
        <v>9E-012</v>
      </c>
      <c r="AI59" t="str">
        <f>HYPERLINK("http://www.ncbi.nlm.nih.gov/protein/270046188","gi|270046188")</f>
        <v>gi|270046188</v>
      </c>
      <c r="AJ59">
        <v>73.599999999999994</v>
      </c>
      <c r="AK59">
        <v>104</v>
      </c>
      <c r="AL59">
        <v>197</v>
      </c>
      <c r="AM59">
        <v>41</v>
      </c>
      <c r="AN59">
        <v>53</v>
      </c>
      <c r="AO59" t="s">
        <v>59</v>
      </c>
      <c r="AP59" s="2" t="str">
        <f>HYPERLINK("http://exon.niaid.nih.gov/transcriptome/T_rubida/S2/links/SWISSP/Triru-62-SWISSP.txt","Peptidyl-tRNA hydrolase")</f>
        <v>Peptidyl-tRNA hydrolase</v>
      </c>
      <c r="AQ59" t="str">
        <f>HYPERLINK("http://www.uniprot.org/uniprot/B7J0N3","7.3")</f>
        <v>7.3</v>
      </c>
      <c r="AR59" t="s">
        <v>1136</v>
      </c>
      <c r="AS59">
        <v>29.3</v>
      </c>
      <c r="AT59">
        <v>55</v>
      </c>
      <c r="AU59">
        <v>188</v>
      </c>
      <c r="AV59">
        <v>27</v>
      </c>
      <c r="AW59">
        <v>30</v>
      </c>
      <c r="AX59">
        <v>43</v>
      </c>
      <c r="AY59">
        <v>3</v>
      </c>
      <c r="AZ59">
        <v>124</v>
      </c>
      <c r="BA59">
        <v>52</v>
      </c>
      <c r="BB59">
        <v>1</v>
      </c>
      <c r="BC59" t="s">
        <v>1137</v>
      </c>
      <c r="BD59" s="2" t="s">
        <v>5</v>
      </c>
      <c r="BE59" t="s">
        <v>5</v>
      </c>
      <c r="BF59" t="s">
        <v>5</v>
      </c>
      <c r="BG59" t="s">
        <v>5</v>
      </c>
      <c r="BH59" t="s">
        <v>5</v>
      </c>
      <c r="BI59" s="2" t="str">
        <f>HYPERLINK("http://exon.niaid.nih.gov/transcriptome/T_rubida/S2/links/CDD/Triru-62-CDD.txt","Triabin")</f>
        <v>Triabin</v>
      </c>
      <c r="BJ59" t="str">
        <f>HYPERLINK("http://www.ncbi.nlm.nih.gov/Structure/cdd/cddsrv.cgi?uid=pfam03973&amp;version=v4.0","0.12")</f>
        <v>0.12</v>
      </c>
      <c r="BK59" t="s">
        <v>1138</v>
      </c>
      <c r="BL59" s="2" t="str">
        <f>HYPERLINK("http://exon.niaid.nih.gov/transcriptome/T_rubida/S2/links/KOG/Triru-62-KOG.txt","Valyl-tRNA synthetase")</f>
        <v>Valyl-tRNA synthetase</v>
      </c>
      <c r="BM59" t="str">
        <f>HYPERLINK("http://www.ncbi.nlm.nih.gov/COG/grace/shokog.cgi?KOG0432","3.6")</f>
        <v>3.6</v>
      </c>
      <c r="BN59" t="s">
        <v>84</v>
      </c>
      <c r="BO59" s="2" t="str">
        <f>HYPERLINK("http://exon.niaid.nih.gov/transcriptome/T_rubida/S2/links/PFAM/Triru-62-PFAM.txt","Triabin")</f>
        <v>Triabin</v>
      </c>
      <c r="BP59" t="str">
        <f>HYPERLINK("http://pfam.sanger.ac.uk/family?acc=PF03973","0.025")</f>
        <v>0.025</v>
      </c>
      <c r="BQ59" s="2" t="str">
        <f>HYPERLINK("http://exon.niaid.nih.gov/transcriptome/T_rubida/S2/links/SMART/Triru-62-SMART.txt","RPOL8c")</f>
        <v>RPOL8c</v>
      </c>
      <c r="BR59" t="str">
        <f>HYPERLINK("http://smart.embl-heidelberg.de/smart/do_annotation.pl?DOMAIN=RPOL8c&amp;BLAST=DUMMY","1.3")</f>
        <v>1.3</v>
      </c>
      <c r="BS59" s="17">
        <f t="shared" si="14"/>
        <v>1</v>
      </c>
      <c r="BT59" s="1">
        <f t="shared" si="15"/>
        <v>359</v>
      </c>
      <c r="BU59" s="17">
        <f t="shared" si="16"/>
        <v>1</v>
      </c>
      <c r="BV59" s="1">
        <f t="shared" si="17"/>
        <v>225</v>
      </c>
      <c r="BW59" s="17">
        <f t="shared" si="18"/>
        <v>2</v>
      </c>
      <c r="BX59" s="1">
        <f t="shared" si="19"/>
        <v>70</v>
      </c>
      <c r="BY59" s="17">
        <f t="shared" si="20"/>
        <v>1</v>
      </c>
      <c r="BZ59" s="1">
        <f t="shared" si="21"/>
        <v>69</v>
      </c>
      <c r="CA59" s="17">
        <f t="shared" si="22"/>
        <v>1</v>
      </c>
      <c r="CB59" s="1">
        <f t="shared" si="23"/>
        <v>69</v>
      </c>
      <c r="CC59" s="17">
        <f>HYPERLINK("http://exon.niaid.nih.gov/transcriptome/T_rubida/S2/links/cluster/Triru-pep-ext50-50-Sim-CLU2.txt", 2)</f>
        <v>2</v>
      </c>
      <c r="CD59" s="1">
        <f>HYPERLINK("http://exon.niaid.nih.gov/transcriptome/T_rubida/S2/links/cluster/Triru-pep-ext50-50-Sim-CLTL2.txt", 23)</f>
        <v>23</v>
      </c>
      <c r="CE59" s="17">
        <f>HYPERLINK("http://exon.niaid.nih.gov/transcriptome/T_rubida/S2/links/cluster/Triru-pep-ext55-50-Sim-CLU2.txt", 2)</f>
        <v>2</v>
      </c>
      <c r="CF59" s="1">
        <f>HYPERLINK("http://exon.niaid.nih.gov/transcriptome/T_rubida/S2/links/cluster/Triru-pep-ext55-50-Sim-CLTL2.txt", 20)</f>
        <v>20</v>
      </c>
      <c r="CG59" s="17">
        <f>HYPERLINK("http://exon.niaid.nih.gov/transcriptome/T_rubida/S2/links/cluster/Triru-pep-ext60-50-Sim-CLU3.txt", 3)</f>
        <v>3</v>
      </c>
      <c r="CH59" s="1">
        <f>HYPERLINK("http://exon.niaid.nih.gov/transcriptome/T_rubida/S2/links/cluster/Triru-pep-ext60-50-Sim-CLTL3.txt", 12)</f>
        <v>12</v>
      </c>
      <c r="CI59" s="17">
        <f>HYPERLINK("http://exon.niaid.nih.gov/transcriptome/T_rubida/S2/links/cluster/Triru-pep-ext65-50-Sim-CLU2.txt", 2)</f>
        <v>2</v>
      </c>
      <c r="CJ59" s="1">
        <f>HYPERLINK("http://exon.niaid.nih.gov/transcriptome/T_rubida/S2/links/cluster/Triru-pep-ext65-50-Sim-CLTL2.txt", 12)</f>
        <v>12</v>
      </c>
      <c r="CK59" s="17">
        <v>40</v>
      </c>
      <c r="CL59" s="1">
        <v>1</v>
      </c>
      <c r="CM59" s="17">
        <v>41</v>
      </c>
      <c r="CN59" s="1">
        <v>1</v>
      </c>
      <c r="CO59" s="17">
        <v>45</v>
      </c>
      <c r="CP59" s="1">
        <v>1</v>
      </c>
      <c r="CQ59" s="17">
        <v>51</v>
      </c>
      <c r="CR59" s="1">
        <v>1</v>
      </c>
      <c r="CS59" s="17">
        <v>56</v>
      </c>
      <c r="CT59" s="1">
        <v>1</v>
      </c>
      <c r="CU59" s="17">
        <v>62</v>
      </c>
      <c r="CV59" s="1">
        <v>1</v>
      </c>
    </row>
    <row r="60" spans="1:100">
      <c r="A60" t="str">
        <f>HYPERLINK("http://exon.niaid.nih.gov/transcriptome/T_rubida/S2/links/pep/Triru-471-pep.txt","Triru-471")</f>
        <v>Triru-471</v>
      </c>
      <c r="B60">
        <v>82</v>
      </c>
      <c r="C60" s="1" t="s">
        <v>16</v>
      </c>
      <c r="D60" s="1" t="s">
        <v>3</v>
      </c>
      <c r="E60" t="str">
        <f>HYPERLINK("http://exon.niaid.nih.gov/transcriptome/T_rubida/S2/links/cds/Triru-471-cds.txt","Triru-471")</f>
        <v>Triru-471</v>
      </c>
      <c r="F60">
        <v>249</v>
      </c>
      <c r="G60" s="2" t="s">
        <v>1890</v>
      </c>
      <c r="H60" s="1">
        <v>1</v>
      </c>
      <c r="I60" s="3" t="s">
        <v>1272</v>
      </c>
      <c r="J60" s="17" t="str">
        <f>HYPERLINK("http://exon.niaid.nih.gov/transcriptome/T_rubida/S2/links/Sigp/Triru-471-SigP.txt","CYT")</f>
        <v>CYT</v>
      </c>
      <c r="K60" t="s">
        <v>5</v>
      </c>
      <c r="L60" s="1">
        <v>8.3390000000000004</v>
      </c>
      <c r="M60" s="1">
        <v>4.5</v>
      </c>
      <c r="P60" s="1">
        <v>7.2999999999999995E-2</v>
      </c>
      <c r="Q60" s="1">
        <v>0.13600000000000001</v>
      </c>
      <c r="R60" s="1">
        <v>0.85</v>
      </c>
      <c r="S60" s="17" t="s">
        <v>1346</v>
      </c>
      <c r="T60">
        <v>2</v>
      </c>
      <c r="U60" t="s">
        <v>1383</v>
      </c>
      <c r="V60" s="17">
        <v>0</v>
      </c>
      <c r="W60" t="s">
        <v>5</v>
      </c>
      <c r="X60" t="s">
        <v>5</v>
      </c>
      <c r="Y60" t="s">
        <v>5</v>
      </c>
      <c r="Z60" t="s">
        <v>5</v>
      </c>
      <c r="AA60" t="s">
        <v>5</v>
      </c>
      <c r="AB60" s="17" t="str">
        <f>HYPERLINK("http://exon.niaid.nih.gov/transcriptome/T_rubida/S2/links/netoglyc/TRIRU-471-netoglyc.txt","1")</f>
        <v>1</v>
      </c>
      <c r="AC60">
        <v>18.3</v>
      </c>
      <c r="AD60">
        <v>12.2</v>
      </c>
      <c r="AE60">
        <v>2.4</v>
      </c>
      <c r="AF60" s="17" t="s">
        <v>5</v>
      </c>
      <c r="AG60" s="2" t="str">
        <f>HYPERLINK("http://exon.niaid.nih.gov/transcriptome/T_rubida/S2/links/NR/Triru-471-NR.txt","salivary secreted protein")</f>
        <v>salivary secreted protein</v>
      </c>
      <c r="AH60" t="str">
        <f>HYPERLINK("http://www.ncbi.nlm.nih.gov/sutils/blink.cgi?pid=149689148","2E-009")</f>
        <v>2E-009</v>
      </c>
      <c r="AI60" t="str">
        <f>HYPERLINK("http://www.ncbi.nlm.nih.gov/protein/149689148","gi|149689148")</f>
        <v>gi|149689148</v>
      </c>
      <c r="AJ60">
        <v>65.900000000000006</v>
      </c>
      <c r="AK60">
        <v>65</v>
      </c>
      <c r="AL60">
        <v>198</v>
      </c>
      <c r="AM60">
        <v>54</v>
      </c>
      <c r="AN60">
        <v>33</v>
      </c>
      <c r="AO60" t="s">
        <v>80</v>
      </c>
      <c r="AP60" s="2" t="str">
        <f>HYPERLINK("http://exon.niaid.nih.gov/transcriptome/T_rubida/S2/links/SWISSP/Triru-471-SWISSP.txt","Phosphoenolpyruvate carboxykinase")</f>
        <v>Phosphoenolpyruvate carboxykinase</v>
      </c>
      <c r="AQ60" t="str">
        <f>HYPERLINK("http://www.uniprot.org/uniprot/A8G1J1","0.22")</f>
        <v>0.22</v>
      </c>
      <c r="AR60" t="s">
        <v>285</v>
      </c>
      <c r="AS60">
        <v>34.299999999999997</v>
      </c>
      <c r="AT60">
        <v>57</v>
      </c>
      <c r="AU60">
        <v>513</v>
      </c>
      <c r="AV60">
        <v>34</v>
      </c>
      <c r="AW60">
        <v>11</v>
      </c>
      <c r="AX60">
        <v>38</v>
      </c>
      <c r="AY60">
        <v>0</v>
      </c>
      <c r="AZ60">
        <v>11</v>
      </c>
      <c r="BA60">
        <v>13</v>
      </c>
      <c r="BB60">
        <v>1</v>
      </c>
      <c r="BC60" t="s">
        <v>286</v>
      </c>
      <c r="BD60" s="2" t="s">
        <v>5</v>
      </c>
      <c r="BE60" t="s">
        <v>5</v>
      </c>
      <c r="BF60" t="s">
        <v>5</v>
      </c>
      <c r="BG60" t="s">
        <v>5</v>
      </c>
      <c r="BH60" t="s">
        <v>5</v>
      </c>
      <c r="BI60" s="2" t="str">
        <f>HYPERLINK("http://exon.niaid.nih.gov/transcriptome/T_rubida/S2/links/CDD/Triru-471-CDD.txt","GT1_PIG-A_like")</f>
        <v>GT1_PIG-A_like</v>
      </c>
      <c r="BJ60" t="str">
        <f>HYPERLINK("http://www.ncbi.nlm.nih.gov/Structure/cdd/cddsrv.cgi?uid=cd03796&amp;version=v4.0","0.64")</f>
        <v>0.64</v>
      </c>
      <c r="BK60" t="s">
        <v>287</v>
      </c>
      <c r="BL60" s="2" t="str">
        <f>HYPERLINK("http://exon.niaid.nih.gov/transcriptome/T_rubida/S2/links/KOG/Triru-471-KOG.txt","Helix loop helix transcription factor")</f>
        <v>Helix loop helix transcription factor</v>
      </c>
      <c r="BM60" t="str">
        <f>HYPERLINK("http://www.ncbi.nlm.nih.gov/COG/grace/shokog.cgi?KOG3910","0.054")</f>
        <v>0.054</v>
      </c>
      <c r="BN60" t="s">
        <v>251</v>
      </c>
      <c r="BO60" s="2" t="str">
        <f>HYPERLINK("http://exon.niaid.nih.gov/transcriptome/T_rubida/S2/links/PFAM/Triru-471-PFAM.txt","DUF390")</f>
        <v>DUF390</v>
      </c>
      <c r="BP60" t="str">
        <f>HYPERLINK("http://pfam.sanger.ac.uk/family?acc=PF04094","8.3")</f>
        <v>8.3</v>
      </c>
      <c r="BQ60" s="2" t="str">
        <f>HYPERLINK("http://exon.niaid.nih.gov/transcriptome/T_rubida/S2/links/SMART/Triru-471-SMART.txt","PBPe")</f>
        <v>PBPe</v>
      </c>
      <c r="BR60" t="str">
        <f>HYPERLINK("http://smart.embl-heidelberg.de/smart/do_annotation.pl?DOMAIN=PBPe&amp;BLAST=DUMMY","1.4")</f>
        <v>1.4</v>
      </c>
      <c r="BS60" s="17">
        <f>HYPERLINK("http://exon.niaid.nih.gov/transcriptome/T_rubida/S2/links/cluster/Triru-pep-ext25-50-Sim-CLU30.txt", 30)</f>
        <v>30</v>
      </c>
      <c r="BT60" s="1">
        <f>HYPERLINK("http://exon.niaid.nih.gov/transcriptome/T_rubida/S2/links/cluster/Triru-pep-ext25-50-Sim-CLTL30.txt", 2)</f>
        <v>2</v>
      </c>
      <c r="BU60" s="17">
        <v>211</v>
      </c>
      <c r="BV60" s="1">
        <v>1</v>
      </c>
      <c r="BW60" s="17">
        <v>272</v>
      </c>
      <c r="BX60" s="1">
        <v>1</v>
      </c>
      <c r="BY60" s="17">
        <v>294</v>
      </c>
      <c r="BZ60" s="1">
        <v>1</v>
      </c>
      <c r="CA60" s="17">
        <v>304</v>
      </c>
      <c r="CB60" s="1">
        <v>1</v>
      </c>
      <c r="CC60" s="17">
        <v>315</v>
      </c>
      <c r="CD60" s="1">
        <v>1</v>
      </c>
      <c r="CE60" s="17">
        <v>326</v>
      </c>
      <c r="CF60" s="1">
        <v>1</v>
      </c>
      <c r="CG60" s="17">
        <v>331</v>
      </c>
      <c r="CH60" s="1">
        <v>1</v>
      </c>
      <c r="CI60" s="17">
        <v>342</v>
      </c>
      <c r="CJ60" s="1">
        <v>1</v>
      </c>
      <c r="CK60" s="17">
        <v>348</v>
      </c>
      <c r="CL60" s="1">
        <v>1</v>
      </c>
      <c r="CM60" s="17">
        <v>356</v>
      </c>
      <c r="CN60" s="1">
        <v>1</v>
      </c>
      <c r="CO60" s="17">
        <v>368</v>
      </c>
      <c r="CP60" s="1">
        <v>1</v>
      </c>
      <c r="CQ60" s="17">
        <v>378</v>
      </c>
      <c r="CR60" s="1">
        <v>1</v>
      </c>
      <c r="CS60" s="17">
        <v>391</v>
      </c>
      <c r="CT60" s="1">
        <v>1</v>
      </c>
      <c r="CU60" s="17">
        <v>402</v>
      </c>
      <c r="CV60" s="1">
        <v>1</v>
      </c>
    </row>
    <row r="61" spans="1:100">
      <c r="A61" t="str">
        <f>HYPERLINK("http://exon.niaid.nih.gov/transcriptome/T_rubida/S2/links/pep/Triru-61-pep.txt","Triru-61")</f>
        <v>Triru-61</v>
      </c>
      <c r="B61">
        <v>140</v>
      </c>
      <c r="C61" s="1" t="s">
        <v>17</v>
      </c>
      <c r="D61" s="1" t="s">
        <v>3</v>
      </c>
      <c r="E61" t="str">
        <f>HYPERLINK("http://exon.niaid.nih.gov/transcriptome/T_rubida/S2/links/cds/Triru-61-cds.txt","Triru-61")</f>
        <v>Triru-61</v>
      </c>
      <c r="F61">
        <v>423</v>
      </c>
      <c r="G61" s="2" t="s">
        <v>1890</v>
      </c>
      <c r="H61" s="1">
        <v>1</v>
      </c>
      <c r="I61" s="3" t="s">
        <v>1272</v>
      </c>
      <c r="J61" s="17" t="str">
        <f>HYPERLINK("http://exon.niaid.nih.gov/transcriptome/T_rubida/S2/links/Sigp/Triru-61-SigP.txt","CYT")</f>
        <v>CYT</v>
      </c>
      <c r="K61" t="s">
        <v>5</v>
      </c>
      <c r="L61" s="1">
        <v>15.47</v>
      </c>
      <c r="M61" s="1">
        <v>6.17</v>
      </c>
      <c r="P61" s="1">
        <v>0.126</v>
      </c>
      <c r="Q61" s="1">
        <v>4.1000000000000002E-2</v>
      </c>
      <c r="R61" s="1">
        <v>0.90100000000000002</v>
      </c>
      <c r="S61" s="17" t="s">
        <v>1346</v>
      </c>
      <c r="T61">
        <v>2</v>
      </c>
      <c r="U61" t="s">
        <v>1348</v>
      </c>
      <c r="V61" s="17">
        <v>0</v>
      </c>
      <c r="W61" t="s">
        <v>5</v>
      </c>
      <c r="X61" t="s">
        <v>5</v>
      </c>
      <c r="Y61" t="s">
        <v>5</v>
      </c>
      <c r="Z61" t="s">
        <v>5</v>
      </c>
      <c r="AA61" t="s">
        <v>5</v>
      </c>
      <c r="AB61" s="17" t="str">
        <f>HYPERLINK("http://exon.niaid.nih.gov/transcriptome/T_rubida/S2/links/netoglyc/TRIRU-61-netoglyc.txt","0")</f>
        <v>0</v>
      </c>
      <c r="AC61">
        <v>14.3</v>
      </c>
      <c r="AD61">
        <v>9.3000000000000007</v>
      </c>
      <c r="AE61">
        <v>2.1</v>
      </c>
      <c r="AF61" s="17" t="s">
        <v>5</v>
      </c>
      <c r="AG61" s="2" t="str">
        <f>HYPERLINK("http://exon.niaid.nih.gov/transcriptome/T_rubida/S2/links/NR/Triru-61-NR.txt","unnamed protein product")</f>
        <v>unnamed protein product</v>
      </c>
      <c r="AH61" t="str">
        <f>HYPERLINK("http://www.ncbi.nlm.nih.gov/sutils/blink.cgi?pid=270046188","1E-039")</f>
        <v>1E-039</v>
      </c>
      <c r="AI61" t="str">
        <f>HYPERLINK("http://www.ncbi.nlm.nih.gov/protein/270046188","gi|270046188")</f>
        <v>gi|270046188</v>
      </c>
      <c r="AJ61">
        <v>166</v>
      </c>
      <c r="AK61">
        <v>129</v>
      </c>
      <c r="AL61">
        <v>197</v>
      </c>
      <c r="AM61">
        <v>57</v>
      </c>
      <c r="AN61">
        <v>66</v>
      </c>
      <c r="AO61" t="s">
        <v>59</v>
      </c>
      <c r="AP61" s="2" t="str">
        <f>HYPERLINK("http://exon.niaid.nih.gov/transcriptome/T_rubida/S2/links/SWISSP/Triru-61-SWISSP.txt","Polyadenylate-binding protein, cytoplasmic and nuclear")</f>
        <v>Polyadenylate-binding protein, cytoplasmic and nuclear</v>
      </c>
      <c r="AQ61" t="str">
        <f>HYPERLINK("http://www.uniprot.org/uniprot/Q8SR30","0.38")</f>
        <v>0.38</v>
      </c>
      <c r="AR61" t="s">
        <v>1153</v>
      </c>
      <c r="AS61">
        <v>33.5</v>
      </c>
      <c r="AT61">
        <v>127</v>
      </c>
      <c r="AU61">
        <v>502</v>
      </c>
      <c r="AV61">
        <v>26</v>
      </c>
      <c r="AW61">
        <v>25</v>
      </c>
      <c r="AX61">
        <v>95</v>
      </c>
      <c r="AY61">
        <v>7</v>
      </c>
      <c r="AZ61">
        <v>99</v>
      </c>
      <c r="BA61">
        <v>12</v>
      </c>
      <c r="BB61">
        <v>1</v>
      </c>
      <c r="BC61" t="s">
        <v>1154</v>
      </c>
      <c r="BD61" s="2" t="s">
        <v>5</v>
      </c>
      <c r="BE61" t="s">
        <v>5</v>
      </c>
      <c r="BF61" t="s">
        <v>5</v>
      </c>
      <c r="BG61" t="s">
        <v>5</v>
      </c>
      <c r="BH61" t="s">
        <v>5</v>
      </c>
      <c r="BI61" s="2" t="str">
        <f>HYPERLINK("http://exon.niaid.nih.gov/transcriptome/T_rubida/S2/links/CDD/Triru-61-CDD.txt","Triabin")</f>
        <v>Triabin</v>
      </c>
      <c r="BJ61" t="str">
        <f>HYPERLINK("http://www.ncbi.nlm.nih.gov/Structure/cdd/cddsrv.cgi?uid=pfam03973&amp;version=v4.0","1E-009")</f>
        <v>1E-009</v>
      </c>
      <c r="BK61" t="s">
        <v>1155</v>
      </c>
      <c r="BL61" s="2" t="str">
        <f>HYPERLINK("http://exon.niaid.nih.gov/transcriptome/T_rubida/S2/links/KOG/Triru-61-KOG.txt","Predicted serine protease")</f>
        <v>Predicted serine protease</v>
      </c>
      <c r="BM61" t="str">
        <f>HYPERLINK("http://www.ncbi.nlm.nih.gov/COG/grace/shokog.cgi?KOG2237","0.89")</f>
        <v>0.89</v>
      </c>
      <c r="BN61" t="s">
        <v>72</v>
      </c>
      <c r="BO61" s="2" t="str">
        <f>HYPERLINK("http://exon.niaid.nih.gov/transcriptome/T_rubida/S2/links/PFAM/Triru-61-PFAM.txt","Triabin")</f>
        <v>Triabin</v>
      </c>
      <c r="BP61" t="str">
        <f>HYPERLINK("http://pfam.sanger.ac.uk/family?acc=PF03973","3E-010")</f>
        <v>3E-010</v>
      </c>
      <c r="BQ61" s="2" t="str">
        <f>HYPERLINK("http://exon.niaid.nih.gov/transcriptome/T_rubida/S2/links/SMART/Triru-61-SMART.txt","LPD_N")</f>
        <v>LPD_N</v>
      </c>
      <c r="BR61" t="str">
        <f>HYPERLINK("http://smart.embl-heidelberg.de/smart/do_annotation.pl?DOMAIN=LPD_N&amp;BLAST=DUMMY","0.077")</f>
        <v>0.077</v>
      </c>
      <c r="BS61" s="17">
        <f t="shared" ref="BS61:BS73" si="30">HYPERLINK("http://exon.niaid.nih.gov/transcriptome/T_rubida/S2/links/cluster/Triru-pep-ext25-50-Sim-CLU1.txt", 1)</f>
        <v>1</v>
      </c>
      <c r="BT61" s="1">
        <f t="shared" ref="BT61:BT73" si="31">HYPERLINK("http://exon.niaid.nih.gov/transcriptome/T_rubida/S2/links/cluster/Triru-pep-ext25-50-Sim-CLTL1.txt", 359)</f>
        <v>359</v>
      </c>
      <c r="BU61" s="17">
        <f t="shared" ref="BU61:BU73" si="32">HYPERLINK("http://exon.niaid.nih.gov/transcriptome/T_rubida/S2/links/cluster/Triru-pep-ext30-50-Sim-CLU1.txt", 1)</f>
        <v>1</v>
      </c>
      <c r="BV61" s="1">
        <f t="shared" ref="BV61:BV73" si="33">HYPERLINK("http://exon.niaid.nih.gov/transcriptome/T_rubida/S2/links/cluster/Triru-pep-ext30-50-Sim-CLTL1.txt", 225)</f>
        <v>225</v>
      </c>
      <c r="BW61" s="17">
        <f t="shared" ref="BW61:BW73" si="34">HYPERLINK("http://exon.niaid.nih.gov/transcriptome/T_rubida/S2/links/cluster/Triru-pep-ext35-50-Sim-CLU2.txt", 2)</f>
        <v>2</v>
      </c>
      <c r="BX61" s="1">
        <f t="shared" ref="BX61:BX73" si="35">HYPERLINK("http://exon.niaid.nih.gov/transcriptome/T_rubida/S2/links/cluster/Triru-pep-ext35-50-Sim-CLTL2.txt", 70)</f>
        <v>70</v>
      </c>
      <c r="BY61" s="17">
        <f t="shared" ref="BY61:BY73" si="36">HYPERLINK("http://exon.niaid.nih.gov/transcriptome/T_rubida/S2/links/cluster/Triru-pep-ext40-50-Sim-CLU1.txt", 1)</f>
        <v>1</v>
      </c>
      <c r="BZ61" s="1">
        <f t="shared" ref="BZ61:BZ73" si="37">HYPERLINK("http://exon.niaid.nih.gov/transcriptome/T_rubida/S2/links/cluster/Triru-pep-ext40-50-Sim-CLTL1.txt", 69)</f>
        <v>69</v>
      </c>
      <c r="CA61" s="17">
        <f t="shared" ref="CA61:CA73" si="38">HYPERLINK("http://exon.niaid.nih.gov/transcriptome/T_rubida/S2/links/cluster/Triru-pep-ext45-50-Sim-CLU1.txt", 1)</f>
        <v>1</v>
      </c>
      <c r="CB61" s="1">
        <f t="shared" ref="CB61:CB73" si="39">HYPERLINK("http://exon.niaid.nih.gov/transcriptome/T_rubida/S2/links/cluster/Triru-pep-ext45-50-Sim-CLTL1.txt", 69)</f>
        <v>69</v>
      </c>
      <c r="CC61" s="17">
        <f>HYPERLINK("http://exon.niaid.nih.gov/transcriptome/T_rubida/S2/links/cluster/Triru-pep-ext50-50-Sim-CLU2.txt", 2)</f>
        <v>2</v>
      </c>
      <c r="CD61" s="1">
        <f>HYPERLINK("http://exon.niaid.nih.gov/transcriptome/T_rubida/S2/links/cluster/Triru-pep-ext50-50-Sim-CLTL2.txt", 23)</f>
        <v>23</v>
      </c>
      <c r="CE61" s="17">
        <f>HYPERLINK("http://exon.niaid.nih.gov/transcriptome/T_rubida/S2/links/cluster/Triru-pep-ext55-50-Sim-CLU2.txt", 2)</f>
        <v>2</v>
      </c>
      <c r="CF61" s="1">
        <f>HYPERLINK("http://exon.niaid.nih.gov/transcriptome/T_rubida/S2/links/cluster/Triru-pep-ext55-50-Sim-CLTL2.txt", 20)</f>
        <v>20</v>
      </c>
      <c r="CG61" s="17">
        <f>HYPERLINK("http://exon.niaid.nih.gov/transcriptome/T_rubida/S2/links/cluster/Triru-pep-ext60-50-Sim-CLU3.txt", 3)</f>
        <v>3</v>
      </c>
      <c r="CH61" s="1">
        <f>HYPERLINK("http://exon.niaid.nih.gov/transcriptome/T_rubida/S2/links/cluster/Triru-pep-ext60-50-Sim-CLTL3.txt", 12)</f>
        <v>12</v>
      </c>
      <c r="CI61" s="17">
        <f>HYPERLINK("http://exon.niaid.nih.gov/transcriptome/T_rubida/S2/links/cluster/Triru-pep-ext65-50-Sim-CLU2.txt", 2)</f>
        <v>2</v>
      </c>
      <c r="CJ61" s="1">
        <f>HYPERLINK("http://exon.niaid.nih.gov/transcriptome/T_rubida/S2/links/cluster/Triru-pep-ext65-50-Sim-CLTL2.txt", 12)</f>
        <v>12</v>
      </c>
      <c r="CK61" s="17">
        <f>HYPERLINK("http://exon.niaid.nih.gov/transcriptome/T_rubida/S2/links/cluster/Triru-pep-ext70-50-Sim-CLU2.txt", 2)</f>
        <v>2</v>
      </c>
      <c r="CL61" s="1">
        <f>HYPERLINK("http://exon.niaid.nih.gov/transcriptome/T_rubida/S2/links/cluster/Triru-pep-ext70-50-Sim-CLTL2.txt", 11)</f>
        <v>11</v>
      </c>
      <c r="CM61" s="17">
        <f>HYPERLINK("http://exon.niaid.nih.gov/transcriptome/T_rubida/S2/links/cluster/Triru-pep-ext75-50-Sim-CLU2.txt", 2)</f>
        <v>2</v>
      </c>
      <c r="CN61" s="1">
        <f>HYPERLINK("http://exon.niaid.nih.gov/transcriptome/T_rubida/S2/links/cluster/Triru-pep-ext75-50-Sim-CLTL2.txt", 11)</f>
        <v>11</v>
      </c>
      <c r="CO61" s="17">
        <f>HYPERLINK("http://exon.niaid.nih.gov/transcriptome/T_rubida/S2/links/cluster/Triru-pep-ext80-50-Sim-CLU2.txt", 2)</f>
        <v>2</v>
      </c>
      <c r="CP61" s="1">
        <f>HYPERLINK("http://exon.niaid.nih.gov/transcriptome/T_rubida/S2/links/cluster/Triru-pep-ext80-50-Sim-CLTL2.txt", 8)</f>
        <v>8</v>
      </c>
      <c r="CQ61" s="17">
        <f>HYPERLINK("http://exon.niaid.nih.gov/transcriptome/T_rubida/S2/links/cluster/Triru-pep-ext85-50-Sim-CLU8.txt", 8)</f>
        <v>8</v>
      </c>
      <c r="CR61" s="1">
        <f>HYPERLINK("http://exon.niaid.nih.gov/transcriptome/T_rubida/S2/links/cluster/Triru-pep-ext85-50-Sim-CLTL8.txt", 2)</f>
        <v>2</v>
      </c>
      <c r="CS61" s="17">
        <v>55</v>
      </c>
      <c r="CT61" s="1">
        <v>1</v>
      </c>
      <c r="CU61" s="17">
        <v>61</v>
      </c>
      <c r="CV61" s="1">
        <v>1</v>
      </c>
    </row>
    <row r="62" spans="1:100">
      <c r="A62" t="str">
        <f>HYPERLINK("http://exon.niaid.nih.gov/transcriptome/T_rubida/S2/links/pep/Triru-49-pep.txt","Triru-49")</f>
        <v>Triru-49</v>
      </c>
      <c r="B62">
        <v>62</v>
      </c>
      <c r="C62" s="1" t="s">
        <v>6</v>
      </c>
      <c r="D62" s="1" t="s">
        <v>3</v>
      </c>
      <c r="E62" t="str">
        <f>HYPERLINK("http://exon.niaid.nih.gov/transcriptome/T_rubida/S2/links/cds/Triru-49-cds.txt","Triru-49")</f>
        <v>Triru-49</v>
      </c>
      <c r="F62">
        <v>189</v>
      </c>
      <c r="G62" s="2" t="s">
        <v>1890</v>
      </c>
      <c r="H62" s="1">
        <v>1</v>
      </c>
      <c r="I62" s="3" t="s">
        <v>1272</v>
      </c>
      <c r="J62" s="17" t="str">
        <f>HYPERLINK("http://exon.niaid.nih.gov/transcriptome/T_rubida/S2/links/Sigp/Triru-49-SigP.txt","CYT")</f>
        <v>CYT</v>
      </c>
      <c r="K62" t="s">
        <v>5</v>
      </c>
      <c r="L62" s="1">
        <v>7.1120000000000001</v>
      </c>
      <c r="M62" s="1">
        <v>6.27</v>
      </c>
      <c r="P62" s="1">
        <v>4.9000000000000002E-2</v>
      </c>
      <c r="Q62" s="1">
        <v>8.6999999999999994E-2</v>
      </c>
      <c r="R62" s="1">
        <v>0.93200000000000005</v>
      </c>
      <c r="S62" s="17" t="s">
        <v>1346</v>
      </c>
      <c r="T62">
        <v>1</v>
      </c>
      <c r="U62" t="s">
        <v>1392</v>
      </c>
      <c r="V62" s="17">
        <v>0</v>
      </c>
      <c r="W62" t="s">
        <v>5</v>
      </c>
      <c r="X62" t="s">
        <v>5</v>
      </c>
      <c r="Y62" t="s">
        <v>5</v>
      </c>
      <c r="Z62" t="s">
        <v>5</v>
      </c>
      <c r="AA62" t="s">
        <v>5</v>
      </c>
      <c r="AB62" s="17" t="str">
        <f>HYPERLINK("http://exon.niaid.nih.gov/transcriptome/T_rubida/S2/links/netoglyc/TRIRU-49-netoglyc.txt","0")</f>
        <v>0</v>
      </c>
      <c r="AC62">
        <v>17.7</v>
      </c>
      <c r="AD62">
        <v>4.8</v>
      </c>
      <c r="AE62">
        <v>3.2</v>
      </c>
      <c r="AF62" s="17" t="s">
        <v>5</v>
      </c>
      <c r="AG62" s="2" t="str">
        <f>HYPERLINK("http://exon.niaid.nih.gov/transcriptome/T_rubida/S2/links/NR/Triru-49-NR.txt","unnamed protein product")</f>
        <v>unnamed protein product</v>
      </c>
      <c r="AH62" t="str">
        <f>HYPERLINK("http://www.ncbi.nlm.nih.gov/sutils/blink.cgi?pid=270046168","1E-011")</f>
        <v>1E-011</v>
      </c>
      <c r="AI62" t="str">
        <f>HYPERLINK("http://www.ncbi.nlm.nih.gov/protein/270046168","gi|270046168")</f>
        <v>gi|270046168</v>
      </c>
      <c r="AJ62">
        <v>73.2</v>
      </c>
      <c r="AK62">
        <v>65</v>
      </c>
      <c r="AL62">
        <v>177</v>
      </c>
      <c r="AM62">
        <v>53</v>
      </c>
      <c r="AN62">
        <v>37</v>
      </c>
      <c r="AO62" t="s">
        <v>59</v>
      </c>
      <c r="AP62" s="2" t="str">
        <f>HYPERLINK("http://exon.niaid.nih.gov/transcriptome/T_rubida/S2/links/SWISSP/Triru-49-SWISSP.txt","Procalin")</f>
        <v>Procalin</v>
      </c>
      <c r="AQ62" t="str">
        <f>HYPERLINK("http://www.uniprot.org/uniprot/Q9U6R6","1E-007")</f>
        <v>1E-007</v>
      </c>
      <c r="AR62" t="s">
        <v>180</v>
      </c>
      <c r="AS62">
        <v>55.5</v>
      </c>
      <c r="AT62">
        <v>62</v>
      </c>
      <c r="AU62">
        <v>169</v>
      </c>
      <c r="AV62">
        <v>45</v>
      </c>
      <c r="AW62">
        <v>37</v>
      </c>
      <c r="AX62">
        <v>35</v>
      </c>
      <c r="AY62">
        <v>5</v>
      </c>
      <c r="AZ62">
        <v>106</v>
      </c>
      <c r="BA62">
        <v>2</v>
      </c>
      <c r="BB62">
        <v>1</v>
      </c>
      <c r="BC62" t="s">
        <v>181</v>
      </c>
      <c r="BD62" s="2" t="s">
        <v>5</v>
      </c>
      <c r="BE62" t="s">
        <v>5</v>
      </c>
      <c r="BF62" t="s">
        <v>5</v>
      </c>
      <c r="BG62" t="s">
        <v>5</v>
      </c>
      <c r="BH62" t="s">
        <v>5</v>
      </c>
      <c r="BI62" s="2" t="str">
        <f>HYPERLINK("http://exon.niaid.nih.gov/transcriptome/T_rubida/S2/links/CDD/Triru-49-CDD.txt","PHA00729")</f>
        <v>PHA00729</v>
      </c>
      <c r="BJ62" t="str">
        <f>HYPERLINK("http://www.ncbi.nlm.nih.gov/Structure/cdd/cddsrv.cgi?uid=PHA00729&amp;version=v4.0","0.43")</f>
        <v>0.43</v>
      </c>
      <c r="BK62" t="s">
        <v>492</v>
      </c>
      <c r="BL62" s="2" t="str">
        <f>HYPERLINK("http://exon.niaid.nih.gov/transcriptome/T_rubida/S2/links/KOG/Triru-49-KOG.txt","Uncharacterized conserved protein")</f>
        <v>Uncharacterized conserved protein</v>
      </c>
      <c r="BM62" t="str">
        <f>HYPERLINK("http://www.ncbi.nlm.nih.gov/COG/grace/shokog.cgi?KOG3012","7.0")</f>
        <v>7.0</v>
      </c>
      <c r="BN62" t="s">
        <v>264</v>
      </c>
      <c r="BO62" s="2" t="str">
        <f>HYPERLINK("http://exon.niaid.nih.gov/transcriptome/T_rubida/S2/links/PFAM/Triru-49-PFAM.txt","Triabin")</f>
        <v>Triabin</v>
      </c>
      <c r="BP62" t="str">
        <f>HYPERLINK("http://pfam.sanger.ac.uk/family?acc=PF03973","0.12")</f>
        <v>0.12</v>
      </c>
      <c r="BQ62" s="2" t="str">
        <f>HYPERLINK("http://exon.niaid.nih.gov/transcriptome/T_rubida/S2/links/SMART/Triru-49-SMART.txt","HTH_ARSR")</f>
        <v>HTH_ARSR</v>
      </c>
      <c r="BR62" t="str">
        <f>HYPERLINK("http://smart.embl-heidelberg.de/smart/do_annotation.pl?DOMAIN=HTH_ARSR&amp;BLAST=DUMMY","2.6")</f>
        <v>2.6</v>
      </c>
      <c r="BS62" s="17">
        <f t="shared" si="30"/>
        <v>1</v>
      </c>
      <c r="BT62" s="1">
        <f t="shared" si="31"/>
        <v>359</v>
      </c>
      <c r="BU62" s="17">
        <f t="shared" si="32"/>
        <v>1</v>
      </c>
      <c r="BV62" s="1">
        <f t="shared" si="33"/>
        <v>225</v>
      </c>
      <c r="BW62" s="17">
        <f t="shared" si="34"/>
        <v>2</v>
      </c>
      <c r="BX62" s="1">
        <f t="shared" si="35"/>
        <v>70</v>
      </c>
      <c r="BY62" s="17">
        <f t="shared" si="36"/>
        <v>1</v>
      </c>
      <c r="BZ62" s="1">
        <f t="shared" si="37"/>
        <v>69</v>
      </c>
      <c r="CA62" s="17">
        <f t="shared" si="38"/>
        <v>1</v>
      </c>
      <c r="CB62" s="1">
        <f t="shared" si="39"/>
        <v>69</v>
      </c>
      <c r="CC62" s="17">
        <f t="shared" ref="CC62:CC72" si="40">HYPERLINK("http://exon.niaid.nih.gov/transcriptome/T_rubida/S2/links/cluster/Triru-pep-ext50-50-Sim-CLU1.txt", 1)</f>
        <v>1</v>
      </c>
      <c r="CD62" s="1">
        <f t="shared" ref="CD62:CD72" si="41">HYPERLINK("http://exon.niaid.nih.gov/transcriptome/T_rubida/S2/links/cluster/Triru-pep-ext50-50-Sim-CLTL1.txt", 45)</f>
        <v>45</v>
      </c>
      <c r="CE62" s="17">
        <f t="shared" ref="CE62:CE72" si="42">HYPERLINK("http://exon.niaid.nih.gov/transcriptome/T_rubida/S2/links/cluster/Triru-pep-ext55-50-Sim-CLU1.txt", 1)</f>
        <v>1</v>
      </c>
      <c r="CF62" s="1">
        <f t="shared" ref="CF62:CF72" si="43">HYPERLINK("http://exon.niaid.nih.gov/transcriptome/T_rubida/S2/links/cluster/Triru-pep-ext55-50-Sim-CLTL1.txt", 45)</f>
        <v>45</v>
      </c>
      <c r="CG62" s="17">
        <f>HYPERLINK("http://exon.niaid.nih.gov/transcriptome/T_rubida/S2/links/cluster/Triru-pep-ext60-50-Sim-CLU1.txt", 1)</f>
        <v>1</v>
      </c>
      <c r="CH62" s="1">
        <f>HYPERLINK("http://exon.niaid.nih.gov/transcriptome/T_rubida/S2/links/cluster/Triru-pep-ext60-50-Sim-CLTL1.txt", 35)</f>
        <v>35</v>
      </c>
      <c r="CI62" s="17">
        <f>HYPERLINK("http://exon.niaid.nih.gov/transcriptome/T_rubida/S2/links/cluster/Triru-pep-ext65-50-Sim-CLU1.txt", 1)</f>
        <v>1</v>
      </c>
      <c r="CJ62" s="1">
        <f>HYPERLINK("http://exon.niaid.nih.gov/transcriptome/T_rubida/S2/links/cluster/Triru-pep-ext65-50-Sim-CLTL1.txt", 30)</f>
        <v>30</v>
      </c>
      <c r="CK62" s="17">
        <f>HYPERLINK("http://exon.niaid.nih.gov/transcriptome/T_rubida/S2/links/cluster/Triru-pep-ext70-50-Sim-CLU9.txt", 9)</f>
        <v>9</v>
      </c>
      <c r="CL62" s="1">
        <f>HYPERLINK("http://exon.niaid.nih.gov/transcriptome/T_rubida/S2/links/cluster/Triru-pep-ext70-50-Sim-CLTL9.txt", 2)</f>
        <v>2</v>
      </c>
      <c r="CM62" s="17">
        <f>HYPERLINK("http://exon.niaid.nih.gov/transcriptome/T_rubida/S2/links/cluster/Triru-pep-ext75-50-Sim-CLU10.txt", 10)</f>
        <v>10</v>
      </c>
      <c r="CN62" s="1">
        <f>HYPERLINK("http://exon.niaid.nih.gov/transcriptome/T_rubida/S2/links/cluster/Triru-pep-ext75-50-Sim-CLTL10.txt", 2)</f>
        <v>2</v>
      </c>
      <c r="CO62" s="17">
        <v>43</v>
      </c>
      <c r="CP62" s="1">
        <v>1</v>
      </c>
      <c r="CQ62" s="17">
        <v>46</v>
      </c>
      <c r="CR62" s="1">
        <v>1</v>
      </c>
      <c r="CS62" s="17">
        <v>47</v>
      </c>
      <c r="CT62" s="1">
        <v>1</v>
      </c>
      <c r="CU62" s="17">
        <v>51</v>
      </c>
      <c r="CV62" s="1">
        <v>1</v>
      </c>
    </row>
    <row r="63" spans="1:100">
      <c r="A63" t="str">
        <f>HYPERLINK("http://exon.niaid.nih.gov/transcriptome/T_rubida/S2/links/pep/Triru-82-pep.txt","Triru-82")</f>
        <v>Triru-82</v>
      </c>
      <c r="B63">
        <v>95</v>
      </c>
      <c r="C63" s="1" t="s">
        <v>4</v>
      </c>
      <c r="D63" s="1" t="s">
        <v>3</v>
      </c>
      <c r="E63" t="str">
        <f>HYPERLINK("http://exon.niaid.nih.gov/transcriptome/T_rubida/S2/links/cds/Triru-82-cds.txt","Triru-82")</f>
        <v>Triru-82</v>
      </c>
      <c r="F63">
        <v>288</v>
      </c>
      <c r="G63" s="2" t="s">
        <v>1890</v>
      </c>
      <c r="H63" s="1">
        <v>1</v>
      </c>
      <c r="I63" s="3" t="s">
        <v>1272</v>
      </c>
      <c r="J63" s="17" t="str">
        <f>HYPERLINK("http://exon.niaid.nih.gov/transcriptome/T_rubida/S2/links/Sigp/Triru-82-SigP.txt","CYT")</f>
        <v>CYT</v>
      </c>
      <c r="K63" t="s">
        <v>5</v>
      </c>
      <c r="L63" s="1">
        <v>10.331</v>
      </c>
      <c r="M63" s="1">
        <v>6.43</v>
      </c>
      <c r="P63" s="1">
        <v>0.153</v>
      </c>
      <c r="Q63" s="1">
        <v>0.05</v>
      </c>
      <c r="R63" s="1">
        <v>0.85299999999999998</v>
      </c>
      <c r="S63" s="17" t="s">
        <v>1346</v>
      </c>
      <c r="T63">
        <v>2</v>
      </c>
      <c r="U63" t="s">
        <v>1389</v>
      </c>
      <c r="V63" s="17">
        <v>0</v>
      </c>
      <c r="W63" t="s">
        <v>5</v>
      </c>
      <c r="X63" t="s">
        <v>5</v>
      </c>
      <c r="Y63" t="s">
        <v>5</v>
      </c>
      <c r="Z63" t="s">
        <v>5</v>
      </c>
      <c r="AA63" t="s">
        <v>5</v>
      </c>
      <c r="AB63" s="17" t="str">
        <f>HYPERLINK("http://exon.niaid.nih.gov/transcriptome/T_rubida/S2/links/netoglyc/TRIRU-82-netoglyc.txt","1")</f>
        <v>1</v>
      </c>
      <c r="AC63">
        <v>21.1</v>
      </c>
      <c r="AD63">
        <v>7.4</v>
      </c>
      <c r="AE63">
        <v>1.1000000000000001</v>
      </c>
      <c r="AF63" s="17" t="s">
        <v>5</v>
      </c>
      <c r="AG63" s="2" t="str">
        <f>HYPERLINK("http://exon.niaid.nih.gov/transcriptome/T_rubida/S2/links/NR/Triru-82-NR.txt","lipocalin-like TiLipo37")</f>
        <v>lipocalin-like TiLipo37</v>
      </c>
      <c r="AH63" t="str">
        <f>HYPERLINK("http://www.ncbi.nlm.nih.gov/sutils/blink.cgi?pid=34421652","1E-021")</f>
        <v>1E-021</v>
      </c>
      <c r="AI63" t="str">
        <f>HYPERLINK("http://www.ncbi.nlm.nih.gov/protein/34421652","gi|34421652")</f>
        <v>gi|34421652</v>
      </c>
      <c r="AJ63">
        <v>106</v>
      </c>
      <c r="AK63">
        <v>82</v>
      </c>
      <c r="AL63">
        <v>178</v>
      </c>
      <c r="AM63">
        <v>63</v>
      </c>
      <c r="AN63">
        <v>47</v>
      </c>
      <c r="AO63" t="s">
        <v>80</v>
      </c>
      <c r="AP63" s="2" t="str">
        <f>HYPERLINK("http://exon.niaid.nih.gov/transcriptome/T_rubida/S2/links/SWISSP/Triru-82-SWISSP.txt","Procalin")</f>
        <v>Procalin</v>
      </c>
      <c r="AQ63" t="str">
        <f>HYPERLINK("http://www.uniprot.org/uniprot/Q9U6R6","4E-013")</f>
        <v>4E-013</v>
      </c>
      <c r="AR63" t="s">
        <v>180</v>
      </c>
      <c r="AS63">
        <v>73.2</v>
      </c>
      <c r="AT63">
        <v>82</v>
      </c>
      <c r="AU63">
        <v>169</v>
      </c>
      <c r="AV63">
        <v>42</v>
      </c>
      <c r="AW63">
        <v>49</v>
      </c>
      <c r="AX63">
        <v>48</v>
      </c>
      <c r="AY63">
        <v>1</v>
      </c>
      <c r="AZ63">
        <v>86</v>
      </c>
      <c r="BA63">
        <v>5</v>
      </c>
      <c r="BB63">
        <v>1</v>
      </c>
      <c r="BC63" t="s">
        <v>181</v>
      </c>
      <c r="BD63" s="2" t="s">
        <v>5</v>
      </c>
      <c r="BE63" t="s">
        <v>5</v>
      </c>
      <c r="BF63" t="s">
        <v>5</v>
      </c>
      <c r="BG63" t="s">
        <v>5</v>
      </c>
      <c r="BH63" t="s">
        <v>5</v>
      </c>
      <c r="BI63" s="2" t="str">
        <f>HYPERLINK("http://exon.niaid.nih.gov/transcriptome/T_rubida/S2/links/CDD/Triru-82-CDD.txt","Triabin")</f>
        <v>Triabin</v>
      </c>
      <c r="BJ63" t="str">
        <f>HYPERLINK("http://www.ncbi.nlm.nih.gov/Structure/cdd/cddsrv.cgi?uid=pfam03973&amp;version=v4.0","5E-007")</f>
        <v>5E-007</v>
      </c>
      <c r="BK63" t="s">
        <v>195</v>
      </c>
      <c r="BL63" s="2" t="str">
        <f>HYPERLINK("http://exon.niaid.nih.gov/transcriptome/T_rubida/S2/links/KOG/Triru-82-KOG.txt","Transporter, ABC superfamily (Breast cancer resistance protein)")</f>
        <v>Transporter, ABC superfamily (Breast cancer resistance protein)</v>
      </c>
      <c r="BM63" t="str">
        <f>HYPERLINK("http://www.ncbi.nlm.nih.gov/COG/grace/shokog.cgi?KOG0061","2.7")</f>
        <v>2.7</v>
      </c>
      <c r="BN63" t="s">
        <v>196</v>
      </c>
      <c r="BO63" s="2" t="str">
        <f>HYPERLINK("http://exon.niaid.nih.gov/transcriptome/T_rubida/S2/links/PFAM/Triru-82-PFAM.txt","Triabin")</f>
        <v>Triabin</v>
      </c>
      <c r="BP63" t="str">
        <f>HYPERLINK("http://pfam.sanger.ac.uk/family?acc=PF03973","1E-007")</f>
        <v>1E-007</v>
      </c>
      <c r="BQ63" s="2" t="str">
        <f>HYPERLINK("http://exon.niaid.nih.gov/transcriptome/T_rubida/S2/links/SMART/Triru-82-SMART.txt","IGv")</f>
        <v>IGv</v>
      </c>
      <c r="BR63" t="str">
        <f>HYPERLINK("http://smart.embl-heidelberg.de/smart/do_annotation.pl?DOMAIN=IGv&amp;BLAST=DUMMY","0.078")</f>
        <v>0.078</v>
      </c>
      <c r="BS63" s="17">
        <f t="shared" si="30"/>
        <v>1</v>
      </c>
      <c r="BT63" s="1">
        <f t="shared" si="31"/>
        <v>359</v>
      </c>
      <c r="BU63" s="17">
        <f t="shared" si="32"/>
        <v>1</v>
      </c>
      <c r="BV63" s="1">
        <f t="shared" si="33"/>
        <v>225</v>
      </c>
      <c r="BW63" s="17">
        <f t="shared" si="34"/>
        <v>2</v>
      </c>
      <c r="BX63" s="1">
        <f t="shared" si="35"/>
        <v>70</v>
      </c>
      <c r="BY63" s="17">
        <f t="shared" si="36"/>
        <v>1</v>
      </c>
      <c r="BZ63" s="1">
        <f t="shared" si="37"/>
        <v>69</v>
      </c>
      <c r="CA63" s="17">
        <f t="shared" si="38"/>
        <v>1</v>
      </c>
      <c r="CB63" s="1">
        <f t="shared" si="39"/>
        <v>69</v>
      </c>
      <c r="CC63" s="17">
        <f t="shared" si="40"/>
        <v>1</v>
      </c>
      <c r="CD63" s="1">
        <f t="shared" si="41"/>
        <v>45</v>
      </c>
      <c r="CE63" s="17">
        <f t="shared" si="42"/>
        <v>1</v>
      </c>
      <c r="CF63" s="1">
        <f t="shared" si="43"/>
        <v>45</v>
      </c>
      <c r="CG63" s="17">
        <f>HYPERLINK("http://exon.niaid.nih.gov/transcriptome/T_rubida/S2/links/cluster/Triru-pep-ext60-50-Sim-CLU5.txt", 5)</f>
        <v>5</v>
      </c>
      <c r="CH63" s="1">
        <f>HYPERLINK("http://exon.niaid.nih.gov/transcriptome/T_rubida/S2/links/cluster/Triru-pep-ext60-50-Sim-CLTL5.txt", 9)</f>
        <v>9</v>
      </c>
      <c r="CI63" s="17">
        <f>HYPERLINK("http://exon.niaid.nih.gov/transcriptome/T_rubida/S2/links/cluster/Triru-pep-ext65-50-Sim-CLU10.txt", 10)</f>
        <v>10</v>
      </c>
      <c r="CJ63" s="1">
        <f>HYPERLINK("http://exon.niaid.nih.gov/transcriptome/T_rubida/S2/links/cluster/Triru-pep-ext65-50-Sim-CLTL10.txt", 2)</f>
        <v>2</v>
      </c>
      <c r="CK63" s="17">
        <f>HYPERLINK("http://exon.niaid.nih.gov/transcriptome/T_rubida/S2/links/cluster/Triru-pep-ext70-50-Sim-CLU10.txt", 10)</f>
        <v>10</v>
      </c>
      <c r="CL63" s="1">
        <f>HYPERLINK("http://exon.niaid.nih.gov/transcriptome/T_rubida/S2/links/cluster/Triru-pep-ext70-50-Sim-CLTL10.txt", 2)</f>
        <v>2</v>
      </c>
      <c r="CM63" s="17">
        <v>48</v>
      </c>
      <c r="CN63" s="1">
        <v>1</v>
      </c>
      <c r="CO63" s="17">
        <v>56</v>
      </c>
      <c r="CP63" s="1">
        <v>1</v>
      </c>
      <c r="CQ63" s="17">
        <v>66</v>
      </c>
      <c r="CR63" s="1">
        <v>1</v>
      </c>
      <c r="CS63" s="17">
        <v>71</v>
      </c>
      <c r="CT63" s="1">
        <v>1</v>
      </c>
      <c r="CU63" s="17">
        <v>80</v>
      </c>
      <c r="CV63" s="1">
        <v>1</v>
      </c>
    </row>
    <row r="64" spans="1:100">
      <c r="A64" t="str">
        <f>HYPERLINK("http://exon.niaid.nih.gov/transcriptome/T_rubida/S2/links/pep/Triru-384-pep.txt","Triru-384")</f>
        <v>Triru-384</v>
      </c>
      <c r="B64">
        <v>86</v>
      </c>
      <c r="C64" s="1" t="s">
        <v>10</v>
      </c>
      <c r="D64" s="1" t="s">
        <v>3</v>
      </c>
      <c r="E64" t="str">
        <f>HYPERLINK("http://exon.niaid.nih.gov/transcriptome/T_rubida/S2/links/cds/Triru-384-cds.txt","Triru-384")</f>
        <v>Triru-384</v>
      </c>
      <c r="F64">
        <v>261</v>
      </c>
      <c r="G64" s="2" t="s">
        <v>1890</v>
      </c>
      <c r="H64" s="1">
        <v>1</v>
      </c>
      <c r="I64" s="3" t="s">
        <v>1272</v>
      </c>
      <c r="J64" s="17" t="str">
        <f>HYPERLINK("http://exon.niaid.nih.gov/transcriptome/T_rubida/S2/links/Sigp/Triru-384-SigP.txt","CYT")</f>
        <v>CYT</v>
      </c>
      <c r="K64" t="s">
        <v>5</v>
      </c>
      <c r="L64" s="1">
        <v>9.8369999999999997</v>
      </c>
      <c r="M64" s="1">
        <v>8.17</v>
      </c>
      <c r="P64" s="1">
        <v>0.13600000000000001</v>
      </c>
      <c r="Q64" s="1">
        <v>6.6000000000000003E-2</v>
      </c>
      <c r="R64" s="1">
        <v>0.86</v>
      </c>
      <c r="S64" s="17" t="s">
        <v>1346</v>
      </c>
      <c r="T64">
        <v>2</v>
      </c>
      <c r="U64" t="s">
        <v>1386</v>
      </c>
      <c r="V64" s="17">
        <v>0</v>
      </c>
      <c r="W64" t="s">
        <v>5</v>
      </c>
      <c r="X64" t="s">
        <v>5</v>
      </c>
      <c r="Y64" t="s">
        <v>5</v>
      </c>
      <c r="Z64" t="s">
        <v>5</v>
      </c>
      <c r="AA64" t="s">
        <v>5</v>
      </c>
      <c r="AB64" s="17" t="str">
        <f>HYPERLINK("http://exon.niaid.nih.gov/transcriptome/T_rubida/S2/links/netoglyc/TRIRU-384-netoglyc.txt","0")</f>
        <v>0</v>
      </c>
      <c r="AC64">
        <v>18.600000000000001</v>
      </c>
      <c r="AD64">
        <v>2.2999999999999998</v>
      </c>
      <c r="AE64">
        <v>2.2999999999999998</v>
      </c>
      <c r="AF64" s="17" t="s">
        <v>5</v>
      </c>
      <c r="AG64" s="2" t="str">
        <f>HYPERLINK("http://exon.niaid.nih.gov/transcriptome/T_rubida/S2/links/NR/Triru-384-NR.txt","unnamed protein product")</f>
        <v>unnamed protein product</v>
      </c>
      <c r="AH64" t="str">
        <f>HYPERLINK("http://www.ncbi.nlm.nih.gov/sutils/blink.cgi?pid=270046166","2E-017")</f>
        <v>2E-017</v>
      </c>
      <c r="AI64" t="str">
        <f>HYPERLINK("http://www.ncbi.nlm.nih.gov/protein/270046166","gi|270046166")</f>
        <v>gi|270046166</v>
      </c>
      <c r="AJ64">
        <v>92</v>
      </c>
      <c r="AK64">
        <v>85</v>
      </c>
      <c r="AL64">
        <v>177</v>
      </c>
      <c r="AM64">
        <v>54</v>
      </c>
      <c r="AN64">
        <v>49</v>
      </c>
      <c r="AO64" t="s">
        <v>59</v>
      </c>
      <c r="AP64" s="2" t="str">
        <f>HYPERLINK("http://exon.niaid.nih.gov/transcriptome/T_rubida/S2/links/SWISSP/Triru-384-SWISSP.txt","Procalin")</f>
        <v>Procalin</v>
      </c>
      <c r="AQ64" t="str">
        <f>HYPERLINK("http://www.uniprot.org/uniprot/Q9U6R6","2E-010")</f>
        <v>2E-010</v>
      </c>
      <c r="AR64" t="s">
        <v>180</v>
      </c>
      <c r="AS64">
        <v>64.3</v>
      </c>
      <c r="AT64">
        <v>77</v>
      </c>
      <c r="AU64">
        <v>169</v>
      </c>
      <c r="AV64">
        <v>39</v>
      </c>
      <c r="AW64">
        <v>46</v>
      </c>
      <c r="AX64">
        <v>48</v>
      </c>
      <c r="AY64">
        <v>1</v>
      </c>
      <c r="AZ64">
        <v>91</v>
      </c>
      <c r="BA64">
        <v>7</v>
      </c>
      <c r="BB64">
        <v>1</v>
      </c>
      <c r="BC64" t="s">
        <v>181</v>
      </c>
      <c r="BD64" s="2" t="s">
        <v>5</v>
      </c>
      <c r="BE64" t="s">
        <v>5</v>
      </c>
      <c r="BF64" t="s">
        <v>5</v>
      </c>
      <c r="BG64" t="s">
        <v>5</v>
      </c>
      <c r="BH64" t="s">
        <v>5</v>
      </c>
      <c r="BI64" s="2" t="str">
        <f>HYPERLINK("http://exon.niaid.nih.gov/transcriptome/T_rubida/S2/links/CDD/Triru-384-CDD.txt","Triabin")</f>
        <v>Triabin</v>
      </c>
      <c r="BJ64" t="str">
        <f>HYPERLINK("http://www.ncbi.nlm.nih.gov/Structure/cdd/cddsrv.cgi?uid=pfam03973&amp;version=v4.0","8E-005")</f>
        <v>8E-005</v>
      </c>
      <c r="BK64" t="s">
        <v>979</v>
      </c>
      <c r="BL64" s="2" t="str">
        <f>HYPERLINK("http://exon.niaid.nih.gov/transcriptome/T_rubida/S2/links/KOG/Triru-384-KOG.txt","Apolipoprotein D/Lipocalin")</f>
        <v>Apolipoprotein D/Lipocalin</v>
      </c>
      <c r="BM64" t="str">
        <f>HYPERLINK("http://www.ncbi.nlm.nih.gov/COG/grace/shokog.cgi?KOG4824","2.7")</f>
        <v>2.7</v>
      </c>
      <c r="BN64" t="s">
        <v>238</v>
      </c>
      <c r="BO64" s="2" t="str">
        <f>HYPERLINK("http://exon.niaid.nih.gov/transcriptome/T_rubida/S2/links/PFAM/Triru-384-PFAM.txt","Triabin")</f>
        <v>Triabin</v>
      </c>
      <c r="BP64" t="str">
        <f>HYPERLINK("http://pfam.sanger.ac.uk/family?acc=PF03973","2E-005")</f>
        <v>2E-005</v>
      </c>
      <c r="BQ64" s="2" t="str">
        <f>HYPERLINK("http://exon.niaid.nih.gov/transcriptome/T_rubida/S2/links/SMART/Triru-384-SMART.txt","FH2")</f>
        <v>FH2</v>
      </c>
      <c r="BR64" t="str">
        <f>HYPERLINK("http://smart.embl-heidelberg.de/smart/do_annotation.pl?DOMAIN=FH2&amp;BLAST=DUMMY","0.098")</f>
        <v>0.098</v>
      </c>
      <c r="BS64" s="17">
        <f t="shared" si="30"/>
        <v>1</v>
      </c>
      <c r="BT64" s="1">
        <f t="shared" si="31"/>
        <v>359</v>
      </c>
      <c r="BU64" s="17">
        <f t="shared" si="32"/>
        <v>1</v>
      </c>
      <c r="BV64" s="1">
        <f t="shared" si="33"/>
        <v>225</v>
      </c>
      <c r="BW64" s="17">
        <f t="shared" si="34"/>
        <v>2</v>
      </c>
      <c r="BX64" s="1">
        <f t="shared" si="35"/>
        <v>70</v>
      </c>
      <c r="BY64" s="17">
        <f t="shared" si="36"/>
        <v>1</v>
      </c>
      <c r="BZ64" s="1">
        <f t="shared" si="37"/>
        <v>69</v>
      </c>
      <c r="CA64" s="17">
        <f t="shared" si="38"/>
        <v>1</v>
      </c>
      <c r="CB64" s="1">
        <f t="shared" si="39"/>
        <v>69</v>
      </c>
      <c r="CC64" s="17">
        <f t="shared" si="40"/>
        <v>1</v>
      </c>
      <c r="CD64" s="1">
        <f t="shared" si="41"/>
        <v>45</v>
      </c>
      <c r="CE64" s="17">
        <f t="shared" si="42"/>
        <v>1</v>
      </c>
      <c r="CF64" s="1">
        <f t="shared" si="43"/>
        <v>45</v>
      </c>
      <c r="CG64" s="17">
        <v>256</v>
      </c>
      <c r="CH64" s="1">
        <v>1</v>
      </c>
      <c r="CI64" s="17">
        <v>266</v>
      </c>
      <c r="CJ64" s="1">
        <v>1</v>
      </c>
      <c r="CK64" s="17">
        <v>271</v>
      </c>
      <c r="CL64" s="1">
        <v>1</v>
      </c>
      <c r="CM64" s="17">
        <v>279</v>
      </c>
      <c r="CN64" s="1">
        <v>1</v>
      </c>
      <c r="CO64" s="17">
        <v>291</v>
      </c>
      <c r="CP64" s="1">
        <v>1</v>
      </c>
      <c r="CQ64" s="17">
        <v>301</v>
      </c>
      <c r="CR64" s="1">
        <v>1</v>
      </c>
      <c r="CS64" s="17">
        <v>313</v>
      </c>
      <c r="CT64" s="1">
        <v>1</v>
      </c>
      <c r="CU64" s="17">
        <v>324</v>
      </c>
      <c r="CV64" s="1">
        <v>1</v>
      </c>
    </row>
    <row r="65" spans="1:100">
      <c r="A65" t="str">
        <f>HYPERLINK("http://exon.niaid.nih.gov/transcriptome/T_rubida/S2/links/pep/Triru-81-pep.txt","Triru-81")</f>
        <v>Triru-81</v>
      </c>
      <c r="B65">
        <v>88</v>
      </c>
      <c r="C65" s="1" t="s">
        <v>17</v>
      </c>
      <c r="D65" s="1" t="s">
        <v>3</v>
      </c>
      <c r="E65" t="str">
        <f>HYPERLINK("http://exon.niaid.nih.gov/transcriptome/T_rubida/S2/links/cds/Triru-81-cds.txt","Triru-81")</f>
        <v>Triru-81</v>
      </c>
      <c r="F65">
        <v>267</v>
      </c>
      <c r="G65" s="2" t="s">
        <v>1890</v>
      </c>
      <c r="H65" s="1">
        <v>1</v>
      </c>
      <c r="I65" s="3" t="s">
        <v>1272</v>
      </c>
      <c r="J65" s="17" t="str">
        <f>HYPERLINK("http://exon.niaid.nih.gov/transcriptome/T_rubida/S2/links/Sigp/Triru-81-SigP.txt","CYT")</f>
        <v>CYT</v>
      </c>
      <c r="K65" t="s">
        <v>5</v>
      </c>
      <c r="L65" s="1">
        <v>9.7620000000000005</v>
      </c>
      <c r="M65" s="1">
        <v>6.39</v>
      </c>
      <c r="P65" s="1">
        <v>0.19</v>
      </c>
      <c r="Q65" s="1">
        <v>5.1999999999999998E-2</v>
      </c>
      <c r="R65" s="1">
        <v>0.84</v>
      </c>
      <c r="S65" s="17" t="s">
        <v>1346</v>
      </c>
      <c r="T65">
        <v>2</v>
      </c>
      <c r="U65" t="s">
        <v>1388</v>
      </c>
      <c r="V65" s="17">
        <v>0</v>
      </c>
      <c r="W65" t="s">
        <v>5</v>
      </c>
      <c r="X65" t="s">
        <v>5</v>
      </c>
      <c r="Y65" t="s">
        <v>5</v>
      </c>
      <c r="Z65" t="s">
        <v>5</v>
      </c>
      <c r="AA65" t="s">
        <v>5</v>
      </c>
      <c r="AB65" s="17" t="str">
        <f>HYPERLINK("http://exon.niaid.nih.gov/transcriptome/T_rubida/S2/links/netoglyc/TRIRU-81-netoglyc.txt","4")</f>
        <v>4</v>
      </c>
      <c r="AC65">
        <v>23.9</v>
      </c>
      <c r="AD65">
        <v>6.8</v>
      </c>
      <c r="AE65">
        <v>2.2999999999999998</v>
      </c>
      <c r="AF65" s="17" t="s">
        <v>5</v>
      </c>
      <c r="AG65" s="2" t="str">
        <f>HYPERLINK("http://exon.niaid.nih.gov/transcriptome/T_rubida/S2/links/NR/Triru-81-NR.txt","salivary lipocalin")</f>
        <v>salivary lipocalin</v>
      </c>
      <c r="AH65" t="str">
        <f>HYPERLINK("http://www.ncbi.nlm.nih.gov/sutils/blink.cgi?pid=149689058","2E-019")</f>
        <v>2E-019</v>
      </c>
      <c r="AI65" t="str">
        <f>HYPERLINK("http://www.ncbi.nlm.nih.gov/protein/149689058","gi|149689058")</f>
        <v>gi|149689058</v>
      </c>
      <c r="AJ65">
        <v>99</v>
      </c>
      <c r="AK65">
        <v>84</v>
      </c>
      <c r="AL65">
        <v>179</v>
      </c>
      <c r="AM65">
        <v>55</v>
      </c>
      <c r="AN65">
        <v>47</v>
      </c>
      <c r="AO65" t="s">
        <v>80</v>
      </c>
      <c r="AP65" s="2" t="str">
        <f>HYPERLINK("http://exon.niaid.nih.gov/transcriptome/T_rubida/S2/links/SWISSP/Triru-81-SWISSP.txt","Procalin")</f>
        <v>Procalin</v>
      </c>
      <c r="AQ65" t="str">
        <f>HYPERLINK("http://www.uniprot.org/uniprot/Q9U6R6","9E-011")</f>
        <v>9E-011</v>
      </c>
      <c r="AR65" t="s">
        <v>180</v>
      </c>
      <c r="AS65">
        <v>65.5</v>
      </c>
      <c r="AT65">
        <v>83</v>
      </c>
      <c r="AU65">
        <v>169</v>
      </c>
      <c r="AV65">
        <v>39</v>
      </c>
      <c r="AW65">
        <v>50</v>
      </c>
      <c r="AX65">
        <v>51</v>
      </c>
      <c r="AY65">
        <v>3</v>
      </c>
      <c r="AZ65">
        <v>83</v>
      </c>
      <c r="BA65">
        <v>6</v>
      </c>
      <c r="BB65">
        <v>1</v>
      </c>
      <c r="BC65" t="s">
        <v>181</v>
      </c>
      <c r="BD65" s="2" t="s">
        <v>5</v>
      </c>
      <c r="BE65" t="s">
        <v>5</v>
      </c>
      <c r="BF65" t="s">
        <v>5</v>
      </c>
      <c r="BG65" t="s">
        <v>5</v>
      </c>
      <c r="BH65" t="s">
        <v>5</v>
      </c>
      <c r="BI65" s="2" t="str">
        <f>HYPERLINK("http://exon.niaid.nih.gov/transcriptome/T_rubida/S2/links/CDD/Triru-81-CDD.txt","Triabin")</f>
        <v>Triabin</v>
      </c>
      <c r="BJ65" t="str">
        <f>HYPERLINK("http://www.ncbi.nlm.nih.gov/Structure/cdd/cddsrv.cgi?uid=pfam03973&amp;version=v4.0","6E-008")</f>
        <v>6E-008</v>
      </c>
      <c r="BK65" t="s">
        <v>1108</v>
      </c>
      <c r="BL65" s="2" t="str">
        <f>HYPERLINK("http://exon.niaid.nih.gov/transcriptome/T_rubida/S2/links/KOG/Triru-81-KOG.txt","Apolipoprotein D/Lipocalin")</f>
        <v>Apolipoprotein D/Lipocalin</v>
      </c>
      <c r="BM65" t="str">
        <f>HYPERLINK("http://www.ncbi.nlm.nih.gov/COG/grace/shokog.cgi?KOG4824","2.4")</f>
        <v>2.4</v>
      </c>
      <c r="BN65" t="s">
        <v>238</v>
      </c>
      <c r="BO65" s="2" t="str">
        <f>HYPERLINK("http://exon.niaid.nih.gov/transcriptome/T_rubida/S2/links/PFAM/Triru-81-PFAM.txt","Triabin")</f>
        <v>Triabin</v>
      </c>
      <c r="BP65" t="str">
        <f>HYPERLINK("http://pfam.sanger.ac.uk/family?acc=PF03973","1E-008")</f>
        <v>1E-008</v>
      </c>
      <c r="BQ65" s="2" t="str">
        <f>HYPERLINK("http://exon.niaid.nih.gov/transcriptome/T_rubida/S2/links/SMART/Triru-81-SMART.txt","IGv")</f>
        <v>IGv</v>
      </c>
      <c r="BR65" t="str">
        <f>HYPERLINK("http://smart.embl-heidelberg.de/smart/do_annotation.pl?DOMAIN=IGv&amp;BLAST=DUMMY","1.2")</f>
        <v>1.2</v>
      </c>
      <c r="BS65" s="17">
        <f t="shared" si="30"/>
        <v>1</v>
      </c>
      <c r="BT65" s="1">
        <f t="shared" si="31"/>
        <v>359</v>
      </c>
      <c r="BU65" s="17">
        <f t="shared" si="32"/>
        <v>1</v>
      </c>
      <c r="BV65" s="1">
        <f t="shared" si="33"/>
        <v>225</v>
      </c>
      <c r="BW65" s="17">
        <f t="shared" si="34"/>
        <v>2</v>
      </c>
      <c r="BX65" s="1">
        <f t="shared" si="35"/>
        <v>70</v>
      </c>
      <c r="BY65" s="17">
        <f t="shared" si="36"/>
        <v>1</v>
      </c>
      <c r="BZ65" s="1">
        <f t="shared" si="37"/>
        <v>69</v>
      </c>
      <c r="CA65" s="17">
        <f t="shared" si="38"/>
        <v>1</v>
      </c>
      <c r="CB65" s="1">
        <f t="shared" si="39"/>
        <v>69</v>
      </c>
      <c r="CC65" s="17">
        <f t="shared" si="40"/>
        <v>1</v>
      </c>
      <c r="CD65" s="1">
        <f t="shared" si="41"/>
        <v>45</v>
      </c>
      <c r="CE65" s="17">
        <f t="shared" si="42"/>
        <v>1</v>
      </c>
      <c r="CF65" s="1">
        <f t="shared" si="43"/>
        <v>45</v>
      </c>
      <c r="CG65" s="17">
        <f>HYPERLINK("http://exon.niaid.nih.gov/transcriptome/T_rubida/S2/links/cluster/Triru-pep-ext60-50-Sim-CLU5.txt", 5)</f>
        <v>5</v>
      </c>
      <c r="CH65" s="1">
        <f>HYPERLINK("http://exon.niaid.nih.gov/transcriptome/T_rubida/S2/links/cluster/Triru-pep-ext60-50-Sim-CLTL5.txt", 9)</f>
        <v>9</v>
      </c>
      <c r="CI65" s="17">
        <f>HYPERLINK("http://exon.niaid.nih.gov/transcriptome/T_rubida/S2/links/cluster/Triru-pep-ext65-50-Sim-CLU10.txt", 10)</f>
        <v>10</v>
      </c>
      <c r="CJ65" s="1">
        <f>HYPERLINK("http://exon.niaid.nih.gov/transcriptome/T_rubida/S2/links/cluster/Triru-pep-ext65-50-Sim-CLTL10.txt", 2)</f>
        <v>2</v>
      </c>
      <c r="CK65" s="17">
        <f>HYPERLINK("http://exon.niaid.nih.gov/transcriptome/T_rubida/S2/links/cluster/Triru-pep-ext70-50-Sim-CLU10.txt", 10)</f>
        <v>10</v>
      </c>
      <c r="CL65" s="1">
        <f>HYPERLINK("http://exon.niaid.nih.gov/transcriptome/T_rubida/S2/links/cluster/Triru-pep-ext70-50-Sim-CLTL10.txt", 2)</f>
        <v>2</v>
      </c>
      <c r="CM65" s="17">
        <v>47</v>
      </c>
      <c r="CN65" s="1">
        <v>1</v>
      </c>
      <c r="CO65" s="17">
        <v>55</v>
      </c>
      <c r="CP65" s="1">
        <v>1</v>
      </c>
      <c r="CQ65" s="17">
        <v>65</v>
      </c>
      <c r="CR65" s="1">
        <v>1</v>
      </c>
      <c r="CS65" s="17">
        <v>70</v>
      </c>
      <c r="CT65" s="1">
        <v>1</v>
      </c>
      <c r="CU65" s="17">
        <v>79</v>
      </c>
      <c r="CV65" s="1">
        <v>1</v>
      </c>
    </row>
    <row r="66" spans="1:100">
      <c r="A66" t="str">
        <f>HYPERLINK("http://exon.niaid.nih.gov/transcriptome/T_rubida/S2/links/pep/Triru-41-pep.txt","Triru-41")</f>
        <v>Triru-41</v>
      </c>
      <c r="B66">
        <v>172</v>
      </c>
      <c r="C66" s="1" t="s">
        <v>9</v>
      </c>
      <c r="D66" s="1" t="s">
        <v>3</v>
      </c>
      <c r="E66" t="str">
        <f>HYPERLINK("http://exon.niaid.nih.gov/transcriptome/T_rubida/S2/links/cds/Triru-41-cds.txt","Triru-41")</f>
        <v>Triru-41</v>
      </c>
      <c r="F66">
        <v>519</v>
      </c>
      <c r="G66" s="2" t="s">
        <v>1890</v>
      </c>
      <c r="H66" s="1">
        <v>1</v>
      </c>
      <c r="I66" s="3" t="s">
        <v>1272</v>
      </c>
      <c r="J66" s="17" t="str">
        <f>HYPERLINK("http://exon.niaid.nih.gov/transcriptome/T_rubida/S2/links/Sigp/Triru-41-SigP.txt","SIG")</f>
        <v>SIG</v>
      </c>
      <c r="K66" t="s">
        <v>1318</v>
      </c>
      <c r="L66" s="1">
        <v>18.446000000000002</v>
      </c>
      <c r="M66" s="1">
        <v>5.93</v>
      </c>
      <c r="N66" s="1">
        <v>16.442</v>
      </c>
      <c r="O66" s="1">
        <v>5.71</v>
      </c>
      <c r="P66" s="1">
        <v>2.1000000000000001E-2</v>
      </c>
      <c r="Q66" s="1">
        <v>0.93799999999999994</v>
      </c>
      <c r="R66" s="1">
        <v>9.4E-2</v>
      </c>
      <c r="S66" s="17" t="s">
        <v>18</v>
      </c>
      <c r="T66">
        <v>1</v>
      </c>
      <c r="U66" t="s">
        <v>1358</v>
      </c>
      <c r="V66" s="17">
        <v>0</v>
      </c>
      <c r="W66" t="s">
        <v>5</v>
      </c>
      <c r="X66" t="s">
        <v>5</v>
      </c>
      <c r="Y66" t="s">
        <v>5</v>
      </c>
      <c r="Z66" t="s">
        <v>5</v>
      </c>
      <c r="AA66" t="s">
        <v>5</v>
      </c>
      <c r="AB66" s="17" t="str">
        <f>HYPERLINK("http://exon.niaid.nih.gov/transcriptome/T_rubida/S2/links/netoglyc/TRIRU-41-netoglyc.txt","5")</f>
        <v>5</v>
      </c>
      <c r="AC66">
        <v>16.3</v>
      </c>
      <c r="AD66">
        <v>5.8</v>
      </c>
      <c r="AE66">
        <v>3.5</v>
      </c>
      <c r="AF66" s="17" t="s">
        <v>5</v>
      </c>
      <c r="AG66" s="2" t="str">
        <f>HYPERLINK("http://exon.niaid.nih.gov/transcriptome/T_rubida/S2/links/NR/Triru-41-NR.txt","unnamed protein product")</f>
        <v>unnamed protein product</v>
      </c>
      <c r="AH66" t="str">
        <f>HYPERLINK("http://www.ncbi.nlm.nih.gov/sutils/blink.cgi?pid=270046178","2E-042")</f>
        <v>2E-042</v>
      </c>
      <c r="AI66" t="str">
        <f>HYPERLINK("http://www.ncbi.nlm.nih.gov/protein/270046178","gi|270046178")</f>
        <v>gi|270046178</v>
      </c>
      <c r="AJ66">
        <v>175</v>
      </c>
      <c r="AK66">
        <v>176</v>
      </c>
      <c r="AL66">
        <v>178</v>
      </c>
      <c r="AM66">
        <v>51</v>
      </c>
      <c r="AN66">
        <v>99</v>
      </c>
      <c r="AO66" t="s">
        <v>59</v>
      </c>
      <c r="AP66" s="2" t="str">
        <f>HYPERLINK("http://exon.niaid.nih.gov/transcriptome/T_rubida/S2/links/SWISSP/Triru-41-SWISSP.txt","Procalin")</f>
        <v>Procalin</v>
      </c>
      <c r="AQ66" t="str">
        <f>HYPERLINK("http://www.uniprot.org/uniprot/Q9U6R6","8E-029")</f>
        <v>8E-029</v>
      </c>
      <c r="AR66" t="s">
        <v>180</v>
      </c>
      <c r="AS66">
        <v>126</v>
      </c>
      <c r="AT66">
        <v>167</v>
      </c>
      <c r="AU66">
        <v>169</v>
      </c>
      <c r="AV66">
        <v>38</v>
      </c>
      <c r="AW66">
        <v>99</v>
      </c>
      <c r="AX66">
        <v>108</v>
      </c>
      <c r="AY66">
        <v>14</v>
      </c>
      <c r="AZ66">
        <v>1</v>
      </c>
      <c r="BA66">
        <v>1</v>
      </c>
      <c r="BB66">
        <v>1</v>
      </c>
      <c r="BC66" t="s">
        <v>181</v>
      </c>
      <c r="BD66" s="2" t="s">
        <v>5</v>
      </c>
      <c r="BE66" t="s">
        <v>5</v>
      </c>
      <c r="BF66" t="s">
        <v>5</v>
      </c>
      <c r="BG66" t="s">
        <v>5</v>
      </c>
      <c r="BH66" t="s">
        <v>5</v>
      </c>
      <c r="BI66" s="2" t="str">
        <f>HYPERLINK("http://exon.niaid.nih.gov/transcriptome/T_rubida/S2/links/CDD/Triru-41-CDD.txt","Triabin")</f>
        <v>Triabin</v>
      </c>
      <c r="BJ66" t="str">
        <f>HYPERLINK("http://www.ncbi.nlm.nih.gov/Structure/cdd/cddsrv.cgi?uid=pfam03973&amp;version=v4.0","1E-013")</f>
        <v>1E-013</v>
      </c>
      <c r="BK66" t="s">
        <v>843</v>
      </c>
      <c r="BL66" s="2" t="str">
        <f>HYPERLINK("http://exon.niaid.nih.gov/transcriptome/T_rubida/S2/links/KOG/Triru-41-KOG.txt","Sortilin and related receptors")</f>
        <v>Sortilin and related receptors</v>
      </c>
      <c r="BM66" t="str">
        <f>HYPERLINK("http://www.ncbi.nlm.nih.gov/COG/grace/shokog.cgi?KOG3511","0.31")</f>
        <v>0.31</v>
      </c>
      <c r="BN66" t="s">
        <v>96</v>
      </c>
      <c r="BO66" s="2" t="str">
        <f>HYPERLINK("http://exon.niaid.nih.gov/transcriptome/T_rubida/S2/links/PFAM/Triru-41-PFAM.txt","Triabin")</f>
        <v>Triabin</v>
      </c>
      <c r="BP66" t="str">
        <f>HYPERLINK("http://pfam.sanger.ac.uk/family?acc=PF03973","3E-014")</f>
        <v>3E-014</v>
      </c>
      <c r="BQ66" s="2" t="str">
        <f>HYPERLINK("http://exon.niaid.nih.gov/transcriptome/T_rubida/S2/links/SMART/Triru-41-SMART.txt","KISc")</f>
        <v>KISc</v>
      </c>
      <c r="BR66" t="str">
        <f>HYPERLINK("http://smart.embl-heidelberg.de/smart/do_annotation.pl?DOMAIN=KISc&amp;BLAST=DUMMY","1.6")</f>
        <v>1.6</v>
      </c>
      <c r="BS66" s="17">
        <f t="shared" si="30"/>
        <v>1</v>
      </c>
      <c r="BT66" s="1">
        <f t="shared" si="31"/>
        <v>359</v>
      </c>
      <c r="BU66" s="17">
        <f t="shared" si="32"/>
        <v>1</v>
      </c>
      <c r="BV66" s="1">
        <f t="shared" si="33"/>
        <v>225</v>
      </c>
      <c r="BW66" s="17">
        <f t="shared" si="34"/>
        <v>2</v>
      </c>
      <c r="BX66" s="1">
        <f t="shared" si="35"/>
        <v>70</v>
      </c>
      <c r="BY66" s="17">
        <f t="shared" si="36"/>
        <v>1</v>
      </c>
      <c r="BZ66" s="1">
        <f t="shared" si="37"/>
        <v>69</v>
      </c>
      <c r="CA66" s="17">
        <f t="shared" si="38"/>
        <v>1</v>
      </c>
      <c r="CB66" s="1">
        <f t="shared" si="39"/>
        <v>69</v>
      </c>
      <c r="CC66" s="17">
        <f t="shared" si="40"/>
        <v>1</v>
      </c>
      <c r="CD66" s="1">
        <f t="shared" si="41"/>
        <v>45</v>
      </c>
      <c r="CE66" s="17">
        <f t="shared" si="42"/>
        <v>1</v>
      </c>
      <c r="CF66" s="1">
        <f t="shared" si="43"/>
        <v>45</v>
      </c>
      <c r="CG66" s="17">
        <f t="shared" ref="CG66:CG72" si="44">HYPERLINK("http://exon.niaid.nih.gov/transcriptome/T_rubida/S2/links/cluster/Triru-pep-ext60-50-Sim-CLU1.txt", 1)</f>
        <v>1</v>
      </c>
      <c r="CH66" s="1">
        <f t="shared" ref="CH66:CH72" si="45">HYPERLINK("http://exon.niaid.nih.gov/transcriptome/T_rubida/S2/links/cluster/Triru-pep-ext60-50-Sim-CLTL1.txt", 35)</f>
        <v>35</v>
      </c>
      <c r="CI66" s="17">
        <f>HYPERLINK("http://exon.niaid.nih.gov/transcriptome/T_rubida/S2/links/cluster/Triru-pep-ext65-50-Sim-CLU1.txt", 1)</f>
        <v>1</v>
      </c>
      <c r="CJ66" s="1">
        <f>HYPERLINK("http://exon.niaid.nih.gov/transcriptome/T_rubida/S2/links/cluster/Triru-pep-ext65-50-Sim-CLTL1.txt", 30)</f>
        <v>30</v>
      </c>
      <c r="CK66" s="17">
        <f>HYPERLINK("http://exon.niaid.nih.gov/transcriptome/T_rubida/S2/links/cluster/Triru-pep-ext70-50-Sim-CLU1.txt", 1)</f>
        <v>1</v>
      </c>
      <c r="CL66" s="1">
        <f>HYPERLINK("http://exon.niaid.nih.gov/transcriptome/T_rubida/S2/links/cluster/Triru-pep-ext70-50-Sim-CLTL1.txt", 28)</f>
        <v>28</v>
      </c>
      <c r="CM66" s="17">
        <f>HYPERLINK("http://exon.niaid.nih.gov/transcriptome/T_rubida/S2/links/cluster/Triru-pep-ext75-50-Sim-CLU1.txt", 1)</f>
        <v>1</v>
      </c>
      <c r="CN66" s="1">
        <f>HYPERLINK("http://exon.niaid.nih.gov/transcriptome/T_rubida/S2/links/cluster/Triru-pep-ext75-50-Sim-CLTL1.txt", 23)</f>
        <v>23</v>
      </c>
      <c r="CO66" s="17">
        <f>HYPERLINK("http://exon.niaid.nih.gov/transcriptome/T_rubida/S2/links/cluster/Triru-pep-ext80-50-Sim-CLU1.txt", 1)</f>
        <v>1</v>
      </c>
      <c r="CP66" s="1">
        <f>HYPERLINK("http://exon.niaid.nih.gov/transcriptome/T_rubida/S2/links/cluster/Triru-pep-ext80-50-Sim-CLTL1.txt", 23)</f>
        <v>23</v>
      </c>
      <c r="CQ66" s="17">
        <f>HYPERLINK("http://exon.niaid.nih.gov/transcriptome/T_rubida/S2/links/cluster/Triru-pep-ext85-50-Sim-CLU1.txt", 1)</f>
        <v>1</v>
      </c>
      <c r="CR66" s="1">
        <f>HYPERLINK("http://exon.niaid.nih.gov/transcriptome/T_rubida/S2/links/cluster/Triru-pep-ext85-50-Sim-CLTL1.txt", 15)</f>
        <v>15</v>
      </c>
      <c r="CS66" s="17">
        <f>HYPERLINK("http://exon.niaid.nih.gov/transcriptome/T_rubida/S2/links/cluster/Triru-pep-ext90-50-Sim-CLU1.txt", 1)</f>
        <v>1</v>
      </c>
      <c r="CT66" s="1">
        <f>HYPERLINK("http://exon.niaid.nih.gov/transcriptome/T_rubida/S2/links/cluster/Triru-pep-ext90-50-Sim-CLTL1.txt", 13)</f>
        <v>13</v>
      </c>
      <c r="CU66" s="17">
        <f>HYPERLINK("http://exon.niaid.nih.gov/transcriptome/T_rubida/S2/links/cluster/Triru-pep-ext95-50-Sim-CLU1.txt", 1)</f>
        <v>1</v>
      </c>
      <c r="CV66" s="1">
        <f>HYPERLINK("http://exon.niaid.nih.gov/transcriptome/T_rubida/S2/links/cluster/Triru-pep-ext95-50-Sim-CLTL1.txt", 8)</f>
        <v>8</v>
      </c>
    </row>
    <row r="67" spans="1:100">
      <c r="A67" t="str">
        <f>HYPERLINK("http://exon.niaid.nih.gov/transcriptome/T_rubida/S2/links/pep/Triru-39-pep.txt","Triru-39")</f>
        <v>Triru-39</v>
      </c>
      <c r="B67">
        <v>172</v>
      </c>
      <c r="C67" s="1" t="s">
        <v>9</v>
      </c>
      <c r="D67" s="1" t="s">
        <v>3</v>
      </c>
      <c r="E67" t="str">
        <f>HYPERLINK("http://exon.niaid.nih.gov/transcriptome/T_rubida/S2/links/cds/Triru-39-cds.txt","Triru-39")</f>
        <v>Triru-39</v>
      </c>
      <c r="F67">
        <v>519</v>
      </c>
      <c r="G67" s="2" t="s">
        <v>1890</v>
      </c>
      <c r="H67" s="1">
        <v>1</v>
      </c>
      <c r="I67" s="3" t="s">
        <v>1272</v>
      </c>
      <c r="J67" s="17" t="str">
        <f>HYPERLINK("http://exon.niaid.nih.gov/transcriptome/T_rubida/S2/links/Sigp/Triru-39-SigP.txt","SIG")</f>
        <v>SIG</v>
      </c>
      <c r="K67" t="s">
        <v>1318</v>
      </c>
      <c r="L67" s="1">
        <v>19.178000000000001</v>
      </c>
      <c r="M67" s="1">
        <v>5.94</v>
      </c>
      <c r="N67" s="1">
        <v>17.173999999999999</v>
      </c>
      <c r="O67" s="1">
        <v>5.71</v>
      </c>
      <c r="P67" s="1">
        <v>0.02</v>
      </c>
      <c r="Q67" s="1">
        <v>0.94399999999999995</v>
      </c>
      <c r="R67" s="1">
        <v>9.4E-2</v>
      </c>
      <c r="S67" s="17" t="s">
        <v>18</v>
      </c>
      <c r="T67">
        <v>1</v>
      </c>
      <c r="U67" t="s">
        <v>1364</v>
      </c>
      <c r="V67" s="17">
        <v>0</v>
      </c>
      <c r="W67" t="s">
        <v>5</v>
      </c>
      <c r="X67" t="s">
        <v>5</v>
      </c>
      <c r="Y67" t="s">
        <v>5</v>
      </c>
      <c r="Z67" t="s">
        <v>5</v>
      </c>
      <c r="AA67" t="s">
        <v>5</v>
      </c>
      <c r="AB67" s="17" t="str">
        <f>HYPERLINK("http://exon.niaid.nih.gov/transcriptome/T_rubida/S2/links/netoglyc/TRIRU-39-netoglyc.txt","5")</f>
        <v>5</v>
      </c>
      <c r="AC67">
        <v>16.3</v>
      </c>
      <c r="AD67">
        <v>7</v>
      </c>
      <c r="AE67">
        <v>4.7</v>
      </c>
      <c r="AF67" s="17" t="s">
        <v>5</v>
      </c>
      <c r="AG67" s="2" t="str">
        <f>HYPERLINK("http://exon.niaid.nih.gov/transcriptome/T_rubida/S2/links/NR/Triru-39-NR.txt","unnamed protein product")</f>
        <v>unnamed protein product</v>
      </c>
      <c r="AH67" t="str">
        <f>HYPERLINK("http://www.ncbi.nlm.nih.gov/sutils/blink.cgi?pid=270046244","3E-044")</f>
        <v>3E-044</v>
      </c>
      <c r="AI67" t="str">
        <f>HYPERLINK("http://www.ncbi.nlm.nih.gov/protein/270046244","gi|270046244")</f>
        <v>gi|270046244</v>
      </c>
      <c r="AJ67">
        <v>181</v>
      </c>
      <c r="AK67">
        <v>175</v>
      </c>
      <c r="AL67">
        <v>177</v>
      </c>
      <c r="AM67">
        <v>54</v>
      </c>
      <c r="AN67">
        <v>99</v>
      </c>
      <c r="AO67" t="s">
        <v>59</v>
      </c>
      <c r="AP67" s="2" t="str">
        <f>HYPERLINK("http://exon.niaid.nih.gov/transcriptome/T_rubida/S2/links/SWISSP/Triru-39-SWISSP.txt","Procalin")</f>
        <v>Procalin</v>
      </c>
      <c r="AQ67" t="str">
        <f>HYPERLINK("http://www.uniprot.org/uniprot/Q9U6R6","3E-029")</f>
        <v>3E-029</v>
      </c>
      <c r="AR67" t="s">
        <v>180</v>
      </c>
      <c r="AS67">
        <v>127</v>
      </c>
      <c r="AT67">
        <v>167</v>
      </c>
      <c r="AU67">
        <v>169</v>
      </c>
      <c r="AV67">
        <v>38</v>
      </c>
      <c r="AW67">
        <v>99</v>
      </c>
      <c r="AX67">
        <v>108</v>
      </c>
      <c r="AY67">
        <v>14</v>
      </c>
      <c r="AZ67">
        <v>1</v>
      </c>
      <c r="BA67">
        <v>1</v>
      </c>
      <c r="BB67">
        <v>1</v>
      </c>
      <c r="BC67" t="s">
        <v>181</v>
      </c>
      <c r="BD67" s="2" t="s">
        <v>5</v>
      </c>
      <c r="BE67" t="s">
        <v>5</v>
      </c>
      <c r="BF67" t="s">
        <v>5</v>
      </c>
      <c r="BG67" t="s">
        <v>5</v>
      </c>
      <c r="BH67" t="s">
        <v>5</v>
      </c>
      <c r="BI67" s="2" t="str">
        <f>HYPERLINK("http://exon.niaid.nih.gov/transcriptome/T_rubida/S2/links/CDD/Triru-39-CDD.txt","Triabin")</f>
        <v>Triabin</v>
      </c>
      <c r="BJ67" t="str">
        <f>HYPERLINK("http://www.ncbi.nlm.nih.gov/Structure/cdd/cddsrv.cgi?uid=pfam03973&amp;version=v4.0","1E-014")</f>
        <v>1E-014</v>
      </c>
      <c r="BK67" t="s">
        <v>850</v>
      </c>
      <c r="BL67" s="2" t="str">
        <f>HYPERLINK("http://exon.niaid.nih.gov/transcriptome/T_rubida/S2/links/KOG/Triru-39-KOG.txt","Voltage-gated Ca2+ channels, alpha1 subunits")</f>
        <v>Voltage-gated Ca2+ channels, alpha1 subunits</v>
      </c>
      <c r="BM67" t="str">
        <f>HYPERLINK("http://www.ncbi.nlm.nih.gov/COG/grace/shokog.cgi?KOG2301","2.2")</f>
        <v>2.2</v>
      </c>
      <c r="BN67" t="s">
        <v>58</v>
      </c>
      <c r="BO67" s="2" t="str">
        <f>HYPERLINK("http://exon.niaid.nih.gov/transcriptome/T_rubida/S2/links/PFAM/Triru-39-PFAM.txt","Triabin")</f>
        <v>Triabin</v>
      </c>
      <c r="BP67" t="str">
        <f>HYPERLINK("http://pfam.sanger.ac.uk/family?acc=PF03973","2E-015")</f>
        <v>2E-015</v>
      </c>
      <c r="BQ67" s="2" t="str">
        <f>HYPERLINK("http://exon.niaid.nih.gov/transcriptome/T_rubida/S2/links/SMART/Triru-39-SMART.txt","MCM")</f>
        <v>MCM</v>
      </c>
      <c r="BR67" t="str">
        <f>HYPERLINK("http://smart.embl-heidelberg.de/smart/do_annotation.pl?DOMAIN=MCM&amp;BLAST=DUMMY","0.63")</f>
        <v>0.63</v>
      </c>
      <c r="BS67" s="17">
        <f t="shared" si="30"/>
        <v>1</v>
      </c>
      <c r="BT67" s="1">
        <f t="shared" si="31"/>
        <v>359</v>
      </c>
      <c r="BU67" s="17">
        <f t="shared" si="32"/>
        <v>1</v>
      </c>
      <c r="BV67" s="1">
        <f t="shared" si="33"/>
        <v>225</v>
      </c>
      <c r="BW67" s="17">
        <f t="shared" si="34"/>
        <v>2</v>
      </c>
      <c r="BX67" s="1">
        <f t="shared" si="35"/>
        <v>70</v>
      </c>
      <c r="BY67" s="17">
        <f t="shared" si="36"/>
        <v>1</v>
      </c>
      <c r="BZ67" s="1">
        <f t="shared" si="37"/>
        <v>69</v>
      </c>
      <c r="CA67" s="17">
        <f t="shared" si="38"/>
        <v>1</v>
      </c>
      <c r="CB67" s="1">
        <f t="shared" si="39"/>
        <v>69</v>
      </c>
      <c r="CC67" s="17">
        <f t="shared" si="40"/>
        <v>1</v>
      </c>
      <c r="CD67" s="1">
        <f t="shared" si="41"/>
        <v>45</v>
      </c>
      <c r="CE67" s="17">
        <f t="shared" si="42"/>
        <v>1</v>
      </c>
      <c r="CF67" s="1">
        <f t="shared" si="43"/>
        <v>45</v>
      </c>
      <c r="CG67" s="17">
        <f t="shared" si="44"/>
        <v>1</v>
      </c>
      <c r="CH67" s="1">
        <f t="shared" si="45"/>
        <v>35</v>
      </c>
      <c r="CI67" s="17">
        <f>HYPERLINK("http://exon.niaid.nih.gov/transcriptome/T_rubida/S2/links/cluster/Triru-pep-ext65-50-Sim-CLU1.txt", 1)</f>
        <v>1</v>
      </c>
      <c r="CJ67" s="1">
        <f>HYPERLINK("http://exon.niaid.nih.gov/transcriptome/T_rubida/S2/links/cluster/Triru-pep-ext65-50-Sim-CLTL1.txt", 30)</f>
        <v>30</v>
      </c>
      <c r="CK67" s="17">
        <f>HYPERLINK("http://exon.niaid.nih.gov/transcriptome/T_rubida/S2/links/cluster/Triru-pep-ext70-50-Sim-CLU1.txt", 1)</f>
        <v>1</v>
      </c>
      <c r="CL67" s="1">
        <f>HYPERLINK("http://exon.niaid.nih.gov/transcriptome/T_rubida/S2/links/cluster/Triru-pep-ext70-50-Sim-CLTL1.txt", 28)</f>
        <v>28</v>
      </c>
      <c r="CM67" s="17">
        <f>HYPERLINK("http://exon.niaid.nih.gov/transcriptome/T_rubida/S2/links/cluster/Triru-pep-ext75-50-Sim-CLU1.txt", 1)</f>
        <v>1</v>
      </c>
      <c r="CN67" s="1">
        <f>HYPERLINK("http://exon.niaid.nih.gov/transcriptome/T_rubida/S2/links/cluster/Triru-pep-ext75-50-Sim-CLTL1.txt", 23)</f>
        <v>23</v>
      </c>
      <c r="CO67" s="17">
        <f>HYPERLINK("http://exon.niaid.nih.gov/transcriptome/T_rubida/S2/links/cluster/Triru-pep-ext80-50-Sim-CLU1.txt", 1)</f>
        <v>1</v>
      </c>
      <c r="CP67" s="1">
        <f>HYPERLINK("http://exon.niaid.nih.gov/transcriptome/T_rubida/S2/links/cluster/Triru-pep-ext80-50-Sim-CLTL1.txt", 23)</f>
        <v>23</v>
      </c>
      <c r="CQ67" s="17">
        <f>HYPERLINK("http://exon.niaid.nih.gov/transcriptome/T_rubida/S2/links/cluster/Triru-pep-ext85-50-Sim-CLU1.txt", 1)</f>
        <v>1</v>
      </c>
      <c r="CR67" s="1">
        <f>HYPERLINK("http://exon.niaid.nih.gov/transcriptome/T_rubida/S2/links/cluster/Triru-pep-ext85-50-Sim-CLTL1.txt", 15)</f>
        <v>15</v>
      </c>
      <c r="CS67" s="17">
        <f>HYPERLINK("http://exon.niaid.nih.gov/transcriptome/T_rubida/S2/links/cluster/Triru-pep-ext90-50-Sim-CLU1.txt", 1)</f>
        <v>1</v>
      </c>
      <c r="CT67" s="1">
        <f>HYPERLINK("http://exon.niaid.nih.gov/transcriptome/T_rubida/S2/links/cluster/Triru-pep-ext90-50-Sim-CLTL1.txt", 13)</f>
        <v>13</v>
      </c>
      <c r="CU67" s="17">
        <f>HYPERLINK("http://exon.niaid.nih.gov/transcriptome/T_rubida/S2/links/cluster/Triru-pep-ext95-50-Sim-CLU1.txt", 1)</f>
        <v>1</v>
      </c>
      <c r="CV67" s="1">
        <f>HYPERLINK("http://exon.niaid.nih.gov/transcriptome/T_rubida/S2/links/cluster/Triru-pep-ext95-50-Sim-CLTL1.txt", 8)</f>
        <v>8</v>
      </c>
    </row>
    <row r="68" spans="1:100">
      <c r="A68" t="str">
        <f>HYPERLINK("http://exon.niaid.nih.gov/transcriptome/T_rubida/S2/links/pep/Triru-36-pep.txt","Triru-36")</f>
        <v>Triru-36</v>
      </c>
      <c r="B68">
        <v>172</v>
      </c>
      <c r="C68" s="1" t="s">
        <v>9</v>
      </c>
      <c r="D68" s="1" t="s">
        <v>3</v>
      </c>
      <c r="E68" t="str">
        <f>HYPERLINK("http://exon.niaid.nih.gov/transcriptome/T_rubida/S2/links/cds/Triru-36-cds.txt","Triru-36")</f>
        <v>Triru-36</v>
      </c>
      <c r="F68">
        <v>519</v>
      </c>
      <c r="G68" s="2" t="s">
        <v>1890</v>
      </c>
      <c r="H68" s="1">
        <v>1</v>
      </c>
      <c r="I68" s="3" t="s">
        <v>1272</v>
      </c>
      <c r="J68" s="17" t="str">
        <f>HYPERLINK("http://exon.niaid.nih.gov/transcriptome/T_rubida/S2/links/Sigp/Triru-36-SigP.txt","SIG")</f>
        <v>SIG</v>
      </c>
      <c r="K68" t="s">
        <v>1318</v>
      </c>
      <c r="L68" s="1">
        <v>19.015000000000001</v>
      </c>
      <c r="M68" s="1">
        <v>5.51</v>
      </c>
      <c r="N68" s="1">
        <v>16.978000000000002</v>
      </c>
      <c r="O68" s="1">
        <v>5.33</v>
      </c>
      <c r="P68" s="1">
        <v>2.4E-2</v>
      </c>
      <c r="Q68" s="1">
        <v>0.93700000000000006</v>
      </c>
      <c r="R68" s="1">
        <v>9.4E-2</v>
      </c>
      <c r="S68" s="17" t="s">
        <v>18</v>
      </c>
      <c r="T68">
        <v>1</v>
      </c>
      <c r="U68" t="s">
        <v>1359</v>
      </c>
      <c r="V68" s="17">
        <v>0</v>
      </c>
      <c r="W68" t="s">
        <v>5</v>
      </c>
      <c r="X68" t="s">
        <v>5</v>
      </c>
      <c r="Y68" t="s">
        <v>5</v>
      </c>
      <c r="Z68" t="s">
        <v>5</v>
      </c>
      <c r="AA68" t="s">
        <v>5</v>
      </c>
      <c r="AB68" s="17" t="str">
        <f>HYPERLINK("http://exon.niaid.nih.gov/transcriptome/T_rubida/S2/links/netoglyc/TRIRU-36-netoglyc.txt","4")</f>
        <v>4</v>
      </c>
      <c r="AC68">
        <v>17.399999999999999</v>
      </c>
      <c r="AD68">
        <v>7</v>
      </c>
      <c r="AE68">
        <v>4.0999999999999996</v>
      </c>
      <c r="AF68" s="17" t="s">
        <v>5</v>
      </c>
      <c r="AG68" s="2" t="str">
        <f>HYPERLINK("http://exon.niaid.nih.gov/transcriptome/T_rubida/S2/links/NR/Triru-36-NR.txt","unnamed protein product")</f>
        <v>unnamed protein product</v>
      </c>
      <c r="AH68" t="str">
        <f>HYPERLINK("http://www.ncbi.nlm.nih.gov/sutils/blink.cgi?pid=270046164","1E-035")</f>
        <v>1E-035</v>
      </c>
      <c r="AI68" t="str">
        <f>HYPERLINK("http://www.ncbi.nlm.nih.gov/protein/270046164","gi|270046164")</f>
        <v>gi|270046164</v>
      </c>
      <c r="AJ68">
        <v>152</v>
      </c>
      <c r="AK68">
        <v>175</v>
      </c>
      <c r="AL68">
        <v>177</v>
      </c>
      <c r="AM68">
        <v>47</v>
      </c>
      <c r="AN68">
        <v>99</v>
      </c>
      <c r="AO68" t="s">
        <v>59</v>
      </c>
      <c r="AP68" s="2" t="str">
        <f>HYPERLINK("http://exon.niaid.nih.gov/transcriptome/T_rubida/S2/links/SWISSP/Triru-36-SWISSP.txt","Procalin")</f>
        <v>Procalin</v>
      </c>
      <c r="AQ68" t="str">
        <f>HYPERLINK("http://www.uniprot.org/uniprot/Q9U6R6","2E-025")</f>
        <v>2E-025</v>
      </c>
      <c r="AR68" t="s">
        <v>180</v>
      </c>
      <c r="AS68">
        <v>115</v>
      </c>
      <c r="AT68">
        <v>167</v>
      </c>
      <c r="AU68">
        <v>169</v>
      </c>
      <c r="AV68">
        <v>36</v>
      </c>
      <c r="AW68">
        <v>99</v>
      </c>
      <c r="AX68">
        <v>113</v>
      </c>
      <c r="AY68">
        <v>14</v>
      </c>
      <c r="AZ68">
        <v>1</v>
      </c>
      <c r="BA68">
        <v>1</v>
      </c>
      <c r="BB68">
        <v>1</v>
      </c>
      <c r="BC68" t="s">
        <v>181</v>
      </c>
      <c r="BD68" s="2" t="s">
        <v>5</v>
      </c>
      <c r="BE68" t="s">
        <v>5</v>
      </c>
      <c r="BF68" t="s">
        <v>5</v>
      </c>
      <c r="BG68" t="s">
        <v>5</v>
      </c>
      <c r="BH68" t="s">
        <v>5</v>
      </c>
      <c r="BI68" s="2" t="str">
        <f>HYPERLINK("http://exon.niaid.nih.gov/transcriptome/T_rubida/S2/links/CDD/Triru-36-CDD.txt","Triabin")</f>
        <v>Triabin</v>
      </c>
      <c r="BJ68" t="str">
        <f>HYPERLINK("http://www.ncbi.nlm.nih.gov/Structure/cdd/cddsrv.cgi?uid=pfam03973&amp;version=v4.0","2E-016")</f>
        <v>2E-016</v>
      </c>
      <c r="BK68" t="s">
        <v>849</v>
      </c>
      <c r="BL68" s="2" t="str">
        <f>HYPERLINK("http://exon.niaid.nih.gov/transcriptome/T_rubida/S2/links/KOG/Triru-36-KOG.txt","Cadherin EGF LAG seven-pass G-type receptor")</f>
        <v>Cadherin EGF LAG seven-pass G-type receptor</v>
      </c>
      <c r="BM68" t="str">
        <f>HYPERLINK("http://www.ncbi.nlm.nih.gov/COG/grace/shokog.cgi?KOG4289","0.37")</f>
        <v>0.37</v>
      </c>
      <c r="BN68" t="s">
        <v>179</v>
      </c>
      <c r="BO68" s="2" t="str">
        <f>HYPERLINK("http://exon.niaid.nih.gov/transcriptome/T_rubida/S2/links/PFAM/Triru-36-PFAM.txt","Triabin")</f>
        <v>Triabin</v>
      </c>
      <c r="BP68" t="str">
        <f>HYPERLINK("http://pfam.sanger.ac.uk/family?acc=PF03973","4E-017")</f>
        <v>4E-017</v>
      </c>
      <c r="BQ68" s="2" t="str">
        <f>HYPERLINK("http://exon.niaid.nih.gov/transcriptome/T_rubida/S2/links/SMART/Triru-36-SMART.txt","LH2")</f>
        <v>LH2</v>
      </c>
      <c r="BR68" t="str">
        <f>HYPERLINK("http://smart.embl-heidelberg.de/smart/do_annotation.pl?DOMAIN=LH2&amp;BLAST=DUMMY","1.4")</f>
        <v>1.4</v>
      </c>
      <c r="BS68" s="17">
        <f t="shared" si="30"/>
        <v>1</v>
      </c>
      <c r="BT68" s="1">
        <f t="shared" si="31"/>
        <v>359</v>
      </c>
      <c r="BU68" s="17">
        <f t="shared" si="32"/>
        <v>1</v>
      </c>
      <c r="BV68" s="1">
        <f t="shared" si="33"/>
        <v>225</v>
      </c>
      <c r="BW68" s="17">
        <f t="shared" si="34"/>
        <v>2</v>
      </c>
      <c r="BX68" s="1">
        <f t="shared" si="35"/>
        <v>70</v>
      </c>
      <c r="BY68" s="17">
        <f t="shared" si="36"/>
        <v>1</v>
      </c>
      <c r="BZ68" s="1">
        <f t="shared" si="37"/>
        <v>69</v>
      </c>
      <c r="CA68" s="17">
        <f t="shared" si="38"/>
        <v>1</v>
      </c>
      <c r="CB68" s="1">
        <f t="shared" si="39"/>
        <v>69</v>
      </c>
      <c r="CC68" s="17">
        <f t="shared" si="40"/>
        <v>1</v>
      </c>
      <c r="CD68" s="1">
        <f t="shared" si="41"/>
        <v>45</v>
      </c>
      <c r="CE68" s="17">
        <f t="shared" si="42"/>
        <v>1</v>
      </c>
      <c r="CF68" s="1">
        <f t="shared" si="43"/>
        <v>45</v>
      </c>
      <c r="CG68" s="17">
        <f t="shared" si="44"/>
        <v>1</v>
      </c>
      <c r="CH68" s="1">
        <f t="shared" si="45"/>
        <v>35</v>
      </c>
      <c r="CI68" s="17">
        <f>HYPERLINK("http://exon.niaid.nih.gov/transcriptome/T_rubida/S2/links/cluster/Triru-pep-ext65-50-Sim-CLU1.txt", 1)</f>
        <v>1</v>
      </c>
      <c r="CJ68" s="1">
        <f>HYPERLINK("http://exon.niaid.nih.gov/transcriptome/T_rubida/S2/links/cluster/Triru-pep-ext65-50-Sim-CLTL1.txt", 30)</f>
        <v>30</v>
      </c>
      <c r="CK68" s="17">
        <f>HYPERLINK("http://exon.niaid.nih.gov/transcriptome/T_rubida/S2/links/cluster/Triru-pep-ext70-50-Sim-CLU1.txt", 1)</f>
        <v>1</v>
      </c>
      <c r="CL68" s="1">
        <f>HYPERLINK("http://exon.niaid.nih.gov/transcriptome/T_rubida/S2/links/cluster/Triru-pep-ext70-50-Sim-CLTL1.txt", 28)</f>
        <v>28</v>
      </c>
      <c r="CM68" s="17">
        <f>HYPERLINK("http://exon.niaid.nih.gov/transcriptome/T_rubida/S2/links/cluster/Triru-pep-ext75-50-Sim-CLU1.txt", 1)</f>
        <v>1</v>
      </c>
      <c r="CN68" s="1">
        <f>HYPERLINK("http://exon.niaid.nih.gov/transcriptome/T_rubida/S2/links/cluster/Triru-pep-ext75-50-Sim-CLTL1.txt", 23)</f>
        <v>23</v>
      </c>
      <c r="CO68" s="17">
        <f>HYPERLINK("http://exon.niaid.nih.gov/transcriptome/T_rubida/S2/links/cluster/Triru-pep-ext80-50-Sim-CLU1.txt", 1)</f>
        <v>1</v>
      </c>
      <c r="CP68" s="1">
        <f>HYPERLINK("http://exon.niaid.nih.gov/transcriptome/T_rubida/S2/links/cluster/Triru-pep-ext80-50-Sim-CLTL1.txt", 23)</f>
        <v>23</v>
      </c>
      <c r="CQ68" s="17">
        <f>HYPERLINK("http://exon.niaid.nih.gov/transcriptome/T_rubida/S2/links/cluster/Triru-pep-ext85-50-Sim-CLU1.txt", 1)</f>
        <v>1</v>
      </c>
      <c r="CR68" s="1">
        <f>HYPERLINK("http://exon.niaid.nih.gov/transcriptome/T_rubida/S2/links/cluster/Triru-pep-ext85-50-Sim-CLTL1.txt", 15)</f>
        <v>15</v>
      </c>
      <c r="CS68" s="17">
        <f>HYPERLINK("http://exon.niaid.nih.gov/transcriptome/T_rubida/S2/links/cluster/Triru-pep-ext90-50-Sim-CLU6.txt", 6)</f>
        <v>6</v>
      </c>
      <c r="CT68" s="1">
        <f>HYPERLINK("http://exon.niaid.nih.gov/transcriptome/T_rubida/S2/links/cluster/Triru-pep-ext90-50-Sim-CLTL6.txt", 2)</f>
        <v>2</v>
      </c>
      <c r="CU68" s="17">
        <f>HYPERLINK("http://exon.niaid.nih.gov/transcriptome/T_rubida/S2/links/cluster/Triru-pep-ext95-50-Sim-CLU3.txt", 3)</f>
        <v>3</v>
      </c>
      <c r="CV68" s="1">
        <f>HYPERLINK("http://exon.niaid.nih.gov/transcriptome/T_rubida/S2/links/cluster/Triru-pep-ext95-50-Sim-CLTL3.txt", 2)</f>
        <v>2</v>
      </c>
    </row>
    <row r="69" spans="1:100">
      <c r="A69" t="str">
        <f>HYPERLINK("http://exon.niaid.nih.gov/transcriptome/T_rubida/S2/links/pep/Triru-40-pep.txt","Triru-40")</f>
        <v>Triru-40</v>
      </c>
      <c r="B69">
        <v>163</v>
      </c>
      <c r="C69" s="1" t="s">
        <v>10</v>
      </c>
      <c r="D69" s="1" t="s">
        <v>3</v>
      </c>
      <c r="E69" t="str">
        <f>HYPERLINK("http://exon.niaid.nih.gov/transcriptome/T_rubida/S2/links/cds/Triru-40-cds.txt","Triru-40")</f>
        <v>Triru-40</v>
      </c>
      <c r="F69">
        <v>492</v>
      </c>
      <c r="G69" s="2" t="s">
        <v>1890</v>
      </c>
      <c r="H69" s="1">
        <v>1</v>
      </c>
      <c r="I69" s="3" t="s">
        <v>1272</v>
      </c>
      <c r="J69" s="17" t="str">
        <f>HYPERLINK("http://exon.niaid.nih.gov/transcriptome/T_rubida/S2/links/Sigp/Triru-40-SigP.txt","CYT")</f>
        <v>CYT</v>
      </c>
      <c r="K69" t="s">
        <v>5</v>
      </c>
      <c r="L69" s="1">
        <v>18.041</v>
      </c>
      <c r="M69" s="1">
        <v>5.46</v>
      </c>
      <c r="P69" s="1">
        <v>4.2000000000000003E-2</v>
      </c>
      <c r="Q69" s="1">
        <v>0.32300000000000001</v>
      </c>
      <c r="R69" s="1">
        <v>0.71799999999999997</v>
      </c>
      <c r="S69" s="17" t="s">
        <v>1346</v>
      </c>
      <c r="T69">
        <v>4</v>
      </c>
      <c r="U69" t="s">
        <v>1368</v>
      </c>
      <c r="V69" s="17">
        <v>0</v>
      </c>
      <c r="W69" t="s">
        <v>5</v>
      </c>
      <c r="X69" t="s">
        <v>5</v>
      </c>
      <c r="Y69" t="s">
        <v>5</v>
      </c>
      <c r="Z69" t="s">
        <v>5</v>
      </c>
      <c r="AA69" t="s">
        <v>5</v>
      </c>
      <c r="AB69" s="17" t="str">
        <f>HYPERLINK("http://exon.niaid.nih.gov/transcriptome/T_rubida/S2/links/netoglyc/TRIRU-40-netoglyc.txt","7")</f>
        <v>7</v>
      </c>
      <c r="AC69">
        <v>16</v>
      </c>
      <c r="AD69">
        <v>7.4</v>
      </c>
      <c r="AE69">
        <v>4.3</v>
      </c>
      <c r="AF69" s="17" t="s">
        <v>5</v>
      </c>
      <c r="AG69" s="2" t="str">
        <f>HYPERLINK("http://exon.niaid.nih.gov/transcriptome/T_rubida/S2/links/NR/Triru-40-NR.txt","unnamed protein product")</f>
        <v>unnamed protein product</v>
      </c>
      <c r="AH69" t="str">
        <f>HYPERLINK("http://www.ncbi.nlm.nih.gov/sutils/blink.cgi?pid=270046178","1E-039")</f>
        <v>1E-039</v>
      </c>
      <c r="AI69" t="str">
        <f>HYPERLINK("http://www.ncbi.nlm.nih.gov/protein/270046178","gi|270046178")</f>
        <v>gi|270046178</v>
      </c>
      <c r="AJ69">
        <v>166</v>
      </c>
      <c r="AK69">
        <v>166</v>
      </c>
      <c r="AL69">
        <v>178</v>
      </c>
      <c r="AM69">
        <v>52</v>
      </c>
      <c r="AN69">
        <v>94</v>
      </c>
      <c r="AO69" t="s">
        <v>59</v>
      </c>
      <c r="AP69" s="2" t="str">
        <f>HYPERLINK("http://exon.niaid.nih.gov/transcriptome/T_rubida/S2/links/SWISSP/Triru-40-SWISSP.txt","Procalin")</f>
        <v>Procalin</v>
      </c>
      <c r="AQ69" t="str">
        <f>HYPERLINK("http://www.uniprot.org/uniprot/Q9U6R6","5E-024")</f>
        <v>5E-024</v>
      </c>
      <c r="AR69" t="s">
        <v>180</v>
      </c>
      <c r="AS69">
        <v>110</v>
      </c>
      <c r="AT69">
        <v>157</v>
      </c>
      <c r="AU69">
        <v>169</v>
      </c>
      <c r="AV69">
        <v>36</v>
      </c>
      <c r="AW69">
        <v>93</v>
      </c>
      <c r="AX69">
        <v>106</v>
      </c>
      <c r="AY69">
        <v>14</v>
      </c>
      <c r="AZ69">
        <v>11</v>
      </c>
      <c r="BA69">
        <v>2</v>
      </c>
      <c r="BB69">
        <v>1</v>
      </c>
      <c r="BC69" t="s">
        <v>181</v>
      </c>
      <c r="BD69" s="2" t="s">
        <v>5</v>
      </c>
      <c r="BE69" t="s">
        <v>5</v>
      </c>
      <c r="BF69" t="s">
        <v>5</v>
      </c>
      <c r="BG69" t="s">
        <v>5</v>
      </c>
      <c r="BH69" t="s">
        <v>5</v>
      </c>
      <c r="BI69" s="2" t="str">
        <f>HYPERLINK("http://exon.niaid.nih.gov/transcriptome/T_rubida/S2/links/CDD/Triru-40-CDD.txt","Triabin")</f>
        <v>Triabin</v>
      </c>
      <c r="BJ69" t="str">
        <f>HYPERLINK("http://www.ncbi.nlm.nih.gov/Structure/cdd/cddsrv.cgi?uid=pfam03973&amp;version=v4.0","2E-014")</f>
        <v>2E-014</v>
      </c>
      <c r="BK69" t="s">
        <v>1009</v>
      </c>
      <c r="BL69" s="2" t="str">
        <f>HYPERLINK("http://exon.niaid.nih.gov/transcriptome/T_rubida/S2/links/KOG/Triru-40-KOG.txt","Sortilin and related receptors")</f>
        <v>Sortilin and related receptors</v>
      </c>
      <c r="BM69" t="str">
        <f>HYPERLINK("http://www.ncbi.nlm.nih.gov/COG/grace/shokog.cgi?KOG3511","0.28")</f>
        <v>0.28</v>
      </c>
      <c r="BN69" t="s">
        <v>96</v>
      </c>
      <c r="BO69" s="2" t="str">
        <f>HYPERLINK("http://exon.niaid.nih.gov/transcriptome/T_rubida/S2/links/PFAM/Triru-40-PFAM.txt","Triabin")</f>
        <v>Triabin</v>
      </c>
      <c r="BP69" t="str">
        <f>HYPERLINK("http://pfam.sanger.ac.uk/family?acc=PF03973","5E-015")</f>
        <v>5E-015</v>
      </c>
      <c r="BQ69" s="2" t="str">
        <f>HYPERLINK("http://exon.niaid.nih.gov/transcriptome/T_rubida/S2/links/SMART/Triru-40-SMART.txt","EH")</f>
        <v>EH</v>
      </c>
      <c r="BR69" t="str">
        <f>HYPERLINK("http://smart.embl-heidelberg.de/smart/do_annotation.pl?DOMAIN=EH&amp;BLAST=DUMMY","0.47")</f>
        <v>0.47</v>
      </c>
      <c r="BS69" s="17">
        <f t="shared" si="30"/>
        <v>1</v>
      </c>
      <c r="BT69" s="1">
        <f t="shared" si="31"/>
        <v>359</v>
      </c>
      <c r="BU69" s="17">
        <f t="shared" si="32"/>
        <v>1</v>
      </c>
      <c r="BV69" s="1">
        <f t="shared" si="33"/>
        <v>225</v>
      </c>
      <c r="BW69" s="17">
        <f t="shared" si="34"/>
        <v>2</v>
      </c>
      <c r="BX69" s="1">
        <f t="shared" si="35"/>
        <v>70</v>
      </c>
      <c r="BY69" s="17">
        <f t="shared" si="36"/>
        <v>1</v>
      </c>
      <c r="BZ69" s="1">
        <f t="shared" si="37"/>
        <v>69</v>
      </c>
      <c r="CA69" s="17">
        <f t="shared" si="38"/>
        <v>1</v>
      </c>
      <c r="CB69" s="1">
        <f t="shared" si="39"/>
        <v>69</v>
      </c>
      <c r="CC69" s="17">
        <f t="shared" si="40"/>
        <v>1</v>
      </c>
      <c r="CD69" s="1">
        <f t="shared" si="41"/>
        <v>45</v>
      </c>
      <c r="CE69" s="17">
        <f t="shared" si="42"/>
        <v>1</v>
      </c>
      <c r="CF69" s="1">
        <f t="shared" si="43"/>
        <v>45</v>
      </c>
      <c r="CG69" s="17">
        <f t="shared" si="44"/>
        <v>1</v>
      </c>
      <c r="CH69" s="1">
        <f t="shared" si="45"/>
        <v>35</v>
      </c>
      <c r="CI69" s="17">
        <f>HYPERLINK("http://exon.niaid.nih.gov/transcriptome/T_rubida/S2/links/cluster/Triru-pep-ext65-50-Sim-CLU1.txt", 1)</f>
        <v>1</v>
      </c>
      <c r="CJ69" s="1">
        <f>HYPERLINK("http://exon.niaid.nih.gov/transcriptome/T_rubida/S2/links/cluster/Triru-pep-ext65-50-Sim-CLTL1.txt", 30)</f>
        <v>30</v>
      </c>
      <c r="CK69" s="17">
        <f>HYPERLINK("http://exon.niaid.nih.gov/transcriptome/T_rubida/S2/links/cluster/Triru-pep-ext70-50-Sim-CLU1.txt", 1)</f>
        <v>1</v>
      </c>
      <c r="CL69" s="1">
        <f>HYPERLINK("http://exon.niaid.nih.gov/transcriptome/T_rubida/S2/links/cluster/Triru-pep-ext70-50-Sim-CLTL1.txt", 28)</f>
        <v>28</v>
      </c>
      <c r="CM69" s="17">
        <f>HYPERLINK("http://exon.niaid.nih.gov/transcriptome/T_rubida/S2/links/cluster/Triru-pep-ext75-50-Sim-CLU1.txt", 1)</f>
        <v>1</v>
      </c>
      <c r="CN69" s="1">
        <f>HYPERLINK("http://exon.niaid.nih.gov/transcriptome/T_rubida/S2/links/cluster/Triru-pep-ext75-50-Sim-CLTL1.txt", 23)</f>
        <v>23</v>
      </c>
      <c r="CO69" s="17">
        <f>HYPERLINK("http://exon.niaid.nih.gov/transcriptome/T_rubida/S2/links/cluster/Triru-pep-ext80-50-Sim-CLU1.txt", 1)</f>
        <v>1</v>
      </c>
      <c r="CP69" s="1">
        <f>HYPERLINK("http://exon.niaid.nih.gov/transcriptome/T_rubida/S2/links/cluster/Triru-pep-ext80-50-Sim-CLTL1.txt", 23)</f>
        <v>23</v>
      </c>
      <c r="CQ69" s="17">
        <f>HYPERLINK("http://exon.niaid.nih.gov/transcriptome/T_rubida/S2/links/cluster/Triru-pep-ext85-50-Sim-CLU1.txt", 1)</f>
        <v>1</v>
      </c>
      <c r="CR69" s="1">
        <f>HYPERLINK("http://exon.niaid.nih.gov/transcriptome/T_rubida/S2/links/cluster/Triru-pep-ext85-50-Sim-CLTL1.txt", 15)</f>
        <v>15</v>
      </c>
      <c r="CS69" s="17">
        <f>HYPERLINK("http://exon.niaid.nih.gov/transcriptome/T_rubida/S2/links/cluster/Triru-pep-ext90-50-Sim-CLU1.txt", 1)</f>
        <v>1</v>
      </c>
      <c r="CT69" s="1">
        <f>HYPERLINK("http://exon.niaid.nih.gov/transcriptome/T_rubida/S2/links/cluster/Triru-pep-ext90-50-Sim-CLTL1.txt", 13)</f>
        <v>13</v>
      </c>
      <c r="CU69" s="17">
        <v>45</v>
      </c>
      <c r="CV69" s="1">
        <v>1</v>
      </c>
    </row>
    <row r="70" spans="1:100">
      <c r="A70" t="str">
        <f>HYPERLINK("http://exon.niaid.nih.gov/transcriptome/T_rubida/S2/links/pep/Triru-45-pep.txt","Triru-45")</f>
        <v>Triru-45</v>
      </c>
      <c r="B70">
        <v>80</v>
      </c>
      <c r="C70" s="1" t="s">
        <v>17</v>
      </c>
      <c r="D70" s="1" t="s">
        <v>3</v>
      </c>
      <c r="E70" t="str">
        <f>HYPERLINK("http://exon.niaid.nih.gov/transcriptome/T_rubida/S2/links/cds/Triru-45-cds.txt","Triru-45")</f>
        <v>Triru-45</v>
      </c>
      <c r="F70">
        <v>243</v>
      </c>
      <c r="G70" s="2" t="s">
        <v>1890</v>
      </c>
      <c r="H70" s="1">
        <v>1</v>
      </c>
      <c r="I70" s="3" t="s">
        <v>1272</v>
      </c>
      <c r="J70" s="17" t="str">
        <f>HYPERLINK("http://exon.niaid.nih.gov/transcriptome/T_rubida/S2/links/Sigp/Triru-45-SigP.txt","CYT")</f>
        <v>CYT</v>
      </c>
      <c r="K70" t="s">
        <v>5</v>
      </c>
      <c r="L70" s="1">
        <v>9.0879999999999992</v>
      </c>
      <c r="M70" s="1">
        <v>6.75</v>
      </c>
      <c r="P70" s="1">
        <v>0.125</v>
      </c>
      <c r="Q70" s="1">
        <v>6.4000000000000001E-2</v>
      </c>
      <c r="R70" s="1">
        <v>0.83299999999999996</v>
      </c>
      <c r="S70" s="17" t="s">
        <v>1346</v>
      </c>
      <c r="T70">
        <v>2</v>
      </c>
      <c r="U70" t="s">
        <v>1384</v>
      </c>
      <c r="V70" s="17">
        <v>0</v>
      </c>
      <c r="W70" t="s">
        <v>5</v>
      </c>
      <c r="X70" t="s">
        <v>5</v>
      </c>
      <c r="Y70" t="s">
        <v>5</v>
      </c>
      <c r="Z70" t="s">
        <v>5</v>
      </c>
      <c r="AA70" t="s">
        <v>5</v>
      </c>
      <c r="AB70" s="17" t="str">
        <f>HYPERLINK("http://exon.niaid.nih.gov/transcriptome/T_rubida/S2/links/netoglyc/TRIRU-45-netoglyc.txt","0")</f>
        <v>0</v>
      </c>
      <c r="AC70">
        <v>16.3</v>
      </c>
      <c r="AD70">
        <v>5</v>
      </c>
      <c r="AE70">
        <v>6.3</v>
      </c>
      <c r="AF70" s="17" t="s">
        <v>5</v>
      </c>
      <c r="AG70" s="2" t="str">
        <f>HYPERLINK("http://exon.niaid.nih.gov/transcriptome/T_rubida/S2/links/NR/Triru-45-NR.txt","unnamed protein product")</f>
        <v>unnamed protein product</v>
      </c>
      <c r="AH70" t="str">
        <f>HYPERLINK("http://www.ncbi.nlm.nih.gov/sutils/blink.cgi?pid=270046158","3E-012")</f>
        <v>3E-012</v>
      </c>
      <c r="AI70" t="str">
        <f>HYPERLINK("http://www.ncbi.nlm.nih.gov/protein/270046158","gi|270046158")</f>
        <v>gi|270046158</v>
      </c>
      <c r="AJ70">
        <v>75.099999999999994</v>
      </c>
      <c r="AK70">
        <v>79</v>
      </c>
      <c r="AL70">
        <v>174</v>
      </c>
      <c r="AM70">
        <v>51</v>
      </c>
      <c r="AN70">
        <v>46</v>
      </c>
      <c r="AO70" t="s">
        <v>59</v>
      </c>
      <c r="AP70" s="2" t="str">
        <f>HYPERLINK("http://exon.niaid.nih.gov/transcriptome/T_rubida/S2/links/SWISSP/Triru-45-SWISSP.txt","Procalin")</f>
        <v>Procalin</v>
      </c>
      <c r="AQ70" t="str">
        <f>HYPERLINK("http://www.uniprot.org/uniprot/Q9U6R6","3E-008")</f>
        <v>3E-008</v>
      </c>
      <c r="AR70" t="s">
        <v>180</v>
      </c>
      <c r="AS70">
        <v>57</v>
      </c>
      <c r="AT70">
        <v>76</v>
      </c>
      <c r="AU70">
        <v>169</v>
      </c>
      <c r="AV70">
        <v>33</v>
      </c>
      <c r="AW70">
        <v>46</v>
      </c>
      <c r="AX70">
        <v>51</v>
      </c>
      <c r="AY70">
        <v>4</v>
      </c>
      <c r="AZ70">
        <v>92</v>
      </c>
      <c r="BA70">
        <v>3</v>
      </c>
      <c r="BB70">
        <v>1</v>
      </c>
      <c r="BC70" t="s">
        <v>181</v>
      </c>
      <c r="BD70" s="2" t="s">
        <v>5</v>
      </c>
      <c r="BE70" t="s">
        <v>5</v>
      </c>
      <c r="BF70" t="s">
        <v>5</v>
      </c>
      <c r="BG70" t="s">
        <v>5</v>
      </c>
      <c r="BH70" t="s">
        <v>5</v>
      </c>
      <c r="BI70" s="2" t="str">
        <f>HYPERLINK("http://exon.niaid.nih.gov/transcriptome/T_rubida/S2/links/CDD/Triru-45-CDD.txt","Triabin")</f>
        <v>Triabin</v>
      </c>
      <c r="BJ70" t="str">
        <f>HYPERLINK("http://www.ncbi.nlm.nih.gov/Structure/cdd/cddsrv.cgi?uid=pfam03973&amp;version=v4.0","0.28")</f>
        <v>0.28</v>
      </c>
      <c r="BK70" t="s">
        <v>1095</v>
      </c>
      <c r="BL70" s="2" t="str">
        <f>HYPERLINK("http://exon.niaid.nih.gov/transcriptome/T_rubida/S2/links/KOG/Triru-45-KOG.txt","Actin filament-binding protein Afadin")</f>
        <v>Actin filament-binding protein Afadin</v>
      </c>
      <c r="BM70" t="str">
        <f>HYPERLINK("http://www.ncbi.nlm.nih.gov/COG/grace/shokog.cgi?KOG1892","1.1")</f>
        <v>1.1</v>
      </c>
      <c r="BN70" t="s">
        <v>147</v>
      </c>
      <c r="BO70" s="2" t="str">
        <f>HYPERLINK("http://exon.niaid.nih.gov/transcriptome/T_rubida/S2/links/PFAM/Triru-45-PFAM.txt","Triabin")</f>
        <v>Triabin</v>
      </c>
      <c r="BP70" t="str">
        <f>HYPERLINK("http://pfam.sanger.ac.uk/family?acc=PF03973","0.061")</f>
        <v>0.061</v>
      </c>
      <c r="BQ70" s="2" t="str">
        <f>HYPERLINK("http://exon.niaid.nih.gov/transcriptome/T_rubida/S2/links/SMART/Triru-45-SMART.txt","AMOP")</f>
        <v>AMOP</v>
      </c>
      <c r="BR70" t="str">
        <f>HYPERLINK("http://smart.embl-heidelberg.de/smart/do_annotation.pl?DOMAIN=AMOP&amp;BLAST=DUMMY","2.0")</f>
        <v>2.0</v>
      </c>
      <c r="BS70" s="17">
        <f t="shared" si="30"/>
        <v>1</v>
      </c>
      <c r="BT70" s="1">
        <f t="shared" si="31"/>
        <v>359</v>
      </c>
      <c r="BU70" s="17">
        <f t="shared" si="32"/>
        <v>1</v>
      </c>
      <c r="BV70" s="1">
        <f t="shared" si="33"/>
        <v>225</v>
      </c>
      <c r="BW70" s="17">
        <f t="shared" si="34"/>
        <v>2</v>
      </c>
      <c r="BX70" s="1">
        <f t="shared" si="35"/>
        <v>70</v>
      </c>
      <c r="BY70" s="17">
        <f t="shared" si="36"/>
        <v>1</v>
      </c>
      <c r="BZ70" s="1">
        <f t="shared" si="37"/>
        <v>69</v>
      </c>
      <c r="CA70" s="17">
        <f t="shared" si="38"/>
        <v>1</v>
      </c>
      <c r="CB70" s="1">
        <f t="shared" si="39"/>
        <v>69</v>
      </c>
      <c r="CC70" s="17">
        <f t="shared" si="40"/>
        <v>1</v>
      </c>
      <c r="CD70" s="1">
        <f t="shared" si="41"/>
        <v>45</v>
      </c>
      <c r="CE70" s="17">
        <f t="shared" si="42"/>
        <v>1</v>
      </c>
      <c r="CF70" s="1">
        <f t="shared" si="43"/>
        <v>45</v>
      </c>
      <c r="CG70" s="17">
        <f t="shared" si="44"/>
        <v>1</v>
      </c>
      <c r="CH70" s="1">
        <f t="shared" si="45"/>
        <v>35</v>
      </c>
      <c r="CI70" s="17">
        <f>HYPERLINK("http://exon.niaid.nih.gov/transcriptome/T_rubida/S2/links/cluster/Triru-pep-ext65-50-Sim-CLU9.txt", 9)</f>
        <v>9</v>
      </c>
      <c r="CJ70" s="1">
        <f>HYPERLINK("http://exon.niaid.nih.gov/transcriptome/T_rubida/S2/links/cluster/Triru-pep-ext65-50-Sim-CLTL9.txt", 2)</f>
        <v>2</v>
      </c>
      <c r="CK70" s="17">
        <f>HYPERLINK("http://exon.niaid.nih.gov/transcriptome/T_rubida/S2/links/cluster/Triru-pep-ext70-50-Sim-CLU8.txt", 8)</f>
        <v>8</v>
      </c>
      <c r="CL70" s="1">
        <f>HYPERLINK("http://exon.niaid.nih.gov/transcriptome/T_rubida/S2/links/cluster/Triru-pep-ext70-50-Sim-CLTL8.txt", 2)</f>
        <v>2</v>
      </c>
      <c r="CM70" s="17">
        <f>HYPERLINK("http://exon.niaid.nih.gov/transcriptome/T_rubida/S2/links/cluster/Triru-pep-ext75-50-Sim-CLU9.txt", 9)</f>
        <v>9</v>
      </c>
      <c r="CN70" s="1">
        <f>HYPERLINK("http://exon.niaid.nih.gov/transcriptome/T_rubida/S2/links/cluster/Triru-pep-ext75-50-Sim-CLTL9.txt", 2)</f>
        <v>2</v>
      </c>
      <c r="CO70" s="17">
        <v>40</v>
      </c>
      <c r="CP70" s="1">
        <v>1</v>
      </c>
      <c r="CQ70" s="17">
        <v>42</v>
      </c>
      <c r="CR70" s="1">
        <v>1</v>
      </c>
      <c r="CS70" s="17">
        <v>43</v>
      </c>
      <c r="CT70" s="1">
        <v>1</v>
      </c>
      <c r="CU70" s="17">
        <v>47</v>
      </c>
      <c r="CV70" s="1">
        <v>1</v>
      </c>
    </row>
    <row r="71" spans="1:100">
      <c r="A71" t="str">
        <f>HYPERLINK("http://exon.niaid.nih.gov/transcriptome/T_rubida/S2/links/pep/Triru-37-pep.txt","Triru-37")</f>
        <v>Triru-37</v>
      </c>
      <c r="B71">
        <v>143</v>
      </c>
      <c r="C71" s="1" t="s">
        <v>14</v>
      </c>
      <c r="D71" s="1" t="s">
        <v>3</v>
      </c>
      <c r="E71" t="str">
        <f>HYPERLINK("http://exon.niaid.nih.gov/transcriptome/T_rubida/S2/links/cds/Triru-37-cds.txt","Triru-37")</f>
        <v>Triru-37</v>
      </c>
      <c r="F71">
        <v>432</v>
      </c>
      <c r="G71" s="2" t="s">
        <v>1890</v>
      </c>
      <c r="H71" s="1">
        <v>1</v>
      </c>
      <c r="I71" s="3" t="s">
        <v>1272</v>
      </c>
      <c r="J71" s="17" t="str">
        <f>HYPERLINK("http://exon.niaid.nih.gov/transcriptome/T_rubida/S2/links/Sigp/Triru-37-SigP.txt","CYT")</f>
        <v>CYT</v>
      </c>
      <c r="K71" t="s">
        <v>5</v>
      </c>
      <c r="L71" s="1">
        <v>15.919</v>
      </c>
      <c r="M71" s="1">
        <v>8.2799999999999994</v>
      </c>
      <c r="P71" s="1">
        <v>0.115</v>
      </c>
      <c r="Q71" s="1">
        <v>4.3999999999999997E-2</v>
      </c>
      <c r="R71" s="1">
        <v>0.91500000000000004</v>
      </c>
      <c r="S71" s="17" t="s">
        <v>1346</v>
      </c>
      <c r="T71">
        <v>2</v>
      </c>
      <c r="U71" t="s">
        <v>1374</v>
      </c>
      <c r="V71" s="17">
        <v>0</v>
      </c>
      <c r="W71" t="s">
        <v>5</v>
      </c>
      <c r="X71" t="s">
        <v>5</v>
      </c>
      <c r="Y71" t="s">
        <v>5</v>
      </c>
      <c r="Z71" t="s">
        <v>5</v>
      </c>
      <c r="AA71" t="s">
        <v>5</v>
      </c>
      <c r="AB71" s="17" t="str">
        <f>HYPERLINK("http://exon.niaid.nih.gov/transcriptome/T_rubida/S2/links/netoglyc/TRIRU-37-netoglyc.txt","3")</f>
        <v>3</v>
      </c>
      <c r="AC71">
        <v>17.5</v>
      </c>
      <c r="AD71">
        <v>5.6</v>
      </c>
      <c r="AE71">
        <v>4.2</v>
      </c>
      <c r="AF71" s="17" t="s">
        <v>5</v>
      </c>
      <c r="AG71" s="2" t="str">
        <f>HYPERLINK("http://exon.niaid.nih.gov/transcriptome/T_rubida/S2/links/NR/Triru-37-NR.txt","unnamed protein product")</f>
        <v>unnamed protein product</v>
      </c>
      <c r="AH71" t="str">
        <f>HYPERLINK("http://www.ncbi.nlm.nih.gov/sutils/blink.cgi?pid=270046244","4E-028")</f>
        <v>4E-028</v>
      </c>
      <c r="AI71" t="str">
        <f>HYPERLINK("http://www.ncbi.nlm.nih.gov/protein/270046244","gi|270046244")</f>
        <v>gi|270046244</v>
      </c>
      <c r="AJ71">
        <v>127</v>
      </c>
      <c r="AK71">
        <v>145</v>
      </c>
      <c r="AL71">
        <v>177</v>
      </c>
      <c r="AM71">
        <v>47</v>
      </c>
      <c r="AN71">
        <v>82</v>
      </c>
      <c r="AO71" t="s">
        <v>59</v>
      </c>
      <c r="AP71" s="2" t="str">
        <f>HYPERLINK("http://exon.niaid.nih.gov/transcriptome/T_rubida/S2/links/SWISSP/Triru-37-SWISSP.txt","Procalin")</f>
        <v>Procalin</v>
      </c>
      <c r="AQ71" t="str">
        <f>HYPERLINK("http://www.uniprot.org/uniprot/Q9U6R6","2E-017")</f>
        <v>2E-017</v>
      </c>
      <c r="AR71" t="s">
        <v>180</v>
      </c>
      <c r="AS71">
        <v>87.4</v>
      </c>
      <c r="AT71">
        <v>141</v>
      </c>
      <c r="AU71">
        <v>169</v>
      </c>
      <c r="AV71">
        <v>31</v>
      </c>
      <c r="AW71">
        <v>84</v>
      </c>
      <c r="AX71">
        <v>98</v>
      </c>
      <c r="AY71">
        <v>7</v>
      </c>
      <c r="AZ71">
        <v>27</v>
      </c>
      <c r="BA71">
        <v>5</v>
      </c>
      <c r="BB71">
        <v>1</v>
      </c>
      <c r="BC71" t="s">
        <v>181</v>
      </c>
      <c r="BD71" s="2" t="s">
        <v>5</v>
      </c>
      <c r="BE71" t="s">
        <v>5</v>
      </c>
      <c r="BF71" t="s">
        <v>5</v>
      </c>
      <c r="BG71" t="s">
        <v>5</v>
      </c>
      <c r="BH71" t="s">
        <v>5</v>
      </c>
      <c r="BI71" s="2" t="str">
        <f>HYPERLINK("http://exon.niaid.nih.gov/transcriptome/T_rubida/S2/links/CDD/Triru-37-CDD.txt","Triabin")</f>
        <v>Triabin</v>
      </c>
      <c r="BJ71" t="str">
        <f>HYPERLINK("http://www.ncbi.nlm.nih.gov/Structure/cdd/cddsrv.cgi?uid=pfam03973&amp;version=v4.0","4E-015")</f>
        <v>4E-015</v>
      </c>
      <c r="BK71" t="s">
        <v>760</v>
      </c>
      <c r="BL71" s="2" t="str">
        <f>HYPERLINK("http://exon.niaid.nih.gov/transcriptome/T_rubida/S2/links/KOG/Triru-37-KOG.txt","Cadherin EGF LAG seven-pass G-type receptor")</f>
        <v>Cadherin EGF LAG seven-pass G-type receptor</v>
      </c>
      <c r="BM71" t="str">
        <f>HYPERLINK("http://www.ncbi.nlm.nih.gov/COG/grace/shokog.cgi?KOG4289","0.51")</f>
        <v>0.51</v>
      </c>
      <c r="BN71" t="s">
        <v>179</v>
      </c>
      <c r="BO71" s="2" t="str">
        <f>HYPERLINK("http://exon.niaid.nih.gov/transcriptome/T_rubida/S2/links/PFAM/Triru-37-PFAM.txt","Triabin")</f>
        <v>Triabin</v>
      </c>
      <c r="BP71" t="str">
        <f>HYPERLINK("http://pfam.sanger.ac.uk/family?acc=PF03973","8E-016")</f>
        <v>8E-016</v>
      </c>
      <c r="BQ71" s="2" t="str">
        <f>HYPERLINK("http://exon.niaid.nih.gov/transcriptome/T_rubida/S2/links/SMART/Triru-37-SMART.txt","EH")</f>
        <v>EH</v>
      </c>
      <c r="BR71" t="str">
        <f>HYPERLINK("http://smart.embl-heidelberg.de/smart/do_annotation.pl?DOMAIN=EH&amp;BLAST=DUMMY","0.59")</f>
        <v>0.59</v>
      </c>
      <c r="BS71" s="17">
        <f t="shared" si="30"/>
        <v>1</v>
      </c>
      <c r="BT71" s="1">
        <f t="shared" si="31"/>
        <v>359</v>
      </c>
      <c r="BU71" s="17">
        <f t="shared" si="32"/>
        <v>1</v>
      </c>
      <c r="BV71" s="1">
        <f t="shared" si="33"/>
        <v>225</v>
      </c>
      <c r="BW71" s="17">
        <f t="shared" si="34"/>
        <v>2</v>
      </c>
      <c r="BX71" s="1">
        <f t="shared" si="35"/>
        <v>70</v>
      </c>
      <c r="BY71" s="17">
        <f t="shared" si="36"/>
        <v>1</v>
      </c>
      <c r="BZ71" s="1">
        <f t="shared" si="37"/>
        <v>69</v>
      </c>
      <c r="CA71" s="17">
        <f t="shared" si="38"/>
        <v>1</v>
      </c>
      <c r="CB71" s="1">
        <f t="shared" si="39"/>
        <v>69</v>
      </c>
      <c r="CC71" s="17">
        <f t="shared" si="40"/>
        <v>1</v>
      </c>
      <c r="CD71" s="1">
        <f t="shared" si="41"/>
        <v>45</v>
      </c>
      <c r="CE71" s="17">
        <f t="shared" si="42"/>
        <v>1</v>
      </c>
      <c r="CF71" s="1">
        <f t="shared" si="43"/>
        <v>45</v>
      </c>
      <c r="CG71" s="17">
        <f t="shared" si="44"/>
        <v>1</v>
      </c>
      <c r="CH71" s="1">
        <f t="shared" si="45"/>
        <v>35</v>
      </c>
      <c r="CI71" s="17">
        <f>HYPERLINK("http://exon.niaid.nih.gov/transcriptome/T_rubida/S2/links/cluster/Triru-pep-ext65-50-Sim-CLU1.txt", 1)</f>
        <v>1</v>
      </c>
      <c r="CJ71" s="1">
        <f>HYPERLINK("http://exon.niaid.nih.gov/transcriptome/T_rubida/S2/links/cluster/Triru-pep-ext65-50-Sim-CLTL1.txt", 30)</f>
        <v>30</v>
      </c>
      <c r="CK71" s="17">
        <f>HYPERLINK("http://exon.niaid.nih.gov/transcriptome/T_rubida/S2/links/cluster/Triru-pep-ext70-50-Sim-CLU1.txt", 1)</f>
        <v>1</v>
      </c>
      <c r="CL71" s="1">
        <f>HYPERLINK("http://exon.niaid.nih.gov/transcriptome/T_rubida/S2/links/cluster/Triru-pep-ext70-50-Sim-CLTL1.txt", 28)</f>
        <v>28</v>
      </c>
      <c r="CM71" s="17">
        <f>HYPERLINK("http://exon.niaid.nih.gov/transcriptome/T_rubida/S2/links/cluster/Triru-pep-ext75-50-Sim-CLU1.txt", 1)</f>
        <v>1</v>
      </c>
      <c r="CN71" s="1">
        <f>HYPERLINK("http://exon.niaid.nih.gov/transcriptome/T_rubida/S2/links/cluster/Triru-pep-ext75-50-Sim-CLTL1.txt", 23)</f>
        <v>23</v>
      </c>
      <c r="CO71" s="17">
        <f>HYPERLINK("http://exon.niaid.nih.gov/transcriptome/T_rubida/S2/links/cluster/Triru-pep-ext80-50-Sim-CLU1.txt", 1)</f>
        <v>1</v>
      </c>
      <c r="CP71" s="1">
        <f>HYPERLINK("http://exon.niaid.nih.gov/transcriptome/T_rubida/S2/links/cluster/Triru-pep-ext80-50-Sim-CLTL1.txt", 23)</f>
        <v>23</v>
      </c>
      <c r="CQ71" s="17">
        <f>HYPERLINK("http://exon.niaid.nih.gov/transcriptome/T_rubida/S2/links/cluster/Triru-pep-ext85-50-Sim-CLU2.txt", 2)</f>
        <v>2</v>
      </c>
      <c r="CR71" s="1">
        <f>HYPERLINK("http://exon.niaid.nih.gov/transcriptome/T_rubida/S2/links/cluster/Triru-pep-ext85-50-Sim-CLTL2.txt", 8)</f>
        <v>8</v>
      </c>
      <c r="CS71" s="17">
        <f>HYPERLINK("http://exon.niaid.nih.gov/transcriptome/T_rubida/S2/links/cluster/Triru-pep-ext90-50-Sim-CLU3.txt", 3)</f>
        <v>3</v>
      </c>
      <c r="CT71" s="1">
        <f>HYPERLINK("http://exon.niaid.nih.gov/transcriptome/T_rubida/S2/links/cluster/Triru-pep-ext90-50-Sim-CLTL3.txt", 3)</f>
        <v>3</v>
      </c>
      <c r="CU71" s="17">
        <f>HYPERLINK("http://exon.niaid.nih.gov/transcriptome/T_rubida/S2/links/cluster/Triru-pep-ext95-50-Sim-CLU4.txt", 4)</f>
        <v>4</v>
      </c>
      <c r="CV71" s="1">
        <f>HYPERLINK("http://exon.niaid.nih.gov/transcriptome/T_rubida/S2/links/cluster/Triru-pep-ext95-50-Sim-CLTL4.txt", 2)</f>
        <v>2</v>
      </c>
    </row>
    <row r="72" spans="1:100">
      <c r="A72" t="str">
        <f>HYPERLINK("http://exon.niaid.nih.gov/transcriptome/T_rubida/S2/links/pep/Triru-38-pep.txt","Triru-38")</f>
        <v>Triru-38</v>
      </c>
      <c r="B72">
        <v>86</v>
      </c>
      <c r="C72" s="1" t="s">
        <v>17</v>
      </c>
      <c r="D72" s="1" t="s">
        <v>3</v>
      </c>
      <c r="E72" t="str">
        <f>HYPERLINK("http://exon.niaid.nih.gov/transcriptome/T_rubida/S2/links/cds/Triru-38-cds.txt","Triru-38")</f>
        <v>Triru-38</v>
      </c>
      <c r="F72">
        <v>261</v>
      </c>
      <c r="G72" s="2" t="s">
        <v>1890</v>
      </c>
      <c r="H72" s="1">
        <v>1</v>
      </c>
      <c r="I72" s="3" t="s">
        <v>1272</v>
      </c>
      <c r="J72" s="17" t="str">
        <f>HYPERLINK("http://exon.niaid.nih.gov/transcriptome/T_rubida/S2/links/Sigp/Triru-38-SigP.txt","CYT")</f>
        <v>CYT</v>
      </c>
      <c r="K72" t="s">
        <v>5</v>
      </c>
      <c r="L72" s="1">
        <v>9.484</v>
      </c>
      <c r="M72" s="1">
        <v>9.33</v>
      </c>
      <c r="P72" s="1">
        <v>0.125</v>
      </c>
      <c r="Q72" s="1">
        <v>6.5000000000000002E-2</v>
      </c>
      <c r="R72" s="1">
        <v>0.88300000000000001</v>
      </c>
      <c r="S72" s="17" t="s">
        <v>1346</v>
      </c>
      <c r="T72">
        <v>2</v>
      </c>
      <c r="U72" t="s">
        <v>1387</v>
      </c>
      <c r="V72" s="17">
        <v>0</v>
      </c>
      <c r="W72" t="s">
        <v>5</v>
      </c>
      <c r="X72" t="s">
        <v>5</v>
      </c>
      <c r="Y72" t="s">
        <v>5</v>
      </c>
      <c r="Z72" t="s">
        <v>5</v>
      </c>
      <c r="AA72" t="s">
        <v>5</v>
      </c>
      <c r="AB72" s="17" t="str">
        <f>HYPERLINK("http://exon.niaid.nih.gov/transcriptome/T_rubida/S2/links/netoglyc/TRIRU-38-netoglyc.txt","0")</f>
        <v>0</v>
      </c>
      <c r="AC72">
        <v>15.1</v>
      </c>
      <c r="AD72">
        <v>7</v>
      </c>
      <c r="AE72">
        <v>4.7</v>
      </c>
      <c r="AF72" s="17" t="s">
        <v>5</v>
      </c>
      <c r="AG72" s="2" t="str">
        <f>HYPERLINK("http://exon.niaid.nih.gov/transcriptome/T_rubida/S2/links/NR/Triru-38-NR.txt","unnamed protein product")</f>
        <v>unnamed protein product</v>
      </c>
      <c r="AH72" t="str">
        <f>HYPERLINK("http://www.ncbi.nlm.nih.gov/sutils/blink.cgi?pid=270046244","5E-012")</f>
        <v>5E-012</v>
      </c>
      <c r="AI72" t="str">
        <f>HYPERLINK("http://www.ncbi.nlm.nih.gov/protein/270046244","gi|270046244")</f>
        <v>gi|270046244</v>
      </c>
      <c r="AJ72">
        <v>74.3</v>
      </c>
      <c r="AK72">
        <v>84</v>
      </c>
      <c r="AL72">
        <v>177</v>
      </c>
      <c r="AM72">
        <v>48</v>
      </c>
      <c r="AN72">
        <v>48</v>
      </c>
      <c r="AO72" t="s">
        <v>59</v>
      </c>
      <c r="AP72" s="2" t="str">
        <f>HYPERLINK("http://exon.niaid.nih.gov/transcriptome/T_rubida/S2/links/SWISSP/Triru-38-SWISSP.txt","Procalin")</f>
        <v>Procalin</v>
      </c>
      <c r="AQ72" t="str">
        <f>HYPERLINK("http://www.uniprot.org/uniprot/Q9U6R6","6E-007")</f>
        <v>6E-007</v>
      </c>
      <c r="AR72" t="s">
        <v>180</v>
      </c>
      <c r="AS72">
        <v>52.8</v>
      </c>
      <c r="AT72">
        <v>83</v>
      </c>
      <c r="AU72">
        <v>169</v>
      </c>
      <c r="AV72">
        <v>29</v>
      </c>
      <c r="AW72">
        <v>50</v>
      </c>
      <c r="AX72">
        <v>59</v>
      </c>
      <c r="AY72">
        <v>4</v>
      </c>
      <c r="AZ72">
        <v>85</v>
      </c>
      <c r="BA72">
        <v>7</v>
      </c>
      <c r="BB72">
        <v>1</v>
      </c>
      <c r="BC72" t="s">
        <v>181</v>
      </c>
      <c r="BD72" s="2" t="s">
        <v>5</v>
      </c>
      <c r="BE72" t="s">
        <v>5</v>
      </c>
      <c r="BF72" t="s">
        <v>5</v>
      </c>
      <c r="BG72" t="s">
        <v>5</v>
      </c>
      <c r="BH72" t="s">
        <v>5</v>
      </c>
      <c r="BI72" s="2" t="str">
        <f>HYPERLINK("http://exon.niaid.nih.gov/transcriptome/T_rubida/S2/links/CDD/Triru-38-CDD.txt","Triabin")</f>
        <v>Triabin</v>
      </c>
      <c r="BJ72" t="str">
        <f>HYPERLINK("http://www.ncbi.nlm.nih.gov/Structure/cdd/cddsrv.cgi?uid=pfam03973&amp;version=v4.0","1E-004")</f>
        <v>1E-004</v>
      </c>
      <c r="BK72" t="s">
        <v>1105</v>
      </c>
      <c r="BL72" s="2" t="str">
        <f>HYPERLINK("http://exon.niaid.nih.gov/transcriptome/T_rubida/S2/links/KOG/Triru-38-KOG.txt","Amino acid transporters")</f>
        <v>Amino acid transporters</v>
      </c>
      <c r="BM72" t="str">
        <f>HYPERLINK("http://www.ncbi.nlm.nih.gov/COG/grace/shokog.cgi?KOG1288","0.29")</f>
        <v>0.29</v>
      </c>
      <c r="BN72" t="s">
        <v>418</v>
      </c>
      <c r="BO72" s="2" t="str">
        <f>HYPERLINK("http://exon.niaid.nih.gov/transcriptome/T_rubida/S2/links/PFAM/Triru-38-PFAM.txt","Triabin")</f>
        <v>Triabin</v>
      </c>
      <c r="BP72" t="str">
        <f>HYPERLINK("http://pfam.sanger.ac.uk/family?acc=PF03973","3E-005")</f>
        <v>3E-005</v>
      </c>
      <c r="BQ72" s="2" t="str">
        <f>HYPERLINK("http://exon.niaid.nih.gov/transcriptome/T_rubida/S2/links/SMART/Triru-38-SMART.txt","EH")</f>
        <v>EH</v>
      </c>
      <c r="BR72" t="str">
        <f>HYPERLINK("http://smart.embl-heidelberg.de/smart/do_annotation.pl?DOMAIN=EH&amp;BLAST=DUMMY","0.33")</f>
        <v>0.33</v>
      </c>
      <c r="BS72" s="17">
        <f t="shared" si="30"/>
        <v>1</v>
      </c>
      <c r="BT72" s="1">
        <f t="shared" si="31"/>
        <v>359</v>
      </c>
      <c r="BU72" s="17">
        <f t="shared" si="32"/>
        <v>1</v>
      </c>
      <c r="BV72" s="1">
        <f t="shared" si="33"/>
        <v>225</v>
      </c>
      <c r="BW72" s="17">
        <f t="shared" si="34"/>
        <v>2</v>
      </c>
      <c r="BX72" s="1">
        <f t="shared" si="35"/>
        <v>70</v>
      </c>
      <c r="BY72" s="17">
        <f t="shared" si="36"/>
        <v>1</v>
      </c>
      <c r="BZ72" s="1">
        <f t="shared" si="37"/>
        <v>69</v>
      </c>
      <c r="CA72" s="17">
        <f t="shared" si="38"/>
        <v>1</v>
      </c>
      <c r="CB72" s="1">
        <f t="shared" si="39"/>
        <v>69</v>
      </c>
      <c r="CC72" s="17">
        <f t="shared" si="40"/>
        <v>1</v>
      </c>
      <c r="CD72" s="1">
        <f t="shared" si="41"/>
        <v>45</v>
      </c>
      <c r="CE72" s="17">
        <f t="shared" si="42"/>
        <v>1</v>
      </c>
      <c r="CF72" s="1">
        <f t="shared" si="43"/>
        <v>45</v>
      </c>
      <c r="CG72" s="17">
        <f t="shared" si="44"/>
        <v>1</v>
      </c>
      <c r="CH72" s="1">
        <f t="shared" si="45"/>
        <v>35</v>
      </c>
      <c r="CI72" s="17">
        <v>36</v>
      </c>
      <c r="CJ72" s="1">
        <v>1</v>
      </c>
      <c r="CK72" s="17">
        <v>36</v>
      </c>
      <c r="CL72" s="1">
        <v>1</v>
      </c>
      <c r="CM72" s="17">
        <v>37</v>
      </c>
      <c r="CN72" s="1">
        <v>1</v>
      </c>
      <c r="CO72" s="17">
        <v>38</v>
      </c>
      <c r="CP72" s="1">
        <v>1</v>
      </c>
      <c r="CQ72" s="17">
        <v>40</v>
      </c>
      <c r="CR72" s="1">
        <v>1</v>
      </c>
      <c r="CS72" s="17">
        <v>41</v>
      </c>
      <c r="CT72" s="1">
        <v>1</v>
      </c>
      <c r="CU72" s="17">
        <v>44</v>
      </c>
      <c r="CV72" s="1">
        <v>1</v>
      </c>
    </row>
    <row r="73" spans="1:100">
      <c r="A73" t="str">
        <f>HYPERLINK("http://exon.niaid.nih.gov/transcriptome/T_rubida/S2/links/pep/Triru-71-pep.txt","Triru-71")</f>
        <v>Triru-71</v>
      </c>
      <c r="B73">
        <v>156</v>
      </c>
      <c r="C73" s="1" t="s">
        <v>6</v>
      </c>
      <c r="D73" s="1" t="s">
        <v>3</v>
      </c>
      <c r="E73" t="str">
        <f>HYPERLINK("http://exon.niaid.nih.gov/transcriptome/T_rubida/S2/links/cds/Triru-71-cds.txt","Triru-71")</f>
        <v>Triru-71</v>
      </c>
      <c r="F73">
        <v>471</v>
      </c>
      <c r="G73" s="2" t="s">
        <v>1890</v>
      </c>
      <c r="H73" s="1">
        <v>1</v>
      </c>
      <c r="I73" s="3" t="s">
        <v>1272</v>
      </c>
      <c r="J73" s="17" t="str">
        <f>HYPERLINK("http://exon.niaid.nih.gov/transcriptome/T_rubida/S2/links/Sigp/Triru-71-SigP.txt","CYT")</f>
        <v>CYT</v>
      </c>
      <c r="K73" t="s">
        <v>5</v>
      </c>
      <c r="L73" s="1">
        <v>17.736999999999998</v>
      </c>
      <c r="M73" s="1">
        <v>7.73</v>
      </c>
      <c r="P73" s="1">
        <v>0.106</v>
      </c>
      <c r="Q73" s="1">
        <v>6.5000000000000002E-2</v>
      </c>
      <c r="R73" s="1">
        <v>0.89900000000000002</v>
      </c>
      <c r="S73" s="17" t="s">
        <v>1346</v>
      </c>
      <c r="T73">
        <v>2</v>
      </c>
      <c r="U73" t="s">
        <v>1348</v>
      </c>
      <c r="V73" s="17">
        <v>0</v>
      </c>
      <c r="W73" t="s">
        <v>5</v>
      </c>
      <c r="X73" t="s">
        <v>5</v>
      </c>
      <c r="Y73" t="s">
        <v>5</v>
      </c>
      <c r="Z73" t="s">
        <v>5</v>
      </c>
      <c r="AA73" t="s">
        <v>5</v>
      </c>
      <c r="AB73" s="17" t="str">
        <f>HYPERLINK("http://exon.niaid.nih.gov/transcriptome/T_rubida/S2/links/netoglyc/TRIRU-71-netoglyc.txt","0")</f>
        <v>0</v>
      </c>
      <c r="AC73">
        <v>17.3</v>
      </c>
      <c r="AD73">
        <v>9</v>
      </c>
      <c r="AE73">
        <v>0.6</v>
      </c>
      <c r="AF73" s="17" t="s">
        <v>5</v>
      </c>
      <c r="AG73" s="2" t="str">
        <f>HYPERLINK("http://exon.niaid.nih.gov/transcriptome/T_rubida/S2/links/NR/Triru-71-NR.txt","unnamed protein product")</f>
        <v>unnamed protein product</v>
      </c>
      <c r="AH73" t="str">
        <f>HYPERLINK("http://www.ncbi.nlm.nih.gov/sutils/blink.cgi?pid=270046202","1E-042")</f>
        <v>1E-042</v>
      </c>
      <c r="AI73" t="str">
        <f>HYPERLINK("http://www.ncbi.nlm.nih.gov/protein/270046202","gi|270046202")</f>
        <v>gi|270046202</v>
      </c>
      <c r="AJ73">
        <v>176</v>
      </c>
      <c r="AK73">
        <v>157</v>
      </c>
      <c r="AL73">
        <v>200</v>
      </c>
      <c r="AM73">
        <v>57</v>
      </c>
      <c r="AN73">
        <v>79</v>
      </c>
      <c r="AO73" t="s">
        <v>59</v>
      </c>
      <c r="AP73" s="2" t="str">
        <f>HYPERLINK("http://exon.niaid.nih.gov/transcriptome/T_rubida/S2/links/SWISSP/Triru-71-SWISSP.txt","Procalin")</f>
        <v>Procalin</v>
      </c>
      <c r="AQ73" t="str">
        <f>HYPERLINK("http://www.uniprot.org/uniprot/Q9U6R6","2E-005")</f>
        <v>2E-005</v>
      </c>
      <c r="AR73" t="s">
        <v>180</v>
      </c>
      <c r="AS73">
        <v>48.1</v>
      </c>
      <c r="AT73">
        <v>124</v>
      </c>
      <c r="AU73">
        <v>169</v>
      </c>
      <c r="AV73">
        <v>24</v>
      </c>
      <c r="AW73">
        <v>74</v>
      </c>
      <c r="AX73">
        <v>101</v>
      </c>
      <c r="AY73">
        <v>10</v>
      </c>
      <c r="AZ73">
        <v>38</v>
      </c>
      <c r="BA73">
        <v>2</v>
      </c>
      <c r="BB73">
        <v>1</v>
      </c>
      <c r="BC73" t="s">
        <v>181</v>
      </c>
      <c r="BD73" s="2" t="s">
        <v>5</v>
      </c>
      <c r="BE73" t="s">
        <v>5</v>
      </c>
      <c r="BF73" t="s">
        <v>5</v>
      </c>
      <c r="BG73" t="s">
        <v>5</v>
      </c>
      <c r="BH73" t="s">
        <v>5</v>
      </c>
      <c r="BI73" s="2" t="str">
        <f>HYPERLINK("http://exon.niaid.nih.gov/transcriptome/T_rubida/S2/links/CDD/Triru-71-CDD.txt","Triabin")</f>
        <v>Triabin</v>
      </c>
      <c r="BJ73" t="str">
        <f>HYPERLINK("http://www.ncbi.nlm.nih.gov/Structure/cdd/cddsrv.cgi?uid=pfam03973&amp;version=v4.0","5E-011")</f>
        <v>5E-011</v>
      </c>
      <c r="BK73" t="s">
        <v>658</v>
      </c>
      <c r="BL73" s="2" t="str">
        <f>HYPERLINK("http://exon.niaid.nih.gov/transcriptome/T_rubida/S2/links/KOG/Triru-71-KOG.txt","Predicted patched transmembrane receptor")</f>
        <v>Predicted patched transmembrane receptor</v>
      </c>
      <c r="BM73" t="str">
        <f>HYPERLINK("http://www.ncbi.nlm.nih.gov/COG/grace/shokog.cgi?KOG3664","2.3")</f>
        <v>2.3</v>
      </c>
      <c r="BN73" t="s">
        <v>179</v>
      </c>
      <c r="BO73" s="2" t="str">
        <f>HYPERLINK("http://exon.niaid.nih.gov/transcriptome/T_rubida/S2/links/PFAM/Triru-71-PFAM.txt","Triabin")</f>
        <v>Triabin</v>
      </c>
      <c r="BP73" t="str">
        <f>HYPERLINK("http://pfam.sanger.ac.uk/family?acc=PF03973","1E-011")</f>
        <v>1E-011</v>
      </c>
      <c r="BQ73" s="2" t="str">
        <f>HYPERLINK("http://exon.niaid.nih.gov/transcriptome/T_rubida/S2/links/SMART/Triru-71-SMART.txt","TOP4c")</f>
        <v>TOP4c</v>
      </c>
      <c r="BR73" t="str">
        <f>HYPERLINK("http://smart.embl-heidelberg.de/smart/do_annotation.pl?DOMAIN=TOP4c&amp;BLAST=DUMMY","2.5")</f>
        <v>2.5</v>
      </c>
      <c r="BS73" s="17">
        <f t="shared" si="30"/>
        <v>1</v>
      </c>
      <c r="BT73" s="1">
        <f t="shared" si="31"/>
        <v>359</v>
      </c>
      <c r="BU73" s="17">
        <f t="shared" si="32"/>
        <v>1</v>
      </c>
      <c r="BV73" s="1">
        <f t="shared" si="33"/>
        <v>225</v>
      </c>
      <c r="BW73" s="17">
        <f t="shared" si="34"/>
        <v>2</v>
      </c>
      <c r="BX73" s="1">
        <f t="shared" si="35"/>
        <v>70</v>
      </c>
      <c r="BY73" s="17">
        <f t="shared" si="36"/>
        <v>1</v>
      </c>
      <c r="BZ73" s="1">
        <f t="shared" si="37"/>
        <v>69</v>
      </c>
      <c r="CA73" s="17">
        <f t="shared" si="38"/>
        <v>1</v>
      </c>
      <c r="CB73" s="1">
        <f t="shared" si="39"/>
        <v>69</v>
      </c>
      <c r="CC73" s="17">
        <f>HYPERLINK("http://exon.niaid.nih.gov/transcriptome/T_rubida/S2/links/cluster/Triru-pep-ext50-50-Sim-CLU2.txt", 2)</f>
        <v>2</v>
      </c>
      <c r="CD73" s="1">
        <f>HYPERLINK("http://exon.niaid.nih.gov/transcriptome/T_rubida/S2/links/cluster/Triru-pep-ext50-50-Sim-CLTL2.txt", 23)</f>
        <v>23</v>
      </c>
      <c r="CE73" s="17">
        <f>HYPERLINK("http://exon.niaid.nih.gov/transcriptome/T_rubida/S2/links/cluster/Triru-pep-ext55-50-Sim-CLU2.txt", 2)</f>
        <v>2</v>
      </c>
      <c r="CF73" s="1">
        <f>HYPERLINK("http://exon.niaid.nih.gov/transcriptome/T_rubida/S2/links/cluster/Triru-pep-ext55-50-Sim-CLTL2.txt", 20)</f>
        <v>20</v>
      </c>
      <c r="CG73" s="17">
        <f>HYPERLINK("http://exon.niaid.nih.gov/transcriptome/T_rubida/S2/links/cluster/Triru-pep-ext60-50-Sim-CLU6.txt", 6)</f>
        <v>6</v>
      </c>
      <c r="CH73" s="1">
        <f>HYPERLINK("http://exon.niaid.nih.gov/transcriptome/T_rubida/S2/links/cluster/Triru-pep-ext60-50-Sim-CLTL6.txt", 8)</f>
        <v>8</v>
      </c>
      <c r="CI73" s="17">
        <f>HYPERLINK("http://exon.niaid.nih.gov/transcriptome/T_rubida/S2/links/cluster/Triru-pep-ext65-50-Sim-CLU4.txt", 4)</f>
        <v>4</v>
      </c>
      <c r="CJ73" s="1">
        <f>HYPERLINK("http://exon.niaid.nih.gov/transcriptome/T_rubida/S2/links/cluster/Triru-pep-ext65-50-Sim-CLTL4.txt", 8)</f>
        <v>8</v>
      </c>
      <c r="CK73" s="17">
        <f>HYPERLINK("http://exon.niaid.nih.gov/transcriptome/T_rubida/S2/links/cluster/Triru-pep-ext70-50-Sim-CLU4.txt", 4)</f>
        <v>4</v>
      </c>
      <c r="CL73" s="1">
        <f>HYPERLINK("http://exon.niaid.nih.gov/transcriptome/T_rubida/S2/links/cluster/Triru-pep-ext70-50-Sim-CLTL4.txt", 8)</f>
        <v>8</v>
      </c>
      <c r="CM73" s="17">
        <f>HYPERLINK("http://exon.niaid.nih.gov/transcriptome/T_rubida/S2/links/cluster/Triru-pep-ext75-50-Sim-CLU5.txt", 5)</f>
        <v>5</v>
      </c>
      <c r="CN73" s="1">
        <f>HYPERLINK("http://exon.niaid.nih.gov/transcriptome/T_rubida/S2/links/cluster/Triru-pep-ext75-50-Sim-CLTL5.txt", 5)</f>
        <v>5</v>
      </c>
      <c r="CO73" s="17">
        <f>HYPERLINK("http://exon.niaid.nih.gov/transcriptome/T_rubida/S2/links/cluster/Triru-pep-ext80-50-Sim-CLU10.txt", 10)</f>
        <v>10</v>
      </c>
      <c r="CP73" s="1">
        <f>HYPERLINK("http://exon.niaid.nih.gov/transcriptome/T_rubida/S2/links/cluster/Triru-pep-ext80-50-Sim-CLTL10.txt", 2)</f>
        <v>2</v>
      </c>
      <c r="CQ73" s="17">
        <v>60</v>
      </c>
      <c r="CR73" s="1">
        <v>1</v>
      </c>
      <c r="CS73" s="17">
        <v>65</v>
      </c>
      <c r="CT73" s="1">
        <v>1</v>
      </c>
      <c r="CU73" s="17">
        <v>71</v>
      </c>
      <c r="CV73" s="1">
        <v>1</v>
      </c>
    </row>
    <row r="74" spans="1:100">
      <c r="A74" t="str">
        <f>HYPERLINK("http://exon.niaid.nih.gov/transcriptome/T_rubida/S2/links/pep/Triru-284-pep.txt","Triru-284")</f>
        <v>Triru-284</v>
      </c>
      <c r="B74">
        <v>57</v>
      </c>
      <c r="C74" s="1" t="s">
        <v>22</v>
      </c>
      <c r="D74" s="1" t="s">
        <v>3</v>
      </c>
      <c r="E74" t="str">
        <f>HYPERLINK("http://exon.niaid.nih.gov/transcriptome/T_rubida/S2/links/cds/Triru-284-cds.txt","Triru-284")</f>
        <v>Triru-284</v>
      </c>
      <c r="F74">
        <v>174</v>
      </c>
      <c r="G74" s="2" t="s">
        <v>1890</v>
      </c>
      <c r="H74" s="1">
        <v>1</v>
      </c>
      <c r="I74" s="3" t="s">
        <v>1272</v>
      </c>
      <c r="J74" s="17" t="str">
        <f>HYPERLINK("http://exon.niaid.nih.gov/transcriptome/T_rubida/S2/links/Sigp/Triru-284-SigP.txt","CYT")</f>
        <v>CYT</v>
      </c>
      <c r="K74" t="s">
        <v>5</v>
      </c>
      <c r="L74" s="1">
        <v>6.327</v>
      </c>
      <c r="M74" s="1">
        <v>6.03</v>
      </c>
      <c r="P74" s="1">
        <v>0.105</v>
      </c>
      <c r="Q74" s="1">
        <v>5.0999999999999997E-2</v>
      </c>
      <c r="R74" s="1">
        <v>0.88100000000000001</v>
      </c>
      <c r="S74" s="17" t="s">
        <v>1346</v>
      </c>
      <c r="T74">
        <v>2</v>
      </c>
      <c r="U74" t="s">
        <v>1348</v>
      </c>
      <c r="V74" s="17">
        <v>0</v>
      </c>
      <c r="W74" t="s">
        <v>5</v>
      </c>
      <c r="X74" t="s">
        <v>5</v>
      </c>
      <c r="Y74" t="s">
        <v>5</v>
      </c>
      <c r="Z74" t="s">
        <v>5</v>
      </c>
      <c r="AA74" t="s">
        <v>5</v>
      </c>
      <c r="AB74" s="17" t="str">
        <f>HYPERLINK("http://exon.niaid.nih.gov/transcriptome/T_rubida/S2/links/netoglyc/TRIRU-284-netoglyc.txt","0")</f>
        <v>0</v>
      </c>
      <c r="AC74">
        <v>14</v>
      </c>
      <c r="AD74">
        <v>8.8000000000000007</v>
      </c>
      <c r="AE74">
        <v>3.5</v>
      </c>
      <c r="AF74" s="17" t="s">
        <v>5</v>
      </c>
      <c r="AG74" s="2" t="str">
        <f>HYPERLINK("http://exon.niaid.nih.gov/transcriptome/T_rubida/S2/links/NR/Triru-284-NR.txt","Stromal cell-derived factor 2")</f>
        <v>Stromal cell-derived factor 2</v>
      </c>
      <c r="AH74" t="str">
        <f>HYPERLINK("http://www.ncbi.nlm.nih.gov/sutils/blink.cgi?pid=307213084","1E-010")</f>
        <v>1E-010</v>
      </c>
      <c r="AI74" t="str">
        <f>HYPERLINK("http://www.ncbi.nlm.nih.gov/protein/307213084","gi|307213084")</f>
        <v>gi|307213084</v>
      </c>
      <c r="AJ74">
        <v>70.099999999999994</v>
      </c>
      <c r="AK74">
        <v>52</v>
      </c>
      <c r="AL74">
        <v>179</v>
      </c>
      <c r="AM74">
        <v>60</v>
      </c>
      <c r="AN74">
        <v>30</v>
      </c>
      <c r="AO74" t="s">
        <v>230</v>
      </c>
      <c r="AP74" s="2" t="str">
        <f>HYPERLINK("http://exon.niaid.nih.gov/transcriptome/T_rubida/S2/links/SWISSP/Triru-284-SWISSP.txt","Stromal cell-derived factor 2-like protein 1")</f>
        <v>Stromal cell-derived factor 2-like protein 1</v>
      </c>
      <c r="AQ74" t="str">
        <f>HYPERLINK("http://www.uniprot.org/uniprot/Q9HCN8","5E-006")</f>
        <v>5E-006</v>
      </c>
      <c r="AR74" t="s">
        <v>712</v>
      </c>
      <c r="AS74">
        <v>49.7</v>
      </c>
      <c r="AT74">
        <v>51</v>
      </c>
      <c r="AU74">
        <v>221</v>
      </c>
      <c r="AV74">
        <v>51</v>
      </c>
      <c r="AW74">
        <v>24</v>
      </c>
      <c r="AX74">
        <v>25</v>
      </c>
      <c r="AY74">
        <v>1</v>
      </c>
      <c r="AZ74">
        <v>160</v>
      </c>
      <c r="BA74">
        <v>1</v>
      </c>
      <c r="BB74">
        <v>1</v>
      </c>
      <c r="BC74" t="s">
        <v>208</v>
      </c>
      <c r="BD74" s="2" t="s">
        <v>713</v>
      </c>
      <c r="BE74">
        <f>HYPERLINK("http://exon.niaid.nih.gov/transcriptome/T_rubida/S2/links/GO/Triru-284-GO.txt",0.000000006)</f>
        <v>6E-9</v>
      </c>
      <c r="BF74" t="s">
        <v>1913</v>
      </c>
      <c r="BG74" t="s">
        <v>77</v>
      </c>
      <c r="BH74" t="s">
        <v>470</v>
      </c>
      <c r="BI74" s="2" t="str">
        <f>HYPERLINK("http://exon.niaid.nih.gov/transcriptome/T_rubida/S2/links/CDD/Triru-284-CDD.txt","MIR")</f>
        <v>MIR</v>
      </c>
      <c r="BJ74" t="str">
        <f>HYPERLINK("http://www.ncbi.nlm.nih.gov/Structure/cdd/cddsrv.cgi?uid=smart00472&amp;version=v4.0","0.010")</f>
        <v>0.010</v>
      </c>
      <c r="BK74" t="s">
        <v>714</v>
      </c>
      <c r="BL74" s="2" t="str">
        <f>HYPERLINK("http://exon.niaid.nih.gov/transcriptome/T_rubida/S2/links/KOG/Triru-284-KOG.txt","Uncharacterized secreted protein SDF2 (Stromal cell-derived factor 2), contains MIR domains")</f>
        <v>Uncharacterized secreted protein SDF2 (Stromal cell-derived factor 2), contains MIR domains</v>
      </c>
      <c r="BM74" t="str">
        <f>HYPERLINK("http://www.ncbi.nlm.nih.gov/COG/grace/shokog.cgi?KOG3358","1E-011")</f>
        <v>1E-011</v>
      </c>
      <c r="BN74" t="s">
        <v>96</v>
      </c>
      <c r="BO74" s="2" t="str">
        <f>HYPERLINK("http://exon.niaid.nih.gov/transcriptome/T_rubida/S2/links/PFAM/Triru-284-PFAM.txt","DUF1963")</f>
        <v>DUF1963</v>
      </c>
      <c r="BP74" t="str">
        <f>HYPERLINK("http://pfam.sanger.ac.uk/family?acc=PF09234","2.6")</f>
        <v>2.6</v>
      </c>
      <c r="BQ74" s="2" t="str">
        <f>HYPERLINK("http://exon.niaid.nih.gov/transcriptome/T_rubida/S2/links/SMART/Triru-284-SMART.txt","MIR")</f>
        <v>MIR</v>
      </c>
      <c r="BR74" t="str">
        <f>HYPERLINK("http://smart.embl-heidelberg.de/smart/do_annotation.pl?DOMAIN=MIR&amp;BLAST=DUMMY","1E-004")</f>
        <v>1E-004</v>
      </c>
      <c r="BS74" s="17">
        <v>85</v>
      </c>
      <c r="BT74" s="1">
        <v>1</v>
      </c>
      <c r="BU74" s="17">
        <v>134</v>
      </c>
      <c r="BV74" s="1">
        <v>1</v>
      </c>
      <c r="BW74" s="17">
        <v>159</v>
      </c>
      <c r="BX74" s="1">
        <v>1</v>
      </c>
      <c r="BY74" s="17">
        <v>168</v>
      </c>
      <c r="BZ74" s="1">
        <v>1</v>
      </c>
      <c r="CA74" s="17">
        <v>172</v>
      </c>
      <c r="CB74" s="1">
        <v>1</v>
      </c>
      <c r="CC74" s="17">
        <v>176</v>
      </c>
      <c r="CD74" s="1">
        <v>1</v>
      </c>
      <c r="CE74" s="17">
        <v>181</v>
      </c>
      <c r="CF74" s="1">
        <v>1</v>
      </c>
      <c r="CG74" s="17">
        <v>183</v>
      </c>
      <c r="CH74" s="1">
        <v>1</v>
      </c>
      <c r="CI74" s="17">
        <v>190</v>
      </c>
      <c r="CJ74" s="1">
        <v>1</v>
      </c>
      <c r="CK74" s="17">
        <v>195</v>
      </c>
      <c r="CL74" s="1">
        <v>1</v>
      </c>
      <c r="CM74" s="17">
        <v>201</v>
      </c>
      <c r="CN74" s="1">
        <v>1</v>
      </c>
      <c r="CO74" s="17">
        <v>211</v>
      </c>
      <c r="CP74" s="1">
        <v>1</v>
      </c>
      <c r="CQ74" s="17">
        <v>221</v>
      </c>
      <c r="CR74" s="1">
        <v>1</v>
      </c>
      <c r="CS74" s="17">
        <v>228</v>
      </c>
      <c r="CT74" s="1">
        <v>1</v>
      </c>
      <c r="CU74" s="17">
        <v>239</v>
      </c>
      <c r="CV74" s="1">
        <v>1</v>
      </c>
    </row>
    <row r="75" spans="1:100">
      <c r="A75" t="str">
        <f>HYPERLINK("http://exon.niaid.nih.gov/transcriptome/T_rubida/S2/links/pep/Triru-355-pep.txt","Triru-355")</f>
        <v>Triru-355</v>
      </c>
      <c r="B75">
        <v>108</v>
      </c>
      <c r="C75" s="1" t="s">
        <v>17</v>
      </c>
      <c r="D75" s="1" t="s">
        <v>3</v>
      </c>
      <c r="E75" t="str">
        <f>HYPERLINK("http://exon.niaid.nih.gov/transcriptome/T_rubida/S2/links/cds/Triru-355-cds.txt","Triru-355")</f>
        <v>Triru-355</v>
      </c>
      <c r="F75">
        <v>327</v>
      </c>
      <c r="G75" s="2" t="s">
        <v>1586</v>
      </c>
      <c r="H75" s="1">
        <v>1</v>
      </c>
      <c r="I75" s="3" t="s">
        <v>1272</v>
      </c>
      <c r="J75" s="17" t="str">
        <f>HYPERLINK("http://exon.niaid.nih.gov/transcriptome/T_rubida/S2/links/Sigp/Triru-355-SigP.txt","CYT")</f>
        <v>CYT</v>
      </c>
      <c r="K75" t="s">
        <v>5</v>
      </c>
      <c r="L75" s="1">
        <v>12.452999999999999</v>
      </c>
      <c r="M75" s="1">
        <v>9.25</v>
      </c>
      <c r="P75" s="1">
        <v>0.38300000000000001</v>
      </c>
      <c r="Q75" s="1">
        <v>8.5999999999999993E-2</v>
      </c>
      <c r="R75" s="1">
        <v>0.45100000000000001</v>
      </c>
      <c r="S75" s="17" t="s">
        <v>1346</v>
      </c>
      <c r="T75">
        <v>5</v>
      </c>
      <c r="U75" t="s">
        <v>1492</v>
      </c>
      <c r="V75" s="17">
        <v>0</v>
      </c>
      <c r="W75" t="s">
        <v>5</v>
      </c>
      <c r="X75" t="s">
        <v>5</v>
      </c>
      <c r="Y75" t="s">
        <v>5</v>
      </c>
      <c r="Z75" t="s">
        <v>5</v>
      </c>
      <c r="AA75" t="s">
        <v>5</v>
      </c>
      <c r="AB75" s="17" t="str">
        <f>HYPERLINK("http://exon.niaid.nih.gov/transcriptome/T_rubida/S2/links/netoglyc/TRIRU-355-netoglyc.txt","0")</f>
        <v>0</v>
      </c>
      <c r="AC75">
        <v>15.7</v>
      </c>
      <c r="AD75">
        <v>1.9</v>
      </c>
      <c r="AE75">
        <v>8.3000000000000007</v>
      </c>
      <c r="AF75" s="17" t="s">
        <v>5</v>
      </c>
      <c r="AG75" s="2" t="str">
        <f>HYPERLINK("http://exon.niaid.nih.gov/transcriptome/T_rubida/S2/links/NR/Triru-355-NR.txt","lipocalin-like TiLipo37")</f>
        <v>lipocalin-like TiLipo37</v>
      </c>
      <c r="AH75" t="str">
        <f>HYPERLINK("http://www.ncbi.nlm.nih.gov/sutils/blink.cgi?pid=34421652","0.001")</f>
        <v>0.001</v>
      </c>
      <c r="AI75" t="str">
        <f>HYPERLINK("http://www.ncbi.nlm.nih.gov/protein/34421652","gi|34421652")</f>
        <v>gi|34421652</v>
      </c>
      <c r="AJ75">
        <v>47</v>
      </c>
      <c r="AK75">
        <v>63</v>
      </c>
      <c r="AL75">
        <v>178</v>
      </c>
      <c r="AM75">
        <v>40</v>
      </c>
      <c r="AN75">
        <v>36</v>
      </c>
      <c r="AO75" t="s">
        <v>80</v>
      </c>
      <c r="AP75" s="2" t="str">
        <f>HYPERLINK("http://exon.niaid.nih.gov/transcriptome/T_rubida/S2/links/SWISSP/Triru-355-SWISSP.txt","Procalin")</f>
        <v>Procalin</v>
      </c>
      <c r="AQ75" t="str">
        <f>HYPERLINK("http://www.uniprot.org/uniprot/Q9U6R6","0.67")</f>
        <v>0.67</v>
      </c>
      <c r="AR75" t="s">
        <v>180</v>
      </c>
      <c r="AS75">
        <v>32.700000000000003</v>
      </c>
      <c r="AT75">
        <v>78</v>
      </c>
      <c r="AU75">
        <v>169</v>
      </c>
      <c r="AV75">
        <v>26</v>
      </c>
      <c r="AW75">
        <v>47</v>
      </c>
      <c r="AX75">
        <v>59</v>
      </c>
      <c r="AY75">
        <v>1</v>
      </c>
      <c r="AZ75">
        <v>65</v>
      </c>
      <c r="BA75">
        <v>3</v>
      </c>
      <c r="BB75">
        <v>1</v>
      </c>
      <c r="BC75" t="s">
        <v>181</v>
      </c>
      <c r="BD75" s="2" t="s">
        <v>5</v>
      </c>
      <c r="BE75" t="s">
        <v>5</v>
      </c>
      <c r="BF75" t="s">
        <v>5</v>
      </c>
      <c r="BG75" t="s">
        <v>5</v>
      </c>
      <c r="BH75" t="s">
        <v>5</v>
      </c>
      <c r="BI75" s="2" t="str">
        <f>HYPERLINK("http://exon.niaid.nih.gov/transcriptome/T_rubida/S2/links/CDD/Triru-355-CDD.txt","HypF")</f>
        <v>HypF</v>
      </c>
      <c r="BJ75" t="str">
        <f>HYPERLINK("http://www.ncbi.nlm.nih.gov/Structure/cdd/cddsrv.cgi?uid=COG0068&amp;version=v4.0","5.5")</f>
        <v>5.5</v>
      </c>
      <c r="BK75" t="s">
        <v>1130</v>
      </c>
      <c r="BL75" s="2" t="str">
        <f>HYPERLINK("http://exon.niaid.nih.gov/transcriptome/T_rubida/S2/links/KOG/Triru-355-KOG.txt","Uncharacterized conserved membrane protein")</f>
        <v>Uncharacterized conserved membrane protein</v>
      </c>
      <c r="BM75" t="str">
        <f>HYPERLINK("http://www.ncbi.nlm.nih.gov/COG/grace/shokog.cgi?KOG4670","0.98")</f>
        <v>0.98</v>
      </c>
      <c r="BN75" t="s">
        <v>264</v>
      </c>
      <c r="BO75" s="2" t="str">
        <f>HYPERLINK("http://exon.niaid.nih.gov/transcriptome/T_rubida/S2/links/PFAM/Triru-355-PFAM.txt","Kunitz_legume")</f>
        <v>Kunitz_legume</v>
      </c>
      <c r="BP75" t="str">
        <f>HYPERLINK("http://pfam.sanger.ac.uk/family?acc=PF00197","3.1")</f>
        <v>3.1</v>
      </c>
      <c r="BQ75" s="2" t="str">
        <f>HYPERLINK("http://exon.niaid.nih.gov/transcriptome/T_rubida/S2/links/SMART/Triru-355-SMART.txt","Cog4")</f>
        <v>Cog4</v>
      </c>
      <c r="BR75" t="str">
        <f>HYPERLINK("http://smart.embl-heidelberg.de/smart/do_annotation.pl?DOMAIN=Cog4&amp;BLAST=DUMMY","1.7")</f>
        <v>1.7</v>
      </c>
      <c r="BS75" s="17">
        <f>HYPERLINK("http://exon.niaid.nih.gov/transcriptome/T_rubida/S2/links/cluster/Triru-pep-ext25-50-Sim-CLU1.txt", 1)</f>
        <v>1</v>
      </c>
      <c r="BT75" s="1">
        <f>HYPERLINK("http://exon.niaid.nih.gov/transcriptome/T_rubida/S2/links/cluster/Triru-pep-ext25-50-Sim-CLTL1.txt", 359)</f>
        <v>359</v>
      </c>
      <c r="BU75" s="17">
        <f>HYPERLINK("http://exon.niaid.nih.gov/transcriptome/T_rubida/S2/links/cluster/Triru-pep-ext30-50-Sim-CLU1.txt", 1)</f>
        <v>1</v>
      </c>
      <c r="BV75" s="1">
        <f>HYPERLINK("http://exon.niaid.nih.gov/transcriptome/T_rubida/S2/links/cluster/Triru-pep-ext30-50-Sim-CLTL1.txt", 225)</f>
        <v>225</v>
      </c>
      <c r="BW75" s="17">
        <f>HYPERLINK("http://exon.niaid.nih.gov/transcriptome/T_rubida/S2/links/cluster/Triru-pep-ext35-50-Sim-CLU2.txt", 2)</f>
        <v>2</v>
      </c>
      <c r="BX75" s="1">
        <f>HYPERLINK("http://exon.niaid.nih.gov/transcriptome/T_rubida/S2/links/cluster/Triru-pep-ext35-50-Sim-CLTL2.txt", 70)</f>
        <v>70</v>
      </c>
      <c r="BY75" s="17">
        <v>214</v>
      </c>
      <c r="BZ75" s="1">
        <v>1</v>
      </c>
      <c r="CA75" s="17">
        <v>221</v>
      </c>
      <c r="CB75" s="1">
        <v>1</v>
      </c>
      <c r="CC75" s="17">
        <v>226</v>
      </c>
      <c r="CD75" s="1">
        <v>1</v>
      </c>
      <c r="CE75" s="17">
        <v>232</v>
      </c>
      <c r="CF75" s="1">
        <v>1</v>
      </c>
      <c r="CG75" s="17">
        <v>234</v>
      </c>
      <c r="CH75" s="1">
        <v>1</v>
      </c>
      <c r="CI75" s="17">
        <v>244</v>
      </c>
      <c r="CJ75" s="1">
        <v>1</v>
      </c>
      <c r="CK75" s="17">
        <v>249</v>
      </c>
      <c r="CL75" s="1">
        <v>1</v>
      </c>
      <c r="CM75" s="17">
        <v>257</v>
      </c>
      <c r="CN75" s="1">
        <v>1</v>
      </c>
      <c r="CO75" s="17">
        <v>268</v>
      </c>
      <c r="CP75" s="1">
        <v>1</v>
      </c>
      <c r="CQ75" s="17">
        <v>278</v>
      </c>
      <c r="CR75" s="1">
        <v>1</v>
      </c>
      <c r="CS75" s="17">
        <v>288</v>
      </c>
      <c r="CT75" s="1">
        <v>1</v>
      </c>
      <c r="CU75" s="17">
        <v>299</v>
      </c>
      <c r="CV75" s="1">
        <v>1</v>
      </c>
    </row>
    <row r="76" spans="1:100" s="4" customFormat="1">
      <c r="A76" s="16" t="s">
        <v>1577</v>
      </c>
      <c r="I76" s="5"/>
      <c r="P76" s="4" t="s">
        <v>5</v>
      </c>
      <c r="Q76" s="4" t="s">
        <v>5</v>
      </c>
      <c r="R76" s="4" t="s">
        <v>5</v>
      </c>
      <c r="S76" s="4" t="s">
        <v>5</v>
      </c>
      <c r="T76" s="4" t="s">
        <v>5</v>
      </c>
      <c r="U76" s="4" t="s">
        <v>5</v>
      </c>
      <c r="V76" s="4" t="s">
        <v>5</v>
      </c>
      <c r="W76" s="4" t="s">
        <v>5</v>
      </c>
      <c r="X76" s="4" t="s">
        <v>5</v>
      </c>
      <c r="Y76" s="4" t="s">
        <v>5</v>
      </c>
      <c r="Z76" s="4" t="s">
        <v>5</v>
      </c>
      <c r="AA76" s="4" t="s">
        <v>5</v>
      </c>
      <c r="AB76" s="4" t="s">
        <v>5</v>
      </c>
      <c r="AC76" s="4" t="s">
        <v>5</v>
      </c>
      <c r="AD76" s="4" t="s">
        <v>5</v>
      </c>
      <c r="AE76" s="4" t="s">
        <v>5</v>
      </c>
      <c r="AF76" s="4" t="s">
        <v>5</v>
      </c>
    </row>
    <row r="77" spans="1:100">
      <c r="A77" t="str">
        <f>HYPERLINK("http://exon.niaid.nih.gov/transcriptome/T_rubida/S2/links/pep/Triru-22-pep.txt","Triru-22")</f>
        <v>Triru-22</v>
      </c>
      <c r="B77">
        <v>182</v>
      </c>
      <c r="C77" s="1" t="s">
        <v>10</v>
      </c>
      <c r="D77" s="1" t="s">
        <v>3</v>
      </c>
      <c r="E77" t="str">
        <f>HYPERLINK("http://exon.niaid.nih.gov/transcriptome/T_rubida/S2/links/cds/Triru-22-cds.txt","Triru-22")</f>
        <v>Triru-22</v>
      </c>
      <c r="F77">
        <v>549</v>
      </c>
      <c r="G77" s="2" t="s">
        <v>1587</v>
      </c>
      <c r="H77" s="1">
        <v>39</v>
      </c>
      <c r="I77" s="3" t="s">
        <v>1277</v>
      </c>
      <c r="J77" s="17" t="str">
        <f>HYPERLINK("http://exon.niaid.nih.gov/transcriptome/T_rubida/S2/links/Sigp/Triru-22-SigP.txt","CYT")</f>
        <v>CYT</v>
      </c>
      <c r="K77" t="s">
        <v>5</v>
      </c>
      <c r="L77" s="1">
        <v>20.562000000000001</v>
      </c>
      <c r="M77" s="1">
        <v>8.36</v>
      </c>
      <c r="P77" s="1">
        <v>8.4000000000000005E-2</v>
      </c>
      <c r="Q77" s="1">
        <v>8.3000000000000004E-2</v>
      </c>
      <c r="R77" s="1">
        <v>0.88100000000000001</v>
      </c>
      <c r="S77" s="17" t="s">
        <v>1346</v>
      </c>
      <c r="T77">
        <v>2</v>
      </c>
      <c r="U77" t="s">
        <v>1348</v>
      </c>
      <c r="V77" s="17">
        <v>0</v>
      </c>
      <c r="W77" t="s">
        <v>5</v>
      </c>
      <c r="X77" t="s">
        <v>5</v>
      </c>
      <c r="Y77" t="s">
        <v>5</v>
      </c>
      <c r="Z77" t="s">
        <v>5</v>
      </c>
      <c r="AA77" t="s">
        <v>5</v>
      </c>
      <c r="AB77" s="17" t="str">
        <f>HYPERLINK("http://exon.niaid.nih.gov/transcriptome/T_rubida/S2/links/netoglyc/TRIRU-22-netoglyc.txt","0")</f>
        <v>0</v>
      </c>
      <c r="AC77">
        <v>14.3</v>
      </c>
      <c r="AD77">
        <v>11</v>
      </c>
      <c r="AE77">
        <v>2.2000000000000002</v>
      </c>
      <c r="AF77" s="17" t="s">
        <v>5</v>
      </c>
      <c r="AG77" s="2" t="str">
        <f>HYPERLINK("http://exon.niaid.nih.gov/transcriptome/T_rubida/S2/links/NR/Triru-22-NR.txt","unnamed protein product")</f>
        <v>unnamed protein product</v>
      </c>
      <c r="AH77" t="str">
        <f>HYPERLINK("http://www.ncbi.nlm.nih.gov/sutils/blink.cgi?pid=270046184","2E-051")</f>
        <v>2E-051</v>
      </c>
      <c r="AI77" t="str">
        <f>HYPERLINK("http://www.ncbi.nlm.nih.gov/protein/270046184","gi|270046184")</f>
        <v>gi|270046184</v>
      </c>
      <c r="AJ77">
        <v>206</v>
      </c>
      <c r="AK77">
        <v>163</v>
      </c>
      <c r="AL77">
        <v>239</v>
      </c>
      <c r="AM77">
        <v>58</v>
      </c>
      <c r="AN77">
        <v>69</v>
      </c>
      <c r="AO77" t="s">
        <v>59</v>
      </c>
      <c r="AP77" s="2" t="str">
        <f>HYPERLINK("http://exon.niaid.nih.gov/transcriptome/T_rubida/S2/links/SWISSP/Triru-22-SWISSP.txt","Venom allergen 5.01")</f>
        <v>Venom allergen 5.01</v>
      </c>
      <c r="AQ77" t="str">
        <f>HYPERLINK("http://www.uniprot.org/uniprot/P10736","2E-018")</f>
        <v>2E-018</v>
      </c>
      <c r="AR77" t="s">
        <v>1013</v>
      </c>
      <c r="AS77">
        <v>92</v>
      </c>
      <c r="AT77">
        <v>123</v>
      </c>
      <c r="AU77">
        <v>227</v>
      </c>
      <c r="AV77">
        <v>40</v>
      </c>
      <c r="AW77">
        <v>55</v>
      </c>
      <c r="AX77">
        <v>80</v>
      </c>
      <c r="AY77">
        <v>14</v>
      </c>
      <c r="AZ77">
        <v>94</v>
      </c>
      <c r="BA77">
        <v>18</v>
      </c>
      <c r="BB77">
        <v>1</v>
      </c>
      <c r="BC77" t="s">
        <v>1014</v>
      </c>
      <c r="BD77" s="2" t="s">
        <v>399</v>
      </c>
      <c r="BE77">
        <f>HYPERLINK("http://exon.niaid.nih.gov/transcriptome/T_rubida/S2/links/GO/Triru-22-GO.txt",5E-29)</f>
        <v>4.9999999999999999E-29</v>
      </c>
      <c r="BF77" t="s">
        <v>5</v>
      </c>
      <c r="BG77" t="s">
        <v>5</v>
      </c>
      <c r="BH77" t="s">
        <v>5</v>
      </c>
      <c r="BI77" s="2" t="str">
        <f>HYPERLINK("http://exon.niaid.nih.gov/transcriptome/T_rubida/S2/links/CDD/Triru-22-CDD.txt","SCP")</f>
        <v>SCP</v>
      </c>
      <c r="BJ77" t="str">
        <f>HYPERLINK("http://www.ncbi.nlm.nih.gov/Structure/cdd/cddsrv.cgi?uid=smart00198&amp;version=v4.0","3E-023")</f>
        <v>3E-023</v>
      </c>
      <c r="BK77" t="s">
        <v>1015</v>
      </c>
      <c r="BL77" s="2" t="str">
        <f>HYPERLINK("http://exon.niaid.nih.gov/transcriptome/T_rubida/S2/links/KOG/Triru-22-KOG.txt","Defense-related protein containing SCP domain")</f>
        <v>Defense-related protein containing SCP domain</v>
      </c>
      <c r="BM77" t="str">
        <f>HYPERLINK("http://www.ncbi.nlm.nih.gov/COG/grace/shokog.cgi?KOG3017","9E-023")</f>
        <v>9E-023</v>
      </c>
      <c r="BN77" t="s">
        <v>264</v>
      </c>
      <c r="BO77" s="2" t="str">
        <f>HYPERLINK("http://exon.niaid.nih.gov/transcriptome/T_rubida/S2/links/PFAM/Triru-22-PFAM.txt","CAP")</f>
        <v>CAP</v>
      </c>
      <c r="BP77" t="str">
        <f>HYPERLINK("http://pfam.sanger.ac.uk/family?acc=PF00188","2E-013")</f>
        <v>2E-013</v>
      </c>
      <c r="BQ77" s="2" t="str">
        <f>HYPERLINK("http://exon.niaid.nih.gov/transcriptome/T_rubida/S2/links/SMART/Triru-22-SMART.txt","SCP")</f>
        <v>SCP</v>
      </c>
      <c r="BR77" t="str">
        <f>HYPERLINK("http://smart.embl-heidelberg.de/smart/do_annotation.pl?DOMAIN=SCP&amp;BLAST=DUMMY","3E-025")</f>
        <v>3E-025</v>
      </c>
      <c r="BS77" s="17">
        <f t="shared" ref="BS77:BS86" si="46">HYPERLINK("http://exon.niaid.nih.gov/transcriptome/T_rubida/S2/links/cluster/Triru-pep-ext25-50-Sim-CLU1.txt", 1)</f>
        <v>1</v>
      </c>
      <c r="BT77" s="1">
        <f t="shared" ref="BT77:BT86" si="47">HYPERLINK("http://exon.niaid.nih.gov/transcriptome/T_rubida/S2/links/cluster/Triru-pep-ext25-50-Sim-CLTL1.txt", 359)</f>
        <v>359</v>
      </c>
      <c r="BU77" s="17">
        <f t="shared" ref="BU77:BU86" si="48">HYPERLINK("http://exon.niaid.nih.gov/transcriptome/T_rubida/S2/links/cluster/Triru-pep-ext30-50-Sim-CLU2.txt", 2)</f>
        <v>2</v>
      </c>
      <c r="BV77" s="1">
        <f t="shared" ref="BV77:BV86" si="49">HYPERLINK("http://exon.niaid.nih.gov/transcriptome/T_rubida/S2/links/cluster/Triru-pep-ext30-50-Sim-CLTL2.txt", 10)</f>
        <v>10</v>
      </c>
      <c r="BW77" s="17">
        <f t="shared" ref="BW77:BW86" si="50">HYPERLINK("http://exon.niaid.nih.gov/transcriptome/T_rubida/S2/links/cluster/Triru-pep-ext35-50-Sim-CLU3.txt", 3)</f>
        <v>3</v>
      </c>
      <c r="BX77" s="1">
        <f t="shared" ref="BX77:BX86" si="51">HYPERLINK("http://exon.niaid.nih.gov/transcriptome/T_rubida/S2/links/cluster/Triru-pep-ext35-50-Sim-CLTL3.txt", 10)</f>
        <v>10</v>
      </c>
      <c r="BY77" s="17">
        <f t="shared" ref="BY77:BY86" si="52">HYPERLINK("http://exon.niaid.nih.gov/transcriptome/T_rubida/S2/links/cluster/Triru-pep-ext40-50-Sim-CLU3.txt", 3)</f>
        <v>3</v>
      </c>
      <c r="BZ77" s="1">
        <f t="shared" ref="BZ77:BZ86" si="53">HYPERLINK("http://exon.niaid.nih.gov/transcriptome/T_rubida/S2/links/cluster/Triru-pep-ext40-50-Sim-CLTL3.txt", 10)</f>
        <v>10</v>
      </c>
      <c r="CA77" s="17">
        <f t="shared" ref="CA77:CA86" si="54">HYPERLINK("http://exon.niaid.nih.gov/transcriptome/T_rubida/S2/links/cluster/Triru-pep-ext45-50-Sim-CLU3.txt", 3)</f>
        <v>3</v>
      </c>
      <c r="CB77" s="1">
        <f t="shared" ref="CB77:CB86" si="55">HYPERLINK("http://exon.niaid.nih.gov/transcriptome/T_rubida/S2/links/cluster/Triru-pep-ext45-50-Sim-CLTL3.txt", 10)</f>
        <v>10</v>
      </c>
      <c r="CC77" s="17">
        <f t="shared" ref="CC77:CC84" si="56">HYPERLINK("http://exon.niaid.nih.gov/transcriptome/T_rubida/S2/links/cluster/Triru-pep-ext50-50-Sim-CLU4.txt", 4)</f>
        <v>4</v>
      </c>
      <c r="CD77" s="1">
        <f t="shared" ref="CD77:CD84" si="57">HYPERLINK("http://exon.niaid.nih.gov/transcriptome/T_rubida/S2/links/cluster/Triru-pep-ext50-50-Sim-CLTL4.txt", 9)</f>
        <v>9</v>
      </c>
      <c r="CE77" s="17">
        <f t="shared" ref="CE77:CE84" si="58">HYPERLINK("http://exon.niaid.nih.gov/transcriptome/T_rubida/S2/links/cluster/Triru-pep-ext55-50-Sim-CLU4.txt", 4)</f>
        <v>4</v>
      </c>
      <c r="CF77" s="1">
        <f t="shared" ref="CF77:CF84" si="59">HYPERLINK("http://exon.niaid.nih.gov/transcriptome/T_rubida/S2/links/cluster/Triru-pep-ext55-50-Sim-CLTL4.txt", 9)</f>
        <v>9</v>
      </c>
      <c r="CG77" s="17">
        <f t="shared" ref="CG77:CG84" si="60">HYPERLINK("http://exon.niaid.nih.gov/transcriptome/T_rubida/S2/links/cluster/Triru-pep-ext60-50-Sim-CLU4.txt", 4)</f>
        <v>4</v>
      </c>
      <c r="CH77" s="1">
        <f t="shared" ref="CH77:CH84" si="61">HYPERLINK("http://exon.niaid.nih.gov/transcriptome/T_rubida/S2/links/cluster/Triru-pep-ext60-50-Sim-CLTL4.txt", 9)</f>
        <v>9</v>
      </c>
      <c r="CI77" s="17">
        <f>HYPERLINK("http://exon.niaid.nih.gov/transcriptome/T_rubida/S2/links/cluster/Triru-pep-ext65-50-Sim-CLU3.txt", 3)</f>
        <v>3</v>
      </c>
      <c r="CJ77" s="1">
        <f>HYPERLINK("http://exon.niaid.nih.gov/transcriptome/T_rubida/S2/links/cluster/Triru-pep-ext65-50-Sim-CLTL3.txt", 8)</f>
        <v>8</v>
      </c>
      <c r="CK77" s="17">
        <f>HYPERLINK("http://exon.niaid.nih.gov/transcriptome/T_rubida/S2/links/cluster/Triru-pep-ext70-50-Sim-CLU3.txt", 3)</f>
        <v>3</v>
      </c>
      <c r="CL77" s="1">
        <f>HYPERLINK("http://exon.niaid.nih.gov/transcriptome/T_rubida/S2/links/cluster/Triru-pep-ext70-50-Sim-CLTL3.txt", 8)</f>
        <v>8</v>
      </c>
      <c r="CM77" s="17">
        <f>HYPERLINK("http://exon.niaid.nih.gov/transcriptome/T_rubida/S2/links/cluster/Triru-pep-ext75-50-Sim-CLU6.txt", 6)</f>
        <v>6</v>
      </c>
      <c r="CN77" s="1">
        <f>HYPERLINK("http://exon.niaid.nih.gov/transcriptome/T_rubida/S2/links/cluster/Triru-pep-ext75-50-Sim-CLTL6.txt", 4)</f>
        <v>4</v>
      </c>
      <c r="CO77" s="17">
        <v>33</v>
      </c>
      <c r="CP77" s="1">
        <v>1</v>
      </c>
      <c r="CQ77" s="17">
        <v>33</v>
      </c>
      <c r="CR77" s="1">
        <v>1</v>
      </c>
      <c r="CS77" s="17">
        <v>31</v>
      </c>
      <c r="CT77" s="1">
        <v>1</v>
      </c>
      <c r="CU77" s="17">
        <v>31</v>
      </c>
      <c r="CV77" s="1">
        <v>1</v>
      </c>
    </row>
    <row r="78" spans="1:100">
      <c r="A78" t="str">
        <f>HYPERLINK("http://exon.niaid.nih.gov/transcriptome/T_rubida/S2/links/pep/Triru-25-pep.txt","Triru-25")</f>
        <v>Triru-25</v>
      </c>
      <c r="B78">
        <v>172</v>
      </c>
      <c r="C78" s="1" t="s">
        <v>10</v>
      </c>
      <c r="D78" s="1" t="s">
        <v>3</v>
      </c>
      <c r="E78" t="str">
        <f>HYPERLINK("http://exon.niaid.nih.gov/transcriptome/T_rubida/S2/links/cds/Triru-25-cds.txt","Triru-25")</f>
        <v>Triru-25</v>
      </c>
      <c r="F78">
        <v>519</v>
      </c>
      <c r="G78" s="2" t="s">
        <v>1587</v>
      </c>
      <c r="H78" s="1">
        <v>10</v>
      </c>
      <c r="I78" s="3" t="s">
        <v>1277</v>
      </c>
      <c r="J78" s="17" t="str">
        <f>HYPERLINK("http://exon.niaid.nih.gov/transcriptome/T_rubida/S2/links/Sigp/Triru-25-SigP.txt","CYT")</f>
        <v>CYT</v>
      </c>
      <c r="K78" t="s">
        <v>5</v>
      </c>
      <c r="L78" s="1">
        <v>19.492999999999999</v>
      </c>
      <c r="M78" s="1">
        <v>9.3800000000000008</v>
      </c>
      <c r="P78" s="1">
        <v>7.0000000000000007E-2</v>
      </c>
      <c r="Q78" s="1">
        <v>0.06</v>
      </c>
      <c r="R78" s="1">
        <v>0.91700000000000004</v>
      </c>
      <c r="S78" s="17" t="s">
        <v>1346</v>
      </c>
      <c r="T78">
        <v>1</v>
      </c>
      <c r="U78" t="s">
        <v>1348</v>
      </c>
      <c r="V78" s="17">
        <v>0</v>
      </c>
      <c r="W78" t="s">
        <v>5</v>
      </c>
      <c r="X78" t="s">
        <v>5</v>
      </c>
      <c r="Y78" t="s">
        <v>5</v>
      </c>
      <c r="Z78" t="s">
        <v>5</v>
      </c>
      <c r="AA78" t="s">
        <v>5</v>
      </c>
      <c r="AB78" s="17" t="str">
        <f>HYPERLINK("http://exon.niaid.nih.gov/transcriptome/T_rubida/S2/links/netoglyc/TRIRU-25-netoglyc.txt","0")</f>
        <v>0</v>
      </c>
      <c r="AC78">
        <v>14.5</v>
      </c>
      <c r="AD78">
        <v>10.5</v>
      </c>
      <c r="AE78">
        <v>2.2999999999999998</v>
      </c>
      <c r="AF78" s="17" t="s">
        <v>5</v>
      </c>
      <c r="AG78" s="2" t="str">
        <f>HYPERLINK("http://exon.niaid.nih.gov/transcriptome/T_rubida/S2/links/NR/Triru-25-NR.txt","unnamed protein product")</f>
        <v>unnamed protein product</v>
      </c>
      <c r="AH78" t="str">
        <f>HYPERLINK("http://www.ncbi.nlm.nih.gov/sutils/blink.cgi?pid=270046184","3E-050")</f>
        <v>3E-050</v>
      </c>
      <c r="AI78" t="str">
        <f>HYPERLINK("http://www.ncbi.nlm.nih.gov/protein/270046184","gi|270046184")</f>
        <v>gi|270046184</v>
      </c>
      <c r="AJ78">
        <v>201</v>
      </c>
      <c r="AK78">
        <v>161</v>
      </c>
      <c r="AL78">
        <v>239</v>
      </c>
      <c r="AM78">
        <v>57</v>
      </c>
      <c r="AN78">
        <v>68</v>
      </c>
      <c r="AO78" t="s">
        <v>59</v>
      </c>
      <c r="AP78" s="2" t="str">
        <f>HYPERLINK("http://exon.niaid.nih.gov/transcriptome/T_rubida/S2/links/SWISSP/Triru-25-SWISSP.txt","Venom allergen 5")</f>
        <v>Venom allergen 5</v>
      </c>
      <c r="AQ78" t="str">
        <f>HYPERLINK("http://www.uniprot.org/uniprot/B2MVK7","5E-020")</f>
        <v>5E-020</v>
      </c>
      <c r="AR78" t="s">
        <v>1010</v>
      </c>
      <c r="AS78">
        <v>97.1</v>
      </c>
      <c r="AT78">
        <v>132</v>
      </c>
      <c r="AU78">
        <v>228</v>
      </c>
      <c r="AV78">
        <v>37</v>
      </c>
      <c r="AW78">
        <v>58</v>
      </c>
      <c r="AX78">
        <v>87</v>
      </c>
      <c r="AY78">
        <v>8</v>
      </c>
      <c r="AZ78">
        <v>92</v>
      </c>
      <c r="BA78">
        <v>1</v>
      </c>
      <c r="BB78">
        <v>1</v>
      </c>
      <c r="BC78" t="s">
        <v>1011</v>
      </c>
      <c r="BD78" s="2" t="s">
        <v>399</v>
      </c>
      <c r="BE78">
        <f>HYPERLINK("http://exon.niaid.nih.gov/transcriptome/T_rubida/S2/links/GO/Triru-25-GO.txt",2E-28)</f>
        <v>1.9999999999999999E-28</v>
      </c>
      <c r="BF78" t="s">
        <v>5</v>
      </c>
      <c r="BG78" t="s">
        <v>5</v>
      </c>
      <c r="BH78" t="s">
        <v>5</v>
      </c>
      <c r="BI78" s="2" t="str">
        <f>HYPERLINK("http://exon.niaid.nih.gov/transcriptome/T_rubida/S2/links/CDD/Triru-25-CDD.txt","SCP")</f>
        <v>SCP</v>
      </c>
      <c r="BJ78" t="str">
        <f>HYPERLINK("http://www.ncbi.nlm.nih.gov/Structure/cdd/cddsrv.cgi?uid=smart00198&amp;version=v4.0","9E-023")</f>
        <v>9E-023</v>
      </c>
      <c r="BK78" t="s">
        <v>1012</v>
      </c>
      <c r="BL78" s="2" t="str">
        <f>HYPERLINK("http://exon.niaid.nih.gov/transcriptome/T_rubida/S2/links/KOG/Triru-25-KOG.txt","Defense-related protein containing SCP domain")</f>
        <v>Defense-related protein containing SCP domain</v>
      </c>
      <c r="BM78" t="str">
        <f>HYPERLINK("http://www.ncbi.nlm.nih.gov/COG/grace/shokog.cgi?KOG3017","6E-021")</f>
        <v>6E-021</v>
      </c>
      <c r="BN78" t="s">
        <v>264</v>
      </c>
      <c r="BO78" s="2" t="str">
        <f>HYPERLINK("http://exon.niaid.nih.gov/transcriptome/T_rubida/S2/links/PFAM/Triru-25-PFAM.txt","CAP")</f>
        <v>CAP</v>
      </c>
      <c r="BP78" t="str">
        <f>HYPERLINK("http://pfam.sanger.ac.uk/family?acc=PF00188","5E-013")</f>
        <v>5E-013</v>
      </c>
      <c r="BQ78" s="2" t="str">
        <f>HYPERLINK("http://exon.niaid.nih.gov/transcriptome/T_rubida/S2/links/SMART/Triru-25-SMART.txt","SCP")</f>
        <v>SCP</v>
      </c>
      <c r="BR78" t="str">
        <f>HYPERLINK("http://smart.embl-heidelberg.de/smart/do_annotation.pl?DOMAIN=SCP&amp;BLAST=DUMMY","9E-025")</f>
        <v>9E-025</v>
      </c>
      <c r="BS78" s="17">
        <f t="shared" si="46"/>
        <v>1</v>
      </c>
      <c r="BT78" s="1">
        <f t="shared" si="47"/>
        <v>359</v>
      </c>
      <c r="BU78" s="17">
        <f t="shared" si="48"/>
        <v>2</v>
      </c>
      <c r="BV78" s="1">
        <f t="shared" si="49"/>
        <v>10</v>
      </c>
      <c r="BW78" s="17">
        <f t="shared" si="50"/>
        <v>3</v>
      </c>
      <c r="BX78" s="1">
        <f t="shared" si="51"/>
        <v>10</v>
      </c>
      <c r="BY78" s="17">
        <f t="shared" si="52"/>
        <v>3</v>
      </c>
      <c r="BZ78" s="1">
        <f t="shared" si="53"/>
        <v>10</v>
      </c>
      <c r="CA78" s="17">
        <f t="shared" si="54"/>
        <v>3</v>
      </c>
      <c r="CB78" s="1">
        <f t="shared" si="55"/>
        <v>10</v>
      </c>
      <c r="CC78" s="17">
        <f t="shared" si="56"/>
        <v>4</v>
      </c>
      <c r="CD78" s="1">
        <f t="shared" si="57"/>
        <v>9</v>
      </c>
      <c r="CE78" s="17">
        <f t="shared" si="58"/>
        <v>4</v>
      </c>
      <c r="CF78" s="1">
        <f t="shared" si="59"/>
        <v>9</v>
      </c>
      <c r="CG78" s="17">
        <f t="shared" si="60"/>
        <v>4</v>
      </c>
      <c r="CH78" s="1">
        <f t="shared" si="61"/>
        <v>9</v>
      </c>
      <c r="CI78" s="17">
        <f>HYPERLINK("http://exon.niaid.nih.gov/transcriptome/T_rubida/S2/links/cluster/Triru-pep-ext65-50-Sim-CLU3.txt", 3)</f>
        <v>3</v>
      </c>
      <c r="CJ78" s="1">
        <f>HYPERLINK("http://exon.niaid.nih.gov/transcriptome/T_rubida/S2/links/cluster/Triru-pep-ext65-50-Sim-CLTL3.txt", 8)</f>
        <v>8</v>
      </c>
      <c r="CK78" s="17">
        <f>HYPERLINK("http://exon.niaid.nih.gov/transcriptome/T_rubida/S2/links/cluster/Triru-pep-ext70-50-Sim-CLU3.txt", 3)</f>
        <v>3</v>
      </c>
      <c r="CL78" s="1">
        <f>HYPERLINK("http://exon.niaid.nih.gov/transcriptome/T_rubida/S2/links/cluster/Triru-pep-ext70-50-Sim-CLTL3.txt", 8)</f>
        <v>8</v>
      </c>
      <c r="CM78" s="17">
        <f>HYPERLINK("http://exon.niaid.nih.gov/transcriptome/T_rubida/S2/links/cluster/Triru-pep-ext75-50-Sim-CLU6.txt", 6)</f>
        <v>6</v>
      </c>
      <c r="CN78" s="1">
        <f>HYPERLINK("http://exon.niaid.nih.gov/transcriptome/T_rubida/S2/links/cluster/Triru-pep-ext75-50-Sim-CLTL6.txt", 4)</f>
        <v>4</v>
      </c>
      <c r="CO78" s="17">
        <f>HYPERLINK("http://exon.niaid.nih.gov/transcriptome/T_rubida/S2/links/cluster/Triru-pep-ext80-50-Sim-CLU8.txt", 8)</f>
        <v>8</v>
      </c>
      <c r="CP78" s="1">
        <f>HYPERLINK("http://exon.niaid.nih.gov/transcriptome/T_rubida/S2/links/cluster/Triru-pep-ext80-50-Sim-CLTL8.txt", 2)</f>
        <v>2</v>
      </c>
      <c r="CQ78" s="17">
        <v>35</v>
      </c>
      <c r="CR78" s="1">
        <v>1</v>
      </c>
      <c r="CS78" s="17">
        <v>34</v>
      </c>
      <c r="CT78" s="1">
        <v>1</v>
      </c>
      <c r="CU78" s="17">
        <v>34</v>
      </c>
      <c r="CV78" s="1">
        <v>1</v>
      </c>
    </row>
    <row r="79" spans="1:100">
      <c r="A79" t="str">
        <f>HYPERLINK("http://exon.niaid.nih.gov/transcriptome/T_rubida/S2/links/pep/Triru-23-pep.txt","Triru-23")</f>
        <v>Triru-23</v>
      </c>
      <c r="B79">
        <v>156</v>
      </c>
      <c r="C79" s="1" t="s">
        <v>6</v>
      </c>
      <c r="D79" s="1" t="s">
        <v>3</v>
      </c>
      <c r="E79" t="str">
        <f>HYPERLINK("http://exon.niaid.nih.gov/transcriptome/T_rubida/S2/links/cds/Triru-23-cds.txt","Triru-23")</f>
        <v>Triru-23</v>
      </c>
      <c r="F79">
        <v>471</v>
      </c>
      <c r="G79" s="2" t="s">
        <v>1587</v>
      </c>
      <c r="H79" s="1">
        <v>7</v>
      </c>
      <c r="I79" s="3" t="s">
        <v>1277</v>
      </c>
      <c r="J79" s="17" t="str">
        <f>HYPERLINK("http://exon.niaid.nih.gov/transcriptome/T_rubida/S2/links/Sigp/Triru-23-SigP.txt","CYT")</f>
        <v>CYT</v>
      </c>
      <c r="K79" t="s">
        <v>5</v>
      </c>
      <c r="L79" s="1">
        <v>17.672999999999998</v>
      </c>
      <c r="M79" s="1">
        <v>9.5500000000000007</v>
      </c>
      <c r="P79" s="1">
        <v>0.14299999999999999</v>
      </c>
      <c r="Q79" s="1">
        <v>4.7E-2</v>
      </c>
      <c r="R79" s="1">
        <v>0.875</v>
      </c>
      <c r="S79" s="17" t="s">
        <v>1346</v>
      </c>
      <c r="T79">
        <v>2</v>
      </c>
      <c r="U79" t="s">
        <v>1350</v>
      </c>
      <c r="V79" s="17">
        <v>0</v>
      </c>
      <c r="W79" t="s">
        <v>5</v>
      </c>
      <c r="X79" t="s">
        <v>5</v>
      </c>
      <c r="Y79" t="s">
        <v>5</v>
      </c>
      <c r="Z79" t="s">
        <v>5</v>
      </c>
      <c r="AA79" t="s">
        <v>5</v>
      </c>
      <c r="AB79" s="17" t="str">
        <f>HYPERLINK("http://exon.niaid.nih.gov/transcriptome/T_rubida/S2/links/netoglyc/TRIRU-23-netoglyc.txt","0")</f>
        <v>0</v>
      </c>
      <c r="AC79">
        <v>14.1</v>
      </c>
      <c r="AD79">
        <v>10.9</v>
      </c>
      <c r="AE79">
        <v>1.9</v>
      </c>
      <c r="AF79" s="17" t="s">
        <v>5</v>
      </c>
      <c r="AG79" s="2" t="str">
        <f>HYPERLINK("http://exon.niaid.nih.gov/transcriptome/T_rubida/S2/links/NR/Triru-23-NR.txt","unnamed protein product")</f>
        <v>unnamed protein product</v>
      </c>
      <c r="AH79" t="str">
        <f>HYPERLINK("http://www.ncbi.nlm.nih.gov/sutils/blink.cgi?pid=270046184","6E-048")</f>
        <v>6E-048</v>
      </c>
      <c r="AI79" t="str">
        <f>HYPERLINK("http://www.ncbi.nlm.nih.gov/protein/270046184","gi|270046184")</f>
        <v>gi|270046184</v>
      </c>
      <c r="AJ79">
        <v>193</v>
      </c>
      <c r="AK79">
        <v>153</v>
      </c>
      <c r="AL79">
        <v>239</v>
      </c>
      <c r="AM79">
        <v>58</v>
      </c>
      <c r="AN79">
        <v>64</v>
      </c>
      <c r="AO79" t="s">
        <v>59</v>
      </c>
      <c r="AP79" s="2" t="str">
        <f>HYPERLINK("http://exon.niaid.nih.gov/transcriptome/T_rubida/S2/links/SWISSP/Triru-23-SWISSP.txt","Venom allergen 5")</f>
        <v>Venom allergen 5</v>
      </c>
      <c r="AQ79" t="str">
        <f>HYPERLINK("http://www.uniprot.org/uniprot/P81657","1E-015")</f>
        <v>1E-015</v>
      </c>
      <c r="AR79" t="s">
        <v>655</v>
      </c>
      <c r="AS79">
        <v>82</v>
      </c>
      <c r="AT79">
        <v>111</v>
      </c>
      <c r="AU79">
        <v>202</v>
      </c>
      <c r="AV79">
        <v>39</v>
      </c>
      <c r="AW79">
        <v>55</v>
      </c>
      <c r="AX79">
        <v>74</v>
      </c>
      <c r="AY79">
        <v>12</v>
      </c>
      <c r="AZ79">
        <v>82</v>
      </c>
      <c r="BA79">
        <v>3</v>
      </c>
      <c r="BB79">
        <v>1</v>
      </c>
      <c r="BC79" t="s">
        <v>656</v>
      </c>
      <c r="BD79" s="2" t="s">
        <v>399</v>
      </c>
      <c r="BE79">
        <f>HYPERLINK("http://exon.niaid.nih.gov/transcriptome/T_rubida/S2/links/GO/Triru-23-GO.txt",5E-25)</f>
        <v>4.9999999999999996E-25</v>
      </c>
      <c r="BF79" t="s">
        <v>105</v>
      </c>
      <c r="BG79" t="s">
        <v>105</v>
      </c>
      <c r="BI79" s="2" t="str">
        <f>HYPERLINK("http://exon.niaid.nih.gov/transcriptome/T_rubida/S2/links/CDD/Triru-23-CDD.txt","SCP")</f>
        <v>SCP</v>
      </c>
      <c r="BJ79" t="str">
        <f>HYPERLINK("http://www.ncbi.nlm.nih.gov/Structure/cdd/cddsrv.cgi?uid=smart00198&amp;version=v4.0","2E-017")</f>
        <v>2E-017</v>
      </c>
      <c r="BK79" t="s">
        <v>657</v>
      </c>
      <c r="BL79" s="2" t="str">
        <f>HYPERLINK("http://exon.niaid.nih.gov/transcriptome/T_rubida/S2/links/KOG/Triru-23-KOG.txt","Defense-related protein containing SCP domain")</f>
        <v>Defense-related protein containing SCP domain</v>
      </c>
      <c r="BM79" t="str">
        <f>HYPERLINK("http://www.ncbi.nlm.nih.gov/COG/grace/shokog.cgi?KOG3017","3E-017")</f>
        <v>3E-017</v>
      </c>
      <c r="BN79" t="s">
        <v>264</v>
      </c>
      <c r="BO79" s="2" t="str">
        <f>HYPERLINK("http://exon.niaid.nih.gov/transcriptome/T_rubida/S2/links/PFAM/Triru-23-PFAM.txt","CAP")</f>
        <v>CAP</v>
      </c>
      <c r="BP79" t="str">
        <f>HYPERLINK("http://pfam.sanger.ac.uk/family?acc=PF00188","1E-009")</f>
        <v>1E-009</v>
      </c>
      <c r="BQ79" s="2" t="str">
        <f>HYPERLINK("http://exon.niaid.nih.gov/transcriptome/T_rubida/S2/links/SMART/Triru-23-SMART.txt","SCP")</f>
        <v>SCP</v>
      </c>
      <c r="BR79" t="str">
        <f>HYPERLINK("http://smart.embl-heidelberg.de/smart/do_annotation.pl?DOMAIN=SCP&amp;BLAST=DUMMY","2E-019")</f>
        <v>2E-019</v>
      </c>
      <c r="BS79" s="17">
        <f t="shared" si="46"/>
        <v>1</v>
      </c>
      <c r="BT79" s="1">
        <f t="shared" si="47"/>
        <v>359</v>
      </c>
      <c r="BU79" s="17">
        <f t="shared" si="48"/>
        <v>2</v>
      </c>
      <c r="BV79" s="1">
        <f t="shared" si="49"/>
        <v>10</v>
      </c>
      <c r="BW79" s="17">
        <f t="shared" si="50"/>
        <v>3</v>
      </c>
      <c r="BX79" s="1">
        <f t="shared" si="51"/>
        <v>10</v>
      </c>
      <c r="BY79" s="17">
        <f t="shared" si="52"/>
        <v>3</v>
      </c>
      <c r="BZ79" s="1">
        <f t="shared" si="53"/>
        <v>10</v>
      </c>
      <c r="CA79" s="17">
        <f t="shared" si="54"/>
        <v>3</v>
      </c>
      <c r="CB79" s="1">
        <f t="shared" si="55"/>
        <v>10</v>
      </c>
      <c r="CC79" s="17">
        <f t="shared" si="56"/>
        <v>4</v>
      </c>
      <c r="CD79" s="1">
        <f t="shared" si="57"/>
        <v>9</v>
      </c>
      <c r="CE79" s="17">
        <f t="shared" si="58"/>
        <v>4</v>
      </c>
      <c r="CF79" s="1">
        <f t="shared" si="59"/>
        <v>9</v>
      </c>
      <c r="CG79" s="17">
        <f t="shared" si="60"/>
        <v>4</v>
      </c>
      <c r="CH79" s="1">
        <f t="shared" si="61"/>
        <v>9</v>
      </c>
      <c r="CI79" s="17">
        <f>HYPERLINK("http://exon.niaid.nih.gov/transcriptome/T_rubida/S2/links/cluster/Triru-pep-ext65-50-Sim-CLU3.txt", 3)</f>
        <v>3</v>
      </c>
      <c r="CJ79" s="1">
        <f>HYPERLINK("http://exon.niaid.nih.gov/transcriptome/T_rubida/S2/links/cluster/Triru-pep-ext65-50-Sim-CLTL3.txt", 8)</f>
        <v>8</v>
      </c>
      <c r="CK79" s="17">
        <f>HYPERLINK("http://exon.niaid.nih.gov/transcriptome/T_rubida/S2/links/cluster/Triru-pep-ext70-50-Sim-CLU3.txt", 3)</f>
        <v>3</v>
      </c>
      <c r="CL79" s="1">
        <f>HYPERLINK("http://exon.niaid.nih.gov/transcriptome/T_rubida/S2/links/cluster/Triru-pep-ext70-50-Sim-CLTL3.txt", 8)</f>
        <v>8</v>
      </c>
      <c r="CM79" s="17">
        <f>HYPERLINK("http://exon.niaid.nih.gov/transcriptome/T_rubida/S2/links/cluster/Triru-pep-ext75-50-Sim-CLU6.txt", 6)</f>
        <v>6</v>
      </c>
      <c r="CN79" s="1">
        <f>HYPERLINK("http://exon.niaid.nih.gov/transcriptome/T_rubida/S2/links/cluster/Triru-pep-ext75-50-Sim-CLTL6.txt", 4)</f>
        <v>4</v>
      </c>
      <c r="CO79" s="17">
        <f>HYPERLINK("http://exon.niaid.nih.gov/transcriptome/T_rubida/S2/links/cluster/Triru-pep-ext80-50-Sim-CLU8.txt", 8)</f>
        <v>8</v>
      </c>
      <c r="CP79" s="1">
        <f>HYPERLINK("http://exon.niaid.nih.gov/transcriptome/T_rubida/S2/links/cluster/Triru-pep-ext80-50-Sim-CLTL8.txt", 2)</f>
        <v>2</v>
      </c>
      <c r="CQ79" s="17">
        <v>34</v>
      </c>
      <c r="CR79" s="1">
        <v>1</v>
      </c>
      <c r="CS79" s="17">
        <v>32</v>
      </c>
      <c r="CT79" s="1">
        <v>1</v>
      </c>
      <c r="CU79" s="17">
        <v>32</v>
      </c>
      <c r="CV79" s="1">
        <v>1</v>
      </c>
    </row>
    <row r="80" spans="1:100">
      <c r="A80" t="str">
        <f>HYPERLINK("http://exon.niaid.nih.gov/transcriptome/T_rubida/S2/links/pep/Triru-28-pep.txt","Triru-28")</f>
        <v>Triru-28</v>
      </c>
      <c r="B80">
        <v>72</v>
      </c>
      <c r="C80" s="1" t="s">
        <v>6</v>
      </c>
      <c r="D80" s="1" t="s">
        <v>3</v>
      </c>
      <c r="E80" t="str">
        <f>HYPERLINK("http://exon.niaid.nih.gov/transcriptome/T_rubida/S2/links/cds/Triru-28-cds.txt","Triru-28")</f>
        <v>Triru-28</v>
      </c>
      <c r="F80">
        <v>219</v>
      </c>
      <c r="G80" s="2" t="s">
        <v>1587</v>
      </c>
      <c r="H80" s="1">
        <v>6</v>
      </c>
      <c r="I80" s="3" t="s">
        <v>1277</v>
      </c>
      <c r="J80" s="17" t="str">
        <f>HYPERLINK("http://exon.niaid.nih.gov/transcriptome/T_rubida/S2/links/Sigp/Triru-28-SigP.txt","CYT")</f>
        <v>CYT</v>
      </c>
      <c r="K80" t="s">
        <v>5</v>
      </c>
      <c r="L80" s="1">
        <v>8.0990000000000002</v>
      </c>
      <c r="M80" s="1">
        <v>9.4600000000000009</v>
      </c>
      <c r="P80" s="1">
        <v>0.17399999999999999</v>
      </c>
      <c r="Q80" s="1">
        <v>5.5E-2</v>
      </c>
      <c r="R80" s="1">
        <v>0.85199999999999998</v>
      </c>
      <c r="S80" s="17" t="s">
        <v>1346</v>
      </c>
      <c r="T80">
        <v>2</v>
      </c>
      <c r="U80" t="s">
        <v>1348</v>
      </c>
      <c r="V80" s="17">
        <v>0</v>
      </c>
      <c r="W80" t="s">
        <v>5</v>
      </c>
      <c r="X80" t="s">
        <v>5</v>
      </c>
      <c r="Y80" t="s">
        <v>5</v>
      </c>
      <c r="Z80" t="s">
        <v>5</v>
      </c>
      <c r="AA80" t="s">
        <v>5</v>
      </c>
      <c r="AB80" s="17" t="str">
        <f>HYPERLINK("http://exon.niaid.nih.gov/transcriptome/T_rubida/S2/links/netoglyc/TRIRU-28-netoglyc.txt","0")</f>
        <v>0</v>
      </c>
      <c r="AC80">
        <v>11.1</v>
      </c>
      <c r="AD80">
        <v>15.3</v>
      </c>
      <c r="AE80">
        <v>4.2</v>
      </c>
      <c r="AF80" s="17" t="s">
        <v>5</v>
      </c>
      <c r="AG80" s="2" t="str">
        <f>HYPERLINK("http://exon.niaid.nih.gov/transcriptome/T_rubida/S2/links/NR/Triru-28-NR.txt","unnamed protein product")</f>
        <v>unnamed protein product</v>
      </c>
      <c r="AH80" t="str">
        <f>HYPERLINK("http://www.ncbi.nlm.nih.gov/sutils/blink.cgi?pid=270046248","9E-017")</f>
        <v>9E-017</v>
      </c>
      <c r="AI80" t="str">
        <f>HYPERLINK("http://www.ncbi.nlm.nih.gov/protein/270046248","gi|270046248")</f>
        <v>gi|270046248</v>
      </c>
      <c r="AJ80">
        <v>90.1</v>
      </c>
      <c r="AK80">
        <v>65</v>
      </c>
      <c r="AL80">
        <v>230</v>
      </c>
      <c r="AM80">
        <v>56</v>
      </c>
      <c r="AN80">
        <v>29</v>
      </c>
      <c r="AO80" t="s">
        <v>59</v>
      </c>
      <c r="AP80" s="2" t="str">
        <f>HYPERLINK("http://exon.niaid.nih.gov/transcriptome/T_rubida/S2/links/SWISSP/Triru-28-SWISSP.txt","Peptidase inhibitor 16")</f>
        <v>Peptidase inhibitor 16</v>
      </c>
      <c r="AQ80" t="str">
        <f>HYPERLINK("http://www.uniprot.org/uniprot/Q9ET66","2E-004")</f>
        <v>2E-004</v>
      </c>
      <c r="AR80" t="s">
        <v>398</v>
      </c>
      <c r="AS80">
        <v>44.3</v>
      </c>
      <c r="AT80">
        <v>41</v>
      </c>
      <c r="AU80">
        <v>489</v>
      </c>
      <c r="AV80">
        <v>48</v>
      </c>
      <c r="AW80">
        <v>9</v>
      </c>
      <c r="AX80">
        <v>22</v>
      </c>
      <c r="AY80">
        <v>1</v>
      </c>
      <c r="AZ80">
        <v>132</v>
      </c>
      <c r="BA80">
        <v>6</v>
      </c>
      <c r="BB80">
        <v>1</v>
      </c>
      <c r="BC80" t="s">
        <v>75</v>
      </c>
      <c r="BD80" s="2" t="s">
        <v>399</v>
      </c>
      <c r="BE80">
        <f>HYPERLINK("http://exon.niaid.nih.gov/transcriptome/T_rubida/S2/links/GO/Triru-28-GO.txt",0.0000006)</f>
        <v>5.9999999999999997E-7</v>
      </c>
      <c r="BF80" t="s">
        <v>5</v>
      </c>
      <c r="BG80" t="s">
        <v>5</v>
      </c>
      <c r="BH80" t="s">
        <v>5</v>
      </c>
      <c r="BI80" s="2" t="str">
        <f>HYPERLINK("http://exon.niaid.nih.gov/transcriptome/T_rubida/S2/links/CDD/Triru-28-CDD.txt","SCP_PRY1_like")</f>
        <v>SCP_PRY1_like</v>
      </c>
      <c r="BJ80" t="str">
        <f>HYPERLINK("http://www.ncbi.nlm.nih.gov/Structure/cdd/cddsrv.cgi?uid=cd05384&amp;version=v4.0","0.47")</f>
        <v>0.47</v>
      </c>
      <c r="BK80" t="s">
        <v>527</v>
      </c>
      <c r="BL80" s="2" t="str">
        <f>HYPERLINK("http://exon.niaid.nih.gov/transcriptome/T_rubida/S2/links/KOG/Triru-28-KOG.txt","Defense-related protein containing SCP domain")</f>
        <v>Defense-related protein containing SCP domain</v>
      </c>
      <c r="BM80" t="str">
        <f>HYPERLINK("http://www.ncbi.nlm.nih.gov/COG/grace/shokog.cgi?KOG3017","0.001")</f>
        <v>0.001</v>
      </c>
      <c r="BN80" t="s">
        <v>264</v>
      </c>
      <c r="BO80" s="2" t="str">
        <f>HYPERLINK("http://exon.niaid.nih.gov/transcriptome/T_rubida/S2/links/PFAM/Triru-28-PFAM.txt","F-protein")</f>
        <v>F-protein</v>
      </c>
      <c r="BP80" t="str">
        <f>HYPERLINK("http://pfam.sanger.ac.uk/family?acc=PF00469","1.3")</f>
        <v>1.3</v>
      </c>
      <c r="BQ80" s="2" t="str">
        <f>HYPERLINK("http://exon.niaid.nih.gov/transcriptome/T_rubida/S2/links/SMART/Triru-28-SMART.txt","SCP")</f>
        <v>SCP</v>
      </c>
      <c r="BR80" t="str">
        <f>HYPERLINK("http://smart.embl-heidelberg.de/smart/do_annotation.pl?DOMAIN=SCP&amp;BLAST=DUMMY","0.011")</f>
        <v>0.011</v>
      </c>
      <c r="BS80" s="17">
        <f t="shared" si="46"/>
        <v>1</v>
      </c>
      <c r="BT80" s="1">
        <f t="shared" si="47"/>
        <v>359</v>
      </c>
      <c r="BU80" s="17">
        <f t="shared" si="48"/>
        <v>2</v>
      </c>
      <c r="BV80" s="1">
        <f t="shared" si="49"/>
        <v>10</v>
      </c>
      <c r="BW80" s="17">
        <f t="shared" si="50"/>
        <v>3</v>
      </c>
      <c r="BX80" s="1">
        <f t="shared" si="51"/>
        <v>10</v>
      </c>
      <c r="BY80" s="17">
        <f t="shared" si="52"/>
        <v>3</v>
      </c>
      <c r="BZ80" s="1">
        <f t="shared" si="53"/>
        <v>10</v>
      </c>
      <c r="CA80" s="17">
        <f t="shared" si="54"/>
        <v>3</v>
      </c>
      <c r="CB80" s="1">
        <f t="shared" si="55"/>
        <v>10</v>
      </c>
      <c r="CC80" s="17">
        <f t="shared" si="56"/>
        <v>4</v>
      </c>
      <c r="CD80" s="1">
        <f t="shared" si="57"/>
        <v>9</v>
      </c>
      <c r="CE80" s="17">
        <f t="shared" si="58"/>
        <v>4</v>
      </c>
      <c r="CF80" s="1">
        <f t="shared" si="59"/>
        <v>9</v>
      </c>
      <c r="CG80" s="17">
        <f t="shared" si="60"/>
        <v>4</v>
      </c>
      <c r="CH80" s="1">
        <f t="shared" si="61"/>
        <v>9</v>
      </c>
      <c r="CI80" s="17">
        <v>35</v>
      </c>
      <c r="CJ80" s="1">
        <v>1</v>
      </c>
      <c r="CK80" s="17">
        <v>35</v>
      </c>
      <c r="CL80" s="1">
        <v>1</v>
      </c>
      <c r="CM80" s="17">
        <v>36</v>
      </c>
      <c r="CN80" s="1">
        <v>1</v>
      </c>
      <c r="CO80" s="17">
        <v>35</v>
      </c>
      <c r="CP80" s="1">
        <v>1</v>
      </c>
      <c r="CQ80" s="17">
        <v>37</v>
      </c>
      <c r="CR80" s="1">
        <v>1</v>
      </c>
      <c r="CS80" s="17">
        <v>37</v>
      </c>
      <c r="CT80" s="1">
        <v>1</v>
      </c>
      <c r="CU80" s="17">
        <v>37</v>
      </c>
      <c r="CV80" s="1">
        <v>1</v>
      </c>
    </row>
    <row r="81" spans="1:100">
      <c r="A81" t="str">
        <f>HYPERLINK("http://exon.niaid.nih.gov/transcriptome/T_rubida/S2/links/pep/Triru-26-pep.txt","Triru-26")</f>
        <v>Triru-26</v>
      </c>
      <c r="B81">
        <v>131</v>
      </c>
      <c r="C81" s="1" t="s">
        <v>6</v>
      </c>
      <c r="D81" s="1" t="s">
        <v>3</v>
      </c>
      <c r="E81" t="str">
        <f>HYPERLINK("http://exon.niaid.nih.gov/transcriptome/T_rubida/S2/links/cds/Triru-26-cds.txt","Triru-26")</f>
        <v>Triru-26</v>
      </c>
      <c r="F81">
        <v>396</v>
      </c>
      <c r="G81" s="2" t="s">
        <v>1587</v>
      </c>
      <c r="H81" s="1">
        <v>3</v>
      </c>
      <c r="I81" s="3" t="s">
        <v>1277</v>
      </c>
      <c r="J81" s="17" t="str">
        <f>HYPERLINK("http://exon.niaid.nih.gov/transcriptome/T_rubida/S2/links/Sigp/Triru-26-SigP.txt","CYT")</f>
        <v>CYT</v>
      </c>
      <c r="K81" t="s">
        <v>5</v>
      </c>
      <c r="L81" s="1">
        <v>14.925000000000001</v>
      </c>
      <c r="M81" s="1">
        <v>9.39</v>
      </c>
      <c r="P81" s="1">
        <v>0.33500000000000002</v>
      </c>
      <c r="Q81" s="1">
        <v>6.6000000000000003E-2</v>
      </c>
      <c r="R81" s="1">
        <v>0.63800000000000001</v>
      </c>
      <c r="S81" s="17" t="s">
        <v>1346</v>
      </c>
      <c r="T81">
        <v>4</v>
      </c>
      <c r="U81" t="s">
        <v>1350</v>
      </c>
      <c r="V81" s="17">
        <v>0</v>
      </c>
      <c r="W81" t="s">
        <v>5</v>
      </c>
      <c r="X81" t="s">
        <v>5</v>
      </c>
      <c r="Y81" t="s">
        <v>5</v>
      </c>
      <c r="Z81" t="s">
        <v>5</v>
      </c>
      <c r="AA81" t="s">
        <v>5</v>
      </c>
      <c r="AB81" s="17" t="str">
        <f>HYPERLINK("http://exon.niaid.nih.gov/transcriptome/T_rubida/S2/links/netoglyc/TRIRU-26-netoglyc.txt","0")</f>
        <v>0</v>
      </c>
      <c r="AC81">
        <v>13</v>
      </c>
      <c r="AD81">
        <v>11.5</v>
      </c>
      <c r="AE81">
        <v>2.2999999999999998</v>
      </c>
      <c r="AF81" s="17" t="s">
        <v>5</v>
      </c>
      <c r="AG81" s="2" t="str">
        <f>HYPERLINK("http://exon.niaid.nih.gov/transcriptome/T_rubida/S2/links/NR/Triru-26-NR.txt","unnamed protein product")</f>
        <v>unnamed protein product</v>
      </c>
      <c r="AH81" t="str">
        <f>HYPERLINK("http://www.ncbi.nlm.nih.gov/sutils/blink.cgi?pid=270046184","9E-036")</f>
        <v>9E-036</v>
      </c>
      <c r="AI81" t="str">
        <f>HYPERLINK("http://www.ncbi.nlm.nih.gov/protein/270046184","gi|270046184")</f>
        <v>gi|270046184</v>
      </c>
      <c r="AJ81">
        <v>153</v>
      </c>
      <c r="AK81">
        <v>120</v>
      </c>
      <c r="AL81">
        <v>239</v>
      </c>
      <c r="AM81">
        <v>56</v>
      </c>
      <c r="AN81">
        <v>51</v>
      </c>
      <c r="AO81" t="s">
        <v>59</v>
      </c>
      <c r="AP81" s="2" t="str">
        <f>HYPERLINK("http://exon.niaid.nih.gov/transcriptome/T_rubida/S2/links/SWISSP/Triru-26-SWISSP.txt","Peptidase inhibitor 16")</f>
        <v>Peptidase inhibitor 16</v>
      </c>
      <c r="AQ81" t="str">
        <f>HYPERLINK("http://www.uniprot.org/uniprot/Q9ET66","8E-012")</f>
        <v>8E-012</v>
      </c>
      <c r="AR81" t="s">
        <v>398</v>
      </c>
      <c r="AS81">
        <v>68.900000000000006</v>
      </c>
      <c r="AT81">
        <v>77</v>
      </c>
      <c r="AU81">
        <v>489</v>
      </c>
      <c r="AV81">
        <v>41</v>
      </c>
      <c r="AW81">
        <v>16</v>
      </c>
      <c r="AX81">
        <v>46</v>
      </c>
      <c r="AY81">
        <v>4</v>
      </c>
      <c r="AZ81">
        <v>96</v>
      </c>
      <c r="BA81">
        <v>27</v>
      </c>
      <c r="BB81">
        <v>1</v>
      </c>
      <c r="BC81" t="s">
        <v>75</v>
      </c>
      <c r="BD81" s="2" t="s">
        <v>399</v>
      </c>
      <c r="BE81">
        <f>HYPERLINK("http://exon.niaid.nih.gov/transcriptome/T_rubida/S2/links/GO/Triru-26-GO.txt",0.0000000000000000001)</f>
        <v>9.9999999999999998E-20</v>
      </c>
      <c r="BF81" t="s">
        <v>105</v>
      </c>
      <c r="BG81" t="s">
        <v>105</v>
      </c>
      <c r="BI81" s="2" t="str">
        <f>HYPERLINK("http://exon.niaid.nih.gov/transcriptome/T_rubida/S2/links/CDD/Triru-26-CDD.txt","SCP_PRY1_like")</f>
        <v>SCP_PRY1_like</v>
      </c>
      <c r="BJ81" t="str">
        <f>HYPERLINK("http://www.ncbi.nlm.nih.gov/Structure/cdd/cddsrv.cgi?uid=cd05384&amp;version=v4.0","2E-012")</f>
        <v>2E-012</v>
      </c>
      <c r="BK81" t="s">
        <v>636</v>
      </c>
      <c r="BL81" s="2" t="str">
        <f>HYPERLINK("http://exon.niaid.nih.gov/transcriptome/T_rubida/S2/links/KOG/Triru-26-KOG.txt","Defense-related protein containing SCP domain")</f>
        <v>Defense-related protein containing SCP domain</v>
      </c>
      <c r="BM81" t="str">
        <f>HYPERLINK("http://www.ncbi.nlm.nih.gov/COG/grace/shokog.cgi?KOG3017","1E-011")</f>
        <v>1E-011</v>
      </c>
      <c r="BN81" t="s">
        <v>264</v>
      </c>
      <c r="BO81" s="2" t="str">
        <f>HYPERLINK("http://exon.niaid.nih.gov/transcriptome/T_rubida/S2/links/PFAM/Triru-26-PFAM.txt","CAP")</f>
        <v>CAP</v>
      </c>
      <c r="BP81" t="str">
        <f>HYPERLINK("http://pfam.sanger.ac.uk/family?acc=PF00188","2E-007")</f>
        <v>2E-007</v>
      </c>
      <c r="BQ81" s="2" t="str">
        <f>HYPERLINK("http://exon.niaid.nih.gov/transcriptome/T_rubida/S2/links/SMART/Triru-26-SMART.txt","SCP")</f>
        <v>SCP</v>
      </c>
      <c r="BR81" t="str">
        <f>HYPERLINK("http://smart.embl-heidelberg.de/smart/do_annotation.pl?DOMAIN=SCP&amp;BLAST=DUMMY","1E-013")</f>
        <v>1E-013</v>
      </c>
      <c r="BS81" s="17">
        <f t="shared" si="46"/>
        <v>1</v>
      </c>
      <c r="BT81" s="1">
        <f t="shared" si="47"/>
        <v>359</v>
      </c>
      <c r="BU81" s="17">
        <f t="shared" si="48"/>
        <v>2</v>
      </c>
      <c r="BV81" s="1">
        <f t="shared" si="49"/>
        <v>10</v>
      </c>
      <c r="BW81" s="17">
        <f t="shared" si="50"/>
        <v>3</v>
      </c>
      <c r="BX81" s="1">
        <f t="shared" si="51"/>
        <v>10</v>
      </c>
      <c r="BY81" s="17">
        <f t="shared" si="52"/>
        <v>3</v>
      </c>
      <c r="BZ81" s="1">
        <f t="shared" si="53"/>
        <v>10</v>
      </c>
      <c r="CA81" s="17">
        <f t="shared" si="54"/>
        <v>3</v>
      </c>
      <c r="CB81" s="1">
        <f t="shared" si="55"/>
        <v>10</v>
      </c>
      <c r="CC81" s="17">
        <f t="shared" si="56"/>
        <v>4</v>
      </c>
      <c r="CD81" s="1">
        <f t="shared" si="57"/>
        <v>9</v>
      </c>
      <c r="CE81" s="17">
        <f t="shared" si="58"/>
        <v>4</v>
      </c>
      <c r="CF81" s="1">
        <f t="shared" si="59"/>
        <v>9</v>
      </c>
      <c r="CG81" s="17">
        <f t="shared" si="60"/>
        <v>4</v>
      </c>
      <c r="CH81" s="1">
        <f t="shared" si="61"/>
        <v>9</v>
      </c>
      <c r="CI81" s="17">
        <f>HYPERLINK("http://exon.niaid.nih.gov/transcriptome/T_rubida/S2/links/cluster/Triru-pep-ext65-50-Sim-CLU3.txt", 3)</f>
        <v>3</v>
      </c>
      <c r="CJ81" s="1">
        <f>HYPERLINK("http://exon.niaid.nih.gov/transcriptome/T_rubida/S2/links/cluster/Triru-pep-ext65-50-Sim-CLTL3.txt", 8)</f>
        <v>8</v>
      </c>
      <c r="CK81" s="17">
        <f>HYPERLINK("http://exon.niaid.nih.gov/transcriptome/T_rubida/S2/links/cluster/Triru-pep-ext70-50-Sim-CLU3.txt", 3)</f>
        <v>3</v>
      </c>
      <c r="CL81" s="1">
        <f>HYPERLINK("http://exon.niaid.nih.gov/transcriptome/T_rubida/S2/links/cluster/Triru-pep-ext70-50-Sim-CLTL3.txt", 8)</f>
        <v>8</v>
      </c>
      <c r="CM81" s="17">
        <v>35</v>
      </c>
      <c r="CN81" s="1">
        <v>1</v>
      </c>
      <c r="CO81" s="17">
        <v>34</v>
      </c>
      <c r="CP81" s="1">
        <v>1</v>
      </c>
      <c r="CQ81" s="17">
        <v>36</v>
      </c>
      <c r="CR81" s="1">
        <v>1</v>
      </c>
      <c r="CS81" s="17">
        <v>35</v>
      </c>
      <c r="CT81" s="1">
        <v>1</v>
      </c>
      <c r="CU81" s="17">
        <v>35</v>
      </c>
      <c r="CV81" s="1">
        <v>1</v>
      </c>
    </row>
    <row r="82" spans="1:100">
      <c r="A82" t="str">
        <f>HYPERLINK("http://exon.niaid.nih.gov/transcriptome/T_rubida/S2/links/pep/Triru-27-pep.txt","Triru-27")</f>
        <v>Triru-27</v>
      </c>
      <c r="B82">
        <v>106</v>
      </c>
      <c r="C82" s="1" t="s">
        <v>10</v>
      </c>
      <c r="D82" s="1" t="s">
        <v>3</v>
      </c>
      <c r="E82" t="str">
        <f>HYPERLINK("http://exon.niaid.nih.gov/transcriptome/T_rubida/S2/links/cds/Triru-27-cds.txt","Triru-27")</f>
        <v>Triru-27</v>
      </c>
      <c r="F82">
        <v>321</v>
      </c>
      <c r="G82" s="2" t="s">
        <v>1587</v>
      </c>
      <c r="H82" s="1">
        <v>3</v>
      </c>
      <c r="I82" s="3" t="s">
        <v>1277</v>
      </c>
      <c r="J82" s="17" t="str">
        <f>HYPERLINK("http://exon.niaid.nih.gov/transcriptome/T_rubida/S2/links/Sigp/Triru-27-SigP.txt","CYT")</f>
        <v>CYT</v>
      </c>
      <c r="K82" t="s">
        <v>5</v>
      </c>
      <c r="L82" s="1">
        <v>12.016999999999999</v>
      </c>
      <c r="M82" s="1">
        <v>8.08</v>
      </c>
      <c r="P82" s="1">
        <v>0.05</v>
      </c>
      <c r="Q82" s="1">
        <v>7.6999999999999999E-2</v>
      </c>
      <c r="R82" s="1">
        <v>0.92500000000000004</v>
      </c>
      <c r="S82" s="17" t="s">
        <v>1346</v>
      </c>
      <c r="T82">
        <v>1</v>
      </c>
      <c r="U82" t="s">
        <v>1347</v>
      </c>
      <c r="V82" s="17">
        <v>0</v>
      </c>
      <c r="W82" t="s">
        <v>5</v>
      </c>
      <c r="X82" t="s">
        <v>5</v>
      </c>
      <c r="Y82" t="s">
        <v>5</v>
      </c>
      <c r="Z82" t="s">
        <v>5</v>
      </c>
      <c r="AA82" t="s">
        <v>5</v>
      </c>
      <c r="AB82" s="17" t="str">
        <f>HYPERLINK("http://exon.niaid.nih.gov/transcriptome/T_rubida/S2/links/netoglyc/TRIRU-27-netoglyc.txt","0")</f>
        <v>0</v>
      </c>
      <c r="AC82">
        <v>13.2</v>
      </c>
      <c r="AD82">
        <v>13.2</v>
      </c>
      <c r="AE82">
        <v>3.8</v>
      </c>
      <c r="AF82" s="17" t="s">
        <v>5</v>
      </c>
      <c r="AG82" s="2" t="str">
        <f>HYPERLINK("http://exon.niaid.nih.gov/transcriptome/T_rubida/S2/links/NR/Triru-27-NR.txt","unnamed protein product")</f>
        <v>unnamed protein product</v>
      </c>
      <c r="AH82" t="str">
        <f>HYPERLINK("http://www.ncbi.nlm.nih.gov/sutils/blink.cgi?pid=270046184","1E-029")</f>
        <v>1E-029</v>
      </c>
      <c r="AI82" t="str">
        <f>HYPERLINK("http://www.ncbi.nlm.nih.gov/protein/270046184","gi|270046184")</f>
        <v>gi|270046184</v>
      </c>
      <c r="AJ82">
        <v>132</v>
      </c>
      <c r="AK82">
        <v>92</v>
      </c>
      <c r="AL82">
        <v>239</v>
      </c>
      <c r="AM82">
        <v>60</v>
      </c>
      <c r="AN82">
        <v>39</v>
      </c>
      <c r="AO82" t="s">
        <v>59</v>
      </c>
      <c r="AP82" s="2" t="str">
        <f>HYPERLINK("http://exon.niaid.nih.gov/transcriptome/T_rubida/S2/links/SWISSP/Triru-27-SWISSP.txt","Peptidase inhibitor 16")</f>
        <v>Peptidase inhibitor 16</v>
      </c>
      <c r="AQ82" t="str">
        <f>HYPERLINK("http://www.uniprot.org/uniprot/Q9ET66","2E-011")</f>
        <v>2E-011</v>
      </c>
      <c r="AR82" t="s">
        <v>398</v>
      </c>
      <c r="AS82">
        <v>67.400000000000006</v>
      </c>
      <c r="AT82">
        <v>75</v>
      </c>
      <c r="AU82">
        <v>489</v>
      </c>
      <c r="AV82">
        <v>41</v>
      </c>
      <c r="AW82">
        <v>16</v>
      </c>
      <c r="AX82">
        <v>45</v>
      </c>
      <c r="AY82">
        <v>4</v>
      </c>
      <c r="AZ82">
        <v>98</v>
      </c>
      <c r="BA82">
        <v>4</v>
      </c>
      <c r="BB82">
        <v>1</v>
      </c>
      <c r="BC82" t="s">
        <v>75</v>
      </c>
      <c r="BD82" s="2" t="s">
        <v>399</v>
      </c>
      <c r="BE82">
        <f>HYPERLINK("http://exon.niaid.nih.gov/transcriptome/T_rubida/S2/links/GO/Triru-27-GO.txt",0.0000000000000000002)</f>
        <v>2E-19</v>
      </c>
      <c r="BF82" t="s">
        <v>105</v>
      </c>
      <c r="BG82" t="s">
        <v>105</v>
      </c>
      <c r="BI82" s="2" t="str">
        <f>HYPERLINK("http://exon.niaid.nih.gov/transcriptome/T_rubida/S2/links/CDD/Triru-27-CDD.txt","SCP_PRY1_like")</f>
        <v>SCP_PRY1_like</v>
      </c>
      <c r="BJ82" t="str">
        <f>HYPERLINK("http://www.ncbi.nlm.nih.gov/Structure/cdd/cddsrv.cgi?uid=cd05384&amp;version=v4.0","5E-011")</f>
        <v>5E-011</v>
      </c>
      <c r="BK82" t="s">
        <v>984</v>
      </c>
      <c r="BL82" s="2" t="str">
        <f>HYPERLINK("http://exon.niaid.nih.gov/transcriptome/T_rubida/S2/links/KOG/Triru-27-KOG.txt","Defense-related protein containing SCP domain")</f>
        <v>Defense-related protein containing SCP domain</v>
      </c>
      <c r="BM82" t="str">
        <f>HYPERLINK("http://www.ncbi.nlm.nih.gov/COG/grace/shokog.cgi?KOG3017","1E-012")</f>
        <v>1E-012</v>
      </c>
      <c r="BN82" t="s">
        <v>264</v>
      </c>
      <c r="BO82" s="2" t="str">
        <f>HYPERLINK("http://exon.niaid.nih.gov/transcriptome/T_rubida/S2/links/PFAM/Triru-27-PFAM.txt","CAP")</f>
        <v>CAP</v>
      </c>
      <c r="BP82" t="str">
        <f>HYPERLINK("http://pfam.sanger.ac.uk/family?acc=PF00188","1E-007")</f>
        <v>1E-007</v>
      </c>
      <c r="BQ82" s="2" t="str">
        <f>HYPERLINK("http://exon.niaid.nih.gov/transcriptome/T_rubida/S2/links/SMART/Triru-27-SMART.txt","SCP")</f>
        <v>SCP</v>
      </c>
      <c r="BR82" t="str">
        <f>HYPERLINK("http://smart.embl-heidelberg.de/smart/do_annotation.pl?DOMAIN=SCP&amp;BLAST=DUMMY","6E-013")</f>
        <v>6E-013</v>
      </c>
      <c r="BS82" s="17">
        <f t="shared" si="46"/>
        <v>1</v>
      </c>
      <c r="BT82" s="1">
        <f t="shared" si="47"/>
        <v>359</v>
      </c>
      <c r="BU82" s="17">
        <f t="shared" si="48"/>
        <v>2</v>
      </c>
      <c r="BV82" s="1">
        <f t="shared" si="49"/>
        <v>10</v>
      </c>
      <c r="BW82" s="17">
        <f t="shared" si="50"/>
        <v>3</v>
      </c>
      <c r="BX82" s="1">
        <f t="shared" si="51"/>
        <v>10</v>
      </c>
      <c r="BY82" s="17">
        <f t="shared" si="52"/>
        <v>3</v>
      </c>
      <c r="BZ82" s="1">
        <f t="shared" si="53"/>
        <v>10</v>
      </c>
      <c r="CA82" s="17">
        <f t="shared" si="54"/>
        <v>3</v>
      </c>
      <c r="CB82" s="1">
        <f t="shared" si="55"/>
        <v>10</v>
      </c>
      <c r="CC82" s="17">
        <f t="shared" si="56"/>
        <v>4</v>
      </c>
      <c r="CD82" s="1">
        <f t="shared" si="57"/>
        <v>9</v>
      </c>
      <c r="CE82" s="17">
        <f t="shared" si="58"/>
        <v>4</v>
      </c>
      <c r="CF82" s="1">
        <f t="shared" si="59"/>
        <v>9</v>
      </c>
      <c r="CG82" s="17">
        <f t="shared" si="60"/>
        <v>4</v>
      </c>
      <c r="CH82" s="1">
        <f t="shared" si="61"/>
        <v>9</v>
      </c>
      <c r="CI82" s="17">
        <f>HYPERLINK("http://exon.niaid.nih.gov/transcriptome/T_rubida/S2/links/cluster/Triru-pep-ext65-50-Sim-CLU3.txt", 3)</f>
        <v>3</v>
      </c>
      <c r="CJ82" s="1">
        <f>HYPERLINK("http://exon.niaid.nih.gov/transcriptome/T_rubida/S2/links/cluster/Triru-pep-ext65-50-Sim-CLTL3.txt", 8)</f>
        <v>8</v>
      </c>
      <c r="CK82" s="17">
        <f>HYPERLINK("http://exon.niaid.nih.gov/transcriptome/T_rubida/S2/links/cluster/Triru-pep-ext70-50-Sim-CLU3.txt", 3)</f>
        <v>3</v>
      </c>
      <c r="CL82" s="1">
        <f>HYPERLINK("http://exon.niaid.nih.gov/transcriptome/T_rubida/S2/links/cluster/Triru-pep-ext70-50-Sim-CLTL3.txt", 8)</f>
        <v>8</v>
      </c>
      <c r="CM82" s="17">
        <f>HYPERLINK("http://exon.niaid.nih.gov/transcriptome/T_rubida/S2/links/cluster/Triru-pep-ext75-50-Sim-CLU7.txt", 7)</f>
        <v>7</v>
      </c>
      <c r="CN82" s="1">
        <f>HYPERLINK("http://exon.niaid.nih.gov/transcriptome/T_rubida/S2/links/cluster/Triru-pep-ext75-50-Sim-CLTL7.txt", 3)</f>
        <v>3</v>
      </c>
      <c r="CO82" s="17">
        <f>HYPERLINK("http://exon.niaid.nih.gov/transcriptome/T_rubida/S2/links/cluster/Triru-pep-ext80-50-Sim-CLU5.txt", 5)</f>
        <v>5</v>
      </c>
      <c r="CP82" s="1">
        <f>HYPERLINK("http://exon.niaid.nih.gov/transcriptome/T_rubida/S2/links/cluster/Triru-pep-ext80-50-Sim-CLTL5.txt", 3)</f>
        <v>3</v>
      </c>
      <c r="CQ82" s="17">
        <f>HYPERLINK("http://exon.niaid.nih.gov/transcriptome/T_rubida/S2/links/cluster/Triru-pep-ext85-50-Sim-CLU6.txt", 6)</f>
        <v>6</v>
      </c>
      <c r="CR82" s="1">
        <f>HYPERLINK("http://exon.niaid.nih.gov/transcriptome/T_rubida/S2/links/cluster/Triru-pep-ext85-50-Sim-CLTL6.txt", 2)</f>
        <v>2</v>
      </c>
      <c r="CS82" s="17">
        <v>36</v>
      </c>
      <c r="CT82" s="1">
        <v>1</v>
      </c>
      <c r="CU82" s="17">
        <v>36</v>
      </c>
      <c r="CV82" s="1">
        <v>1</v>
      </c>
    </row>
    <row r="83" spans="1:100">
      <c r="A83" t="str">
        <f>HYPERLINK("http://exon.niaid.nih.gov/transcriptome/T_rubida/S2/links/pep/Triru-24-pep.txt","Triru-24")</f>
        <v>Triru-24</v>
      </c>
      <c r="B83">
        <v>100</v>
      </c>
      <c r="C83" s="1" t="s">
        <v>8</v>
      </c>
      <c r="D83" s="1" t="s">
        <v>3</v>
      </c>
      <c r="E83" t="str">
        <f>HYPERLINK("http://exon.niaid.nih.gov/transcriptome/T_rubida/S2/links/cds/Triru-24-cds.txt","Triru-24")</f>
        <v>Triru-24</v>
      </c>
      <c r="F83">
        <v>303</v>
      </c>
      <c r="G83" s="2" t="s">
        <v>1587</v>
      </c>
      <c r="H83" s="1">
        <v>2</v>
      </c>
      <c r="I83" s="3" t="s">
        <v>1277</v>
      </c>
      <c r="J83" s="17" t="str">
        <f>HYPERLINK("http://exon.niaid.nih.gov/transcriptome/T_rubida/S2/links/Sigp/Triru-24-SigP.txt","CYT")</f>
        <v>CYT</v>
      </c>
      <c r="K83" t="s">
        <v>5</v>
      </c>
      <c r="L83" s="1">
        <v>11.353</v>
      </c>
      <c r="M83" s="1">
        <v>8.67</v>
      </c>
      <c r="P83" s="1">
        <v>8.6999999999999994E-2</v>
      </c>
      <c r="Q83" s="1">
        <v>5.1999999999999998E-2</v>
      </c>
      <c r="R83" s="1">
        <v>0.93400000000000005</v>
      </c>
      <c r="S83" s="17" t="s">
        <v>1346</v>
      </c>
      <c r="T83">
        <v>1</v>
      </c>
      <c r="U83" t="s">
        <v>1347</v>
      </c>
      <c r="V83" s="17">
        <v>0</v>
      </c>
      <c r="W83" t="s">
        <v>5</v>
      </c>
      <c r="X83" t="s">
        <v>5</v>
      </c>
      <c r="Y83" t="s">
        <v>5</v>
      </c>
      <c r="Z83" t="s">
        <v>5</v>
      </c>
      <c r="AA83" t="s">
        <v>5</v>
      </c>
      <c r="AB83" s="17" t="str">
        <f>HYPERLINK("http://exon.niaid.nih.gov/transcriptome/T_rubida/S2/links/netoglyc/TRIRU-24-netoglyc.txt","0")</f>
        <v>0</v>
      </c>
      <c r="AC83">
        <v>12</v>
      </c>
      <c r="AD83">
        <v>13</v>
      </c>
      <c r="AE83">
        <v>3</v>
      </c>
      <c r="AF83" s="17" t="s">
        <v>5</v>
      </c>
      <c r="AG83" s="2" t="str">
        <f>HYPERLINK("http://exon.niaid.nih.gov/transcriptome/T_rubida/S2/links/NR/Triru-24-NR.txt","unnamed protein product")</f>
        <v>unnamed protein product</v>
      </c>
      <c r="AH83" t="str">
        <f>HYPERLINK("http://www.ncbi.nlm.nih.gov/sutils/blink.cgi?pid=270046184","5E-029")</f>
        <v>5E-029</v>
      </c>
      <c r="AI83" t="str">
        <f>HYPERLINK("http://www.ncbi.nlm.nih.gov/protein/270046184","gi|270046184")</f>
        <v>gi|270046184</v>
      </c>
      <c r="AJ83">
        <v>130</v>
      </c>
      <c r="AK83">
        <v>93</v>
      </c>
      <c r="AL83">
        <v>239</v>
      </c>
      <c r="AM83">
        <v>60</v>
      </c>
      <c r="AN83">
        <v>39</v>
      </c>
      <c r="AO83" t="s">
        <v>59</v>
      </c>
      <c r="AP83" s="2" t="str">
        <f>HYPERLINK("http://exon.niaid.nih.gov/transcriptome/T_rubida/S2/links/SWISSP/Triru-24-SWISSP.txt","Peptidase inhibitor 16")</f>
        <v>Peptidase inhibitor 16</v>
      </c>
      <c r="AQ83" t="str">
        <f>HYPERLINK("http://www.uniprot.org/uniprot/Q9ET66","4E-011")</f>
        <v>4E-011</v>
      </c>
      <c r="AR83" t="s">
        <v>398</v>
      </c>
      <c r="AS83">
        <v>66.599999999999994</v>
      </c>
      <c r="AT83">
        <v>72</v>
      </c>
      <c r="AU83">
        <v>489</v>
      </c>
      <c r="AV83">
        <v>43</v>
      </c>
      <c r="AW83">
        <v>15</v>
      </c>
      <c r="AX83">
        <v>42</v>
      </c>
      <c r="AY83">
        <v>4</v>
      </c>
      <c r="AZ83">
        <v>101</v>
      </c>
      <c r="BA83">
        <v>2</v>
      </c>
      <c r="BB83">
        <v>1</v>
      </c>
      <c r="BC83" t="s">
        <v>75</v>
      </c>
      <c r="BD83" s="2" t="s">
        <v>399</v>
      </c>
      <c r="BE83">
        <f>HYPERLINK("http://exon.niaid.nih.gov/transcriptome/T_rubida/S2/links/GO/Triru-24-GO.txt",0.000000000000000007)</f>
        <v>6.9999999999999997E-18</v>
      </c>
      <c r="BF83" t="s">
        <v>105</v>
      </c>
      <c r="BG83" t="s">
        <v>105</v>
      </c>
      <c r="BI83" s="2" t="str">
        <f>HYPERLINK("http://exon.niaid.nih.gov/transcriptome/T_rubida/S2/links/CDD/Triru-24-CDD.txt","SCP_PRY1_like")</f>
        <v>SCP_PRY1_like</v>
      </c>
      <c r="BJ83" t="str">
        <f>HYPERLINK("http://www.ncbi.nlm.nih.gov/Structure/cdd/cddsrv.cgi?uid=cd05384&amp;version=v4.0","3E-010")</f>
        <v>3E-010</v>
      </c>
      <c r="BK83" t="s">
        <v>400</v>
      </c>
      <c r="BL83" s="2" t="str">
        <f>HYPERLINK("http://exon.niaid.nih.gov/transcriptome/T_rubida/S2/links/KOG/Triru-24-KOG.txt","Defense-related protein containing SCP domain")</f>
        <v>Defense-related protein containing SCP domain</v>
      </c>
      <c r="BM83" t="str">
        <f>HYPERLINK("http://www.ncbi.nlm.nih.gov/COG/grace/shokog.cgi?KOG3017","6E-011")</f>
        <v>6E-011</v>
      </c>
      <c r="BN83" t="s">
        <v>264</v>
      </c>
      <c r="BO83" s="2" t="str">
        <f>HYPERLINK("http://exon.niaid.nih.gov/transcriptome/T_rubida/S2/links/PFAM/Triru-24-PFAM.txt","CAP")</f>
        <v>CAP</v>
      </c>
      <c r="BP83" t="str">
        <f>HYPERLINK("http://pfam.sanger.ac.uk/family?acc=PF00188","2E-006")</f>
        <v>2E-006</v>
      </c>
      <c r="BQ83" s="2" t="str">
        <f>HYPERLINK("http://exon.niaid.nih.gov/transcriptome/T_rubida/S2/links/SMART/Triru-24-SMART.txt","SCP")</f>
        <v>SCP</v>
      </c>
      <c r="BR83" t="str">
        <f>HYPERLINK("http://smart.embl-heidelberg.de/smart/do_annotation.pl?DOMAIN=SCP&amp;BLAST=DUMMY","2E-011")</f>
        <v>2E-011</v>
      </c>
      <c r="BS83" s="17">
        <f t="shared" si="46"/>
        <v>1</v>
      </c>
      <c r="BT83" s="1">
        <f t="shared" si="47"/>
        <v>359</v>
      </c>
      <c r="BU83" s="17">
        <f t="shared" si="48"/>
        <v>2</v>
      </c>
      <c r="BV83" s="1">
        <f t="shared" si="49"/>
        <v>10</v>
      </c>
      <c r="BW83" s="17">
        <f t="shared" si="50"/>
        <v>3</v>
      </c>
      <c r="BX83" s="1">
        <f t="shared" si="51"/>
        <v>10</v>
      </c>
      <c r="BY83" s="17">
        <f t="shared" si="52"/>
        <v>3</v>
      </c>
      <c r="BZ83" s="1">
        <f t="shared" si="53"/>
        <v>10</v>
      </c>
      <c r="CA83" s="17">
        <f t="shared" si="54"/>
        <v>3</v>
      </c>
      <c r="CB83" s="1">
        <f t="shared" si="55"/>
        <v>10</v>
      </c>
      <c r="CC83" s="17">
        <f t="shared" si="56"/>
        <v>4</v>
      </c>
      <c r="CD83" s="1">
        <f t="shared" si="57"/>
        <v>9</v>
      </c>
      <c r="CE83" s="17">
        <f t="shared" si="58"/>
        <v>4</v>
      </c>
      <c r="CF83" s="1">
        <f t="shared" si="59"/>
        <v>9</v>
      </c>
      <c r="CG83" s="17">
        <f t="shared" si="60"/>
        <v>4</v>
      </c>
      <c r="CH83" s="1">
        <f t="shared" si="61"/>
        <v>9</v>
      </c>
      <c r="CI83" s="17">
        <f>HYPERLINK("http://exon.niaid.nih.gov/transcriptome/T_rubida/S2/links/cluster/Triru-pep-ext65-50-Sim-CLU3.txt", 3)</f>
        <v>3</v>
      </c>
      <c r="CJ83" s="1">
        <f>HYPERLINK("http://exon.niaid.nih.gov/transcriptome/T_rubida/S2/links/cluster/Triru-pep-ext65-50-Sim-CLTL3.txt", 8)</f>
        <v>8</v>
      </c>
      <c r="CK83" s="17">
        <f>HYPERLINK("http://exon.niaid.nih.gov/transcriptome/T_rubida/S2/links/cluster/Triru-pep-ext70-50-Sim-CLU3.txt", 3)</f>
        <v>3</v>
      </c>
      <c r="CL83" s="1">
        <f>HYPERLINK("http://exon.niaid.nih.gov/transcriptome/T_rubida/S2/links/cluster/Triru-pep-ext70-50-Sim-CLTL3.txt", 8)</f>
        <v>8</v>
      </c>
      <c r="CM83" s="17">
        <f>HYPERLINK("http://exon.niaid.nih.gov/transcriptome/T_rubida/S2/links/cluster/Triru-pep-ext75-50-Sim-CLU7.txt", 7)</f>
        <v>7</v>
      </c>
      <c r="CN83" s="1">
        <f>HYPERLINK("http://exon.niaid.nih.gov/transcriptome/T_rubida/S2/links/cluster/Triru-pep-ext75-50-Sim-CLTL7.txt", 3)</f>
        <v>3</v>
      </c>
      <c r="CO83" s="17">
        <f>HYPERLINK("http://exon.niaid.nih.gov/transcriptome/T_rubida/S2/links/cluster/Triru-pep-ext80-50-Sim-CLU5.txt", 5)</f>
        <v>5</v>
      </c>
      <c r="CP83" s="1">
        <f>HYPERLINK("http://exon.niaid.nih.gov/transcriptome/T_rubida/S2/links/cluster/Triru-pep-ext80-50-Sim-CLTL5.txt", 3)</f>
        <v>3</v>
      </c>
      <c r="CQ83" s="17">
        <f>HYPERLINK("http://exon.niaid.nih.gov/transcriptome/T_rubida/S2/links/cluster/Triru-pep-ext85-50-Sim-CLU6.txt", 6)</f>
        <v>6</v>
      </c>
      <c r="CR83" s="1">
        <f>HYPERLINK("http://exon.niaid.nih.gov/transcriptome/T_rubida/S2/links/cluster/Triru-pep-ext85-50-Sim-CLTL6.txt", 2)</f>
        <v>2</v>
      </c>
      <c r="CS83" s="17">
        <v>33</v>
      </c>
      <c r="CT83" s="1">
        <v>1</v>
      </c>
      <c r="CU83" s="17">
        <v>33</v>
      </c>
      <c r="CV83" s="1">
        <v>1</v>
      </c>
    </row>
    <row r="84" spans="1:100">
      <c r="A84" t="str">
        <f>HYPERLINK("http://exon.niaid.nih.gov/transcriptome/T_rubida/S2/links/pep/Triru-47-pep.txt","Triru-47")</f>
        <v>Triru-47</v>
      </c>
      <c r="B84">
        <v>203</v>
      </c>
      <c r="C84" s="1" t="s">
        <v>10</v>
      </c>
      <c r="D84" s="1" t="s">
        <v>3</v>
      </c>
      <c r="E84" t="str">
        <f>HYPERLINK("http://exon.niaid.nih.gov/transcriptome/T_rubida/S2/links/cds/Triru-47-cds.txt","Triru-47")</f>
        <v>Triru-47</v>
      </c>
      <c r="F84">
        <v>612</v>
      </c>
      <c r="G84" s="2" t="s">
        <v>1587</v>
      </c>
      <c r="H84" s="1">
        <v>1</v>
      </c>
      <c r="I84" s="3" t="s">
        <v>1277</v>
      </c>
      <c r="J84" s="17" t="str">
        <f>HYPERLINK("http://exon.niaid.nih.gov/transcriptome/T_rubida/S2/links/Sigp/Triru-47-SigP.txt","CYT")</f>
        <v>CYT</v>
      </c>
      <c r="K84" t="s">
        <v>5</v>
      </c>
      <c r="L84" s="1">
        <v>22.753</v>
      </c>
      <c r="M84" s="1">
        <v>8.5399999999999991</v>
      </c>
      <c r="P84" s="1">
        <v>5.0999999999999997E-2</v>
      </c>
      <c r="Q84" s="1">
        <v>6.4000000000000001E-2</v>
      </c>
      <c r="R84" s="1">
        <v>0.94799999999999995</v>
      </c>
      <c r="S84" s="17" t="s">
        <v>1346</v>
      </c>
      <c r="T84">
        <v>1</v>
      </c>
      <c r="U84" t="s">
        <v>1348</v>
      </c>
      <c r="V84" s="17">
        <v>0</v>
      </c>
      <c r="W84" t="s">
        <v>5</v>
      </c>
      <c r="X84" t="s">
        <v>5</v>
      </c>
      <c r="Y84" t="s">
        <v>5</v>
      </c>
      <c r="Z84" t="s">
        <v>5</v>
      </c>
      <c r="AA84" t="s">
        <v>5</v>
      </c>
      <c r="AB84" s="17" t="str">
        <f>HYPERLINK("http://exon.niaid.nih.gov/transcriptome/T_rubida/S2/links/netoglyc/TRIRU-47-netoglyc.txt","0")</f>
        <v>0</v>
      </c>
      <c r="AC84">
        <v>14.3</v>
      </c>
      <c r="AD84">
        <v>10.8</v>
      </c>
      <c r="AE84">
        <v>3.4</v>
      </c>
      <c r="AF84" s="17" t="s">
        <v>5</v>
      </c>
      <c r="AG84" s="2" t="str">
        <f>HYPERLINK("http://exon.niaid.nih.gov/transcriptome/T_rubida/S2/links/NR/Triru-47-NR.txt","unnamed protein product")</f>
        <v>unnamed protein product</v>
      </c>
      <c r="AH84" t="str">
        <f>HYPERLINK("http://www.ncbi.nlm.nih.gov/sutils/blink.cgi?pid=270046184","2E-056")</f>
        <v>2E-056</v>
      </c>
      <c r="AI84" t="str">
        <f>HYPERLINK("http://www.ncbi.nlm.nih.gov/protein/270046184","gi|270046184")</f>
        <v>gi|270046184</v>
      </c>
      <c r="AJ84">
        <v>223</v>
      </c>
      <c r="AK84">
        <v>176</v>
      </c>
      <c r="AL84">
        <v>239</v>
      </c>
      <c r="AM84">
        <v>58</v>
      </c>
      <c r="AN84">
        <v>74</v>
      </c>
      <c r="AO84" t="s">
        <v>59</v>
      </c>
      <c r="AP84" s="2" t="str">
        <f>HYPERLINK("http://exon.niaid.nih.gov/transcriptome/T_rubida/S2/links/SWISSP/Triru-47-SWISSP.txt","Venom allergen 5")</f>
        <v>Venom allergen 5</v>
      </c>
      <c r="AQ84" t="str">
        <f>HYPERLINK("http://www.uniprot.org/uniprot/B2MVK7","8E-021")</f>
        <v>8E-021</v>
      </c>
      <c r="AR84" t="s">
        <v>1010</v>
      </c>
      <c r="AS84">
        <v>100</v>
      </c>
      <c r="AT84">
        <v>149</v>
      </c>
      <c r="AU84">
        <v>228</v>
      </c>
      <c r="AV84">
        <v>37</v>
      </c>
      <c r="AW84">
        <v>66</v>
      </c>
      <c r="AX84">
        <v>98</v>
      </c>
      <c r="AY84">
        <v>8</v>
      </c>
      <c r="AZ84">
        <v>75</v>
      </c>
      <c r="BA84">
        <v>2</v>
      </c>
      <c r="BB84">
        <v>1</v>
      </c>
      <c r="BC84" t="s">
        <v>1011</v>
      </c>
      <c r="BD84" s="2" t="s">
        <v>399</v>
      </c>
      <c r="BE84">
        <f>HYPERLINK("http://exon.niaid.nih.gov/transcriptome/T_rubida/S2/links/GO/Triru-47-GO.txt",2E-31)</f>
        <v>2.0000000000000002E-31</v>
      </c>
      <c r="BF84" t="s">
        <v>5</v>
      </c>
      <c r="BG84" t="s">
        <v>5</v>
      </c>
      <c r="BH84" t="s">
        <v>5</v>
      </c>
      <c r="BI84" s="2" t="str">
        <f>HYPERLINK("http://exon.niaid.nih.gov/transcriptome/T_rubida/S2/links/CDD/Triru-47-CDD.txt","SCP")</f>
        <v>SCP</v>
      </c>
      <c r="BJ84" t="str">
        <f>HYPERLINK("http://www.ncbi.nlm.nih.gov/Structure/cdd/cddsrv.cgi?uid=smart00198&amp;version=v4.0","1E-023")</f>
        <v>1E-023</v>
      </c>
      <c r="BK84" t="s">
        <v>1016</v>
      </c>
      <c r="BL84" s="2" t="str">
        <f>HYPERLINK("http://exon.niaid.nih.gov/transcriptome/T_rubida/S2/links/KOG/Triru-47-KOG.txt","Defense-related protein containing SCP domain")</f>
        <v>Defense-related protein containing SCP domain</v>
      </c>
      <c r="BM84" t="str">
        <f>HYPERLINK("http://www.ncbi.nlm.nih.gov/COG/grace/shokog.cgi?KOG3017","2E-022")</f>
        <v>2E-022</v>
      </c>
      <c r="BN84" t="s">
        <v>264</v>
      </c>
      <c r="BO84" s="2" t="str">
        <f>HYPERLINK("http://exon.niaid.nih.gov/transcriptome/T_rubida/S2/links/PFAM/Triru-47-PFAM.txt","CAP")</f>
        <v>CAP</v>
      </c>
      <c r="BP84" t="str">
        <f>HYPERLINK("http://pfam.sanger.ac.uk/family?acc=PF00188","3E-013")</f>
        <v>3E-013</v>
      </c>
      <c r="BQ84" s="2" t="str">
        <f>HYPERLINK("http://exon.niaid.nih.gov/transcriptome/T_rubida/S2/links/SMART/Triru-47-SMART.txt","SCP")</f>
        <v>SCP</v>
      </c>
      <c r="BR84" t="str">
        <f>HYPERLINK("http://smart.embl-heidelberg.de/smart/do_annotation.pl?DOMAIN=SCP&amp;BLAST=DUMMY","1E-025")</f>
        <v>1E-025</v>
      </c>
      <c r="BS84" s="17">
        <f t="shared" si="46"/>
        <v>1</v>
      </c>
      <c r="BT84" s="1">
        <f t="shared" si="47"/>
        <v>359</v>
      </c>
      <c r="BU84" s="17">
        <f t="shared" si="48"/>
        <v>2</v>
      </c>
      <c r="BV84" s="1">
        <f t="shared" si="49"/>
        <v>10</v>
      </c>
      <c r="BW84" s="17">
        <f t="shared" si="50"/>
        <v>3</v>
      </c>
      <c r="BX84" s="1">
        <f t="shared" si="51"/>
        <v>10</v>
      </c>
      <c r="BY84" s="17">
        <f t="shared" si="52"/>
        <v>3</v>
      </c>
      <c r="BZ84" s="1">
        <f t="shared" si="53"/>
        <v>10</v>
      </c>
      <c r="CA84" s="17">
        <f t="shared" si="54"/>
        <v>3</v>
      </c>
      <c r="CB84" s="1">
        <f t="shared" si="55"/>
        <v>10</v>
      </c>
      <c r="CC84" s="17">
        <f t="shared" si="56"/>
        <v>4</v>
      </c>
      <c r="CD84" s="1">
        <f t="shared" si="57"/>
        <v>9</v>
      </c>
      <c r="CE84" s="17">
        <f t="shared" si="58"/>
        <v>4</v>
      </c>
      <c r="CF84" s="1">
        <f t="shared" si="59"/>
        <v>9</v>
      </c>
      <c r="CG84" s="17">
        <f t="shared" si="60"/>
        <v>4</v>
      </c>
      <c r="CH84" s="1">
        <f t="shared" si="61"/>
        <v>9</v>
      </c>
      <c r="CI84" s="17">
        <f>HYPERLINK("http://exon.niaid.nih.gov/transcriptome/T_rubida/S2/links/cluster/Triru-pep-ext65-50-Sim-CLU3.txt", 3)</f>
        <v>3</v>
      </c>
      <c r="CJ84" s="1">
        <f>HYPERLINK("http://exon.niaid.nih.gov/transcriptome/T_rubida/S2/links/cluster/Triru-pep-ext65-50-Sim-CLTL3.txt", 8)</f>
        <v>8</v>
      </c>
      <c r="CK84" s="17">
        <f>HYPERLINK("http://exon.niaid.nih.gov/transcriptome/T_rubida/S2/links/cluster/Triru-pep-ext70-50-Sim-CLU3.txt", 3)</f>
        <v>3</v>
      </c>
      <c r="CL84" s="1">
        <f>HYPERLINK("http://exon.niaid.nih.gov/transcriptome/T_rubida/S2/links/cluster/Triru-pep-ext70-50-Sim-CLTL3.txt", 8)</f>
        <v>8</v>
      </c>
      <c r="CM84" s="17">
        <f>HYPERLINK("http://exon.niaid.nih.gov/transcriptome/T_rubida/S2/links/cluster/Triru-pep-ext75-50-Sim-CLU6.txt", 6)</f>
        <v>6</v>
      </c>
      <c r="CN84" s="1">
        <f>HYPERLINK("http://exon.niaid.nih.gov/transcriptome/T_rubida/S2/links/cluster/Triru-pep-ext75-50-Sim-CLTL6.txt", 4)</f>
        <v>4</v>
      </c>
      <c r="CO84" s="17">
        <v>42</v>
      </c>
      <c r="CP84" s="1">
        <v>1</v>
      </c>
      <c r="CQ84" s="17">
        <v>44</v>
      </c>
      <c r="CR84" s="1">
        <v>1</v>
      </c>
      <c r="CS84" s="17">
        <v>45</v>
      </c>
      <c r="CT84" s="1">
        <v>1</v>
      </c>
      <c r="CU84" s="17">
        <v>49</v>
      </c>
      <c r="CV84" s="1">
        <v>1</v>
      </c>
    </row>
    <row r="85" spans="1:100">
      <c r="A85" t="str">
        <f>HYPERLINK("http://exon.niaid.nih.gov/transcriptome/T_rubida/S2/links/pep/Triru-169-pep.txt","Triru-169")</f>
        <v>Triru-169</v>
      </c>
      <c r="B85">
        <v>200</v>
      </c>
      <c r="C85" s="1" t="s">
        <v>18</v>
      </c>
      <c r="D85" s="1" t="s">
        <v>5</v>
      </c>
      <c r="E85" t="str">
        <f>HYPERLINK("http://exon.niaid.nih.gov/transcriptome/T_rubida/S2/links/cds/Triru-169-cds.txt","Triru-169")</f>
        <v>Triru-169</v>
      </c>
      <c r="F85">
        <v>599</v>
      </c>
      <c r="G85" s="2" t="s">
        <v>1587</v>
      </c>
      <c r="H85" s="1">
        <v>1</v>
      </c>
      <c r="I85" s="3" t="s">
        <v>1277</v>
      </c>
      <c r="J85" s="17" t="str">
        <f>HYPERLINK("http://exon.niaid.nih.gov/transcriptome/T_rubida/S2/links/Sigp/Triru-169-SigP.txt","CYT")</f>
        <v>CYT</v>
      </c>
      <c r="K85" t="s">
        <v>5</v>
      </c>
      <c r="L85" s="1">
        <v>22.074000000000002</v>
      </c>
      <c r="M85" s="1">
        <v>7.59</v>
      </c>
      <c r="P85" s="1">
        <v>0.13700000000000001</v>
      </c>
      <c r="Q85" s="1">
        <v>0.18</v>
      </c>
      <c r="R85" s="1">
        <v>0.79300000000000004</v>
      </c>
      <c r="S85" s="17" t="s">
        <v>1346</v>
      </c>
      <c r="T85">
        <v>2</v>
      </c>
      <c r="U85" t="s">
        <v>1349</v>
      </c>
      <c r="V85" s="17">
        <v>0</v>
      </c>
      <c r="W85" t="s">
        <v>5</v>
      </c>
      <c r="X85" t="s">
        <v>5</v>
      </c>
      <c r="Y85" t="s">
        <v>5</v>
      </c>
      <c r="Z85" t="s">
        <v>5</v>
      </c>
      <c r="AA85" t="s">
        <v>5</v>
      </c>
      <c r="AB85" s="17" t="str">
        <f>HYPERLINK("http://exon.niaid.nih.gov/transcriptome/T_rubida/S2/links/netoglyc/TRIRU-169-netoglyc.txt","1")</f>
        <v>1</v>
      </c>
      <c r="AC85">
        <v>15</v>
      </c>
      <c r="AD85">
        <v>7</v>
      </c>
      <c r="AE85">
        <v>3.5</v>
      </c>
      <c r="AF85" s="17" t="s">
        <v>5</v>
      </c>
      <c r="AG85" s="2" t="str">
        <f>HYPERLINK("http://exon.niaid.nih.gov/transcriptome/T_rubida/S2/links/NR/Triru-169-NR.txt","unnamed protein product")</f>
        <v>unnamed protein product</v>
      </c>
      <c r="AH85" t="str">
        <f>HYPERLINK("http://www.ncbi.nlm.nih.gov/sutils/blink.cgi?pid=270046216","3E-050")</f>
        <v>3E-050</v>
      </c>
      <c r="AI85" t="str">
        <f>HYPERLINK("http://www.ncbi.nlm.nih.gov/protein/270046216","gi|270046216")</f>
        <v>gi|270046216</v>
      </c>
      <c r="AJ85">
        <v>202</v>
      </c>
      <c r="AK85">
        <v>159</v>
      </c>
      <c r="AL85">
        <v>241</v>
      </c>
      <c r="AM85">
        <v>60</v>
      </c>
      <c r="AN85">
        <v>66</v>
      </c>
      <c r="AO85" t="s">
        <v>59</v>
      </c>
      <c r="AP85" s="2" t="str">
        <f>HYPERLINK("http://exon.niaid.nih.gov/transcriptome/T_rubida/S2/links/SWISSP/Triru-169-SWISSP.txt","Venom allergen 5")</f>
        <v>Venom allergen 5</v>
      </c>
      <c r="AQ85" t="str">
        <f>HYPERLINK("http://www.uniprot.org/uniprot/P35760","7E-015")</f>
        <v>7E-015</v>
      </c>
      <c r="AR85" t="s">
        <v>1187</v>
      </c>
      <c r="AS85">
        <v>80.5</v>
      </c>
      <c r="AT85">
        <v>113</v>
      </c>
      <c r="AU85">
        <v>204</v>
      </c>
      <c r="AV85">
        <v>41</v>
      </c>
      <c r="AW85">
        <v>56</v>
      </c>
      <c r="AX85">
        <v>70</v>
      </c>
      <c r="AY85">
        <v>6</v>
      </c>
      <c r="AZ85">
        <v>36</v>
      </c>
      <c r="BA85">
        <v>70</v>
      </c>
      <c r="BB85">
        <v>1</v>
      </c>
      <c r="BC85" t="s">
        <v>1188</v>
      </c>
      <c r="BD85" s="2" t="s">
        <v>399</v>
      </c>
      <c r="BE85">
        <f>HYPERLINK("http://exon.niaid.nih.gov/transcriptome/T_rubida/S2/links/GO/Triru-169-GO.txt",0.000000000002)</f>
        <v>2E-12</v>
      </c>
      <c r="BF85" t="s">
        <v>105</v>
      </c>
      <c r="BG85" t="s">
        <v>105</v>
      </c>
      <c r="BI85" s="2" t="str">
        <f>HYPERLINK("http://exon.niaid.nih.gov/transcriptome/T_rubida/S2/links/CDD/Triru-169-CDD.txt","SCP_euk")</f>
        <v>SCP_euk</v>
      </c>
      <c r="BJ85" t="str">
        <f>HYPERLINK("http://www.ncbi.nlm.nih.gov/Structure/cdd/cddsrv.cgi?uid=cd05380&amp;version=v4.0","2E-017")</f>
        <v>2E-017</v>
      </c>
      <c r="BK85" t="s">
        <v>1189</v>
      </c>
      <c r="BL85" s="2" t="str">
        <f>HYPERLINK("http://exon.niaid.nih.gov/transcriptome/T_rubida/S2/links/KOG/Triru-169-KOG.txt","Defense-related protein containing SCP domain")</f>
        <v>Defense-related protein containing SCP domain</v>
      </c>
      <c r="BM85" t="str">
        <f>HYPERLINK("http://www.ncbi.nlm.nih.gov/COG/grace/shokog.cgi?KOG3017","2E-011")</f>
        <v>2E-011</v>
      </c>
      <c r="BN85" t="s">
        <v>264</v>
      </c>
      <c r="BO85" s="2" t="str">
        <f>HYPERLINK("http://exon.niaid.nih.gov/transcriptome/T_rubida/S2/links/PFAM/Triru-169-PFAM.txt","CAP")</f>
        <v>CAP</v>
      </c>
      <c r="BP85" t="str">
        <f>HYPERLINK("http://pfam.sanger.ac.uk/family?acc=PF00188","2E-005")</f>
        <v>2E-005</v>
      </c>
      <c r="BQ85" s="2" t="str">
        <f>HYPERLINK("http://exon.niaid.nih.gov/transcriptome/T_rubida/S2/links/SMART/Triru-169-SMART.txt","SCP")</f>
        <v>SCP</v>
      </c>
      <c r="BR85" t="str">
        <f>HYPERLINK("http://smart.embl-heidelberg.de/smart/do_annotation.pl?DOMAIN=SCP&amp;BLAST=DUMMY","4E-017")</f>
        <v>4E-017</v>
      </c>
      <c r="BS85" s="17">
        <f t="shared" si="46"/>
        <v>1</v>
      </c>
      <c r="BT85" s="1">
        <f t="shared" si="47"/>
        <v>359</v>
      </c>
      <c r="BU85" s="17">
        <f t="shared" si="48"/>
        <v>2</v>
      </c>
      <c r="BV85" s="1">
        <f t="shared" si="49"/>
        <v>10</v>
      </c>
      <c r="BW85" s="17">
        <f t="shared" si="50"/>
        <v>3</v>
      </c>
      <c r="BX85" s="1">
        <f t="shared" si="51"/>
        <v>10</v>
      </c>
      <c r="BY85" s="17">
        <f t="shared" si="52"/>
        <v>3</v>
      </c>
      <c r="BZ85" s="1">
        <f t="shared" si="53"/>
        <v>10</v>
      </c>
      <c r="CA85" s="17">
        <f t="shared" si="54"/>
        <v>3</v>
      </c>
      <c r="CB85" s="1">
        <f t="shared" si="55"/>
        <v>10</v>
      </c>
      <c r="CC85" s="17">
        <v>104</v>
      </c>
      <c r="CD85" s="1">
        <v>1</v>
      </c>
      <c r="CE85" s="17">
        <v>99</v>
      </c>
      <c r="CF85" s="1">
        <v>1</v>
      </c>
      <c r="CG85" s="17">
        <v>100</v>
      </c>
      <c r="CH85" s="1">
        <v>1</v>
      </c>
      <c r="CI85" s="17">
        <v>106</v>
      </c>
      <c r="CJ85" s="1">
        <v>1</v>
      </c>
      <c r="CK85" s="17">
        <v>110</v>
      </c>
      <c r="CL85" s="1">
        <v>1</v>
      </c>
      <c r="CM85" s="17">
        <v>115</v>
      </c>
      <c r="CN85" s="1">
        <v>1</v>
      </c>
      <c r="CO85" s="17">
        <v>124</v>
      </c>
      <c r="CP85" s="1">
        <v>1</v>
      </c>
      <c r="CQ85" s="17">
        <v>134</v>
      </c>
      <c r="CR85" s="1">
        <v>1</v>
      </c>
      <c r="CS85" s="17">
        <v>139</v>
      </c>
      <c r="CT85" s="1">
        <v>1</v>
      </c>
      <c r="CU85" s="17">
        <v>150</v>
      </c>
      <c r="CV85" s="1">
        <v>1</v>
      </c>
    </row>
    <row r="86" spans="1:100">
      <c r="A86" t="str">
        <f>HYPERLINK("http://exon.niaid.nih.gov/transcriptome/T_rubida/S2/links/pep/Triru-48-pep.txt","Triru-48")</f>
        <v>Triru-48</v>
      </c>
      <c r="B86">
        <v>104</v>
      </c>
      <c r="C86" s="1" t="s">
        <v>18</v>
      </c>
      <c r="D86" s="1" t="s">
        <v>3</v>
      </c>
      <c r="E86" t="str">
        <f>HYPERLINK("http://exon.niaid.nih.gov/transcriptome/T_rubida/S2/links/cds/Triru-48-cds.txt","Triru-48")</f>
        <v>Triru-48</v>
      </c>
      <c r="F86">
        <v>315</v>
      </c>
      <c r="G86" s="2" t="s">
        <v>1587</v>
      </c>
      <c r="H86" s="1">
        <v>1</v>
      </c>
      <c r="I86" s="3" t="s">
        <v>1277</v>
      </c>
      <c r="J86" s="17" t="str">
        <f>HYPERLINK("http://exon.niaid.nih.gov/transcriptome/T_rubida/S2/links/Sigp/Triru-48-SigP.txt","CYT")</f>
        <v>CYT</v>
      </c>
      <c r="K86" t="s">
        <v>5</v>
      </c>
      <c r="L86" s="1">
        <v>11.581</v>
      </c>
      <c r="M86" s="1">
        <v>8.9499999999999993</v>
      </c>
      <c r="P86" s="1">
        <v>0.13700000000000001</v>
      </c>
      <c r="Q86" s="1">
        <v>5.0999999999999997E-2</v>
      </c>
      <c r="R86" s="1">
        <v>0.879</v>
      </c>
      <c r="S86" s="17" t="s">
        <v>1346</v>
      </c>
      <c r="T86">
        <v>2</v>
      </c>
      <c r="U86" t="s">
        <v>1347</v>
      </c>
      <c r="V86" s="17">
        <v>0</v>
      </c>
      <c r="W86" t="s">
        <v>5</v>
      </c>
      <c r="X86" t="s">
        <v>5</v>
      </c>
      <c r="Y86" t="s">
        <v>5</v>
      </c>
      <c r="Z86" t="s">
        <v>5</v>
      </c>
      <c r="AA86" t="s">
        <v>5</v>
      </c>
      <c r="AB86" s="17" t="str">
        <f>HYPERLINK("http://exon.niaid.nih.gov/transcriptome/T_rubida/S2/links/netoglyc/TRIRU-48-netoglyc.txt","1")</f>
        <v>1</v>
      </c>
      <c r="AC86">
        <v>16.3</v>
      </c>
      <c r="AD86">
        <v>12.5</v>
      </c>
      <c r="AE86">
        <v>2.9</v>
      </c>
      <c r="AF86" s="17" t="s">
        <v>5</v>
      </c>
      <c r="AG86" s="2" t="str">
        <f>HYPERLINK("http://exon.niaid.nih.gov/transcriptome/T_rubida/S2/links/NR/Triru-48-NR.txt","unnamed protein product")</f>
        <v>unnamed protein product</v>
      </c>
      <c r="AH86" t="str">
        <f>HYPERLINK("http://www.ncbi.nlm.nih.gov/sutils/blink.cgi?pid=270046184","4E-024")</f>
        <v>4E-024</v>
      </c>
      <c r="AI86" t="str">
        <f>HYPERLINK("http://www.ncbi.nlm.nih.gov/protein/270046184","gi|270046184")</f>
        <v>gi|270046184</v>
      </c>
      <c r="AJ86">
        <v>114</v>
      </c>
      <c r="AK86">
        <v>88</v>
      </c>
      <c r="AL86">
        <v>239</v>
      </c>
      <c r="AM86">
        <v>55</v>
      </c>
      <c r="AN86">
        <v>37</v>
      </c>
      <c r="AO86" t="s">
        <v>59</v>
      </c>
      <c r="AP86" s="2" t="str">
        <f>HYPERLINK("http://exon.niaid.nih.gov/transcriptome/T_rubida/S2/links/SWISSP/Triru-48-SWISSP.txt","Peptidase inhibitor 16")</f>
        <v>Peptidase inhibitor 16</v>
      </c>
      <c r="AQ86" t="str">
        <f>HYPERLINK("http://www.uniprot.org/uniprot/Q9ET66","2E-009")</f>
        <v>2E-009</v>
      </c>
      <c r="AR86" t="s">
        <v>398</v>
      </c>
      <c r="AS86">
        <v>60.8</v>
      </c>
      <c r="AT86">
        <v>53</v>
      </c>
      <c r="AU86">
        <v>489</v>
      </c>
      <c r="AV86">
        <v>49</v>
      </c>
      <c r="AW86">
        <v>11</v>
      </c>
      <c r="AX86">
        <v>28</v>
      </c>
      <c r="AY86">
        <v>1</v>
      </c>
      <c r="AZ86">
        <v>120</v>
      </c>
      <c r="BA86">
        <v>14</v>
      </c>
      <c r="BB86">
        <v>1</v>
      </c>
      <c r="BC86" t="s">
        <v>75</v>
      </c>
      <c r="BD86" s="2" t="s">
        <v>399</v>
      </c>
      <c r="BE86">
        <f>HYPERLINK("http://exon.niaid.nih.gov/transcriptome/T_rubida/S2/links/GO/Triru-48-GO.txt",0.000000000000007)</f>
        <v>7.0000000000000001E-15</v>
      </c>
      <c r="BF86" t="s">
        <v>105</v>
      </c>
      <c r="BG86" t="s">
        <v>105</v>
      </c>
      <c r="BI86" s="2" t="str">
        <f>HYPERLINK("http://exon.niaid.nih.gov/transcriptome/T_rubida/S2/links/CDD/Triru-48-CDD.txt","SCP")</f>
        <v>SCP</v>
      </c>
      <c r="BJ86" t="str">
        <f>HYPERLINK("http://www.ncbi.nlm.nih.gov/Structure/cdd/cddsrv.cgi?uid=smart00198&amp;version=v4.0","9E-008")</f>
        <v>9E-008</v>
      </c>
      <c r="BK86" t="s">
        <v>1207</v>
      </c>
      <c r="BL86" s="2" t="str">
        <f>HYPERLINK("http://exon.niaid.nih.gov/transcriptome/T_rubida/S2/links/KOG/Triru-48-KOG.txt","Defense-related protein containing SCP domain")</f>
        <v>Defense-related protein containing SCP domain</v>
      </c>
      <c r="BM86" t="str">
        <f>HYPERLINK("http://www.ncbi.nlm.nih.gov/COG/grace/shokog.cgi?KOG3017","1E-010")</f>
        <v>1E-010</v>
      </c>
      <c r="BN86" t="s">
        <v>264</v>
      </c>
      <c r="BO86" s="2" t="str">
        <f>HYPERLINK("http://exon.niaid.nih.gov/transcriptome/T_rubida/S2/links/PFAM/Triru-48-PFAM.txt","CAP")</f>
        <v>CAP</v>
      </c>
      <c r="BP86" t="str">
        <f>HYPERLINK("http://pfam.sanger.ac.uk/family?acc=PF00188","3E-005")</f>
        <v>3E-005</v>
      </c>
      <c r="BQ86" s="2" t="str">
        <f>HYPERLINK("http://exon.niaid.nih.gov/transcriptome/T_rubida/S2/links/SMART/Triru-48-SMART.txt","SCP")</f>
        <v>SCP</v>
      </c>
      <c r="BR86" t="str">
        <f>HYPERLINK("http://smart.embl-heidelberg.de/smart/do_annotation.pl?DOMAIN=SCP&amp;BLAST=DUMMY","1E-009")</f>
        <v>1E-009</v>
      </c>
      <c r="BS86" s="17">
        <f t="shared" si="46"/>
        <v>1</v>
      </c>
      <c r="BT86" s="1">
        <f t="shared" si="47"/>
        <v>359</v>
      </c>
      <c r="BU86" s="17">
        <f t="shared" si="48"/>
        <v>2</v>
      </c>
      <c r="BV86" s="1">
        <f t="shared" si="49"/>
        <v>10</v>
      </c>
      <c r="BW86" s="17">
        <f t="shared" si="50"/>
        <v>3</v>
      </c>
      <c r="BX86" s="1">
        <f t="shared" si="51"/>
        <v>10</v>
      </c>
      <c r="BY86" s="17">
        <f t="shared" si="52"/>
        <v>3</v>
      </c>
      <c r="BZ86" s="1">
        <f t="shared" si="53"/>
        <v>10</v>
      </c>
      <c r="CA86" s="17">
        <f t="shared" si="54"/>
        <v>3</v>
      </c>
      <c r="CB86" s="1">
        <f t="shared" si="55"/>
        <v>10</v>
      </c>
      <c r="CC86" s="17">
        <f>HYPERLINK("http://exon.niaid.nih.gov/transcriptome/T_rubida/S2/links/cluster/Triru-pep-ext50-50-Sim-CLU4.txt", 4)</f>
        <v>4</v>
      </c>
      <c r="CD86" s="1">
        <f>HYPERLINK("http://exon.niaid.nih.gov/transcriptome/T_rubida/S2/links/cluster/Triru-pep-ext50-50-Sim-CLTL4.txt", 9)</f>
        <v>9</v>
      </c>
      <c r="CE86" s="17">
        <f>HYPERLINK("http://exon.niaid.nih.gov/transcriptome/T_rubida/S2/links/cluster/Triru-pep-ext55-50-Sim-CLU4.txt", 4)</f>
        <v>4</v>
      </c>
      <c r="CF86" s="1">
        <f>HYPERLINK("http://exon.niaid.nih.gov/transcriptome/T_rubida/S2/links/cluster/Triru-pep-ext55-50-Sim-CLTL4.txt", 9)</f>
        <v>9</v>
      </c>
      <c r="CG86" s="17">
        <f>HYPERLINK("http://exon.niaid.nih.gov/transcriptome/T_rubida/S2/links/cluster/Triru-pep-ext60-50-Sim-CLU4.txt", 4)</f>
        <v>4</v>
      </c>
      <c r="CH86" s="1">
        <f>HYPERLINK("http://exon.niaid.nih.gov/transcriptome/T_rubida/S2/links/cluster/Triru-pep-ext60-50-Sim-CLTL4.txt", 9)</f>
        <v>9</v>
      </c>
      <c r="CI86" s="17">
        <f>HYPERLINK("http://exon.niaid.nih.gov/transcriptome/T_rubida/S2/links/cluster/Triru-pep-ext65-50-Sim-CLU3.txt", 3)</f>
        <v>3</v>
      </c>
      <c r="CJ86" s="1">
        <f>HYPERLINK("http://exon.niaid.nih.gov/transcriptome/T_rubida/S2/links/cluster/Triru-pep-ext65-50-Sim-CLTL3.txt", 8)</f>
        <v>8</v>
      </c>
      <c r="CK86" s="17">
        <f>HYPERLINK("http://exon.niaid.nih.gov/transcriptome/T_rubida/S2/links/cluster/Triru-pep-ext70-50-Sim-CLU3.txt", 3)</f>
        <v>3</v>
      </c>
      <c r="CL86" s="1">
        <f>HYPERLINK("http://exon.niaid.nih.gov/transcriptome/T_rubida/S2/links/cluster/Triru-pep-ext70-50-Sim-CLTL3.txt", 8)</f>
        <v>8</v>
      </c>
      <c r="CM86" s="17">
        <f>HYPERLINK("http://exon.niaid.nih.gov/transcriptome/T_rubida/S2/links/cluster/Triru-pep-ext75-50-Sim-CLU7.txt", 7)</f>
        <v>7</v>
      </c>
      <c r="CN86" s="1">
        <f>HYPERLINK("http://exon.niaid.nih.gov/transcriptome/T_rubida/S2/links/cluster/Triru-pep-ext75-50-Sim-CLTL7.txt", 3)</f>
        <v>3</v>
      </c>
      <c r="CO86" s="17">
        <f>HYPERLINK("http://exon.niaid.nih.gov/transcriptome/T_rubida/S2/links/cluster/Triru-pep-ext80-50-Sim-CLU5.txt", 5)</f>
        <v>5</v>
      </c>
      <c r="CP86" s="1">
        <f>HYPERLINK("http://exon.niaid.nih.gov/transcriptome/T_rubida/S2/links/cluster/Triru-pep-ext80-50-Sim-CLTL5.txt", 3)</f>
        <v>3</v>
      </c>
      <c r="CQ86" s="17">
        <v>45</v>
      </c>
      <c r="CR86" s="1">
        <v>1</v>
      </c>
      <c r="CS86" s="17">
        <v>46</v>
      </c>
      <c r="CT86" s="1">
        <v>1</v>
      </c>
      <c r="CU86" s="17">
        <v>50</v>
      </c>
      <c r="CV86" s="1">
        <v>1</v>
      </c>
    </row>
    <row r="87" spans="1:100" s="4" customFormat="1">
      <c r="A87" s="16" t="s">
        <v>1578</v>
      </c>
      <c r="I87" s="5"/>
      <c r="P87" s="4" t="s">
        <v>5</v>
      </c>
      <c r="Q87" s="4" t="s">
        <v>5</v>
      </c>
      <c r="R87" s="4" t="s">
        <v>5</v>
      </c>
      <c r="S87" s="4" t="s">
        <v>5</v>
      </c>
      <c r="T87" s="4" t="s">
        <v>5</v>
      </c>
      <c r="U87" s="4" t="s">
        <v>5</v>
      </c>
      <c r="V87" s="4" t="s">
        <v>5</v>
      </c>
      <c r="W87" s="4" t="s">
        <v>5</v>
      </c>
      <c r="X87" s="4" t="s">
        <v>5</v>
      </c>
      <c r="Y87" s="4" t="s">
        <v>5</v>
      </c>
      <c r="Z87" s="4" t="s">
        <v>5</v>
      </c>
      <c r="AA87" s="4" t="s">
        <v>5</v>
      </c>
      <c r="AB87" s="4" t="s">
        <v>5</v>
      </c>
      <c r="AC87" s="4" t="s">
        <v>5</v>
      </c>
      <c r="AD87" s="4" t="s">
        <v>5</v>
      </c>
      <c r="AE87" s="4" t="s">
        <v>5</v>
      </c>
      <c r="AF87" s="4" t="s">
        <v>5</v>
      </c>
    </row>
    <row r="88" spans="1:100">
      <c r="A88" t="str">
        <f>HYPERLINK("http://exon.niaid.nih.gov/transcriptome/T_rubida/S2/links/pep/Triru-351-pep.txt","Triru-351")</f>
        <v>Triru-351</v>
      </c>
      <c r="B88">
        <v>82</v>
      </c>
      <c r="C88" s="1" t="s">
        <v>20</v>
      </c>
      <c r="D88" s="1" t="s">
        <v>3</v>
      </c>
      <c r="E88" t="str">
        <f>HYPERLINK("http://exon.niaid.nih.gov/transcriptome/T_rubida/S2/links/cds/Triru-351-cds.txt","Triru-351")</f>
        <v>Triru-351</v>
      </c>
      <c r="F88">
        <v>249</v>
      </c>
      <c r="G88" s="2" t="s">
        <v>1588</v>
      </c>
      <c r="H88" s="1">
        <v>1</v>
      </c>
      <c r="I88" s="3" t="s">
        <v>1291</v>
      </c>
      <c r="J88" s="17" t="str">
        <f>HYPERLINK("http://exon.niaid.nih.gov/transcriptome/T_rubida/S2/links/Sigp/Triru-351-SigP.txt","CYT")</f>
        <v>CYT</v>
      </c>
      <c r="K88" t="s">
        <v>5</v>
      </c>
      <c r="L88" s="1">
        <v>9.0730000000000004</v>
      </c>
      <c r="M88" s="1">
        <v>4.16</v>
      </c>
      <c r="P88" s="1">
        <v>7.6999999999999999E-2</v>
      </c>
      <c r="Q88" s="1">
        <v>7.0999999999999994E-2</v>
      </c>
      <c r="R88" s="1">
        <v>0.91100000000000003</v>
      </c>
      <c r="S88" s="17" t="s">
        <v>1346</v>
      </c>
      <c r="T88">
        <v>1</v>
      </c>
      <c r="U88" t="s">
        <v>1351</v>
      </c>
      <c r="V88" s="17">
        <v>0</v>
      </c>
      <c r="W88" t="s">
        <v>5</v>
      </c>
      <c r="X88" t="s">
        <v>5</v>
      </c>
      <c r="Y88" t="s">
        <v>5</v>
      </c>
      <c r="Z88" t="s">
        <v>5</v>
      </c>
      <c r="AA88" t="s">
        <v>5</v>
      </c>
      <c r="AB88" s="17" t="str">
        <f>HYPERLINK("http://exon.niaid.nih.gov/transcriptome/T_rubida/S2/links/netoglyc/TRIRU-351-netoglyc.txt","4")</f>
        <v>4</v>
      </c>
      <c r="AC88">
        <v>24.4</v>
      </c>
      <c r="AD88">
        <v>4.9000000000000004</v>
      </c>
      <c r="AE88">
        <v>4.9000000000000004</v>
      </c>
      <c r="AF88" s="17" t="s">
        <v>5</v>
      </c>
      <c r="AG88" s="2" t="str">
        <f>HYPERLINK("http://exon.niaid.nih.gov/transcriptome/T_rubida/S2/links/NR/Triru-351-NR.txt","salivary apyrase precursor")</f>
        <v>salivary apyrase precursor</v>
      </c>
      <c r="AH88" t="str">
        <f>HYPERLINK("http://www.ncbi.nlm.nih.gov/sutils/blink.cgi?pid=307095038","1E-015")</f>
        <v>1E-015</v>
      </c>
      <c r="AI88" t="str">
        <f>HYPERLINK("http://www.ncbi.nlm.nih.gov/protein/307095038","gi|307095038")</f>
        <v>gi|307095038</v>
      </c>
      <c r="AJ88">
        <v>86.7</v>
      </c>
      <c r="AK88">
        <v>57</v>
      </c>
      <c r="AL88">
        <v>571</v>
      </c>
      <c r="AM88">
        <v>72</v>
      </c>
      <c r="AN88">
        <v>10</v>
      </c>
      <c r="AO88" t="s">
        <v>120</v>
      </c>
      <c r="AP88" s="2" t="str">
        <f>HYPERLINK("http://exon.niaid.nih.gov/transcriptome/T_rubida/S2/links/SWISSP/Triru-351-SWISSP.txt","5'-nucleotidase")</f>
        <v>5'-nucleotidase</v>
      </c>
      <c r="AQ88" t="str">
        <f>HYPERLINK("http://www.uniprot.org/uniprot/P29240","2E-004")</f>
        <v>2E-004</v>
      </c>
      <c r="AR88" t="s">
        <v>897</v>
      </c>
      <c r="AS88">
        <v>44.3</v>
      </c>
      <c r="AT88">
        <v>60</v>
      </c>
      <c r="AU88">
        <v>577</v>
      </c>
      <c r="AV88">
        <v>34</v>
      </c>
      <c r="AW88">
        <v>11</v>
      </c>
      <c r="AX88">
        <v>42</v>
      </c>
      <c r="AY88">
        <v>5</v>
      </c>
      <c r="AZ88">
        <v>493</v>
      </c>
      <c r="BA88">
        <v>2</v>
      </c>
      <c r="BB88">
        <v>1</v>
      </c>
      <c r="BC88" t="s">
        <v>898</v>
      </c>
      <c r="BD88" s="2" t="s">
        <v>5</v>
      </c>
      <c r="BE88" t="s">
        <v>5</v>
      </c>
      <c r="BF88" t="s">
        <v>5</v>
      </c>
      <c r="BG88" t="s">
        <v>5</v>
      </c>
      <c r="BH88" t="s">
        <v>5</v>
      </c>
      <c r="BI88" s="2" t="str">
        <f>HYPERLINK("http://exon.niaid.nih.gov/transcriptome/T_rubida/S2/links/CDD/Triru-351-CDD.txt","5_nucleotid_C")</f>
        <v>5_nucleotid_C</v>
      </c>
      <c r="BJ88" t="str">
        <f>HYPERLINK("http://www.ncbi.nlm.nih.gov/Structure/cdd/cddsrv.cgi?uid=pfam02872&amp;version=v4.0","0.076")</f>
        <v>0.076</v>
      </c>
      <c r="BK88" t="s">
        <v>899</v>
      </c>
      <c r="BL88" s="2" t="str">
        <f>HYPERLINK("http://exon.niaid.nih.gov/transcriptome/T_rubida/S2/links/KOG/Triru-351-KOG.txt","Uncharacterized conserved protein")</f>
        <v>Uncharacterized conserved protein</v>
      </c>
      <c r="BM88" t="str">
        <f>HYPERLINK("http://www.ncbi.nlm.nih.gov/COG/grace/shokog.cgi?KOG2911","0.49")</f>
        <v>0.49</v>
      </c>
      <c r="BN88" t="s">
        <v>264</v>
      </c>
      <c r="BO88" s="2" t="str">
        <f>HYPERLINK("http://exon.niaid.nih.gov/transcriptome/T_rubida/S2/links/PFAM/Triru-351-PFAM.txt","5_nucleotid_C")</f>
        <v>5_nucleotid_C</v>
      </c>
      <c r="BP88" t="str">
        <f>HYPERLINK("http://pfam.sanger.ac.uk/family?acc=PF02872","0.016")</f>
        <v>0.016</v>
      </c>
      <c r="BQ88" s="2" t="str">
        <f>HYPERLINK("http://exon.niaid.nih.gov/transcriptome/T_rubida/S2/links/SMART/Triru-351-SMART.txt","GuKc")</f>
        <v>GuKc</v>
      </c>
      <c r="BR88" t="str">
        <f>HYPERLINK("http://smart.embl-heidelberg.de/smart/do_annotation.pl?DOMAIN=GuKc&amp;BLAST=DUMMY","3.6")</f>
        <v>3.6</v>
      </c>
      <c r="BS88" s="17">
        <v>105</v>
      </c>
      <c r="BT88" s="1">
        <v>1</v>
      </c>
      <c r="BU88" s="17">
        <v>163</v>
      </c>
      <c r="BV88" s="1">
        <v>1</v>
      </c>
      <c r="BW88" s="17">
        <v>198</v>
      </c>
      <c r="BX88" s="1">
        <v>1</v>
      </c>
      <c r="BY88" s="17">
        <v>211</v>
      </c>
      <c r="BZ88" s="1">
        <v>1</v>
      </c>
      <c r="CA88" s="17">
        <v>218</v>
      </c>
      <c r="CB88" s="1">
        <v>1</v>
      </c>
      <c r="CC88" s="17">
        <v>223</v>
      </c>
      <c r="CD88" s="1">
        <v>1</v>
      </c>
      <c r="CE88" s="17">
        <v>229</v>
      </c>
      <c r="CF88" s="1">
        <v>1</v>
      </c>
      <c r="CG88" s="17">
        <v>231</v>
      </c>
      <c r="CH88" s="1">
        <v>1</v>
      </c>
      <c r="CI88" s="17">
        <v>241</v>
      </c>
      <c r="CJ88" s="1">
        <v>1</v>
      </c>
      <c r="CK88" s="17">
        <v>246</v>
      </c>
      <c r="CL88" s="1">
        <v>1</v>
      </c>
      <c r="CM88" s="17">
        <v>254</v>
      </c>
      <c r="CN88" s="1">
        <v>1</v>
      </c>
      <c r="CO88" s="17">
        <v>265</v>
      </c>
      <c r="CP88" s="1">
        <v>1</v>
      </c>
      <c r="CQ88" s="17">
        <v>275</v>
      </c>
      <c r="CR88" s="1">
        <v>1</v>
      </c>
      <c r="CS88" s="17">
        <v>285</v>
      </c>
      <c r="CT88" s="1">
        <v>1</v>
      </c>
      <c r="CU88" s="17">
        <v>296</v>
      </c>
      <c r="CV88" s="1">
        <v>1</v>
      </c>
    </row>
    <row r="89" spans="1:100" s="4" customFormat="1">
      <c r="A89" s="16" t="s">
        <v>1579</v>
      </c>
      <c r="I89" s="5"/>
      <c r="P89" s="4" t="s">
        <v>5</v>
      </c>
      <c r="Q89" s="4" t="s">
        <v>5</v>
      </c>
      <c r="R89" s="4" t="s">
        <v>5</v>
      </c>
      <c r="S89" s="4" t="s">
        <v>5</v>
      </c>
      <c r="T89" s="4" t="s">
        <v>5</v>
      </c>
      <c r="U89" s="4" t="s">
        <v>5</v>
      </c>
      <c r="V89" s="4" t="s">
        <v>5</v>
      </c>
      <c r="W89" s="4" t="s">
        <v>5</v>
      </c>
      <c r="X89" s="4" t="s">
        <v>5</v>
      </c>
      <c r="Y89" s="4" t="s">
        <v>5</v>
      </c>
      <c r="Z89" s="4" t="s">
        <v>5</v>
      </c>
      <c r="AA89" s="4" t="s">
        <v>5</v>
      </c>
      <c r="AB89" s="4" t="s">
        <v>5</v>
      </c>
      <c r="AC89" s="4" t="s">
        <v>5</v>
      </c>
      <c r="AD89" s="4" t="s">
        <v>5</v>
      </c>
      <c r="AE89" s="4" t="s">
        <v>5</v>
      </c>
      <c r="AF89" s="4" t="s">
        <v>5</v>
      </c>
    </row>
    <row r="90" spans="1:100">
      <c r="A90" t="str">
        <f>HYPERLINK("http://exon.niaid.nih.gov/transcriptome/T_rubida/S2/links/pep/Triru-309-pep.txt","Triru-309")</f>
        <v>Triru-309</v>
      </c>
      <c r="B90">
        <v>66</v>
      </c>
      <c r="C90" s="1" t="s">
        <v>19</v>
      </c>
      <c r="D90" s="1" t="s">
        <v>3</v>
      </c>
      <c r="E90" t="str">
        <f>HYPERLINK("http://exon.niaid.nih.gov/transcriptome/T_rubida/S2/links/cds/Triru-309-cds.txt","Triru-309")</f>
        <v>Triru-309</v>
      </c>
      <c r="F90">
        <v>201</v>
      </c>
      <c r="G90" s="2" t="s">
        <v>1580</v>
      </c>
      <c r="H90" s="1">
        <v>1</v>
      </c>
      <c r="I90" s="3" t="s">
        <v>1269</v>
      </c>
      <c r="J90" s="17" t="str">
        <f>HYPERLINK("http://exon.niaid.nih.gov/transcriptome/T_rubida/S2/links/Sigp/Triru-309-SigP.txt","CYT")</f>
        <v>CYT</v>
      </c>
      <c r="K90" t="s">
        <v>5</v>
      </c>
      <c r="L90" s="1">
        <v>7.5270000000000001</v>
      </c>
      <c r="M90" s="1">
        <v>4.62</v>
      </c>
      <c r="P90" s="1">
        <v>6.3E-2</v>
      </c>
      <c r="Q90" s="1">
        <v>6.4000000000000001E-2</v>
      </c>
      <c r="R90" s="1">
        <v>0.93700000000000006</v>
      </c>
      <c r="S90" s="17" t="s">
        <v>1346</v>
      </c>
      <c r="T90">
        <v>1</v>
      </c>
      <c r="U90" t="s">
        <v>1348</v>
      </c>
      <c r="V90" s="17">
        <v>0</v>
      </c>
      <c r="W90" t="s">
        <v>5</v>
      </c>
      <c r="X90" t="s">
        <v>5</v>
      </c>
      <c r="Y90" t="s">
        <v>5</v>
      </c>
      <c r="Z90" t="s">
        <v>5</v>
      </c>
      <c r="AA90" t="s">
        <v>5</v>
      </c>
      <c r="AB90" s="17" t="str">
        <f>HYPERLINK("http://exon.niaid.nih.gov/transcriptome/T_rubida/S2/links/netoglyc/TRIRU-309-netoglyc.txt","0")</f>
        <v>0</v>
      </c>
      <c r="AC90">
        <v>13.6</v>
      </c>
      <c r="AD90">
        <v>7.6</v>
      </c>
      <c r="AE90">
        <v>3</v>
      </c>
      <c r="AF90" s="17" t="s">
        <v>5</v>
      </c>
      <c r="AG90" s="2" t="str">
        <f>HYPERLINK("http://exon.niaid.nih.gov/transcriptome/T_rubida/S2/links/NR/Triru-309-NR.txt","CRAL/TRIO domain containing protein")</f>
        <v>CRAL/TRIO domain containing protein</v>
      </c>
      <c r="AH90" t="str">
        <f>HYPERLINK("http://www.ncbi.nlm.nih.gov/sutils/blink.cgi?pid=307095144","1E-027")</f>
        <v>1E-027</v>
      </c>
      <c r="AI90" t="str">
        <f>HYPERLINK("http://www.ncbi.nlm.nih.gov/protein/307095144","gi|307095144")</f>
        <v>gi|307095144</v>
      </c>
      <c r="AJ90">
        <v>126</v>
      </c>
      <c r="AK90">
        <v>65</v>
      </c>
      <c r="AL90">
        <v>323</v>
      </c>
      <c r="AM90">
        <v>87</v>
      </c>
      <c r="AN90">
        <v>20</v>
      </c>
      <c r="AO90" t="s">
        <v>120</v>
      </c>
      <c r="AP90" s="2" t="str">
        <f>HYPERLINK("http://exon.niaid.nih.gov/transcriptome/T_rubida/S2/links/SWISSP/Triru-309-SWISSP.txt","Myosin-binding protein C, fast-type")</f>
        <v>Myosin-binding protein C, fast-type</v>
      </c>
      <c r="AQ90" t="str">
        <f>HYPERLINK("http://www.uniprot.org/uniprot/P16419","16")</f>
        <v>16</v>
      </c>
      <c r="AR90" t="s">
        <v>121</v>
      </c>
      <c r="AS90">
        <v>28.1</v>
      </c>
      <c r="AT90">
        <v>38</v>
      </c>
      <c r="AU90">
        <v>1132</v>
      </c>
      <c r="AV90">
        <v>30</v>
      </c>
      <c r="AW90">
        <v>3</v>
      </c>
      <c r="AX90">
        <v>27</v>
      </c>
      <c r="AY90">
        <v>0</v>
      </c>
      <c r="AZ90">
        <v>86</v>
      </c>
      <c r="BA90">
        <v>27</v>
      </c>
      <c r="BB90">
        <v>1</v>
      </c>
      <c r="BC90" t="s">
        <v>122</v>
      </c>
      <c r="BD90" s="2" t="s">
        <v>5</v>
      </c>
      <c r="BE90" t="s">
        <v>5</v>
      </c>
      <c r="BF90" t="s">
        <v>5</v>
      </c>
      <c r="BG90" t="s">
        <v>5</v>
      </c>
      <c r="BH90" t="s">
        <v>5</v>
      </c>
      <c r="BI90" s="2" t="str">
        <f>HYPERLINK("http://exon.niaid.nih.gov/transcriptome/T_rubida/S2/links/CDD/Triru-309-CDD.txt","TTQ_mauG")</f>
        <v>TTQ_mauG</v>
      </c>
      <c r="BJ90" t="str">
        <f>HYPERLINK("http://www.ncbi.nlm.nih.gov/Structure/cdd/cddsrv.cgi?uid=TIGR03791&amp;version=v4.0","1.2")</f>
        <v>1.2</v>
      </c>
      <c r="BK90" t="s">
        <v>318</v>
      </c>
      <c r="BL90" s="2" t="str">
        <f>HYPERLINK("http://exon.niaid.nih.gov/transcriptome/T_rubida/S2/links/KOG/Triru-309-KOG.txt","Apurinic/apyrimidinic endonuclease and related enzymes")</f>
        <v>Apurinic/apyrimidinic endonuclease and related enzymes</v>
      </c>
      <c r="BM90" t="str">
        <f>HYPERLINK("http://www.ncbi.nlm.nih.gov/COG/grace/shokog.cgi?KOG1294","7.9")</f>
        <v>7.9</v>
      </c>
      <c r="BN90" t="s">
        <v>188</v>
      </c>
      <c r="BO90" s="2" t="str">
        <f>HYPERLINK("http://exon.niaid.nih.gov/transcriptome/T_rubida/S2/links/PFAM/Triru-309-PFAM.txt","NAD_binding_6")</f>
        <v>NAD_binding_6</v>
      </c>
      <c r="BP90" t="str">
        <f>HYPERLINK("http://pfam.sanger.ac.uk/family?acc=PF08030","0.96")</f>
        <v>0.96</v>
      </c>
      <c r="BQ90" s="2" t="str">
        <f>HYPERLINK("http://exon.niaid.nih.gov/transcriptome/T_rubida/S2/links/SMART/Triru-309-SMART.txt","RIO")</f>
        <v>RIO</v>
      </c>
      <c r="BR90" t="str">
        <f>HYPERLINK("http://smart.embl-heidelberg.de/smart/do_annotation.pl?DOMAIN=RIO&amp;BLAST=DUMMY","0.70")</f>
        <v>0.70</v>
      </c>
      <c r="BS90" s="17">
        <f>HYPERLINK("http://exon.niaid.nih.gov/transcriptome/T_rubida/S2/links/cluster/Triru-pep-ext25-50-Sim-CLU23.txt", 23)</f>
        <v>23</v>
      </c>
      <c r="BT90" s="1">
        <f>HYPERLINK("http://exon.niaid.nih.gov/transcriptome/T_rubida/S2/links/cluster/Triru-pep-ext25-50-Sim-CLTL23.txt", 2)</f>
        <v>2</v>
      </c>
      <c r="BU90" s="17">
        <f>HYPERLINK("http://exon.niaid.nih.gov/transcriptome/T_rubida/S2/links/cluster/Triru-pep-ext30-50-Sim-CLU30.txt", 30)</f>
        <v>30</v>
      </c>
      <c r="BV90" s="1">
        <f>HYPERLINK("http://exon.niaid.nih.gov/transcriptome/T_rubida/S2/links/cluster/Triru-pep-ext30-50-Sim-CLTL30.txt", 2)</f>
        <v>2</v>
      </c>
      <c r="BW90" s="17">
        <f>HYPERLINK("http://exon.niaid.nih.gov/transcriptome/T_rubida/S2/links/cluster/Triru-pep-ext35-50-Sim-CLU32.txt", 32)</f>
        <v>32</v>
      </c>
      <c r="BX90" s="1">
        <f>HYPERLINK("http://exon.niaid.nih.gov/transcriptome/T_rubida/S2/links/cluster/Triru-pep-ext35-50-Sim-CLTL32.txt", 2)</f>
        <v>2</v>
      </c>
      <c r="BY90" s="17">
        <f>HYPERLINK("http://exon.niaid.nih.gov/transcriptome/T_rubida/S2/links/cluster/Triru-pep-ext40-50-Sim-CLU29.txt", 29)</f>
        <v>29</v>
      </c>
      <c r="BZ90" s="1">
        <f>HYPERLINK("http://exon.niaid.nih.gov/transcriptome/T_rubida/S2/links/cluster/Triru-pep-ext40-50-Sim-CLTL29.txt", 2)</f>
        <v>2</v>
      </c>
      <c r="CA90" s="17">
        <f>HYPERLINK("http://exon.niaid.nih.gov/transcriptome/T_rubida/S2/links/cluster/Triru-pep-ext45-50-Sim-CLU24.txt", 24)</f>
        <v>24</v>
      </c>
      <c r="CB90" s="1">
        <f>HYPERLINK("http://exon.niaid.nih.gov/transcriptome/T_rubida/S2/links/cluster/Triru-pep-ext45-50-Sim-CLTL24.txt", 2)</f>
        <v>2</v>
      </c>
      <c r="CC90" s="17">
        <f>HYPERLINK("http://exon.niaid.nih.gov/transcriptome/T_rubida/S2/links/cluster/Triru-pep-ext50-50-Sim-CLU23.txt", 23)</f>
        <v>23</v>
      </c>
      <c r="CD90" s="1">
        <f>HYPERLINK("http://exon.niaid.nih.gov/transcriptome/T_rubida/S2/links/cluster/Triru-pep-ext50-50-Sim-CLTL23.txt", 2)</f>
        <v>2</v>
      </c>
      <c r="CE90" s="17">
        <f>HYPERLINK("http://exon.niaid.nih.gov/transcriptome/T_rubida/S2/links/cluster/Triru-pep-ext55-50-Sim-CLU18.txt", 18)</f>
        <v>18</v>
      </c>
      <c r="CF90" s="1">
        <f>HYPERLINK("http://exon.niaid.nih.gov/transcriptome/T_rubida/S2/links/cluster/Triru-pep-ext55-50-Sim-CLTL18.txt", 2)</f>
        <v>2</v>
      </c>
      <c r="CG90" s="17">
        <f>HYPERLINK("http://exon.niaid.nih.gov/transcriptome/T_rubida/S2/links/cluster/Triru-pep-ext60-50-Sim-CLU19.txt", 19)</f>
        <v>19</v>
      </c>
      <c r="CH90" s="1">
        <f>HYPERLINK("http://exon.niaid.nih.gov/transcriptome/T_rubida/S2/links/cluster/Triru-pep-ext60-50-Sim-CLTL19.txt", 2)</f>
        <v>2</v>
      </c>
      <c r="CI90" s="17">
        <f>HYPERLINK("http://exon.niaid.nih.gov/transcriptome/T_rubida/S2/links/cluster/Triru-pep-ext65-50-Sim-CLU18.txt", 18)</f>
        <v>18</v>
      </c>
      <c r="CJ90" s="1">
        <f>HYPERLINK("http://exon.niaid.nih.gov/transcriptome/T_rubida/S2/links/cluster/Triru-pep-ext65-50-Sim-CLTL18.txt", 2)</f>
        <v>2</v>
      </c>
      <c r="CK90" s="17">
        <f>HYPERLINK("http://exon.niaid.nih.gov/transcriptome/T_rubida/S2/links/cluster/Triru-pep-ext70-50-Sim-CLU18.txt", 18)</f>
        <v>18</v>
      </c>
      <c r="CL90" s="1">
        <f>HYPERLINK("http://exon.niaid.nih.gov/transcriptome/T_rubida/S2/links/cluster/Triru-pep-ext70-50-Sim-CLTL18.txt", 2)</f>
        <v>2</v>
      </c>
      <c r="CM90" s="17">
        <v>223</v>
      </c>
      <c r="CN90" s="1">
        <v>1</v>
      </c>
      <c r="CO90" s="17">
        <v>234</v>
      </c>
      <c r="CP90" s="1">
        <v>1</v>
      </c>
      <c r="CQ90" s="17">
        <v>244</v>
      </c>
      <c r="CR90" s="1">
        <v>1</v>
      </c>
      <c r="CS90" s="17">
        <v>253</v>
      </c>
      <c r="CT90" s="1">
        <v>1</v>
      </c>
      <c r="CU90" s="17">
        <v>264</v>
      </c>
      <c r="CV90" s="1">
        <v>1</v>
      </c>
    </row>
    <row r="91" spans="1:100">
      <c r="A91" t="str">
        <f>HYPERLINK("http://exon.niaid.nih.gov/transcriptome/T_rubida/S2/links/pep/Triru-518-pep.txt","Triru-518")</f>
        <v>Triru-518</v>
      </c>
      <c r="B91">
        <v>51</v>
      </c>
      <c r="C91" s="1" t="s">
        <v>4</v>
      </c>
      <c r="D91" s="1" t="s">
        <v>3</v>
      </c>
      <c r="E91" t="str">
        <f>HYPERLINK("http://exon.niaid.nih.gov/transcriptome/T_rubida/S2/links/cds/Triru-518-cds.txt","Triru-518")</f>
        <v>Triru-518</v>
      </c>
      <c r="F91">
        <v>156</v>
      </c>
      <c r="G91" s="2" t="s">
        <v>1580</v>
      </c>
      <c r="H91" s="1">
        <v>1</v>
      </c>
      <c r="I91" s="3" t="s">
        <v>1269</v>
      </c>
      <c r="J91" s="17" t="str">
        <f>HYPERLINK("http://exon.niaid.nih.gov/transcriptome/T_rubida/S2/links/Sigp/Triru-518-SigP.txt","CYT")</f>
        <v>CYT</v>
      </c>
      <c r="K91" t="s">
        <v>5</v>
      </c>
      <c r="L91" s="1">
        <v>5.5919999999999996</v>
      </c>
      <c r="M91" s="1">
        <v>4.95</v>
      </c>
      <c r="P91" s="1">
        <v>6.7000000000000004E-2</v>
      </c>
      <c r="Q91" s="1">
        <v>5.3999999999999999E-2</v>
      </c>
      <c r="R91" s="1">
        <v>0.94399999999999995</v>
      </c>
      <c r="S91" s="17" t="s">
        <v>1346</v>
      </c>
      <c r="T91">
        <v>1</v>
      </c>
      <c r="U91" t="s">
        <v>1348</v>
      </c>
      <c r="V91" s="17">
        <v>0</v>
      </c>
      <c r="W91" t="s">
        <v>5</v>
      </c>
      <c r="X91" t="s">
        <v>5</v>
      </c>
      <c r="Y91" t="s">
        <v>5</v>
      </c>
      <c r="Z91" t="s">
        <v>5</v>
      </c>
      <c r="AA91" t="s">
        <v>5</v>
      </c>
      <c r="AB91" s="17" t="str">
        <f>HYPERLINK("http://exon.niaid.nih.gov/transcriptome/T_rubida/S2/links/netoglyc/TRIRU-518-netoglyc.txt","0")</f>
        <v>0</v>
      </c>
      <c r="AC91">
        <v>13.7</v>
      </c>
      <c r="AD91">
        <v>9.8000000000000007</v>
      </c>
      <c r="AE91">
        <v>2</v>
      </c>
      <c r="AF91" s="17" t="s">
        <v>5</v>
      </c>
      <c r="AG91" s="2" t="str">
        <f>HYPERLINK("http://exon.niaid.nih.gov/transcriptome/T_rubida/S2/links/NR/Triru-518-NR.txt","CRAL/TRIO domain containing protein")</f>
        <v>CRAL/TRIO domain containing protein</v>
      </c>
      <c r="AH91" t="str">
        <f>HYPERLINK("http://www.ncbi.nlm.nih.gov/sutils/blink.cgi?pid=307095144","1E-016")</f>
        <v>1E-016</v>
      </c>
      <c r="AI91" t="str">
        <f>HYPERLINK("http://www.ncbi.nlm.nih.gov/protein/307095144","gi|307095144")</f>
        <v>gi|307095144</v>
      </c>
      <c r="AJ91">
        <v>89.7</v>
      </c>
      <c r="AK91">
        <v>46</v>
      </c>
      <c r="AL91">
        <v>323</v>
      </c>
      <c r="AM91">
        <v>87</v>
      </c>
      <c r="AN91">
        <v>15</v>
      </c>
      <c r="AO91" t="s">
        <v>120</v>
      </c>
      <c r="AP91" s="2" t="str">
        <f>HYPERLINK("http://exon.niaid.nih.gov/transcriptome/T_rubida/S2/links/SWISSP/Triru-518-SWISSP.txt","Myosin-binding protein C, fast-type")</f>
        <v>Myosin-binding protein C, fast-type</v>
      </c>
      <c r="AQ91" t="str">
        <f>HYPERLINK("http://www.uniprot.org/uniprot/P16419","16")</f>
        <v>16</v>
      </c>
      <c r="AR91" t="s">
        <v>121</v>
      </c>
      <c r="AS91">
        <v>28.1</v>
      </c>
      <c r="AT91">
        <v>38</v>
      </c>
      <c r="AU91">
        <v>1132</v>
      </c>
      <c r="AV91">
        <v>30</v>
      </c>
      <c r="AW91">
        <v>3</v>
      </c>
      <c r="AX91">
        <v>27</v>
      </c>
      <c r="AY91">
        <v>0</v>
      </c>
      <c r="AZ91">
        <v>86</v>
      </c>
      <c r="BA91">
        <v>12</v>
      </c>
      <c r="BB91">
        <v>1</v>
      </c>
      <c r="BC91" t="s">
        <v>122</v>
      </c>
      <c r="BD91" s="2" t="s">
        <v>5</v>
      </c>
      <c r="BE91" t="s">
        <v>5</v>
      </c>
      <c r="BF91" t="s">
        <v>5</v>
      </c>
      <c r="BG91" t="s">
        <v>5</v>
      </c>
      <c r="BH91" t="s">
        <v>5</v>
      </c>
      <c r="BI91" s="2" t="str">
        <f>HYPERLINK("http://exon.niaid.nih.gov/transcriptome/T_rubida/S2/links/CDD/Triru-518-CDD.txt","NR_LBD_PXR_like")</f>
        <v>NR_LBD_PXR_like</v>
      </c>
      <c r="BJ91" t="str">
        <f>HYPERLINK("http://www.ncbi.nlm.nih.gov/Structure/cdd/cddsrv.cgi?uid=cd06934&amp;version=v4.0","5.4")</f>
        <v>5.4</v>
      </c>
      <c r="BK91" t="s">
        <v>123</v>
      </c>
      <c r="BL91" s="2" t="str">
        <f>HYPERLINK("http://exon.niaid.nih.gov/transcriptome/T_rubida/S2/links/KOG/Triru-518-KOG.txt","Protein with predicted involvement in meiosis (GSG1)")</f>
        <v>Protein with predicted involvement in meiosis (GSG1)</v>
      </c>
      <c r="BM91" t="str">
        <f>HYPERLINK("http://www.ncbi.nlm.nih.gov/COG/grace/shokog.cgi?KOG1938","7.8")</f>
        <v>7.8</v>
      </c>
      <c r="BN91" t="s">
        <v>124</v>
      </c>
      <c r="BO91" s="2" t="str">
        <f>HYPERLINK("http://exon.niaid.nih.gov/transcriptome/T_rubida/S2/links/PFAM/Triru-518-PFAM.txt","Glycogen_syn")</f>
        <v>Glycogen_syn</v>
      </c>
      <c r="BP91" t="str">
        <f>HYPERLINK("http://pfam.sanger.ac.uk/family?acc=PF05693","9.1")</f>
        <v>9.1</v>
      </c>
      <c r="BQ91" s="2" t="str">
        <f>HYPERLINK("http://exon.niaid.nih.gov/transcriptome/T_rubida/S2/links/SMART/Triru-518-SMART.txt","AAA_PrkA")</f>
        <v>AAA_PrkA</v>
      </c>
      <c r="BR91">
        <v>1.7</v>
      </c>
      <c r="BS91" s="17">
        <f>HYPERLINK("http://exon.niaid.nih.gov/transcriptome/T_rubida/S2/links/cluster/Triru-pep-ext25-50-Sim-CLU23.txt", 23)</f>
        <v>23</v>
      </c>
      <c r="BT91" s="1">
        <f>HYPERLINK("http://exon.niaid.nih.gov/transcriptome/T_rubida/S2/links/cluster/Triru-pep-ext25-50-Sim-CLTL23.txt", 2)</f>
        <v>2</v>
      </c>
      <c r="BU91" s="17">
        <f>HYPERLINK("http://exon.niaid.nih.gov/transcriptome/T_rubida/S2/links/cluster/Triru-pep-ext30-50-Sim-CLU30.txt", 30)</f>
        <v>30</v>
      </c>
      <c r="BV91" s="1">
        <f>HYPERLINK("http://exon.niaid.nih.gov/transcriptome/T_rubida/S2/links/cluster/Triru-pep-ext30-50-Sim-CLTL30.txt", 2)</f>
        <v>2</v>
      </c>
      <c r="BW91" s="17">
        <f>HYPERLINK("http://exon.niaid.nih.gov/transcriptome/T_rubida/S2/links/cluster/Triru-pep-ext35-50-Sim-CLU32.txt", 32)</f>
        <v>32</v>
      </c>
      <c r="BX91" s="1">
        <f>HYPERLINK("http://exon.niaid.nih.gov/transcriptome/T_rubida/S2/links/cluster/Triru-pep-ext35-50-Sim-CLTL32.txt", 2)</f>
        <v>2</v>
      </c>
      <c r="BY91" s="17">
        <f>HYPERLINK("http://exon.niaid.nih.gov/transcriptome/T_rubida/S2/links/cluster/Triru-pep-ext40-50-Sim-CLU29.txt", 29)</f>
        <v>29</v>
      </c>
      <c r="BZ91" s="1">
        <f>HYPERLINK("http://exon.niaid.nih.gov/transcriptome/T_rubida/S2/links/cluster/Triru-pep-ext40-50-Sim-CLTL29.txt", 2)</f>
        <v>2</v>
      </c>
      <c r="CA91" s="17">
        <f>HYPERLINK("http://exon.niaid.nih.gov/transcriptome/T_rubida/S2/links/cluster/Triru-pep-ext45-50-Sim-CLU24.txt", 24)</f>
        <v>24</v>
      </c>
      <c r="CB91" s="1">
        <f>HYPERLINK("http://exon.niaid.nih.gov/transcriptome/T_rubida/S2/links/cluster/Triru-pep-ext45-50-Sim-CLTL24.txt", 2)</f>
        <v>2</v>
      </c>
      <c r="CC91" s="17">
        <f>HYPERLINK("http://exon.niaid.nih.gov/transcriptome/T_rubida/S2/links/cluster/Triru-pep-ext50-50-Sim-CLU23.txt", 23)</f>
        <v>23</v>
      </c>
      <c r="CD91" s="1">
        <f>HYPERLINK("http://exon.niaid.nih.gov/transcriptome/T_rubida/S2/links/cluster/Triru-pep-ext50-50-Sim-CLTL23.txt", 2)</f>
        <v>2</v>
      </c>
      <c r="CE91" s="17">
        <f>HYPERLINK("http://exon.niaid.nih.gov/transcriptome/T_rubida/S2/links/cluster/Triru-pep-ext55-50-Sim-CLU18.txt", 18)</f>
        <v>18</v>
      </c>
      <c r="CF91" s="1">
        <f>HYPERLINK("http://exon.niaid.nih.gov/transcriptome/T_rubida/S2/links/cluster/Triru-pep-ext55-50-Sim-CLTL18.txt", 2)</f>
        <v>2</v>
      </c>
      <c r="CG91" s="17">
        <f>HYPERLINK("http://exon.niaid.nih.gov/transcriptome/T_rubida/S2/links/cluster/Triru-pep-ext60-50-Sim-CLU19.txt", 19)</f>
        <v>19</v>
      </c>
      <c r="CH91" s="1">
        <f>HYPERLINK("http://exon.niaid.nih.gov/transcriptome/T_rubida/S2/links/cluster/Triru-pep-ext60-50-Sim-CLTL19.txt", 2)</f>
        <v>2</v>
      </c>
      <c r="CI91" s="17">
        <f>HYPERLINK("http://exon.niaid.nih.gov/transcriptome/T_rubida/S2/links/cluster/Triru-pep-ext65-50-Sim-CLU18.txt", 18)</f>
        <v>18</v>
      </c>
      <c r="CJ91" s="1">
        <f>HYPERLINK("http://exon.niaid.nih.gov/transcriptome/T_rubida/S2/links/cluster/Triru-pep-ext65-50-Sim-CLTL18.txt", 2)</f>
        <v>2</v>
      </c>
      <c r="CK91" s="17">
        <f>HYPERLINK("http://exon.niaid.nih.gov/transcriptome/T_rubida/S2/links/cluster/Triru-pep-ext70-50-Sim-CLU18.txt", 18)</f>
        <v>18</v>
      </c>
      <c r="CL91" s="1">
        <f>HYPERLINK("http://exon.niaid.nih.gov/transcriptome/T_rubida/S2/links/cluster/Triru-pep-ext70-50-Sim-CLTL18.txt", 2)</f>
        <v>2</v>
      </c>
      <c r="CM91" s="17">
        <v>397</v>
      </c>
      <c r="CN91" s="1">
        <v>1</v>
      </c>
      <c r="CO91" s="17">
        <v>409</v>
      </c>
      <c r="CP91" s="1">
        <v>1</v>
      </c>
      <c r="CQ91" s="17">
        <v>419</v>
      </c>
      <c r="CR91" s="1">
        <v>1</v>
      </c>
      <c r="CS91" s="17">
        <v>432</v>
      </c>
      <c r="CT91" s="1">
        <v>1</v>
      </c>
      <c r="CU91" s="17">
        <v>443</v>
      </c>
      <c r="CV91" s="1">
        <v>1</v>
      </c>
    </row>
    <row r="92" spans="1:100" s="4" customFormat="1">
      <c r="A92" s="16" t="s">
        <v>1581</v>
      </c>
      <c r="I92" s="5"/>
      <c r="P92" s="4" t="s">
        <v>5</v>
      </c>
      <c r="Q92" s="4" t="s">
        <v>5</v>
      </c>
      <c r="R92" s="4" t="s">
        <v>5</v>
      </c>
      <c r="S92" s="4" t="s">
        <v>5</v>
      </c>
      <c r="T92" s="4" t="s">
        <v>5</v>
      </c>
      <c r="U92" s="4" t="s">
        <v>5</v>
      </c>
      <c r="V92" s="4" t="s">
        <v>5</v>
      </c>
      <c r="W92" s="4" t="s">
        <v>5</v>
      </c>
      <c r="X92" s="4" t="s">
        <v>5</v>
      </c>
      <c r="Y92" s="4" t="s">
        <v>5</v>
      </c>
      <c r="Z92" s="4" t="s">
        <v>5</v>
      </c>
      <c r="AA92" s="4" t="s">
        <v>5</v>
      </c>
      <c r="AB92" s="4" t="s">
        <v>5</v>
      </c>
      <c r="AC92" s="4" t="s">
        <v>5</v>
      </c>
      <c r="AD92" s="4" t="s">
        <v>5</v>
      </c>
      <c r="AE92" s="4" t="s">
        <v>5</v>
      </c>
      <c r="AF92" s="4" t="s">
        <v>5</v>
      </c>
    </row>
    <row r="93" spans="1:100">
      <c r="A93" t="str">
        <f>HYPERLINK("http://exon.niaid.nih.gov/transcriptome/T_rubida/S2/links/pep/Triru-412-pep.txt","Triru-412")</f>
        <v>Triru-412</v>
      </c>
      <c r="B93">
        <v>86</v>
      </c>
      <c r="C93" s="1" t="s">
        <v>17</v>
      </c>
      <c r="D93" s="1" t="s">
        <v>3</v>
      </c>
      <c r="E93" t="str">
        <f>HYPERLINK("http://exon.niaid.nih.gov/transcriptome/T_rubida/S2/links/cds/Triru-412-cds.txt","Triru-412")</f>
        <v>Triru-412</v>
      </c>
      <c r="F93">
        <v>261</v>
      </c>
      <c r="G93" s="2" t="s">
        <v>1589</v>
      </c>
      <c r="H93" s="1">
        <v>1</v>
      </c>
      <c r="I93" s="3" t="s">
        <v>1294</v>
      </c>
      <c r="J93" s="17" t="str">
        <f>HYPERLINK("http://exon.niaid.nih.gov/transcriptome/T_rubida/S2/links/Sigp/Triru-412-SigP.txt","CYT")</f>
        <v>CYT</v>
      </c>
      <c r="K93" t="s">
        <v>5</v>
      </c>
      <c r="L93" s="1">
        <v>8.9710000000000001</v>
      </c>
      <c r="M93" s="1">
        <v>10</v>
      </c>
      <c r="P93" s="1">
        <v>0.43</v>
      </c>
      <c r="Q93" s="1">
        <v>5.5E-2</v>
      </c>
      <c r="R93" s="1">
        <v>0.56999999999999995</v>
      </c>
      <c r="S93" s="17" t="s">
        <v>1346</v>
      </c>
      <c r="T93">
        <v>5</v>
      </c>
      <c r="U93" t="s">
        <v>1352</v>
      </c>
      <c r="V93" s="17">
        <v>0</v>
      </c>
      <c r="W93" t="s">
        <v>5</v>
      </c>
      <c r="X93" t="s">
        <v>5</v>
      </c>
      <c r="Y93" t="s">
        <v>5</v>
      </c>
      <c r="Z93" t="s">
        <v>5</v>
      </c>
      <c r="AA93" t="s">
        <v>5</v>
      </c>
      <c r="AB93" s="17" t="str">
        <f>HYPERLINK("http://exon.niaid.nih.gov/transcriptome/T_rubida/S2/links/netoglyc/TRIRU-412-netoglyc.txt","2")</f>
        <v>2</v>
      </c>
      <c r="AC93">
        <v>18.600000000000001</v>
      </c>
      <c r="AD93">
        <v>9.3000000000000007</v>
      </c>
      <c r="AE93">
        <v>5.8</v>
      </c>
      <c r="AF93" s="17" t="s">
        <v>5</v>
      </c>
      <c r="AG93" s="2" t="str">
        <f>HYPERLINK("http://exon.niaid.nih.gov/transcriptome/T_rubida/S2/links/NR/Triru-412-NR.txt","unnamed protein product")</f>
        <v>unnamed protein product</v>
      </c>
      <c r="AH93" t="str">
        <f>HYPERLINK("http://www.ncbi.nlm.nih.gov/sutils/blink.cgi?pid=270046192","7E-009")</f>
        <v>7E-009</v>
      </c>
      <c r="AI93" t="str">
        <f>HYPERLINK("http://www.ncbi.nlm.nih.gov/protein/270046192","gi|270046192")</f>
        <v>gi|270046192</v>
      </c>
      <c r="AJ93">
        <v>63.9</v>
      </c>
      <c r="AK93">
        <v>62</v>
      </c>
      <c r="AL93">
        <v>221</v>
      </c>
      <c r="AM93">
        <v>52</v>
      </c>
      <c r="AN93">
        <v>29</v>
      </c>
      <c r="AO93" t="s">
        <v>59</v>
      </c>
      <c r="AP93" s="2" t="str">
        <f>HYPERLINK("http://exon.niaid.nih.gov/transcriptome/T_rubida/S2/links/SWISSP/Triru-412-SWISSP.txt","Myotubularin-related protein 10")</f>
        <v>Myotubularin-related protein 10</v>
      </c>
      <c r="AQ93" t="str">
        <f>HYPERLINK("http://www.uniprot.org/uniprot/Q9NXD2","9.7")</f>
        <v>9.7</v>
      </c>
      <c r="AR93" t="s">
        <v>1106</v>
      </c>
      <c r="AS93">
        <v>28.9</v>
      </c>
      <c r="AT93">
        <v>56</v>
      </c>
      <c r="AU93">
        <v>777</v>
      </c>
      <c r="AV93">
        <v>26</v>
      </c>
      <c r="AW93">
        <v>7</v>
      </c>
      <c r="AX93">
        <v>42</v>
      </c>
      <c r="AY93">
        <v>0</v>
      </c>
      <c r="AZ93">
        <v>559</v>
      </c>
      <c r="BA93">
        <v>2</v>
      </c>
      <c r="BB93">
        <v>1</v>
      </c>
      <c r="BC93" t="s">
        <v>208</v>
      </c>
      <c r="BD93" s="2" t="s">
        <v>5</v>
      </c>
      <c r="BE93" t="s">
        <v>5</v>
      </c>
      <c r="BF93" t="s">
        <v>5</v>
      </c>
      <c r="BG93" t="s">
        <v>5</v>
      </c>
      <c r="BH93" t="s">
        <v>5</v>
      </c>
      <c r="BI93" s="2" t="str">
        <f>HYPERLINK("http://exon.niaid.nih.gov/transcriptome/T_rubida/S2/links/CDD/Triru-412-CDD.txt","PRK06228")</f>
        <v>PRK06228</v>
      </c>
      <c r="BJ93" t="str">
        <f>HYPERLINK("http://www.ncbi.nlm.nih.gov/Structure/cdd/cddsrv.cgi?uid=PRK06228&amp;version=v4.0","4.1")</f>
        <v>4.1</v>
      </c>
      <c r="BK93" t="s">
        <v>1107</v>
      </c>
      <c r="BL93" s="2" t="str">
        <f>HYPERLINK("http://exon.niaid.nih.gov/transcriptome/T_rubida/S2/links/KOG/Triru-412-KOG.txt","Ubiquitin fusion degradation protein-2")</f>
        <v>Ubiquitin fusion degradation protein-2</v>
      </c>
      <c r="BM93" t="str">
        <f>HYPERLINK("http://www.ncbi.nlm.nih.gov/COG/grace/shokog.cgi?KOG2042","1.0")</f>
        <v>1.0</v>
      </c>
      <c r="BN93" t="s">
        <v>72</v>
      </c>
      <c r="BO93" s="2" t="str">
        <f>HYPERLINK("http://exon.niaid.nih.gov/transcriptome/T_rubida/S2/links/PFAM/Triru-412-PFAM.txt","Sec10")</f>
        <v>Sec10</v>
      </c>
      <c r="BP93" t="str">
        <f>HYPERLINK("http://pfam.sanger.ac.uk/family?acc=PF07393","1.2")</f>
        <v>1.2</v>
      </c>
      <c r="BQ93" s="2" t="str">
        <f>HYPERLINK("http://exon.niaid.nih.gov/transcriptome/T_rubida/S2/links/SMART/Triru-412-SMART.txt","VWD")</f>
        <v>VWD</v>
      </c>
      <c r="BR93" t="str">
        <f>HYPERLINK("http://smart.embl-heidelberg.de/smart/do_annotation.pl?DOMAIN=VWD&amp;BLAST=DUMMY","3.9")</f>
        <v>3.9</v>
      </c>
      <c r="BS93" s="17">
        <v>125</v>
      </c>
      <c r="BT93" s="1">
        <v>1</v>
      </c>
      <c r="BU93" s="17">
        <v>189</v>
      </c>
      <c r="BV93" s="1">
        <v>1</v>
      </c>
      <c r="BW93" s="17">
        <v>237</v>
      </c>
      <c r="BX93" s="1">
        <v>1</v>
      </c>
      <c r="BY93" s="17">
        <v>255</v>
      </c>
      <c r="BZ93" s="1">
        <v>1</v>
      </c>
      <c r="CA93" s="17">
        <v>263</v>
      </c>
      <c r="CB93" s="1">
        <v>1</v>
      </c>
      <c r="CC93" s="17">
        <v>270</v>
      </c>
      <c r="CD93" s="1">
        <v>1</v>
      </c>
      <c r="CE93" s="17">
        <v>277</v>
      </c>
      <c r="CF93" s="1">
        <v>1</v>
      </c>
      <c r="CG93" s="17">
        <v>280</v>
      </c>
      <c r="CH93" s="1">
        <v>1</v>
      </c>
      <c r="CI93" s="17">
        <v>290</v>
      </c>
      <c r="CJ93" s="1">
        <v>1</v>
      </c>
      <c r="CK93" s="17">
        <v>296</v>
      </c>
      <c r="CL93" s="1">
        <v>1</v>
      </c>
      <c r="CM93" s="17">
        <v>304</v>
      </c>
      <c r="CN93" s="1">
        <v>1</v>
      </c>
      <c r="CO93" s="17">
        <v>316</v>
      </c>
      <c r="CP93" s="1">
        <v>1</v>
      </c>
      <c r="CQ93" s="17">
        <v>326</v>
      </c>
      <c r="CR93" s="1">
        <v>1</v>
      </c>
      <c r="CS93" s="17">
        <v>338</v>
      </c>
      <c r="CT93" s="1">
        <v>1</v>
      </c>
      <c r="CU93" s="17">
        <v>349</v>
      </c>
      <c r="CV93" s="1">
        <v>1</v>
      </c>
    </row>
    <row r="94" spans="1:100" s="4" customFormat="1">
      <c r="A94" s="16" t="s">
        <v>1583</v>
      </c>
      <c r="I94" s="5"/>
      <c r="P94" s="4" t="s">
        <v>5</v>
      </c>
      <c r="Q94" s="4" t="s">
        <v>5</v>
      </c>
      <c r="R94" s="4" t="s">
        <v>5</v>
      </c>
      <c r="S94" s="4" t="s">
        <v>5</v>
      </c>
      <c r="T94" s="4" t="s">
        <v>5</v>
      </c>
      <c r="U94" s="4" t="s">
        <v>5</v>
      </c>
      <c r="V94" s="4" t="s">
        <v>5</v>
      </c>
      <c r="W94" s="4" t="s">
        <v>5</v>
      </c>
      <c r="X94" s="4" t="s">
        <v>5</v>
      </c>
      <c r="Y94" s="4" t="s">
        <v>5</v>
      </c>
      <c r="Z94" s="4" t="s">
        <v>5</v>
      </c>
      <c r="AA94" s="4" t="s">
        <v>5</v>
      </c>
      <c r="AB94" s="4" t="s">
        <v>5</v>
      </c>
      <c r="AC94" s="4" t="s">
        <v>5</v>
      </c>
      <c r="AD94" s="4" t="s">
        <v>5</v>
      </c>
      <c r="AE94" s="4" t="s">
        <v>5</v>
      </c>
      <c r="AF94" s="4" t="s">
        <v>5</v>
      </c>
    </row>
    <row r="95" spans="1:100">
      <c r="A95" t="str">
        <f>HYPERLINK("http://exon.niaid.nih.gov/transcriptome/T_rubida/S2/links/pep/Triru-377-pep.txt","Triru-377")</f>
        <v>Triru-377</v>
      </c>
      <c r="B95">
        <v>243</v>
      </c>
      <c r="C95" s="1" t="s">
        <v>12</v>
      </c>
      <c r="D95" s="1" t="s">
        <v>3</v>
      </c>
      <c r="E95" t="str">
        <f>HYPERLINK("http://exon.niaid.nih.gov/transcriptome/T_rubida/S2/links/cds/Triru-377-cds.txt","Triru-377")</f>
        <v>Triru-377</v>
      </c>
      <c r="F95">
        <v>732</v>
      </c>
      <c r="G95" s="2" t="s">
        <v>1583</v>
      </c>
      <c r="H95" s="1">
        <v>1</v>
      </c>
      <c r="I95" s="3" t="s">
        <v>1292</v>
      </c>
      <c r="J95" s="17" t="str">
        <f>HYPERLINK("http://exon.niaid.nih.gov/transcriptome/T_rubida/S2/links/Sigp/Triru-377-SigP.txt","CYT")</f>
        <v>CYT</v>
      </c>
      <c r="K95" t="s">
        <v>5</v>
      </c>
      <c r="L95" s="1">
        <v>26.282</v>
      </c>
      <c r="M95" s="1">
        <v>7.35</v>
      </c>
      <c r="P95" s="1">
        <v>9.5000000000000001E-2</v>
      </c>
      <c r="Q95" s="1">
        <v>6.4000000000000001E-2</v>
      </c>
      <c r="R95" s="1">
        <v>0.91200000000000003</v>
      </c>
      <c r="S95" s="17" t="s">
        <v>1346</v>
      </c>
      <c r="T95">
        <v>1</v>
      </c>
      <c r="U95" t="s">
        <v>1348</v>
      </c>
      <c r="V95" s="17">
        <v>0</v>
      </c>
      <c r="W95" t="s">
        <v>5</v>
      </c>
      <c r="X95" t="s">
        <v>5</v>
      </c>
      <c r="Y95" t="s">
        <v>5</v>
      </c>
      <c r="Z95" t="s">
        <v>5</v>
      </c>
      <c r="AA95" t="s">
        <v>5</v>
      </c>
      <c r="AB95" s="17" t="str">
        <f>HYPERLINK("http://exon.niaid.nih.gov/transcriptome/T_rubida/S2/links/netoglyc/TRIRU-377-netoglyc.txt","0")</f>
        <v>0</v>
      </c>
      <c r="AC95">
        <v>9.5</v>
      </c>
      <c r="AD95">
        <v>11.1</v>
      </c>
      <c r="AE95">
        <v>2.5</v>
      </c>
      <c r="AF95" s="17" t="s">
        <v>5</v>
      </c>
      <c r="AG95" s="2" t="str">
        <f>HYPERLINK("http://exon.niaid.nih.gov/transcriptome/T_rubida/S2/links/NR/Triru-377-NR.txt","trialysin precursor")</f>
        <v>trialysin precursor</v>
      </c>
      <c r="AH95" t="str">
        <f>HYPERLINK("http://www.ncbi.nlm.nih.gov/sutils/blink.cgi?pid=307094972","1E-074")</f>
        <v>1E-074</v>
      </c>
      <c r="AI95" t="str">
        <f>HYPERLINK("http://www.ncbi.nlm.nih.gov/protein/307094972","gi|307094972")</f>
        <v>gi|307094972</v>
      </c>
      <c r="AJ95">
        <v>283</v>
      </c>
      <c r="AK95">
        <v>220</v>
      </c>
      <c r="AL95">
        <v>245</v>
      </c>
      <c r="AM95">
        <v>63</v>
      </c>
      <c r="AN95">
        <v>90</v>
      </c>
      <c r="AO95" t="s">
        <v>120</v>
      </c>
      <c r="AP95" s="2" t="str">
        <f>HYPERLINK("http://exon.niaid.nih.gov/transcriptome/T_rubida/S2/links/SWISSP/Triru-377-SWISSP.txt","Uncharacterized gene 48 protein")</f>
        <v>Uncharacterized gene 48 protein</v>
      </c>
      <c r="AQ95" t="str">
        <f>HYPERLINK("http://www.uniprot.org/uniprot/Q01033","0.12")</f>
        <v>0.12</v>
      </c>
      <c r="AR95" t="s">
        <v>1228</v>
      </c>
      <c r="AS95">
        <v>37</v>
      </c>
      <c r="AT95">
        <v>350</v>
      </c>
      <c r="AU95">
        <v>797</v>
      </c>
      <c r="AV95">
        <v>47</v>
      </c>
      <c r="AW95">
        <v>44</v>
      </c>
      <c r="AX95">
        <v>19</v>
      </c>
      <c r="AY95">
        <v>1</v>
      </c>
      <c r="AZ95">
        <v>406</v>
      </c>
      <c r="BA95">
        <v>6</v>
      </c>
      <c r="BB95">
        <v>16</v>
      </c>
      <c r="BC95" t="s">
        <v>1229</v>
      </c>
      <c r="BD95" s="2" t="s">
        <v>5</v>
      </c>
      <c r="BE95" t="s">
        <v>5</v>
      </c>
      <c r="BF95" t="s">
        <v>5</v>
      </c>
      <c r="BG95" t="s">
        <v>5</v>
      </c>
      <c r="BH95" t="s">
        <v>5</v>
      </c>
      <c r="BI95" s="2" t="str">
        <f>HYPERLINK("http://exon.niaid.nih.gov/transcriptome/T_rubida/S2/links/CDD/Triru-377-CDD.txt","COG3264")</f>
        <v>COG3264</v>
      </c>
      <c r="BJ95" t="str">
        <f>HYPERLINK("http://www.ncbi.nlm.nih.gov/Structure/cdd/cddsrv.cgi?uid=COG3264&amp;version=v4.0","1.5")</f>
        <v>1.5</v>
      </c>
      <c r="BK95" t="s">
        <v>1230</v>
      </c>
      <c r="BL95" s="2" t="str">
        <f>HYPERLINK("http://exon.niaid.nih.gov/transcriptome/T_rubida/S2/links/KOG/Triru-377-KOG.txt","Uncharacterized conserved protein, contains double-stranded RNA-binding motif and WW domain")</f>
        <v>Uncharacterized conserved protein, contains double-stranded RNA-binding motif and WW domain</v>
      </c>
      <c r="BM95" t="str">
        <f>HYPERLINK("http://www.ncbi.nlm.nih.gov/COG/grace/shokog.cgi?KOG4334","2.0")</f>
        <v>2.0</v>
      </c>
      <c r="BN95" t="s">
        <v>96</v>
      </c>
      <c r="BO95" s="2" t="str">
        <f>HYPERLINK("http://exon.niaid.nih.gov/transcriptome/T_rubida/S2/links/PFAM/Triru-377-PFAM.txt","DUF3527")</f>
        <v>DUF3527</v>
      </c>
      <c r="BP95" t="str">
        <f>HYPERLINK("http://pfam.sanger.ac.uk/family?acc=PF12043","0.39")</f>
        <v>0.39</v>
      </c>
      <c r="BQ95" s="2" t="str">
        <f>HYPERLINK("http://exon.niaid.nih.gov/transcriptome/T_rubida/S2/links/SMART/Triru-377-SMART.txt","Kelch")</f>
        <v>Kelch</v>
      </c>
      <c r="BR95" t="str">
        <f>HYPERLINK("http://smart.embl-heidelberg.de/smart/do_annotation.pl?DOMAIN=Kelch&amp;BLAST=DUMMY","0.41")</f>
        <v>0.41</v>
      </c>
      <c r="BS95" s="17">
        <v>113</v>
      </c>
      <c r="BT95" s="1">
        <v>1</v>
      </c>
      <c r="BU95" s="17">
        <v>172</v>
      </c>
      <c r="BV95" s="1">
        <v>1</v>
      </c>
      <c r="BW95" s="17">
        <v>212</v>
      </c>
      <c r="BX95" s="1">
        <v>1</v>
      </c>
      <c r="BY95" s="17">
        <v>228</v>
      </c>
      <c r="BZ95" s="1">
        <v>1</v>
      </c>
      <c r="CA95" s="17">
        <v>235</v>
      </c>
      <c r="CB95" s="1">
        <v>1</v>
      </c>
      <c r="CC95" s="17">
        <v>240</v>
      </c>
      <c r="CD95" s="1">
        <v>1</v>
      </c>
      <c r="CE95" s="17">
        <v>247</v>
      </c>
      <c r="CF95" s="1">
        <v>1</v>
      </c>
      <c r="CG95" s="17">
        <v>249</v>
      </c>
      <c r="CH95" s="1">
        <v>1</v>
      </c>
      <c r="CI95" s="17">
        <v>259</v>
      </c>
      <c r="CJ95" s="1">
        <v>1</v>
      </c>
      <c r="CK95" s="17">
        <v>264</v>
      </c>
      <c r="CL95" s="1">
        <v>1</v>
      </c>
      <c r="CM95" s="17">
        <v>272</v>
      </c>
      <c r="CN95" s="1">
        <v>1</v>
      </c>
      <c r="CO95" s="17">
        <v>284</v>
      </c>
      <c r="CP95" s="1">
        <v>1</v>
      </c>
      <c r="CQ95" s="17">
        <v>294</v>
      </c>
      <c r="CR95" s="1">
        <v>1</v>
      </c>
      <c r="CS95" s="17">
        <v>306</v>
      </c>
      <c r="CT95" s="1">
        <v>1</v>
      </c>
      <c r="CU95" s="17">
        <v>317</v>
      </c>
      <c r="CV95" s="1">
        <v>1</v>
      </c>
    </row>
    <row r="96" spans="1:100" s="4" customFormat="1">
      <c r="A96" s="16" t="s">
        <v>1585</v>
      </c>
      <c r="I96" s="5"/>
      <c r="P96" s="4" t="s">
        <v>5</v>
      </c>
      <c r="Q96" s="4" t="s">
        <v>5</v>
      </c>
      <c r="R96" s="4" t="s">
        <v>5</v>
      </c>
      <c r="S96" s="4" t="s">
        <v>5</v>
      </c>
      <c r="T96" s="4" t="s">
        <v>5</v>
      </c>
      <c r="U96" s="4" t="s">
        <v>5</v>
      </c>
      <c r="V96" s="4" t="s">
        <v>5</v>
      </c>
      <c r="W96" s="4" t="s">
        <v>5</v>
      </c>
      <c r="X96" s="4" t="s">
        <v>5</v>
      </c>
      <c r="Y96" s="4" t="s">
        <v>5</v>
      </c>
      <c r="Z96" s="4" t="s">
        <v>5</v>
      </c>
      <c r="AA96" s="4" t="s">
        <v>5</v>
      </c>
      <c r="AB96" s="4" t="s">
        <v>5</v>
      </c>
      <c r="AC96" s="4" t="s">
        <v>5</v>
      </c>
      <c r="AD96" s="4" t="s">
        <v>5</v>
      </c>
      <c r="AE96" s="4" t="s">
        <v>5</v>
      </c>
      <c r="AF96" s="4" t="s">
        <v>5</v>
      </c>
    </row>
    <row r="97" spans="1:100">
      <c r="A97" t="str">
        <f>HYPERLINK("http://exon.niaid.nih.gov/transcriptome/T_rubida/S2/links/pep/Triru-109-pep.txt","Triru-109")</f>
        <v>Triru-109</v>
      </c>
      <c r="B97">
        <v>88</v>
      </c>
      <c r="C97" s="1" t="s">
        <v>6</v>
      </c>
      <c r="D97" s="1" t="s">
        <v>3</v>
      </c>
      <c r="E97" t="str">
        <f>HYPERLINK("http://exon.niaid.nih.gov/transcriptome/T_rubida/S2/links/cds/Triru-109-cds.txt","Triru-109")</f>
        <v>Triru-109</v>
      </c>
      <c r="F97">
        <v>267</v>
      </c>
      <c r="G97" s="2" t="s">
        <v>1584</v>
      </c>
      <c r="H97" s="1">
        <v>1</v>
      </c>
      <c r="I97" s="3" t="s">
        <v>1283</v>
      </c>
      <c r="J97" s="17" t="str">
        <f>HYPERLINK("http://exon.niaid.nih.gov/transcriptome/T_rubida/S2/links/Sigp/Triru-109-SigP.txt","CYT")</f>
        <v>CYT</v>
      </c>
      <c r="K97" t="s">
        <v>5</v>
      </c>
      <c r="L97" s="1">
        <v>9.57</v>
      </c>
      <c r="M97" s="1">
        <v>4.9000000000000004</v>
      </c>
      <c r="P97" s="1">
        <v>6.7000000000000004E-2</v>
      </c>
      <c r="Q97" s="1">
        <v>6.3E-2</v>
      </c>
      <c r="R97" s="1">
        <v>0.95099999999999996</v>
      </c>
      <c r="S97" s="17" t="s">
        <v>1346</v>
      </c>
      <c r="T97">
        <v>1</v>
      </c>
      <c r="U97" t="s">
        <v>1348</v>
      </c>
      <c r="V97" s="17">
        <v>0</v>
      </c>
      <c r="W97" t="s">
        <v>5</v>
      </c>
      <c r="X97" t="s">
        <v>5</v>
      </c>
      <c r="Y97" t="s">
        <v>5</v>
      </c>
      <c r="Z97" t="s">
        <v>5</v>
      </c>
      <c r="AA97" t="s">
        <v>5</v>
      </c>
      <c r="AB97" s="17" t="str">
        <f>HYPERLINK("http://exon.niaid.nih.gov/transcriptome/T_rubida/S2/links/netoglyc/TRIRU-109-netoglyc.txt","2")</f>
        <v>2</v>
      </c>
      <c r="AC97">
        <v>14.8</v>
      </c>
      <c r="AD97">
        <v>6.8</v>
      </c>
      <c r="AE97">
        <v>3.4</v>
      </c>
      <c r="AF97" s="17" t="s">
        <v>5</v>
      </c>
      <c r="AG97" s="2" t="str">
        <f>HYPERLINK("http://exon.niaid.nih.gov/transcriptome/T_rubida/S2/links/NR/Triru-109-NR.txt","hypothetical secreted protein")</f>
        <v>hypothetical secreted protein</v>
      </c>
      <c r="AH97" t="str">
        <f>HYPERLINK("http://www.ncbi.nlm.nih.gov/sutils/blink.cgi?pid=307095050","3E-011")</f>
        <v>3E-011</v>
      </c>
      <c r="AI97" t="str">
        <f>HYPERLINK("http://www.ncbi.nlm.nih.gov/protein/307095050","gi|307095050")</f>
        <v>gi|307095050</v>
      </c>
      <c r="AJ97">
        <v>72</v>
      </c>
      <c r="AK97">
        <v>75</v>
      </c>
      <c r="AL97">
        <v>131</v>
      </c>
      <c r="AM97">
        <v>52</v>
      </c>
      <c r="AN97">
        <v>58</v>
      </c>
      <c r="AO97" t="s">
        <v>120</v>
      </c>
      <c r="AP97" s="2" t="str">
        <f>HYPERLINK("http://exon.niaid.nih.gov/transcriptome/T_rubida/S2/links/SWISSP/Triru-109-SWISSP.txt","Nucleolar protein 58")</f>
        <v>Nucleolar protein 58</v>
      </c>
      <c r="AQ97" t="str">
        <f>HYPERLINK("http://www.uniprot.org/uniprot/Q5B8G3","0.079")</f>
        <v>0.079</v>
      </c>
      <c r="AR97" t="s">
        <v>546</v>
      </c>
      <c r="AS97">
        <v>35.799999999999997</v>
      </c>
      <c r="AT97">
        <v>59</v>
      </c>
      <c r="AU97">
        <v>586</v>
      </c>
      <c r="AV97">
        <v>35</v>
      </c>
      <c r="AW97">
        <v>10</v>
      </c>
      <c r="AX97">
        <v>45</v>
      </c>
      <c r="AY97">
        <v>14</v>
      </c>
      <c r="AZ97">
        <v>462</v>
      </c>
      <c r="BA97">
        <v>4</v>
      </c>
      <c r="BB97">
        <v>1</v>
      </c>
      <c r="BC97" t="s">
        <v>547</v>
      </c>
      <c r="BD97" s="2" t="s">
        <v>5</v>
      </c>
      <c r="BE97" t="s">
        <v>5</v>
      </c>
      <c r="BF97" t="s">
        <v>5</v>
      </c>
      <c r="BG97" t="s">
        <v>5</v>
      </c>
      <c r="BH97" t="s">
        <v>5</v>
      </c>
      <c r="BI97" s="2" t="str">
        <f>HYPERLINK("http://exon.niaid.nih.gov/transcriptome/T_rubida/S2/links/CDD/Triru-109-CDD.txt","argC")</f>
        <v>argC</v>
      </c>
      <c r="BJ97" t="str">
        <f>HYPERLINK("http://www.ncbi.nlm.nih.gov/Structure/cdd/cddsrv.cgi?uid=PRK00436&amp;version=v4.0","0.72")</f>
        <v>0.72</v>
      </c>
      <c r="BK97" t="s">
        <v>548</v>
      </c>
      <c r="BL97" s="2" t="str">
        <f>HYPERLINK("http://exon.niaid.nih.gov/transcriptome/T_rubida/S2/links/KOG/Triru-109-KOG.txt","Uncharacterized conserved protein")</f>
        <v>Uncharacterized conserved protein</v>
      </c>
      <c r="BM97" t="str">
        <f>HYPERLINK("http://www.ncbi.nlm.nih.gov/COG/grace/shokog.cgi?KOG4553","0.88")</f>
        <v>0.88</v>
      </c>
      <c r="BN97" t="s">
        <v>264</v>
      </c>
      <c r="BO97" s="2" t="str">
        <f>HYPERLINK("http://exon.niaid.nih.gov/transcriptome/T_rubida/S2/links/PFAM/Triru-109-PFAM.txt","Avl9")</f>
        <v>Avl9</v>
      </c>
      <c r="BP97" t="str">
        <f>HYPERLINK("http://pfam.sanger.ac.uk/family?acc=PF09794","3.4")</f>
        <v>3.4</v>
      </c>
      <c r="BQ97" s="2" t="str">
        <f>HYPERLINK("http://exon.niaid.nih.gov/transcriptome/T_rubida/S2/links/SMART/Triru-109-SMART.txt","Semialdhyde_dh")</f>
        <v>Semialdhyde_dh</v>
      </c>
      <c r="BR97" t="str">
        <f>HYPERLINK("http://smart.embl-heidelberg.de/smart/do_annotation.pl?DOMAIN=Semialdhyde_dh&amp;BLAST=DUMMY","0.038")</f>
        <v>0.038</v>
      </c>
      <c r="BS97" s="17">
        <f>HYPERLINK("http://exon.niaid.nih.gov/transcriptome/T_rubida/S2/links/cluster/Triru-pep-ext25-50-Sim-CLU1.txt", 1)</f>
        <v>1</v>
      </c>
      <c r="BT97" s="1">
        <f>HYPERLINK("http://exon.niaid.nih.gov/transcriptome/T_rubida/S2/links/cluster/Triru-pep-ext25-50-Sim-CLTL1.txt", 359)</f>
        <v>359</v>
      </c>
      <c r="BU97" s="17">
        <f>HYPERLINK("http://exon.niaid.nih.gov/transcriptome/T_rubida/S2/links/cluster/Triru-pep-ext30-50-Sim-CLU8.txt", 8)</f>
        <v>8</v>
      </c>
      <c r="BV97" s="1">
        <f>HYPERLINK("http://exon.niaid.nih.gov/transcriptome/T_rubida/S2/links/cluster/Triru-pep-ext30-50-Sim-CLTL8.txt", 3)</f>
        <v>3</v>
      </c>
      <c r="BW97" s="17">
        <v>64</v>
      </c>
      <c r="BX97" s="1">
        <v>1</v>
      </c>
      <c r="BY97" s="17">
        <v>62</v>
      </c>
      <c r="BZ97" s="1">
        <v>1</v>
      </c>
      <c r="CA97" s="17">
        <v>60</v>
      </c>
      <c r="CB97" s="1">
        <v>1</v>
      </c>
      <c r="CC97" s="17">
        <v>59</v>
      </c>
      <c r="CD97" s="1">
        <v>1</v>
      </c>
      <c r="CE97" s="17">
        <v>52</v>
      </c>
      <c r="CF97" s="1">
        <v>1</v>
      </c>
      <c r="CG97" s="17">
        <v>52</v>
      </c>
      <c r="CH97" s="1">
        <v>1</v>
      </c>
      <c r="CI97" s="17">
        <v>58</v>
      </c>
      <c r="CJ97" s="1">
        <v>1</v>
      </c>
      <c r="CK97" s="17">
        <v>62</v>
      </c>
      <c r="CL97" s="1">
        <v>1</v>
      </c>
      <c r="CM97" s="17">
        <v>66</v>
      </c>
      <c r="CN97" s="1">
        <v>1</v>
      </c>
      <c r="CO97" s="17">
        <v>74</v>
      </c>
      <c r="CP97" s="1">
        <v>1</v>
      </c>
      <c r="CQ97" s="17">
        <v>84</v>
      </c>
      <c r="CR97" s="1">
        <v>1</v>
      </c>
      <c r="CS97" s="17">
        <v>89</v>
      </c>
      <c r="CT97" s="1">
        <v>1</v>
      </c>
      <c r="CU97" s="17">
        <v>100</v>
      </c>
      <c r="CV97" s="1">
        <v>1</v>
      </c>
    </row>
    <row r="98" spans="1:100" s="14" customFormat="1">
      <c r="A98" s="13" t="s">
        <v>1296</v>
      </c>
      <c r="I98" s="15"/>
      <c r="P98" s="14" t="s">
        <v>5</v>
      </c>
      <c r="Q98" s="14" t="s">
        <v>5</v>
      </c>
      <c r="R98" s="14" t="s">
        <v>5</v>
      </c>
      <c r="S98" s="14" t="s">
        <v>5</v>
      </c>
      <c r="T98" s="14" t="s">
        <v>5</v>
      </c>
      <c r="U98" s="14" t="s">
        <v>5</v>
      </c>
      <c r="V98" s="14" t="s">
        <v>5</v>
      </c>
      <c r="W98" s="14" t="s">
        <v>5</v>
      </c>
      <c r="X98" s="14" t="s">
        <v>5</v>
      </c>
      <c r="Y98" s="14" t="s">
        <v>5</v>
      </c>
      <c r="Z98" s="14" t="s">
        <v>5</v>
      </c>
      <c r="AA98" s="14" t="s">
        <v>5</v>
      </c>
      <c r="AB98" s="14" t="s">
        <v>5</v>
      </c>
      <c r="AC98" s="14" t="s">
        <v>5</v>
      </c>
      <c r="AD98" s="14" t="s">
        <v>5</v>
      </c>
      <c r="AE98" s="14" t="s">
        <v>5</v>
      </c>
      <c r="AF98" s="14" t="s">
        <v>5</v>
      </c>
    </row>
    <row r="99" spans="1:100" s="4" customFormat="1">
      <c r="A99" s="16" t="s">
        <v>1298</v>
      </c>
      <c r="I99" s="5"/>
      <c r="P99" s="4" t="s">
        <v>5</v>
      </c>
      <c r="Q99" s="4" t="s">
        <v>5</v>
      </c>
      <c r="R99" s="4" t="s">
        <v>5</v>
      </c>
      <c r="S99" s="4" t="s">
        <v>5</v>
      </c>
      <c r="T99" s="4" t="s">
        <v>5</v>
      </c>
      <c r="U99" s="4" t="s">
        <v>5</v>
      </c>
      <c r="V99" s="4" t="s">
        <v>5</v>
      </c>
      <c r="W99" s="4" t="s">
        <v>5</v>
      </c>
      <c r="X99" s="4" t="s">
        <v>5</v>
      </c>
      <c r="Y99" s="4" t="s">
        <v>5</v>
      </c>
      <c r="Z99" s="4" t="s">
        <v>5</v>
      </c>
      <c r="AA99" s="4" t="s">
        <v>5</v>
      </c>
      <c r="AB99" s="4" t="s">
        <v>5</v>
      </c>
      <c r="AC99" s="4" t="s">
        <v>5</v>
      </c>
      <c r="AD99" s="4" t="s">
        <v>5</v>
      </c>
      <c r="AE99" s="4" t="s">
        <v>5</v>
      </c>
      <c r="AF99" s="4" t="s">
        <v>5</v>
      </c>
    </row>
    <row r="100" spans="1:100">
      <c r="A100" t="str">
        <f>HYPERLINK("http://exon.niaid.nih.gov/transcriptome/T_rubida/S2/links/pep/Triru-231-pep.txt","Triru-231")</f>
        <v>Triru-231</v>
      </c>
      <c r="B100">
        <v>103</v>
      </c>
      <c r="C100" s="1" t="s">
        <v>17</v>
      </c>
      <c r="D100" s="1" t="s">
        <v>3</v>
      </c>
      <c r="E100" t="str">
        <f>HYPERLINK("http://exon.niaid.nih.gov/transcriptome/T_rubida/S2/links/cds/Triru-231-cds.txt","Triru-231")</f>
        <v>Triru-231</v>
      </c>
      <c r="F100">
        <v>312</v>
      </c>
      <c r="G100" s="2" t="s">
        <v>1590</v>
      </c>
      <c r="H100" s="1">
        <v>1</v>
      </c>
      <c r="I100" s="3" t="s">
        <v>1270</v>
      </c>
      <c r="J100" s="17" t="str">
        <f>HYPERLINK("http://exon.niaid.nih.gov/transcriptome/T_rubida/S2/links/Sigp/Triru-231-SigP.txt","CYT")</f>
        <v>CYT</v>
      </c>
      <c r="K100" t="s">
        <v>5</v>
      </c>
      <c r="L100" s="1">
        <v>11.996</v>
      </c>
      <c r="M100" s="1">
        <v>7.1</v>
      </c>
      <c r="P100" s="1">
        <v>0.65300000000000002</v>
      </c>
      <c r="Q100" s="1">
        <v>2.7E-2</v>
      </c>
      <c r="R100" s="1">
        <v>0.42599999999999999</v>
      </c>
      <c r="S100" s="17" t="s">
        <v>9</v>
      </c>
      <c r="T100">
        <v>4</v>
      </c>
      <c r="U100" t="s">
        <v>1393</v>
      </c>
      <c r="V100" s="17">
        <v>0</v>
      </c>
      <c r="W100" t="s">
        <v>5</v>
      </c>
      <c r="X100" t="s">
        <v>5</v>
      </c>
      <c r="Y100" t="s">
        <v>5</v>
      </c>
      <c r="Z100" t="s">
        <v>5</v>
      </c>
      <c r="AA100" t="s">
        <v>5</v>
      </c>
      <c r="AB100" s="17" t="str">
        <f>HYPERLINK("http://exon.niaid.nih.gov/transcriptome/T_rubida/S2/links/netoglyc/TRIRU-231-netoglyc.txt","0")</f>
        <v>0</v>
      </c>
      <c r="AC100">
        <v>2.9</v>
      </c>
      <c r="AD100">
        <v>7.8</v>
      </c>
      <c r="AE100" t="s">
        <v>1394</v>
      </c>
      <c r="AF100" s="17" t="s">
        <v>1395</v>
      </c>
      <c r="AG100" s="2" t="str">
        <f>HYPERLINK("http://exon.niaid.nih.gov/transcriptome/T_rubida/S2/links/NR/Triru-231-NR.txt","hypothetical protein")</f>
        <v>hypothetical protein</v>
      </c>
      <c r="AH100" t="str">
        <f>HYPERLINK("http://www.ncbi.nlm.nih.gov/sutils/blink.cgi?pid=124487752","1E-023")</f>
        <v>1E-023</v>
      </c>
      <c r="AI100" t="str">
        <f>HYPERLINK("http://www.ncbi.nlm.nih.gov/protein/124487752","gi|124487752")</f>
        <v>gi|124487752</v>
      </c>
      <c r="AJ100">
        <v>113</v>
      </c>
      <c r="AK100">
        <v>71</v>
      </c>
      <c r="AL100">
        <v>77</v>
      </c>
      <c r="AM100">
        <v>80</v>
      </c>
      <c r="AN100">
        <v>94</v>
      </c>
      <c r="AO100" t="s">
        <v>156</v>
      </c>
      <c r="AP100" s="2" t="str">
        <f>HYPERLINK("http://exon.niaid.nih.gov/transcriptome/T_rubida/S2/links/SWISSP/Triru-231-SWISSP.txt","Tropomyosin")</f>
        <v>Tropomyosin</v>
      </c>
      <c r="AQ100" t="str">
        <f>HYPERLINK("http://www.uniprot.org/uniprot/Q60UW4","2E-017")</f>
        <v>2E-017</v>
      </c>
      <c r="AR100" t="s">
        <v>1113</v>
      </c>
      <c r="AS100">
        <v>87.8</v>
      </c>
      <c r="AT100">
        <v>144</v>
      </c>
      <c r="AU100">
        <v>256</v>
      </c>
      <c r="AV100">
        <v>61</v>
      </c>
      <c r="AW100">
        <v>57</v>
      </c>
      <c r="AX100">
        <v>27</v>
      </c>
      <c r="AY100">
        <v>0</v>
      </c>
      <c r="AZ100">
        <v>110</v>
      </c>
      <c r="BA100">
        <v>4</v>
      </c>
      <c r="BB100">
        <v>2</v>
      </c>
      <c r="BC100" t="s">
        <v>290</v>
      </c>
      <c r="BD100" s="2" t="s">
        <v>1114</v>
      </c>
      <c r="BE100">
        <f>HYPERLINK("http://exon.niaid.nih.gov/transcriptome/T_rubida/S2/links/GO/Triru-231-GO.txt",0.00000000000000001)</f>
        <v>1.0000000000000001E-17</v>
      </c>
      <c r="BF100" t="s">
        <v>1115</v>
      </c>
      <c r="BG100" t="s">
        <v>153</v>
      </c>
      <c r="BH100" t="s">
        <v>174</v>
      </c>
      <c r="BI100" s="2" t="str">
        <f>HYPERLINK("http://exon.niaid.nih.gov/transcriptome/T_rubida/S2/links/CDD/Triru-231-CDD.txt","Tropomyosin")</f>
        <v>Tropomyosin</v>
      </c>
      <c r="BJ100" t="str">
        <f>HYPERLINK("http://www.ncbi.nlm.nih.gov/Structure/cdd/cddsrv.cgi?uid=pfam00261&amp;version=v4.0","5E-016")</f>
        <v>5E-016</v>
      </c>
      <c r="BK100" t="s">
        <v>1116</v>
      </c>
      <c r="BL100" s="2" t="str">
        <f>HYPERLINK("http://exon.niaid.nih.gov/transcriptome/T_rubida/S2/links/KOG/Triru-231-KOG.txt","Actin filament-coating protein tropomyosin")</f>
        <v>Actin filament-coating protein tropomyosin</v>
      </c>
      <c r="BM100" t="str">
        <f>HYPERLINK("http://www.ncbi.nlm.nih.gov/COG/grace/shokog.cgi?KOG1003","1E-009")</f>
        <v>1E-009</v>
      </c>
      <c r="BN100" t="s">
        <v>147</v>
      </c>
      <c r="BO100" s="2" t="str">
        <f>HYPERLINK("http://exon.niaid.nih.gov/transcriptome/T_rubida/S2/links/PFAM/Triru-231-PFAM.txt","Tropomyosin")</f>
        <v>Tropomyosin</v>
      </c>
      <c r="BP100" t="str">
        <f>HYPERLINK("http://pfam.sanger.ac.uk/family?acc=PF00261","1E-016")</f>
        <v>1E-016</v>
      </c>
      <c r="BQ100" s="2" t="str">
        <f>HYPERLINK("http://exon.niaid.nih.gov/transcriptome/T_rubida/S2/links/SMART/Triru-231-SMART.txt","TOPEUc")</f>
        <v>TOPEUc</v>
      </c>
      <c r="BR100" t="str">
        <f>HYPERLINK("http://smart.embl-heidelberg.de/smart/do_annotation.pl?DOMAIN=TOPEUc&amp;BLAST=DUMMY","0.82")</f>
        <v>0.82</v>
      </c>
      <c r="BS100" s="17">
        <f>HYPERLINK("http://exon.niaid.nih.gov/transcriptome/T_rubida/S2/links/cluster/Triru-pep-ext25-50-Sim-CLU1.txt", 1)</f>
        <v>1</v>
      </c>
      <c r="BT100" s="1">
        <f>HYPERLINK("http://exon.niaid.nih.gov/transcriptome/T_rubida/S2/links/cluster/Triru-pep-ext25-50-Sim-CLTL1.txt", 359)</f>
        <v>359</v>
      </c>
      <c r="BU100" s="17">
        <f>HYPERLINK("http://exon.niaid.nih.gov/transcriptome/T_rubida/S2/links/cluster/Triru-pep-ext30-50-Sim-CLU1.txt", 1)</f>
        <v>1</v>
      </c>
      <c r="BV100" s="1">
        <f>HYPERLINK("http://exon.niaid.nih.gov/transcriptome/T_rubida/S2/links/cluster/Triru-pep-ext30-50-Sim-CLTL1.txt", 225)</f>
        <v>225</v>
      </c>
      <c r="BW100" s="17">
        <f>HYPERLINK("http://exon.niaid.nih.gov/transcriptome/T_rubida/S2/links/cluster/Triru-pep-ext35-50-Sim-CLU21.txt", 21)</f>
        <v>21</v>
      </c>
      <c r="BX100" s="1">
        <f>HYPERLINK("http://exon.niaid.nih.gov/transcriptome/T_rubida/S2/links/cluster/Triru-pep-ext35-50-Sim-CLTL21.txt", 2)</f>
        <v>2</v>
      </c>
      <c r="BY100" s="17">
        <v>138</v>
      </c>
      <c r="BZ100" s="1">
        <v>1</v>
      </c>
      <c r="CA100" s="17">
        <v>140</v>
      </c>
      <c r="CB100" s="1">
        <v>1</v>
      </c>
      <c r="CC100" s="17">
        <v>143</v>
      </c>
      <c r="CD100" s="1">
        <v>1</v>
      </c>
      <c r="CE100" s="17">
        <v>143</v>
      </c>
      <c r="CF100" s="1">
        <v>1</v>
      </c>
      <c r="CG100" s="17">
        <v>145</v>
      </c>
      <c r="CH100" s="1">
        <v>1</v>
      </c>
      <c r="CI100" s="17">
        <v>152</v>
      </c>
      <c r="CJ100" s="1">
        <v>1</v>
      </c>
      <c r="CK100" s="17">
        <v>157</v>
      </c>
      <c r="CL100" s="1">
        <v>1</v>
      </c>
      <c r="CM100" s="17">
        <v>163</v>
      </c>
      <c r="CN100" s="1">
        <v>1</v>
      </c>
      <c r="CO100" s="17">
        <v>173</v>
      </c>
      <c r="CP100" s="1">
        <v>1</v>
      </c>
      <c r="CQ100" s="17">
        <v>183</v>
      </c>
      <c r="CR100" s="1">
        <v>1</v>
      </c>
      <c r="CS100" s="17">
        <v>188</v>
      </c>
      <c r="CT100" s="1">
        <v>1</v>
      </c>
      <c r="CU100" s="17">
        <v>199</v>
      </c>
      <c r="CV100" s="1">
        <v>1</v>
      </c>
    </row>
    <row r="101" spans="1:100">
      <c r="A101" t="str">
        <f>HYPERLINK("http://exon.niaid.nih.gov/transcriptome/T_rubida/S2/links/pep/Triru-489-pep.txt","Triru-489")</f>
        <v>Triru-489</v>
      </c>
      <c r="B101">
        <v>39</v>
      </c>
      <c r="C101" s="1" t="s">
        <v>10</v>
      </c>
      <c r="D101" s="1" t="s">
        <v>3</v>
      </c>
      <c r="E101" t="str">
        <f>HYPERLINK("http://exon.niaid.nih.gov/transcriptome/T_rubida/S2/links/cds/Triru-489-cds.txt","Triru-489")</f>
        <v>Triru-489</v>
      </c>
      <c r="F101">
        <v>120</v>
      </c>
      <c r="G101" s="2" t="s">
        <v>1591</v>
      </c>
      <c r="H101" s="1">
        <v>1</v>
      </c>
      <c r="I101" s="3" t="s">
        <v>1270</v>
      </c>
      <c r="J101" s="17" t="str">
        <f>HYPERLINK("http://exon.niaid.nih.gov/transcriptome/T_rubida/S2/links/Sigp/Triru-489-SigP.txt","CYT")</f>
        <v>CYT</v>
      </c>
      <c r="K101" t="s">
        <v>5</v>
      </c>
      <c r="L101" s="1">
        <v>4.33</v>
      </c>
      <c r="M101" s="1">
        <v>3.85</v>
      </c>
      <c r="P101" s="1">
        <v>5.8999999999999997E-2</v>
      </c>
      <c r="Q101" s="1">
        <v>5.1999999999999998E-2</v>
      </c>
      <c r="R101" s="1">
        <v>0.95599999999999996</v>
      </c>
      <c r="S101" s="17" t="s">
        <v>1346</v>
      </c>
      <c r="T101">
        <v>1</v>
      </c>
      <c r="U101" t="s">
        <v>1348</v>
      </c>
      <c r="V101" s="17">
        <v>0</v>
      </c>
      <c r="W101" t="s">
        <v>5</v>
      </c>
      <c r="X101" t="s">
        <v>5</v>
      </c>
      <c r="Y101" t="s">
        <v>5</v>
      </c>
      <c r="Z101" t="s">
        <v>5</v>
      </c>
      <c r="AA101" t="s">
        <v>5</v>
      </c>
      <c r="AB101" s="17" t="str">
        <f>HYPERLINK("http://exon.niaid.nih.gov/transcriptome/T_rubida/S2/links/netoglyc/TRIRU-489-netoglyc.txt","0")</f>
        <v>0</v>
      </c>
      <c r="AC101">
        <v>10.3</v>
      </c>
      <c r="AD101">
        <v>7.7</v>
      </c>
      <c r="AE101">
        <v>2.6</v>
      </c>
      <c r="AF101" s="17" t="s">
        <v>5</v>
      </c>
      <c r="AG101" s="2" t="str">
        <f>HYPERLINK("http://exon.niaid.nih.gov/transcriptome/T_rubida/S2/links/NR/Triru-489-NR.txt","calmodulin A")</f>
        <v>calmodulin A</v>
      </c>
      <c r="AH101" t="str">
        <f>HYPERLINK("http://www.ncbi.nlm.nih.gov/sutils/blink.cgi?pid=339892262","2E-012")</f>
        <v>2E-012</v>
      </c>
      <c r="AI101" t="str">
        <f>HYPERLINK("http://www.ncbi.nlm.nih.gov/protein/339892262","gi|339892262")</f>
        <v>gi|339892262</v>
      </c>
      <c r="AJ101">
        <v>75.5</v>
      </c>
      <c r="AK101">
        <v>108</v>
      </c>
      <c r="AL101">
        <v>149</v>
      </c>
      <c r="AM101">
        <v>100</v>
      </c>
      <c r="AN101">
        <v>73</v>
      </c>
      <c r="AO101" t="s">
        <v>919</v>
      </c>
      <c r="AP101" s="2" t="str">
        <f>HYPERLINK("http://exon.niaid.nih.gov/transcriptome/T_rubida/S2/links/SWISSP/Triru-489-SWISSP.txt","Calmodulin")</f>
        <v>Calmodulin</v>
      </c>
      <c r="AQ101" t="str">
        <f>HYPERLINK("http://www.uniprot.org/uniprot/Q8STF0","9E-014")</f>
        <v>9E-014</v>
      </c>
      <c r="AR101" t="s">
        <v>920</v>
      </c>
      <c r="AS101">
        <v>75.5</v>
      </c>
      <c r="AT101">
        <v>149</v>
      </c>
      <c r="AU101">
        <v>156</v>
      </c>
      <c r="AV101">
        <v>100</v>
      </c>
      <c r="AW101">
        <v>96</v>
      </c>
      <c r="AX101">
        <v>0</v>
      </c>
      <c r="AY101">
        <v>0</v>
      </c>
      <c r="AZ101">
        <v>7</v>
      </c>
      <c r="BA101">
        <v>2</v>
      </c>
      <c r="BB101">
        <v>3</v>
      </c>
      <c r="BC101" t="s">
        <v>921</v>
      </c>
      <c r="BD101" s="2" t="s">
        <v>922</v>
      </c>
      <c r="BE101">
        <f>HYPERLINK("http://exon.niaid.nih.gov/transcriptome/T_rubida/S2/links/GO/Triru-489-GO.txt",0.00000000000006)</f>
        <v>5.9999999999999997E-14</v>
      </c>
      <c r="BF101" t="s">
        <v>544</v>
      </c>
      <c r="BG101" t="s">
        <v>153</v>
      </c>
      <c r="BH101" t="s">
        <v>293</v>
      </c>
      <c r="BI101" s="2" t="str">
        <f>HYPERLINK("http://exon.niaid.nih.gov/transcriptome/T_rubida/S2/links/CDD/Triru-489-CDD.txt","PTZ00184")</f>
        <v>PTZ00184</v>
      </c>
      <c r="BJ101" t="str">
        <f>HYPERLINK("http://www.ncbi.nlm.nih.gov/Structure/cdd/cddsrv.cgi?uid=PTZ00184&amp;version=v4.0","1E-010")</f>
        <v>1E-010</v>
      </c>
      <c r="BK101" t="s">
        <v>923</v>
      </c>
      <c r="BL101" s="2" t="str">
        <f>HYPERLINK("http://exon.niaid.nih.gov/transcriptome/T_rubida/S2/links/KOG/Triru-489-KOG.txt","Calmodulin and related proteins (EF-Hand superfamily)")</f>
        <v>Calmodulin and related proteins (EF-Hand superfamily)</v>
      </c>
      <c r="BM101" t="str">
        <f>HYPERLINK("http://www.ncbi.nlm.nih.gov/COG/grace/shokog.cgi?KOG0027","5E-006")</f>
        <v>5E-006</v>
      </c>
      <c r="BN101" t="s">
        <v>179</v>
      </c>
      <c r="BO101" s="2" t="str">
        <f>HYPERLINK("http://exon.niaid.nih.gov/transcriptome/T_rubida/S2/links/PFAM/Triru-489-PFAM.txt","efhand")</f>
        <v>efhand</v>
      </c>
      <c r="BP101" t="str">
        <f>HYPERLINK("http://pfam.sanger.ac.uk/family?acc=PF00036","4E-004")</f>
        <v>4E-004</v>
      </c>
      <c r="BQ101" s="2" t="str">
        <f>HYPERLINK("http://exon.niaid.nih.gov/transcriptome/T_rubida/S2/links/SMART/Triru-489-SMART.txt","EFh")</f>
        <v>EFh</v>
      </c>
      <c r="BR101" t="str">
        <f>HYPERLINK("http://smart.embl-heidelberg.de/smart/do_annotation.pl?DOMAIN=EFh&amp;BLAST=DUMMY","5E-006")</f>
        <v>5E-006</v>
      </c>
      <c r="BS101" s="17">
        <f>HYPERLINK("http://exon.niaid.nih.gov/transcriptome/T_rubida/S2/links/cluster/Triru-pep-ext25-50-Sim-CLU1.txt", 1)</f>
        <v>1</v>
      </c>
      <c r="BT101" s="1">
        <f>HYPERLINK("http://exon.niaid.nih.gov/transcriptome/T_rubida/S2/links/cluster/Triru-pep-ext25-50-Sim-CLTL1.txt", 359)</f>
        <v>359</v>
      </c>
      <c r="BU101" s="17">
        <v>221</v>
      </c>
      <c r="BV101" s="1">
        <v>1</v>
      </c>
      <c r="BW101" s="17">
        <v>285</v>
      </c>
      <c r="BX101" s="1">
        <v>1</v>
      </c>
      <c r="BY101" s="17">
        <v>307</v>
      </c>
      <c r="BZ101" s="1">
        <v>1</v>
      </c>
      <c r="CA101" s="17">
        <v>317</v>
      </c>
      <c r="CB101" s="1">
        <v>1</v>
      </c>
      <c r="CC101" s="17">
        <v>328</v>
      </c>
      <c r="CD101" s="1">
        <v>1</v>
      </c>
      <c r="CE101" s="17">
        <v>340</v>
      </c>
      <c r="CF101" s="1">
        <v>1</v>
      </c>
      <c r="CG101" s="17">
        <v>346</v>
      </c>
      <c r="CH101" s="1">
        <v>1</v>
      </c>
      <c r="CI101" s="17">
        <v>357</v>
      </c>
      <c r="CJ101" s="1">
        <v>1</v>
      </c>
      <c r="CK101" s="17">
        <v>363</v>
      </c>
      <c r="CL101" s="1">
        <v>1</v>
      </c>
      <c r="CM101" s="17">
        <v>371</v>
      </c>
      <c r="CN101" s="1">
        <v>1</v>
      </c>
      <c r="CO101" s="17">
        <v>383</v>
      </c>
      <c r="CP101" s="1">
        <v>1</v>
      </c>
      <c r="CQ101" s="17">
        <v>393</v>
      </c>
      <c r="CR101" s="1">
        <v>1</v>
      </c>
      <c r="CS101" s="17">
        <v>406</v>
      </c>
      <c r="CT101" s="1">
        <v>1</v>
      </c>
      <c r="CU101" s="17">
        <v>417</v>
      </c>
      <c r="CV101" s="1">
        <v>1</v>
      </c>
    </row>
    <row r="102" spans="1:100">
      <c r="A102" t="str">
        <f>HYPERLINK("http://exon.niaid.nih.gov/transcriptome/T_rubida/S2/links/pep/Triru-591-pep.txt","Triru-591")</f>
        <v>Triru-591</v>
      </c>
      <c r="B102">
        <v>120</v>
      </c>
      <c r="C102" s="1" t="s">
        <v>4</v>
      </c>
      <c r="D102" s="1" t="s">
        <v>3</v>
      </c>
      <c r="E102" t="str">
        <f>HYPERLINK("http://exon.niaid.nih.gov/transcriptome/T_rubida/S2/links/cds/Triru-591-cds.txt","Triru-591")</f>
        <v>Triru-591</v>
      </c>
      <c r="F102">
        <v>363</v>
      </c>
      <c r="G102" s="2" t="s">
        <v>1592</v>
      </c>
      <c r="H102" s="1">
        <v>1</v>
      </c>
      <c r="I102" s="3" t="s">
        <v>1270</v>
      </c>
      <c r="J102" s="17" t="str">
        <f>HYPERLINK("http://exon.niaid.nih.gov/transcriptome/T_rubida/S2/links/Sigp/Triru-591-SigP.txt","CYT")</f>
        <v>CYT</v>
      </c>
      <c r="K102" t="s">
        <v>5</v>
      </c>
      <c r="L102" s="1">
        <v>14.21</v>
      </c>
      <c r="M102" s="1">
        <v>8.8699999999999992</v>
      </c>
      <c r="P102" s="1">
        <v>0.13800000000000001</v>
      </c>
      <c r="Q102" s="1">
        <v>7.1999999999999995E-2</v>
      </c>
      <c r="R102" s="1">
        <v>0.85399999999999998</v>
      </c>
      <c r="S102" s="17" t="s">
        <v>1346</v>
      </c>
      <c r="T102">
        <v>2</v>
      </c>
      <c r="U102" t="s">
        <v>1396</v>
      </c>
      <c r="V102" s="17">
        <v>0</v>
      </c>
      <c r="W102" t="s">
        <v>5</v>
      </c>
      <c r="X102" t="s">
        <v>5</v>
      </c>
      <c r="Y102" t="s">
        <v>5</v>
      </c>
      <c r="Z102" t="s">
        <v>5</v>
      </c>
      <c r="AA102" t="s">
        <v>5</v>
      </c>
      <c r="AB102" s="17" t="str">
        <f>HYPERLINK("http://exon.niaid.nih.gov/transcriptome/T_rubida/S2/links/netoglyc/TRIRU-591-netoglyc.txt","0")</f>
        <v>0</v>
      </c>
      <c r="AC102">
        <v>10</v>
      </c>
      <c r="AD102">
        <v>5</v>
      </c>
      <c r="AE102">
        <v>1.7</v>
      </c>
      <c r="AF102" s="17" t="s">
        <v>5</v>
      </c>
      <c r="AG102" s="2" t="str">
        <f>HYPERLINK("http://exon.niaid.nih.gov/transcriptome/T_rubida/S2/links/NR/Triru-591-NR.txt","similar to replication protein A1, partial")</f>
        <v>similar to replication protein A1, partial</v>
      </c>
      <c r="AH102" t="str">
        <f>HYPERLINK("http://www.ncbi.nlm.nih.gov/sutils/blink.cgi?pid=221093957","5E-026")</f>
        <v>5E-026</v>
      </c>
      <c r="AI102" t="str">
        <f>HYPERLINK("http://www.ncbi.nlm.nih.gov/protein/221093957","gi|221093957")</f>
        <v>gi|221093957</v>
      </c>
      <c r="AJ102">
        <v>120</v>
      </c>
      <c r="AK102">
        <v>114</v>
      </c>
      <c r="AL102">
        <v>179</v>
      </c>
      <c r="AM102">
        <v>46</v>
      </c>
      <c r="AN102">
        <v>64</v>
      </c>
      <c r="AO102" t="s">
        <v>223</v>
      </c>
      <c r="AP102" s="2" t="str">
        <f>HYPERLINK("http://exon.niaid.nih.gov/transcriptome/T_rubida/S2/links/SWISSP/Triru-591-SWISSP.txt","Replication protein A 70 kDa DNA-binding subunit")</f>
        <v>Replication protein A 70 kDa DNA-binding subunit</v>
      </c>
      <c r="AQ102" t="str">
        <f>HYPERLINK("http://www.uniprot.org/uniprot/Q01588","7E-025")</f>
        <v>7E-025</v>
      </c>
      <c r="AR102" t="s">
        <v>224</v>
      </c>
      <c r="AS102">
        <v>112</v>
      </c>
      <c r="AT102">
        <v>112</v>
      </c>
      <c r="AU102">
        <v>609</v>
      </c>
      <c r="AV102">
        <v>44</v>
      </c>
      <c r="AW102">
        <v>19</v>
      </c>
      <c r="AX102">
        <v>63</v>
      </c>
      <c r="AY102">
        <v>0</v>
      </c>
      <c r="AZ102">
        <v>493</v>
      </c>
      <c r="BA102">
        <v>3</v>
      </c>
      <c r="BB102">
        <v>1</v>
      </c>
      <c r="BC102" t="s">
        <v>109</v>
      </c>
      <c r="BD102" s="2" t="s">
        <v>225</v>
      </c>
      <c r="BE102">
        <f>HYPERLINK("http://exon.niaid.nih.gov/transcriptome/T_rubida/S2/links/GO/Triru-591-GO.txt",7E-24)</f>
        <v>6.9999999999999993E-24</v>
      </c>
      <c r="BF102" t="s">
        <v>186</v>
      </c>
      <c r="BG102" t="s">
        <v>153</v>
      </c>
      <c r="BH102" t="s">
        <v>154</v>
      </c>
      <c r="BI102" s="2" t="str">
        <f>HYPERLINK("http://exon.niaid.nih.gov/transcriptome/T_rubida/S2/links/CDD/Triru-591-CDD.txt","rpa1")</f>
        <v>rpa1</v>
      </c>
      <c r="BJ102" t="str">
        <f>HYPERLINK("http://www.ncbi.nlm.nih.gov/Structure/cdd/cddsrv.cgi?uid=TIGR00617&amp;version=v4.0","5E-035")</f>
        <v>5E-035</v>
      </c>
      <c r="BK102" t="s">
        <v>226</v>
      </c>
      <c r="BL102" s="2" t="str">
        <f>HYPERLINK("http://exon.niaid.nih.gov/transcriptome/T_rubida/S2/links/KOG/Triru-591-KOG.txt","Peroxisomal long-chain acyl-CoA transporter, ABC superfamily")</f>
        <v>Peroxisomal long-chain acyl-CoA transporter, ABC superfamily</v>
      </c>
      <c r="BM102" t="str">
        <f>HYPERLINK("http://www.ncbi.nlm.nih.gov/COG/grace/shokog.cgi?KOG0064","2.0")</f>
        <v>2.0</v>
      </c>
      <c r="BN102" t="s">
        <v>88</v>
      </c>
      <c r="BO102" s="2" t="str">
        <f>HYPERLINK("http://exon.niaid.nih.gov/transcriptome/T_rubida/S2/links/PFAM/Triru-591-PFAM.txt","Rep_fac-A_C")</f>
        <v>Rep_fac-A_C</v>
      </c>
      <c r="BP102" t="str">
        <f>HYPERLINK("http://pfam.sanger.ac.uk/family?acc=PF08646","8E-035")</f>
        <v>8E-035</v>
      </c>
      <c r="BQ102" s="2" t="str">
        <f>HYPERLINK("http://exon.niaid.nih.gov/transcriptome/T_rubida/S2/links/SMART/Triru-591-SMART.txt","MIT")</f>
        <v>MIT</v>
      </c>
      <c r="BR102" t="str">
        <f>HYPERLINK("http://smart.embl-heidelberg.de/smart/do_annotation.pl?DOMAIN=MIT&amp;BLAST=DUMMY","1.3")</f>
        <v>1.3</v>
      </c>
      <c r="BS102" s="17">
        <f>HYPERLINK("http://exon.niaid.nih.gov/transcriptome/T_rubida/S2/links/cluster/Triru-pep-ext25-50-Sim-CLU29.txt", 29)</f>
        <v>29</v>
      </c>
      <c r="BT102" s="1">
        <f>HYPERLINK("http://exon.niaid.nih.gov/transcriptome/T_rubida/S2/links/cluster/Triru-pep-ext25-50-Sim-CLTL29.txt", 2)</f>
        <v>2</v>
      </c>
      <c r="BU102" s="17">
        <f>HYPERLINK("http://exon.niaid.nih.gov/transcriptome/T_rubida/S2/links/cluster/Triru-pep-ext30-50-Sim-CLU41.txt", 41)</f>
        <v>41</v>
      </c>
      <c r="BV102" s="1">
        <f>HYPERLINK("http://exon.niaid.nih.gov/transcriptome/T_rubida/S2/links/cluster/Triru-pep-ext30-50-Sim-CLTL41.txt", 2)</f>
        <v>2</v>
      </c>
      <c r="BW102" s="17">
        <v>344</v>
      </c>
      <c r="BX102" s="1">
        <v>1</v>
      </c>
      <c r="BY102" s="17">
        <v>377</v>
      </c>
      <c r="BZ102" s="1">
        <v>1</v>
      </c>
      <c r="CA102" s="17">
        <v>392</v>
      </c>
      <c r="CB102" s="1">
        <v>1</v>
      </c>
      <c r="CC102" s="17">
        <v>406</v>
      </c>
      <c r="CD102" s="1">
        <v>1</v>
      </c>
      <c r="CE102" s="17">
        <v>421</v>
      </c>
      <c r="CF102" s="1">
        <v>1</v>
      </c>
      <c r="CG102" s="17">
        <v>428</v>
      </c>
      <c r="CH102" s="1">
        <v>1</v>
      </c>
      <c r="CI102" s="17">
        <v>440</v>
      </c>
      <c r="CJ102" s="1">
        <v>1</v>
      </c>
      <c r="CK102" s="17">
        <v>446</v>
      </c>
      <c r="CL102" s="1">
        <v>1</v>
      </c>
      <c r="CM102" s="17">
        <v>458</v>
      </c>
      <c r="CN102" s="1">
        <v>1</v>
      </c>
      <c r="CO102" s="17">
        <v>470</v>
      </c>
      <c r="CP102" s="1">
        <v>1</v>
      </c>
      <c r="CQ102" s="17">
        <v>480</v>
      </c>
      <c r="CR102" s="1">
        <v>1</v>
      </c>
      <c r="CS102" s="17">
        <v>493</v>
      </c>
      <c r="CT102" s="1">
        <v>1</v>
      </c>
      <c r="CU102" s="17">
        <v>505</v>
      </c>
      <c r="CV102" s="1">
        <v>1</v>
      </c>
    </row>
    <row r="103" spans="1:100">
      <c r="A103" t="str">
        <f>HYPERLINK("http://exon.niaid.nih.gov/transcriptome/T_rubida/S2/links/pep/Triru-105-pep.txt","Triru-105")</f>
        <v>Triru-105</v>
      </c>
      <c r="B103">
        <v>140</v>
      </c>
      <c r="C103" s="1" t="s">
        <v>14</v>
      </c>
      <c r="D103" s="1" t="s">
        <v>3</v>
      </c>
      <c r="E103" t="str">
        <f>HYPERLINK("http://exon.niaid.nih.gov/transcriptome/T_rubida/S2/links/cds/Triru-105-cds.txt","Triru-105")</f>
        <v>Triru-105</v>
      </c>
      <c r="F103">
        <v>423</v>
      </c>
      <c r="G103" s="2" t="s">
        <v>1593</v>
      </c>
      <c r="H103" s="1">
        <v>4</v>
      </c>
      <c r="I103" s="3" t="s">
        <v>1270</v>
      </c>
      <c r="J103" s="17" t="str">
        <f>HYPERLINK("http://exon.niaid.nih.gov/transcriptome/T_rubida/S2/links/Sigp/Triru-105-SigP.txt","CYT")</f>
        <v>CYT</v>
      </c>
      <c r="K103" t="s">
        <v>5</v>
      </c>
      <c r="L103" s="1">
        <v>15.602</v>
      </c>
      <c r="M103" s="1">
        <v>4.6900000000000004</v>
      </c>
      <c r="P103" s="1">
        <v>0.16900000000000001</v>
      </c>
      <c r="Q103" s="1">
        <v>0.108</v>
      </c>
      <c r="R103" s="1">
        <v>0.78900000000000003</v>
      </c>
      <c r="S103" s="17" t="s">
        <v>1346</v>
      </c>
      <c r="T103">
        <v>2</v>
      </c>
      <c r="U103" t="s">
        <v>1348</v>
      </c>
      <c r="V103" s="17">
        <v>0</v>
      </c>
      <c r="W103" t="s">
        <v>5</v>
      </c>
      <c r="X103" t="s">
        <v>5</v>
      </c>
      <c r="Y103" t="s">
        <v>5</v>
      </c>
      <c r="Z103" t="s">
        <v>5</v>
      </c>
      <c r="AA103" t="s">
        <v>5</v>
      </c>
      <c r="AB103" s="17" t="str">
        <f>HYPERLINK("http://exon.niaid.nih.gov/transcriptome/T_rubida/S2/links/netoglyc/TRIRU-105-netoglyc.txt","1")</f>
        <v>1</v>
      </c>
      <c r="AC103">
        <v>7.9</v>
      </c>
      <c r="AD103">
        <v>8.6</v>
      </c>
      <c r="AE103">
        <v>3.6</v>
      </c>
      <c r="AF103" s="17" t="s">
        <v>5</v>
      </c>
      <c r="AG103" s="2" t="str">
        <f>HYPERLINK("http://exon.niaid.nih.gov/transcriptome/T_rubida/S2/links/NR/Triru-105-NR.txt","tubulin alpha-1 chain-like")</f>
        <v>tubulin alpha-1 chain-like</v>
      </c>
      <c r="AH103" t="str">
        <f>HYPERLINK("http://www.ncbi.nlm.nih.gov/sutils/blink.cgi?pid=328787562","6E-077")</f>
        <v>6E-077</v>
      </c>
      <c r="AI103" t="str">
        <f>HYPERLINK("http://www.ncbi.nlm.nih.gov/protein/328787562","gi|328787562")</f>
        <v>gi|328787562</v>
      </c>
      <c r="AJ103">
        <v>290</v>
      </c>
      <c r="AK103">
        <v>139</v>
      </c>
      <c r="AL103">
        <v>475</v>
      </c>
      <c r="AM103">
        <v>98</v>
      </c>
      <c r="AN103">
        <v>29</v>
      </c>
      <c r="AO103" t="s">
        <v>302</v>
      </c>
      <c r="AP103" s="2" t="str">
        <f>HYPERLINK("http://exon.niaid.nih.gov/transcriptome/T_rubida/S2/links/SWISSP/Triru-105-SWISSP.txt","Tubulin alpha chain")</f>
        <v>Tubulin alpha chain</v>
      </c>
      <c r="AQ103" t="str">
        <f>HYPERLINK("http://www.uniprot.org/uniprot/P52273","2E-078")</f>
        <v>2E-078</v>
      </c>
      <c r="AR103" t="s">
        <v>756</v>
      </c>
      <c r="AS103">
        <v>290</v>
      </c>
      <c r="AT103">
        <v>139</v>
      </c>
      <c r="AU103">
        <v>450</v>
      </c>
      <c r="AV103">
        <v>98</v>
      </c>
      <c r="AW103">
        <v>31</v>
      </c>
      <c r="AX103">
        <v>2</v>
      </c>
      <c r="AY103">
        <v>0</v>
      </c>
      <c r="AZ103">
        <v>311</v>
      </c>
      <c r="BA103">
        <v>1</v>
      </c>
      <c r="BB103">
        <v>1</v>
      </c>
      <c r="BC103" t="s">
        <v>144</v>
      </c>
      <c r="BD103" s="2" t="s">
        <v>757</v>
      </c>
      <c r="BE103">
        <f>HYPERLINK("http://exon.niaid.nih.gov/transcriptome/T_rubida/S2/links/GO/Triru-105-GO.txt",1E-77)</f>
        <v>9.9999999999999993E-78</v>
      </c>
      <c r="BF103" t="s">
        <v>758</v>
      </c>
      <c r="BG103" t="s">
        <v>153</v>
      </c>
      <c r="BH103" t="s">
        <v>269</v>
      </c>
      <c r="BI103" s="2" t="str">
        <f>HYPERLINK("http://exon.niaid.nih.gov/transcriptome/T_rubida/S2/links/CDD/Triru-105-CDD.txt","alpha_tubulin")</f>
        <v>alpha_tubulin</v>
      </c>
      <c r="BJ103" t="str">
        <f>HYPERLINK("http://www.ncbi.nlm.nih.gov/Structure/cdd/cddsrv.cgi?uid=cd02186&amp;version=v4.0","2E-084")</f>
        <v>2E-084</v>
      </c>
      <c r="BK103" t="s">
        <v>759</v>
      </c>
      <c r="BL103" s="2" t="str">
        <f>HYPERLINK("http://exon.niaid.nih.gov/transcriptome/T_rubida/S2/links/KOG/Triru-105-KOG.txt","Alpha tubulin")</f>
        <v>Alpha tubulin</v>
      </c>
      <c r="BM103" t="str">
        <f>HYPERLINK("http://www.ncbi.nlm.nih.gov/COG/grace/shokog.cgi?KOG1376","5E-056")</f>
        <v>5E-056</v>
      </c>
      <c r="BN103" t="s">
        <v>147</v>
      </c>
      <c r="BO103" s="2" t="str">
        <f>HYPERLINK("http://exon.niaid.nih.gov/transcriptome/T_rubida/S2/links/PFAM/Triru-105-PFAM.txt","Tubulin_C")</f>
        <v>Tubulin_C</v>
      </c>
      <c r="BP103" t="str">
        <f>HYPERLINK("http://pfam.sanger.ac.uk/family?acc=PF03953","4E-034")</f>
        <v>4E-034</v>
      </c>
      <c r="BQ103" s="2" t="str">
        <f>HYPERLINK("http://exon.niaid.nih.gov/transcriptome/T_rubida/S2/links/SMART/Triru-105-SMART.txt","Tubulin_C")</f>
        <v>Tubulin_C</v>
      </c>
      <c r="BR103" t="str">
        <f>HYPERLINK("http://smart.embl-heidelberg.de/smart/do_annotation.pl?DOMAIN=Tubulin_C&amp;BLAST=DUMMY","4E-008")</f>
        <v>4E-008</v>
      </c>
      <c r="BS103" s="17">
        <v>42</v>
      </c>
      <c r="BT103" s="1">
        <v>1</v>
      </c>
      <c r="BU103" s="17">
        <v>58</v>
      </c>
      <c r="BV103" s="1">
        <v>1</v>
      </c>
      <c r="BW103" s="17">
        <v>61</v>
      </c>
      <c r="BX103" s="1">
        <v>1</v>
      </c>
      <c r="BY103" s="17">
        <v>59</v>
      </c>
      <c r="BZ103" s="1">
        <v>1</v>
      </c>
      <c r="CA103" s="17">
        <v>57</v>
      </c>
      <c r="CB103" s="1">
        <v>1</v>
      </c>
      <c r="CC103" s="17">
        <v>56</v>
      </c>
      <c r="CD103" s="1">
        <v>1</v>
      </c>
      <c r="CE103" s="17">
        <v>49</v>
      </c>
      <c r="CF103" s="1">
        <v>1</v>
      </c>
      <c r="CG103" s="17">
        <v>49</v>
      </c>
      <c r="CH103" s="1">
        <v>1</v>
      </c>
      <c r="CI103" s="17">
        <v>55</v>
      </c>
      <c r="CJ103" s="1">
        <v>1</v>
      </c>
      <c r="CK103" s="17">
        <v>59</v>
      </c>
      <c r="CL103" s="1">
        <v>1</v>
      </c>
      <c r="CM103" s="17">
        <v>63</v>
      </c>
      <c r="CN103" s="1">
        <v>1</v>
      </c>
      <c r="CO103" s="17">
        <v>71</v>
      </c>
      <c r="CP103" s="1">
        <v>1</v>
      </c>
      <c r="CQ103" s="17">
        <v>81</v>
      </c>
      <c r="CR103" s="1">
        <v>1</v>
      </c>
      <c r="CS103" s="17">
        <v>86</v>
      </c>
      <c r="CT103" s="1">
        <v>1</v>
      </c>
      <c r="CU103" s="17">
        <v>97</v>
      </c>
      <c r="CV103" s="1">
        <v>1</v>
      </c>
    </row>
    <row r="104" spans="1:100">
      <c r="A104" t="str">
        <f>HYPERLINK("http://exon.niaid.nih.gov/transcriptome/T_rubida/S2/links/pep/Triru-281-pep.txt","Triru-281")</f>
        <v>Triru-281</v>
      </c>
      <c r="B104">
        <v>52</v>
      </c>
      <c r="C104" s="1" t="s">
        <v>17</v>
      </c>
      <c r="D104" s="1" t="s">
        <v>3</v>
      </c>
      <c r="E104" t="str">
        <f>HYPERLINK("http://exon.niaid.nih.gov/transcriptome/T_rubida/S2/links/cds/Triru-281-cds.txt","Triru-281")</f>
        <v>Triru-281</v>
      </c>
      <c r="F104">
        <v>159</v>
      </c>
      <c r="G104" s="2" t="s">
        <v>1594</v>
      </c>
      <c r="H104" s="1">
        <v>1</v>
      </c>
      <c r="I104" s="3" t="s">
        <v>1270</v>
      </c>
      <c r="J104" s="17" t="str">
        <f>HYPERLINK("http://exon.niaid.nih.gov/transcriptome/T_rubida/S2/links/Sigp/Triru-281-SigP.txt","CYT")</f>
        <v>CYT</v>
      </c>
      <c r="K104" t="s">
        <v>5</v>
      </c>
      <c r="L104" s="1">
        <v>5.64</v>
      </c>
      <c r="M104" s="1">
        <v>5.0999999999999996</v>
      </c>
      <c r="P104" s="1">
        <v>0.19</v>
      </c>
      <c r="Q104" s="1">
        <v>4.8000000000000001E-2</v>
      </c>
      <c r="R104" s="1">
        <v>0.81799999999999995</v>
      </c>
      <c r="S104" s="17" t="s">
        <v>1346</v>
      </c>
      <c r="T104">
        <v>2</v>
      </c>
      <c r="U104" t="s">
        <v>1348</v>
      </c>
      <c r="V104" s="17">
        <v>0</v>
      </c>
      <c r="W104" t="s">
        <v>5</v>
      </c>
      <c r="X104" t="s">
        <v>5</v>
      </c>
      <c r="Y104" t="s">
        <v>5</v>
      </c>
      <c r="Z104" t="s">
        <v>5</v>
      </c>
      <c r="AA104" t="s">
        <v>5</v>
      </c>
      <c r="AB104" s="17" t="str">
        <f>HYPERLINK("http://exon.niaid.nih.gov/transcriptome/T_rubida/S2/links/netoglyc/TRIRU-281-netoglyc.txt","1")</f>
        <v>1</v>
      </c>
      <c r="AC104">
        <v>11.5</v>
      </c>
      <c r="AD104">
        <v>7.7</v>
      </c>
      <c r="AE104">
        <v>5.8</v>
      </c>
      <c r="AF104" s="17" t="s">
        <v>5</v>
      </c>
      <c r="AG104" s="2" t="str">
        <f>HYPERLINK("http://exon.niaid.nih.gov/transcriptome/T_rubida/S2/links/NR/Triru-281-NR.txt","ubiquitin C-terminal hydrolase UCHL1")</f>
        <v>ubiquitin C-terminal hydrolase UCHL1</v>
      </c>
      <c r="AH104" t="str">
        <f>HYPERLINK("http://www.ncbi.nlm.nih.gov/sutils/blink.cgi?pid=307095118","3E-019")</f>
        <v>3E-019</v>
      </c>
      <c r="AI104" t="str">
        <f>HYPERLINK("http://www.ncbi.nlm.nih.gov/protein/307095118","gi|307095118")</f>
        <v>gi|307095118</v>
      </c>
      <c r="AJ104">
        <v>98.6</v>
      </c>
      <c r="AK104">
        <v>49</v>
      </c>
      <c r="AL104">
        <v>228</v>
      </c>
      <c r="AM104">
        <v>92</v>
      </c>
      <c r="AN104">
        <v>22</v>
      </c>
      <c r="AO104" t="s">
        <v>120</v>
      </c>
      <c r="AP104" s="2" t="str">
        <f>HYPERLINK("http://exon.niaid.nih.gov/transcriptome/T_rubida/S2/links/SWISSP/Triru-281-SWISSP.txt","Ubiquitin carboxyl-terminal hydrolase")</f>
        <v>Ubiquitin carboxyl-terminal hydrolase</v>
      </c>
      <c r="AQ104" t="str">
        <f>HYPERLINK("http://www.uniprot.org/uniprot/P35122","9E-011")</f>
        <v>9E-011</v>
      </c>
      <c r="AR104" t="s">
        <v>1046</v>
      </c>
      <c r="AS104">
        <v>65.5</v>
      </c>
      <c r="AT104">
        <v>46</v>
      </c>
      <c r="AU104">
        <v>227</v>
      </c>
      <c r="AV104">
        <v>63</v>
      </c>
      <c r="AW104">
        <v>21</v>
      </c>
      <c r="AX104">
        <v>17</v>
      </c>
      <c r="AY104">
        <v>0</v>
      </c>
      <c r="AZ104">
        <v>178</v>
      </c>
      <c r="BA104">
        <v>3</v>
      </c>
      <c r="BB104">
        <v>1</v>
      </c>
      <c r="BC104" t="s">
        <v>150</v>
      </c>
      <c r="BD104" s="2" t="s">
        <v>1047</v>
      </c>
      <c r="BE104">
        <f>HYPERLINK("http://exon.niaid.nih.gov/transcriptome/T_rubida/S2/links/GO/Triru-281-GO.txt",0.00000000006)</f>
        <v>6E-11</v>
      </c>
      <c r="BF104" t="s">
        <v>1914</v>
      </c>
      <c r="BG104" t="s">
        <v>77</v>
      </c>
      <c r="BH104" t="s">
        <v>590</v>
      </c>
      <c r="BI104" s="2" t="str">
        <f>HYPERLINK("http://exon.niaid.nih.gov/transcriptome/T_rubida/S2/links/CDD/Triru-281-CDD.txt","Peptidase_C12_U")</f>
        <v>Peptidase_C12_U</v>
      </c>
      <c r="BJ104" t="str">
        <f>HYPERLINK("http://www.ncbi.nlm.nih.gov/Structure/cdd/cddsrv.cgi?uid=cd09616&amp;version=v4.0","1E-014")</f>
        <v>1E-014</v>
      </c>
      <c r="BK104" t="s">
        <v>1048</v>
      </c>
      <c r="BL104" s="2" t="str">
        <f>HYPERLINK("http://exon.niaid.nih.gov/transcriptome/T_rubida/S2/links/KOG/Triru-281-KOG.txt","Ubiquitin C-terminal hydrolase UCHL1")</f>
        <v>Ubiquitin C-terminal hydrolase UCHL1</v>
      </c>
      <c r="BM104" t="str">
        <f>HYPERLINK("http://www.ncbi.nlm.nih.gov/COG/grace/shokog.cgi?KOG1415","1E-010")</f>
        <v>1E-010</v>
      </c>
      <c r="BN104" t="s">
        <v>72</v>
      </c>
      <c r="BO104" s="2" t="str">
        <f>HYPERLINK("http://exon.niaid.nih.gov/transcriptome/T_rubida/S2/links/PFAM/Triru-281-PFAM.txt","Peptidase_C12")</f>
        <v>Peptidase_C12</v>
      </c>
      <c r="BP104" t="str">
        <f>HYPERLINK("http://pfam.sanger.ac.uk/family?acc=PF01088","2E-009")</f>
        <v>2E-009</v>
      </c>
      <c r="BQ104" s="2" t="str">
        <f>HYPERLINK("http://exon.niaid.nih.gov/transcriptome/T_rubida/S2/links/SMART/Triru-281-SMART.txt","STI1")</f>
        <v>STI1</v>
      </c>
      <c r="BR104" t="str">
        <f>HYPERLINK("http://smart.embl-heidelberg.de/smart/do_annotation.pl?DOMAIN=STI1&amp;BLAST=DUMMY","0.73")</f>
        <v>0.73</v>
      </c>
      <c r="BS104" s="17">
        <f>HYPERLINK("http://exon.niaid.nih.gov/transcriptome/T_rubida/S2/links/cluster/Triru-pep-ext25-50-Sim-CLU15.txt", 15)</f>
        <v>15</v>
      </c>
      <c r="BT104" s="1">
        <f>HYPERLINK("http://exon.niaid.nih.gov/transcriptome/T_rubida/S2/links/cluster/Triru-pep-ext25-50-Sim-CLTL15.txt", 2)</f>
        <v>2</v>
      </c>
      <c r="BU104" s="17">
        <v>132</v>
      </c>
      <c r="BV104" s="1">
        <v>1</v>
      </c>
      <c r="BW104" s="17">
        <v>157</v>
      </c>
      <c r="BX104" s="1">
        <v>1</v>
      </c>
      <c r="BY104" s="17">
        <v>166</v>
      </c>
      <c r="BZ104" s="1">
        <v>1</v>
      </c>
      <c r="CA104" s="17">
        <v>170</v>
      </c>
      <c r="CB104" s="1">
        <v>1</v>
      </c>
      <c r="CC104" s="17">
        <v>174</v>
      </c>
      <c r="CD104" s="1">
        <v>1</v>
      </c>
      <c r="CE104" s="17">
        <v>179</v>
      </c>
      <c r="CF104" s="1">
        <v>1</v>
      </c>
      <c r="CG104" s="17">
        <v>181</v>
      </c>
      <c r="CH104" s="1">
        <v>1</v>
      </c>
      <c r="CI104" s="17">
        <v>188</v>
      </c>
      <c r="CJ104" s="1">
        <v>1</v>
      </c>
      <c r="CK104" s="17">
        <v>193</v>
      </c>
      <c r="CL104" s="1">
        <v>1</v>
      </c>
      <c r="CM104" s="17">
        <v>199</v>
      </c>
      <c r="CN104" s="1">
        <v>1</v>
      </c>
      <c r="CO104" s="17">
        <v>209</v>
      </c>
      <c r="CP104" s="1">
        <v>1</v>
      </c>
      <c r="CQ104" s="17">
        <v>219</v>
      </c>
      <c r="CR104" s="1">
        <v>1</v>
      </c>
      <c r="CS104" s="17">
        <v>225</v>
      </c>
      <c r="CT104" s="1">
        <v>1</v>
      </c>
      <c r="CU104" s="17">
        <v>236</v>
      </c>
      <c r="CV104" s="1">
        <v>1</v>
      </c>
    </row>
    <row r="105" spans="1:100">
      <c r="A105" t="str">
        <f>HYPERLINK("http://exon.niaid.nih.gov/transcriptome/T_rubida/S2/links/pep/Triru-499-pep.txt","Triru-499")</f>
        <v>Triru-499</v>
      </c>
      <c r="B105">
        <v>59</v>
      </c>
      <c r="C105" s="1" t="s">
        <v>4</v>
      </c>
      <c r="D105" s="1" t="s">
        <v>3</v>
      </c>
      <c r="E105" t="str">
        <f>HYPERLINK("http://exon.niaid.nih.gov/transcriptome/T_rubida/S2/links/cds/Triru-499-cds.txt","Triru-499")</f>
        <v>Triru-499</v>
      </c>
      <c r="F105">
        <v>180</v>
      </c>
      <c r="G105" s="2" t="s">
        <v>1595</v>
      </c>
      <c r="H105" s="1">
        <v>1</v>
      </c>
      <c r="I105" s="3" t="s">
        <v>1270</v>
      </c>
      <c r="J105" s="17" t="str">
        <f>HYPERLINK("http://exon.niaid.nih.gov/transcriptome/T_rubida/S2/links/Sigp/Triru-499-SigP.txt","CYT")</f>
        <v>CYT</v>
      </c>
      <c r="K105" t="s">
        <v>5</v>
      </c>
      <c r="L105" s="1">
        <v>6.6749999999999998</v>
      </c>
      <c r="M105" s="1">
        <v>4.62</v>
      </c>
      <c r="P105" s="1">
        <v>7.0000000000000007E-2</v>
      </c>
      <c r="Q105" s="1">
        <v>4.5999999999999999E-2</v>
      </c>
      <c r="R105" s="1">
        <v>0.95</v>
      </c>
      <c r="S105" s="17" t="s">
        <v>1346</v>
      </c>
      <c r="T105">
        <v>1</v>
      </c>
      <c r="U105" t="s">
        <v>1348</v>
      </c>
      <c r="V105" s="17">
        <v>0</v>
      </c>
      <c r="W105" t="s">
        <v>5</v>
      </c>
      <c r="X105" t="s">
        <v>5</v>
      </c>
      <c r="Y105" t="s">
        <v>5</v>
      </c>
      <c r="Z105" t="s">
        <v>5</v>
      </c>
      <c r="AA105" t="s">
        <v>5</v>
      </c>
      <c r="AB105" s="17" t="str">
        <f>HYPERLINK("http://exon.niaid.nih.gov/transcriptome/T_rubida/S2/links/netoglyc/TRIRU-499-netoglyc.txt","0")</f>
        <v>0</v>
      </c>
      <c r="AC105">
        <v>8.5</v>
      </c>
      <c r="AD105">
        <v>5.0999999999999996</v>
      </c>
      <c r="AE105" t="s">
        <v>1394</v>
      </c>
      <c r="AF105" s="17" t="s">
        <v>5</v>
      </c>
      <c r="AG105" s="2" t="str">
        <f>HYPERLINK("http://exon.niaid.nih.gov/transcriptome/T_rubida/S2/links/NR/Triru-499-NR.txt","Tropomyosin-1")</f>
        <v>Tropomyosin-1</v>
      </c>
      <c r="AH105" t="str">
        <f>HYPERLINK("http://www.ncbi.nlm.nih.gov/sutils/blink.cgi?pid=307184541","2E-021")</f>
        <v>2E-021</v>
      </c>
      <c r="AI105" t="str">
        <f>HYPERLINK("http://www.ncbi.nlm.nih.gov/protein/307184541","gi|307184541")</f>
        <v>gi|307184541</v>
      </c>
      <c r="AJ105">
        <v>105</v>
      </c>
      <c r="AK105">
        <v>53</v>
      </c>
      <c r="AL105">
        <v>284</v>
      </c>
      <c r="AM105">
        <v>98</v>
      </c>
      <c r="AN105">
        <v>19</v>
      </c>
      <c r="AO105" t="s">
        <v>142</v>
      </c>
      <c r="AP105" s="2" t="str">
        <f>HYPERLINK("http://exon.niaid.nih.gov/transcriptome/T_rubida/S2/links/SWISSP/Triru-499-SWISSP.txt","Tropomyosin-1")</f>
        <v>Tropomyosin-1</v>
      </c>
      <c r="AQ105" t="str">
        <f>HYPERLINK("http://www.uniprot.org/uniprot/Q1HPU0","3E-022")</f>
        <v>3E-022</v>
      </c>
      <c r="AR105" t="s">
        <v>143</v>
      </c>
      <c r="AS105">
        <v>103</v>
      </c>
      <c r="AT105">
        <v>256</v>
      </c>
      <c r="AU105">
        <v>284</v>
      </c>
      <c r="AV105">
        <v>94</v>
      </c>
      <c r="AW105">
        <v>90</v>
      </c>
      <c r="AX105">
        <v>3</v>
      </c>
      <c r="AY105">
        <v>0</v>
      </c>
      <c r="AZ105">
        <v>28</v>
      </c>
      <c r="BA105">
        <v>6</v>
      </c>
      <c r="BB105">
        <v>3</v>
      </c>
      <c r="BC105" t="s">
        <v>144</v>
      </c>
      <c r="BD105" s="2" t="s">
        <v>145</v>
      </c>
      <c r="BE105">
        <f>HYPERLINK("http://exon.niaid.nih.gov/transcriptome/T_rubida/S2/links/GO/Triru-499-GO.txt",2E-22)</f>
        <v>2.0000000000000001E-22</v>
      </c>
      <c r="BF105" t="s">
        <v>105</v>
      </c>
      <c r="BG105" t="s">
        <v>105</v>
      </c>
      <c r="BI105" s="2" t="str">
        <f>HYPERLINK("http://exon.niaid.nih.gov/transcriptome/T_rubida/S2/links/CDD/Triru-499-CDD.txt","Tropomyosin")</f>
        <v>Tropomyosin</v>
      </c>
      <c r="BJ105" t="str">
        <f>HYPERLINK("http://www.ncbi.nlm.nih.gov/Structure/cdd/cddsrv.cgi?uid=pfam00261&amp;version=v4.0","2E-011")</f>
        <v>2E-011</v>
      </c>
      <c r="BK105" t="s">
        <v>146</v>
      </c>
      <c r="BL105" s="2" t="str">
        <f>HYPERLINK("http://exon.niaid.nih.gov/transcriptome/T_rubida/S2/links/KOG/Triru-499-KOG.txt","Actin filament-coating protein tropomyosin")</f>
        <v>Actin filament-coating protein tropomyosin</v>
      </c>
      <c r="BM105" t="str">
        <f>HYPERLINK("http://www.ncbi.nlm.nih.gov/COG/grace/shokog.cgi?KOG1003","1E-004")</f>
        <v>1E-004</v>
      </c>
      <c r="BN105" t="s">
        <v>147</v>
      </c>
      <c r="BO105" s="2" t="str">
        <f>HYPERLINK("http://exon.niaid.nih.gov/transcriptome/T_rubida/S2/links/PFAM/Triru-499-PFAM.txt","Tropomyosin")</f>
        <v>Tropomyosin</v>
      </c>
      <c r="BP105" t="str">
        <f>HYPERLINK("http://pfam.sanger.ac.uk/family?acc=PF00261","4E-012")</f>
        <v>4E-012</v>
      </c>
      <c r="BQ105" s="2" t="str">
        <f>HYPERLINK("http://exon.niaid.nih.gov/transcriptome/T_rubida/S2/links/SMART/Triru-499-SMART.txt","AP2Ec")</f>
        <v>AP2Ec</v>
      </c>
      <c r="BR105" t="str">
        <f>HYPERLINK("http://smart.embl-heidelberg.de/smart/do_annotation.pl?DOMAIN=AP2Ec&amp;BLAST=DUMMY","0.080")</f>
        <v>0.080</v>
      </c>
      <c r="BS105" s="17">
        <f>HYPERLINK("http://exon.niaid.nih.gov/transcriptome/T_rubida/S2/links/cluster/Triru-pep-ext25-50-Sim-CLU1.txt", 1)</f>
        <v>1</v>
      </c>
      <c r="BT105" s="1">
        <f>HYPERLINK("http://exon.niaid.nih.gov/transcriptome/T_rubida/S2/links/cluster/Triru-pep-ext25-50-Sim-CLTL1.txt", 359)</f>
        <v>359</v>
      </c>
      <c r="BU105" s="17">
        <f>HYPERLINK("http://exon.niaid.nih.gov/transcriptome/T_rubida/S2/links/cluster/Triru-pep-ext30-50-Sim-CLU1.txt", 1)</f>
        <v>1</v>
      </c>
      <c r="BV105" s="1">
        <f>HYPERLINK("http://exon.niaid.nih.gov/transcriptome/T_rubida/S2/links/cluster/Triru-pep-ext30-50-Sim-CLTL1.txt", 225)</f>
        <v>225</v>
      </c>
      <c r="BW105" s="17">
        <f>HYPERLINK("http://exon.niaid.nih.gov/transcriptome/T_rubida/S2/links/cluster/Triru-pep-ext35-50-Sim-CLU21.txt", 21)</f>
        <v>21</v>
      </c>
      <c r="BX105" s="1">
        <f>HYPERLINK("http://exon.niaid.nih.gov/transcriptome/T_rubida/S2/links/cluster/Triru-pep-ext35-50-Sim-CLTL21.txt", 2)</f>
        <v>2</v>
      </c>
      <c r="BY105" s="17">
        <v>314</v>
      </c>
      <c r="BZ105" s="1">
        <v>1</v>
      </c>
      <c r="CA105" s="17">
        <v>324</v>
      </c>
      <c r="CB105" s="1">
        <v>1</v>
      </c>
      <c r="CC105" s="17">
        <v>336</v>
      </c>
      <c r="CD105" s="1">
        <v>1</v>
      </c>
      <c r="CE105" s="17">
        <v>348</v>
      </c>
      <c r="CF105" s="1">
        <v>1</v>
      </c>
      <c r="CG105" s="17">
        <v>354</v>
      </c>
      <c r="CH105" s="1">
        <v>1</v>
      </c>
      <c r="CI105" s="17">
        <v>365</v>
      </c>
      <c r="CJ105" s="1">
        <v>1</v>
      </c>
      <c r="CK105" s="17">
        <v>371</v>
      </c>
      <c r="CL105" s="1">
        <v>1</v>
      </c>
      <c r="CM105" s="17">
        <v>379</v>
      </c>
      <c r="CN105" s="1">
        <v>1</v>
      </c>
      <c r="CO105" s="17">
        <v>391</v>
      </c>
      <c r="CP105" s="1">
        <v>1</v>
      </c>
      <c r="CQ105" s="17">
        <v>401</v>
      </c>
      <c r="CR105" s="1">
        <v>1</v>
      </c>
      <c r="CS105" s="17">
        <v>414</v>
      </c>
      <c r="CT105" s="1">
        <v>1</v>
      </c>
      <c r="CU105" s="17">
        <v>425</v>
      </c>
      <c r="CV105" s="1">
        <v>1</v>
      </c>
    </row>
    <row r="106" spans="1:100">
      <c r="A106" t="str">
        <f>HYPERLINK("http://exon.niaid.nih.gov/transcriptome/T_rubida/S2/links/pep/Triru-223-pep.txt","Triru-223")</f>
        <v>Triru-223</v>
      </c>
      <c r="B106">
        <v>128</v>
      </c>
      <c r="C106" s="1" t="s">
        <v>14</v>
      </c>
      <c r="D106" s="1" t="s">
        <v>3</v>
      </c>
      <c r="E106" t="str">
        <f>HYPERLINK("http://exon.niaid.nih.gov/transcriptome/T_rubida/S2/links/cds/Triru-223-cds.txt","Triru-223")</f>
        <v>Triru-223</v>
      </c>
      <c r="F106">
        <v>387</v>
      </c>
      <c r="G106" s="2" t="s">
        <v>1596</v>
      </c>
      <c r="H106" s="1">
        <v>1</v>
      </c>
      <c r="I106" s="3" t="s">
        <v>1270</v>
      </c>
      <c r="J106" s="17" t="str">
        <f>HYPERLINK("http://exon.niaid.nih.gov/transcriptome/T_rubida/S2/links/Sigp/Triru-223-SigP.txt","CYT")</f>
        <v>CYT</v>
      </c>
      <c r="K106" t="s">
        <v>5</v>
      </c>
      <c r="L106" s="1">
        <v>15.065</v>
      </c>
      <c r="M106" s="1">
        <v>4.26</v>
      </c>
      <c r="P106" s="1">
        <v>7.0999999999999994E-2</v>
      </c>
      <c r="Q106" s="1">
        <v>7.8E-2</v>
      </c>
      <c r="R106" s="1">
        <v>0.93</v>
      </c>
      <c r="S106" s="17" t="s">
        <v>1346</v>
      </c>
      <c r="T106">
        <v>1</v>
      </c>
      <c r="U106" t="s">
        <v>1397</v>
      </c>
      <c r="V106" s="17" t="str">
        <f>HYPERLINK("http://exon.niaid.nih.gov/transcriptome/T_rubida/S2/links/tmhmm/TRIRU-223-tmhmm.txt","1")</f>
        <v>1</v>
      </c>
      <c r="W106">
        <v>14.8</v>
      </c>
      <c r="X106">
        <v>84.4</v>
      </c>
      <c r="Y106">
        <v>0.8</v>
      </c>
      <c r="Z106">
        <v>1</v>
      </c>
      <c r="AA106">
        <v>1</v>
      </c>
      <c r="AB106" s="17" t="str">
        <f>HYPERLINK("http://exon.niaid.nih.gov/transcriptome/T_rubida/S2/links/netoglyc/TRIRU-223-netoglyc.txt","0")</f>
        <v>0</v>
      </c>
      <c r="AC106">
        <v>13.3</v>
      </c>
      <c r="AD106">
        <v>1.6</v>
      </c>
      <c r="AE106">
        <v>5.5</v>
      </c>
      <c r="AF106" s="17" t="s">
        <v>5</v>
      </c>
      <c r="AG106" s="2" t="str">
        <f>HYPERLINK("http://exon.niaid.nih.gov/transcriptome/T_rubida/S2/links/NR/Triru-223-NR.txt","conserved hypothetical protein")</f>
        <v>conserved hypothetical protein</v>
      </c>
      <c r="AH106" t="str">
        <f>HYPERLINK("http://www.ncbi.nlm.nih.gov/sutils/blink.cgi?pid=242020678","6E-014")</f>
        <v>6E-014</v>
      </c>
      <c r="AI106" t="str">
        <f>HYPERLINK("http://www.ncbi.nlm.nih.gov/protein/242020678","gi|242020678")</f>
        <v>gi|242020678</v>
      </c>
      <c r="AJ106">
        <v>80.900000000000006</v>
      </c>
      <c r="AK106">
        <v>78</v>
      </c>
      <c r="AL106">
        <v>539</v>
      </c>
      <c r="AM106">
        <v>51</v>
      </c>
      <c r="AN106">
        <v>15</v>
      </c>
      <c r="AO106" t="s">
        <v>54</v>
      </c>
      <c r="AP106" s="2" t="str">
        <f>HYPERLINK("http://exon.niaid.nih.gov/transcriptome/T_rubida/S2/links/SWISSP/Triru-223-SWISSP.txt","Nostrin")</f>
        <v>Nostrin</v>
      </c>
      <c r="AQ106" t="str">
        <f>HYPERLINK("http://www.uniprot.org/uniprot/Q5I0D6","2E-008")</f>
        <v>2E-008</v>
      </c>
      <c r="AR106" t="s">
        <v>752</v>
      </c>
      <c r="AS106">
        <v>57.8</v>
      </c>
      <c r="AT106">
        <v>61</v>
      </c>
      <c r="AU106">
        <v>502</v>
      </c>
      <c r="AV106">
        <v>40</v>
      </c>
      <c r="AW106">
        <v>12</v>
      </c>
      <c r="AX106">
        <v>37</v>
      </c>
      <c r="AY106">
        <v>0</v>
      </c>
      <c r="AZ106">
        <v>433</v>
      </c>
      <c r="BA106">
        <v>8</v>
      </c>
      <c r="BB106">
        <v>1</v>
      </c>
      <c r="BC106" t="s">
        <v>130</v>
      </c>
      <c r="BD106" s="2" t="s">
        <v>753</v>
      </c>
      <c r="BE106">
        <f>HYPERLINK("http://exon.niaid.nih.gov/transcriptome/T_rubida/S2/links/GO/Triru-223-GO.txt",0.00000001)</f>
        <v>1E-8</v>
      </c>
      <c r="BF106" t="s">
        <v>105</v>
      </c>
      <c r="BG106" t="s">
        <v>105</v>
      </c>
      <c r="BI106" s="2" t="str">
        <f>HYPERLINK("http://exon.niaid.nih.gov/transcriptome/T_rubida/S2/links/CDD/Triru-223-CDD.txt","SH3")</f>
        <v>SH3</v>
      </c>
      <c r="BJ106" t="str">
        <f>HYPERLINK("http://www.ncbi.nlm.nih.gov/Structure/cdd/cddsrv.cgi?uid=smart00326&amp;version=v4.0","3E-008")</f>
        <v>3E-008</v>
      </c>
      <c r="BK106" t="s">
        <v>754</v>
      </c>
      <c r="BL106" s="2" t="str">
        <f>HYPERLINK("http://exon.niaid.nih.gov/transcriptome/T_rubida/S2/links/KOG/Triru-223-KOG.txt","Endocytic adaptor protein intersectin")</f>
        <v>Endocytic adaptor protein intersectin</v>
      </c>
      <c r="BM106" t="str">
        <f>HYPERLINK("http://www.ncbi.nlm.nih.gov/COG/grace/shokog.cgi?KOG1029","1E-011")</f>
        <v>1E-011</v>
      </c>
      <c r="BN106" t="s">
        <v>755</v>
      </c>
      <c r="BO106" s="2" t="str">
        <f>HYPERLINK("http://exon.niaid.nih.gov/transcriptome/T_rubida/S2/links/PFAM/Triru-223-PFAM.txt","SH3_1")</f>
        <v>SH3_1</v>
      </c>
      <c r="BP106" t="str">
        <f>HYPERLINK("http://pfam.sanger.ac.uk/family?acc=PF00018","1E-006")</f>
        <v>1E-006</v>
      </c>
      <c r="BQ106" s="2" t="str">
        <f>HYPERLINK("http://exon.niaid.nih.gov/transcriptome/T_rubida/S2/links/SMART/Triru-223-SMART.txt","SH3")</f>
        <v>SH3</v>
      </c>
      <c r="BR106" t="str">
        <f>HYPERLINK("http://smart.embl-heidelberg.de/smart/do_annotation.pl?DOMAIN=SH3&amp;BLAST=DUMMY","4E-010")</f>
        <v>4E-010</v>
      </c>
      <c r="BS106" s="17">
        <v>76</v>
      </c>
      <c r="BT106" s="1">
        <v>1</v>
      </c>
      <c r="BU106" s="17">
        <v>109</v>
      </c>
      <c r="BV106" s="1">
        <v>1</v>
      </c>
      <c r="BW106" s="17">
        <v>126</v>
      </c>
      <c r="BX106" s="1">
        <v>1</v>
      </c>
      <c r="BY106" s="17">
        <v>131</v>
      </c>
      <c r="BZ106" s="1">
        <v>1</v>
      </c>
      <c r="CA106" s="17">
        <v>133</v>
      </c>
      <c r="CB106" s="1">
        <v>1</v>
      </c>
      <c r="CC106" s="17">
        <v>136</v>
      </c>
      <c r="CD106" s="1">
        <v>1</v>
      </c>
      <c r="CE106" s="17">
        <v>136</v>
      </c>
      <c r="CF106" s="1">
        <v>1</v>
      </c>
      <c r="CG106" s="17">
        <v>138</v>
      </c>
      <c r="CH106" s="1">
        <v>1</v>
      </c>
      <c r="CI106" s="17">
        <v>144</v>
      </c>
      <c r="CJ106" s="1">
        <v>1</v>
      </c>
      <c r="CK106" s="17">
        <v>149</v>
      </c>
      <c r="CL106" s="1">
        <v>1</v>
      </c>
      <c r="CM106" s="17">
        <v>155</v>
      </c>
      <c r="CN106" s="1">
        <v>1</v>
      </c>
      <c r="CO106" s="17">
        <v>165</v>
      </c>
      <c r="CP106" s="1">
        <v>1</v>
      </c>
      <c r="CQ106" s="17">
        <v>175</v>
      </c>
      <c r="CR106" s="1">
        <v>1</v>
      </c>
      <c r="CS106" s="17">
        <v>180</v>
      </c>
      <c r="CT106" s="1">
        <v>1</v>
      </c>
      <c r="CU106" s="17">
        <v>191</v>
      </c>
      <c r="CV106" s="1">
        <v>1</v>
      </c>
    </row>
    <row r="107" spans="1:100" s="4" customFormat="1">
      <c r="A107" s="16" t="s">
        <v>1299</v>
      </c>
      <c r="I107" s="5"/>
      <c r="P107" s="4" t="s">
        <v>5</v>
      </c>
      <c r="Q107" s="4" t="s">
        <v>5</v>
      </c>
      <c r="R107" s="4" t="s">
        <v>5</v>
      </c>
      <c r="S107" s="4" t="s">
        <v>5</v>
      </c>
      <c r="T107" s="4" t="s">
        <v>5</v>
      </c>
      <c r="U107" s="4" t="s">
        <v>5</v>
      </c>
      <c r="V107" s="4" t="s">
        <v>5</v>
      </c>
      <c r="W107" s="4" t="s">
        <v>5</v>
      </c>
      <c r="X107" s="4" t="s">
        <v>5</v>
      </c>
      <c r="Y107" s="4" t="s">
        <v>5</v>
      </c>
      <c r="Z107" s="4" t="s">
        <v>5</v>
      </c>
      <c r="AA107" s="4" t="s">
        <v>5</v>
      </c>
      <c r="AB107" s="4" t="s">
        <v>5</v>
      </c>
      <c r="AC107" s="4" t="s">
        <v>5</v>
      </c>
      <c r="AD107" s="4" t="s">
        <v>5</v>
      </c>
      <c r="AE107" s="4" t="s">
        <v>5</v>
      </c>
      <c r="AF107" s="4" t="s">
        <v>5</v>
      </c>
    </row>
    <row r="108" spans="1:100">
      <c r="A108" t="str">
        <f>HYPERLINK("http://exon.niaid.nih.gov/transcriptome/T_rubida/S2/links/pep/Triru-342-pep.txt","Triru-342")</f>
        <v>Triru-342</v>
      </c>
      <c r="B108">
        <v>263</v>
      </c>
      <c r="C108" s="1" t="s">
        <v>21</v>
      </c>
      <c r="D108" s="1" t="s">
        <v>3</v>
      </c>
      <c r="E108" t="str">
        <f>HYPERLINK("http://exon.niaid.nih.gov/transcriptome/T_rubida/S2/links/cds/Triru-342-cds.txt","Triru-342")</f>
        <v>Triru-342</v>
      </c>
      <c r="F108">
        <v>792</v>
      </c>
      <c r="G108" s="2" t="s">
        <v>1597</v>
      </c>
      <c r="H108" s="1">
        <v>1</v>
      </c>
      <c r="I108" s="3" t="s">
        <v>1285</v>
      </c>
      <c r="J108" s="17" t="str">
        <f>HYPERLINK("http://exon.niaid.nih.gov/transcriptome/T_rubida/S2/links/Sigp/Triru-342-SigP.txt","CYT")</f>
        <v>CYT</v>
      </c>
      <c r="K108" t="s">
        <v>5</v>
      </c>
      <c r="L108" s="1">
        <v>28.007999999999999</v>
      </c>
      <c r="M108" s="1">
        <v>7.04</v>
      </c>
      <c r="P108" s="1">
        <v>0.13400000000000001</v>
      </c>
      <c r="Q108" s="1">
        <v>5.6000000000000001E-2</v>
      </c>
      <c r="R108" s="1">
        <v>0.874</v>
      </c>
      <c r="S108" s="17" t="s">
        <v>1346</v>
      </c>
      <c r="T108">
        <v>2</v>
      </c>
      <c r="U108" t="s">
        <v>1398</v>
      </c>
      <c r="V108" s="17">
        <v>0</v>
      </c>
      <c r="W108" t="s">
        <v>5</v>
      </c>
      <c r="X108" t="s">
        <v>5</v>
      </c>
      <c r="Y108" t="s">
        <v>5</v>
      </c>
      <c r="Z108" t="s">
        <v>5</v>
      </c>
      <c r="AA108" t="s">
        <v>5</v>
      </c>
      <c r="AB108" s="17" t="str">
        <f>HYPERLINK("http://exon.niaid.nih.gov/transcriptome/T_rubida/S2/links/netoglyc/TRIRU-342-netoglyc.txt","0")</f>
        <v>0</v>
      </c>
      <c r="AC108">
        <v>13.7</v>
      </c>
      <c r="AD108">
        <v>12.2</v>
      </c>
      <c r="AE108">
        <v>3.8</v>
      </c>
      <c r="AF108" s="17" t="s">
        <v>5</v>
      </c>
      <c r="AG108" s="2" t="str">
        <f>HYPERLINK("http://exon.niaid.nih.gov/transcriptome/T_rubida/S2/links/NR/Triru-342-NR.txt","similar to alcohol dehydrogenase")</f>
        <v>similar to alcohol dehydrogenase</v>
      </c>
      <c r="AH108" t="str">
        <f>HYPERLINK("http://www.ncbi.nlm.nih.gov/sutils/blink.cgi?pid=156554298","1E-120")</f>
        <v>1E-120</v>
      </c>
      <c r="AI108" t="str">
        <f>HYPERLINK("http://www.ncbi.nlm.nih.gov/protein/156554298","gi|156554298")</f>
        <v>gi|156554298</v>
      </c>
      <c r="AJ108">
        <v>436</v>
      </c>
      <c r="AK108">
        <v>257</v>
      </c>
      <c r="AL108">
        <v>377</v>
      </c>
      <c r="AM108">
        <v>79</v>
      </c>
      <c r="AN108">
        <v>68</v>
      </c>
      <c r="AO108" t="s">
        <v>288</v>
      </c>
      <c r="AP108" s="2" t="str">
        <f>HYPERLINK("http://exon.niaid.nih.gov/transcriptome/T_rubida/S2/links/SWISSP/Triru-342-SWISSP.txt","Alcohol dehydrogenase class-3")</f>
        <v>Alcohol dehydrogenase class-3</v>
      </c>
      <c r="AQ108" t="str">
        <f>HYPERLINK("http://www.uniprot.org/uniprot/P79896","1E-115")</f>
        <v>1E-115</v>
      </c>
      <c r="AR108" t="s">
        <v>1173</v>
      </c>
      <c r="AS108">
        <v>413</v>
      </c>
      <c r="AT108">
        <v>257</v>
      </c>
      <c r="AU108">
        <v>376</v>
      </c>
      <c r="AV108">
        <v>73</v>
      </c>
      <c r="AW108">
        <v>69</v>
      </c>
      <c r="AX108">
        <v>68</v>
      </c>
      <c r="AY108">
        <v>0</v>
      </c>
      <c r="AZ108">
        <v>119</v>
      </c>
      <c r="BA108">
        <v>4</v>
      </c>
      <c r="BB108">
        <v>1</v>
      </c>
      <c r="BC108" t="s">
        <v>1174</v>
      </c>
      <c r="BD108" s="2" t="s">
        <v>1175</v>
      </c>
      <c r="BE108">
        <f>HYPERLINK("http://exon.niaid.nih.gov/transcriptome/T_rubida/S2/links/GO/Triru-342-GO.txt",0)</f>
        <v>0</v>
      </c>
      <c r="BF108" t="s">
        <v>1915</v>
      </c>
      <c r="BG108" t="s">
        <v>77</v>
      </c>
      <c r="BH108" t="s">
        <v>193</v>
      </c>
      <c r="BI108" s="2" t="str">
        <f>HYPERLINK("http://exon.niaid.nih.gov/transcriptome/T_rubida/S2/links/CDD/Triru-342-CDD.txt","alcohol_DH_clas")</f>
        <v>alcohol_DH_clas</v>
      </c>
      <c r="BJ108" t="str">
        <f>HYPERLINK("http://www.ncbi.nlm.nih.gov/Structure/cdd/cddsrv.cgi?uid=cd08300&amp;version=v4.0","1E-150")</f>
        <v>1E-150</v>
      </c>
      <c r="BK108" t="s">
        <v>1248</v>
      </c>
      <c r="BL108" s="2" t="str">
        <f>HYPERLINK("http://exon.niaid.nih.gov/transcriptome/T_rubida/S2/links/KOG/Triru-342-KOG.txt","Alcohol dehydrogenase, class III")</f>
        <v>Alcohol dehydrogenase, class III</v>
      </c>
      <c r="BM108" t="str">
        <f>HYPERLINK("http://www.ncbi.nlm.nih.gov/COG/grace/shokog.cgi?KOG0022","1E-120")</f>
        <v>1E-120</v>
      </c>
      <c r="BN108" t="s">
        <v>196</v>
      </c>
      <c r="BO108" s="2" t="str">
        <f>HYPERLINK("http://exon.niaid.nih.gov/transcriptome/T_rubida/S2/links/PFAM/Triru-342-PFAM.txt","ADH_zinc_N")</f>
        <v>ADH_zinc_N</v>
      </c>
      <c r="BP108" t="str">
        <f>HYPERLINK("http://pfam.sanger.ac.uk/family?acc=PF00107","1E-023")</f>
        <v>1E-023</v>
      </c>
      <c r="BQ108" s="2" t="str">
        <f>HYPERLINK("http://exon.niaid.nih.gov/transcriptome/T_rubida/S2/links/SMART/Triru-342-SMART.txt","POLAc")</f>
        <v>POLAc</v>
      </c>
      <c r="BR108" t="str">
        <f>HYPERLINK("http://smart.embl-heidelberg.de/smart/do_annotation.pl?DOMAIN=POLAc&amp;BLAST=DUMMY","0.30")</f>
        <v>0.30</v>
      </c>
      <c r="BS108" s="17">
        <f>HYPERLINK("http://exon.niaid.nih.gov/transcriptome/T_rubida/S2/links/cluster/Triru-pep-ext25-50-Sim-CLU25.txt", 25)</f>
        <v>25</v>
      </c>
      <c r="BT108" s="1">
        <f>HYPERLINK("http://exon.niaid.nih.gov/transcriptome/T_rubida/S2/links/cluster/Triru-pep-ext25-50-Sim-CLTL25.txt", 2)</f>
        <v>2</v>
      </c>
      <c r="BU108" s="17">
        <f>HYPERLINK("http://exon.niaid.nih.gov/transcriptome/T_rubida/S2/links/cluster/Triru-pep-ext30-50-Sim-CLU32.txt", 32)</f>
        <v>32</v>
      </c>
      <c r="BV108" s="1">
        <f>HYPERLINK("http://exon.niaid.nih.gov/transcriptome/T_rubida/S2/links/cluster/Triru-pep-ext30-50-Sim-CLTL32.txt", 2)</f>
        <v>2</v>
      </c>
      <c r="BW108" s="17">
        <f>HYPERLINK("http://exon.niaid.nih.gov/transcriptome/T_rubida/S2/links/cluster/Triru-pep-ext35-50-Sim-CLU34.txt", 34)</f>
        <v>34</v>
      </c>
      <c r="BX108" s="1">
        <f>HYPERLINK("http://exon.niaid.nih.gov/transcriptome/T_rubida/S2/links/cluster/Triru-pep-ext35-50-Sim-CLTL34.txt", 2)</f>
        <v>2</v>
      </c>
      <c r="BY108" s="17">
        <f>HYPERLINK("http://exon.niaid.nih.gov/transcriptome/T_rubida/S2/links/cluster/Triru-pep-ext40-50-Sim-CLU31.txt", 31)</f>
        <v>31</v>
      </c>
      <c r="BZ108" s="1">
        <f>HYPERLINK("http://exon.niaid.nih.gov/transcriptome/T_rubida/S2/links/cluster/Triru-pep-ext40-50-Sim-CLTL31.txt", 2)</f>
        <v>2</v>
      </c>
      <c r="CA108" s="17">
        <f>HYPERLINK("http://exon.niaid.nih.gov/transcriptome/T_rubida/S2/links/cluster/Triru-pep-ext45-50-Sim-CLU26.txt", 26)</f>
        <v>26</v>
      </c>
      <c r="CB108" s="1">
        <f>HYPERLINK("http://exon.niaid.nih.gov/transcriptome/T_rubida/S2/links/cluster/Triru-pep-ext45-50-Sim-CLTL26.txt", 2)</f>
        <v>2</v>
      </c>
      <c r="CC108" s="17">
        <f>HYPERLINK("http://exon.niaid.nih.gov/transcriptome/T_rubida/S2/links/cluster/Triru-pep-ext50-50-Sim-CLU25.txt", 25)</f>
        <v>25</v>
      </c>
      <c r="CD108" s="1">
        <f>HYPERLINK("http://exon.niaid.nih.gov/transcriptome/T_rubida/S2/links/cluster/Triru-pep-ext50-50-Sim-CLTL25.txt", 2)</f>
        <v>2</v>
      </c>
      <c r="CE108" s="17">
        <f>HYPERLINK("http://exon.niaid.nih.gov/transcriptome/T_rubida/S2/links/cluster/Triru-pep-ext55-50-Sim-CLU20.txt", 20)</f>
        <v>20</v>
      </c>
      <c r="CF108" s="1">
        <f>HYPERLINK("http://exon.niaid.nih.gov/transcriptome/T_rubida/S2/links/cluster/Triru-pep-ext55-50-Sim-CLTL20.txt", 2)</f>
        <v>2</v>
      </c>
      <c r="CG108" s="17">
        <f>HYPERLINK("http://exon.niaid.nih.gov/transcriptome/T_rubida/S2/links/cluster/Triru-pep-ext60-50-Sim-CLU21.txt", 21)</f>
        <v>21</v>
      </c>
      <c r="CH108" s="1">
        <f>HYPERLINK("http://exon.niaid.nih.gov/transcriptome/T_rubida/S2/links/cluster/Triru-pep-ext60-50-Sim-CLTL21.txt", 2)</f>
        <v>2</v>
      </c>
      <c r="CI108" s="17">
        <f>HYPERLINK("http://exon.niaid.nih.gov/transcriptome/T_rubida/S2/links/cluster/Triru-pep-ext65-50-Sim-CLU20.txt", 20)</f>
        <v>20</v>
      </c>
      <c r="CJ108" s="1">
        <f>HYPERLINK("http://exon.niaid.nih.gov/transcriptome/T_rubida/S2/links/cluster/Triru-pep-ext65-50-Sim-CLTL20.txt", 2)</f>
        <v>2</v>
      </c>
      <c r="CK108" s="17">
        <f>HYPERLINK("http://exon.niaid.nih.gov/transcriptome/T_rubida/S2/links/cluster/Triru-pep-ext70-50-Sim-CLU20.txt", 20)</f>
        <v>20</v>
      </c>
      <c r="CL108" s="1">
        <f>HYPERLINK("http://exon.niaid.nih.gov/transcriptome/T_rubida/S2/links/cluster/Triru-pep-ext70-50-Sim-CLTL20.txt", 2)</f>
        <v>2</v>
      </c>
      <c r="CM108" s="17">
        <v>246</v>
      </c>
      <c r="CN108" s="1">
        <v>1</v>
      </c>
      <c r="CO108" s="17">
        <v>257</v>
      </c>
      <c r="CP108" s="1">
        <v>1</v>
      </c>
      <c r="CQ108" s="17">
        <v>267</v>
      </c>
      <c r="CR108" s="1">
        <v>1</v>
      </c>
      <c r="CS108" s="17">
        <v>277</v>
      </c>
      <c r="CT108" s="1">
        <v>1</v>
      </c>
      <c r="CU108" s="17">
        <v>288</v>
      </c>
      <c r="CV108" s="1">
        <v>1</v>
      </c>
    </row>
    <row r="109" spans="1:100">
      <c r="A109" t="str">
        <f>HYPERLINK("http://exon.niaid.nih.gov/transcriptome/T_rubida/S2/links/pep/Triru-546-pep.txt","Triru-546")</f>
        <v>Triru-546</v>
      </c>
      <c r="B109">
        <v>203</v>
      </c>
      <c r="C109" s="1" t="s">
        <v>17</v>
      </c>
      <c r="D109" s="1" t="s">
        <v>3</v>
      </c>
      <c r="E109" t="str">
        <f>HYPERLINK("http://exon.niaid.nih.gov/transcriptome/T_rubida/S2/links/cds/Triru-546-cds.txt","Triru-546")</f>
        <v>Triru-546</v>
      </c>
      <c r="F109">
        <v>612</v>
      </c>
      <c r="G109" s="2" t="s">
        <v>1597</v>
      </c>
      <c r="H109" s="1">
        <v>1</v>
      </c>
      <c r="I109" s="3" t="s">
        <v>1285</v>
      </c>
      <c r="J109" s="17" t="str">
        <f>HYPERLINK("http://exon.niaid.nih.gov/transcriptome/T_rubida/S2/links/Sigp/Triru-546-SigP.txt","BL/SIG")</f>
        <v>BL/SIG</v>
      </c>
      <c r="K109" t="s">
        <v>5</v>
      </c>
      <c r="L109" s="1">
        <v>22.033999999999999</v>
      </c>
      <c r="M109" s="1">
        <v>8.19</v>
      </c>
      <c r="P109" s="1">
        <v>9.5000000000000001E-2</v>
      </c>
      <c r="Q109" s="1">
        <v>0.26400000000000001</v>
      </c>
      <c r="R109" s="1">
        <v>0.66</v>
      </c>
      <c r="S109" s="17" t="s">
        <v>1346</v>
      </c>
      <c r="T109">
        <v>4</v>
      </c>
      <c r="U109" t="s">
        <v>1399</v>
      </c>
      <c r="V109" s="17">
        <v>0</v>
      </c>
      <c r="W109" t="s">
        <v>5</v>
      </c>
      <c r="X109" t="s">
        <v>5</v>
      </c>
      <c r="Y109" t="s">
        <v>5</v>
      </c>
      <c r="Z109" t="s">
        <v>5</v>
      </c>
      <c r="AA109" t="s">
        <v>5</v>
      </c>
      <c r="AB109" s="17" t="str">
        <f>HYPERLINK("http://exon.niaid.nih.gov/transcriptome/T_rubida/S2/links/netoglyc/TRIRU-546-netoglyc.txt","1")</f>
        <v>1</v>
      </c>
      <c r="AC109">
        <v>12.8</v>
      </c>
      <c r="AD109">
        <v>11.8</v>
      </c>
      <c r="AE109">
        <v>4.9000000000000004</v>
      </c>
      <c r="AF109" s="17" t="s">
        <v>5</v>
      </c>
      <c r="AG109" s="2" t="str">
        <f>HYPERLINK("http://exon.niaid.nih.gov/transcriptome/T_rubida/S2/links/NR/Triru-546-NR.txt","similar to alcohol dehydrogenase")</f>
        <v>similar to alcohol dehydrogenase</v>
      </c>
      <c r="AH109" t="str">
        <f>HYPERLINK("http://www.ncbi.nlm.nih.gov/sutils/blink.cgi?pid=156554298","2E-087")</f>
        <v>2E-087</v>
      </c>
      <c r="AI109" t="str">
        <f>HYPERLINK("http://www.ncbi.nlm.nih.gov/protein/156554298","gi|156554298")</f>
        <v>gi|156554298</v>
      </c>
      <c r="AJ109">
        <v>325</v>
      </c>
      <c r="AK109">
        <v>192</v>
      </c>
      <c r="AL109">
        <v>377</v>
      </c>
      <c r="AM109">
        <v>79</v>
      </c>
      <c r="AN109">
        <v>51</v>
      </c>
      <c r="AO109" t="s">
        <v>288</v>
      </c>
      <c r="AP109" s="2" t="str">
        <f>HYPERLINK("http://exon.niaid.nih.gov/transcriptome/T_rubida/S2/links/SWISSP/Triru-546-SWISSP.txt","Alcohol dehydrogenase class-3")</f>
        <v>Alcohol dehydrogenase class-3</v>
      </c>
      <c r="AQ109" t="str">
        <f>HYPERLINK("http://www.uniprot.org/uniprot/P79896","9E-084")</f>
        <v>9E-084</v>
      </c>
      <c r="AR109" t="s">
        <v>1173</v>
      </c>
      <c r="AS109">
        <v>309</v>
      </c>
      <c r="AT109">
        <v>192</v>
      </c>
      <c r="AU109">
        <v>376</v>
      </c>
      <c r="AV109">
        <v>73</v>
      </c>
      <c r="AW109">
        <v>51</v>
      </c>
      <c r="AX109">
        <v>52</v>
      </c>
      <c r="AY109">
        <v>0</v>
      </c>
      <c r="AZ109">
        <v>184</v>
      </c>
      <c r="BA109">
        <v>9</v>
      </c>
      <c r="BB109">
        <v>1</v>
      </c>
      <c r="BC109" t="s">
        <v>1174</v>
      </c>
      <c r="BD109" s="2" t="s">
        <v>1175</v>
      </c>
      <c r="BE109">
        <f>HYPERLINK("http://exon.niaid.nih.gov/transcriptome/T_rubida/S2/links/GO/Triru-546-GO.txt",1E-82)</f>
        <v>9.9999999999999996E-83</v>
      </c>
      <c r="BF109" t="s">
        <v>1915</v>
      </c>
      <c r="BG109" t="s">
        <v>77</v>
      </c>
      <c r="BH109" t="s">
        <v>193</v>
      </c>
      <c r="BI109" s="2" t="str">
        <f>HYPERLINK("http://exon.niaid.nih.gov/transcriptome/T_rubida/S2/links/CDD/Triru-546-CDD.txt","alcohol_DH_clas")</f>
        <v>alcohol_DH_clas</v>
      </c>
      <c r="BJ109" t="str">
        <f>HYPERLINK("http://www.ncbi.nlm.nih.gov/Structure/cdd/cddsrv.cgi?uid=cd08300&amp;version=v4.0","1E-107")</f>
        <v>1E-107</v>
      </c>
      <c r="BK109" t="s">
        <v>1176</v>
      </c>
      <c r="BL109" s="2" t="str">
        <f>HYPERLINK("http://exon.niaid.nih.gov/transcriptome/T_rubida/S2/links/KOG/Triru-546-KOG.txt","Alcohol dehydrogenase, class III")</f>
        <v>Alcohol dehydrogenase, class III</v>
      </c>
      <c r="BM109" t="str">
        <f>HYPERLINK("http://www.ncbi.nlm.nih.gov/COG/grace/shokog.cgi?KOG0022","5E-090")</f>
        <v>5E-090</v>
      </c>
      <c r="BN109" t="s">
        <v>196</v>
      </c>
      <c r="BO109" s="2" t="str">
        <f>HYPERLINK("http://exon.niaid.nih.gov/transcriptome/T_rubida/S2/links/PFAM/Triru-546-PFAM.txt","ADH_zinc_N")</f>
        <v>ADH_zinc_N</v>
      </c>
      <c r="BP109" t="str">
        <f>HYPERLINK("http://pfam.sanger.ac.uk/family?acc=PF00107","2E-024")</f>
        <v>2E-024</v>
      </c>
      <c r="BQ109" s="2" t="str">
        <f>HYPERLINK("http://exon.niaid.nih.gov/transcriptome/T_rubida/S2/links/SMART/Triru-546-SMART.txt","POLAc")</f>
        <v>POLAc</v>
      </c>
      <c r="BR109" t="str">
        <f>HYPERLINK("http://smart.embl-heidelberg.de/smart/do_annotation.pl?DOMAIN=POLAc&amp;BLAST=DUMMY","0.20")</f>
        <v>0.20</v>
      </c>
      <c r="BS109" s="17">
        <f>HYPERLINK("http://exon.niaid.nih.gov/transcriptome/T_rubida/S2/links/cluster/Triru-pep-ext25-50-Sim-CLU25.txt", 25)</f>
        <v>25</v>
      </c>
      <c r="BT109" s="1">
        <f>HYPERLINK("http://exon.niaid.nih.gov/transcriptome/T_rubida/S2/links/cluster/Triru-pep-ext25-50-Sim-CLTL25.txt", 2)</f>
        <v>2</v>
      </c>
      <c r="BU109" s="17">
        <f>HYPERLINK("http://exon.niaid.nih.gov/transcriptome/T_rubida/S2/links/cluster/Triru-pep-ext30-50-Sim-CLU32.txt", 32)</f>
        <v>32</v>
      </c>
      <c r="BV109" s="1">
        <f>HYPERLINK("http://exon.niaid.nih.gov/transcriptome/T_rubida/S2/links/cluster/Triru-pep-ext30-50-Sim-CLTL32.txt", 2)</f>
        <v>2</v>
      </c>
      <c r="BW109" s="17">
        <f>HYPERLINK("http://exon.niaid.nih.gov/transcriptome/T_rubida/S2/links/cluster/Triru-pep-ext35-50-Sim-CLU34.txt", 34)</f>
        <v>34</v>
      </c>
      <c r="BX109" s="1">
        <f>HYPERLINK("http://exon.niaid.nih.gov/transcriptome/T_rubida/S2/links/cluster/Triru-pep-ext35-50-Sim-CLTL34.txt", 2)</f>
        <v>2</v>
      </c>
      <c r="BY109" s="17">
        <f>HYPERLINK("http://exon.niaid.nih.gov/transcriptome/T_rubida/S2/links/cluster/Triru-pep-ext40-50-Sim-CLU31.txt", 31)</f>
        <v>31</v>
      </c>
      <c r="BZ109" s="1">
        <f>HYPERLINK("http://exon.niaid.nih.gov/transcriptome/T_rubida/S2/links/cluster/Triru-pep-ext40-50-Sim-CLTL31.txt", 2)</f>
        <v>2</v>
      </c>
      <c r="CA109" s="17">
        <f>HYPERLINK("http://exon.niaid.nih.gov/transcriptome/T_rubida/S2/links/cluster/Triru-pep-ext45-50-Sim-CLU26.txt", 26)</f>
        <v>26</v>
      </c>
      <c r="CB109" s="1">
        <f>HYPERLINK("http://exon.niaid.nih.gov/transcriptome/T_rubida/S2/links/cluster/Triru-pep-ext45-50-Sim-CLTL26.txt", 2)</f>
        <v>2</v>
      </c>
      <c r="CC109" s="17">
        <f>HYPERLINK("http://exon.niaid.nih.gov/transcriptome/T_rubida/S2/links/cluster/Triru-pep-ext50-50-Sim-CLU25.txt", 25)</f>
        <v>25</v>
      </c>
      <c r="CD109" s="1">
        <f>HYPERLINK("http://exon.niaid.nih.gov/transcriptome/T_rubida/S2/links/cluster/Triru-pep-ext50-50-Sim-CLTL25.txt", 2)</f>
        <v>2</v>
      </c>
      <c r="CE109" s="17">
        <f>HYPERLINK("http://exon.niaid.nih.gov/transcriptome/T_rubida/S2/links/cluster/Triru-pep-ext55-50-Sim-CLU20.txt", 20)</f>
        <v>20</v>
      </c>
      <c r="CF109" s="1">
        <f>HYPERLINK("http://exon.niaid.nih.gov/transcriptome/T_rubida/S2/links/cluster/Triru-pep-ext55-50-Sim-CLTL20.txt", 2)</f>
        <v>2</v>
      </c>
      <c r="CG109" s="17">
        <f>HYPERLINK("http://exon.niaid.nih.gov/transcriptome/T_rubida/S2/links/cluster/Triru-pep-ext60-50-Sim-CLU21.txt", 21)</f>
        <v>21</v>
      </c>
      <c r="CH109" s="1">
        <f>HYPERLINK("http://exon.niaid.nih.gov/transcriptome/T_rubida/S2/links/cluster/Triru-pep-ext60-50-Sim-CLTL21.txt", 2)</f>
        <v>2</v>
      </c>
      <c r="CI109" s="17">
        <f>HYPERLINK("http://exon.niaid.nih.gov/transcriptome/T_rubida/S2/links/cluster/Triru-pep-ext65-50-Sim-CLU20.txt", 20)</f>
        <v>20</v>
      </c>
      <c r="CJ109" s="1">
        <f>HYPERLINK("http://exon.niaid.nih.gov/transcriptome/T_rubida/S2/links/cluster/Triru-pep-ext65-50-Sim-CLTL20.txt", 2)</f>
        <v>2</v>
      </c>
      <c r="CK109" s="17">
        <f>HYPERLINK("http://exon.niaid.nih.gov/transcriptome/T_rubida/S2/links/cluster/Triru-pep-ext70-50-Sim-CLU20.txt", 20)</f>
        <v>20</v>
      </c>
      <c r="CL109" s="1">
        <f>HYPERLINK("http://exon.niaid.nih.gov/transcriptome/T_rubida/S2/links/cluster/Triru-pep-ext70-50-Sim-CLTL20.txt", 2)</f>
        <v>2</v>
      </c>
      <c r="CM109" s="17">
        <v>420</v>
      </c>
      <c r="CN109" s="1">
        <v>1</v>
      </c>
      <c r="CO109" s="17">
        <v>432</v>
      </c>
      <c r="CP109" s="1">
        <v>1</v>
      </c>
      <c r="CQ109" s="17">
        <v>442</v>
      </c>
      <c r="CR109" s="1">
        <v>1</v>
      </c>
      <c r="CS109" s="17">
        <v>455</v>
      </c>
      <c r="CT109" s="1">
        <v>1</v>
      </c>
      <c r="CU109" s="17">
        <v>466</v>
      </c>
      <c r="CV109" s="1">
        <v>1</v>
      </c>
    </row>
    <row r="110" spans="1:100">
      <c r="A110" t="str">
        <f>HYPERLINK("http://exon.niaid.nih.gov/transcriptome/T_rubida/S2/links/pep/Triru-295-pep.txt","Triru-295")</f>
        <v>Triru-295</v>
      </c>
      <c r="B110">
        <v>95</v>
      </c>
      <c r="C110" s="1" t="s">
        <v>6</v>
      </c>
      <c r="D110" s="1" t="s">
        <v>3</v>
      </c>
      <c r="E110" t="str">
        <f>HYPERLINK("http://exon.niaid.nih.gov/transcriptome/T_rubida/S2/links/cds/Triru-295-cds.txt","Triru-295")</f>
        <v>Triru-295</v>
      </c>
      <c r="F110">
        <v>288</v>
      </c>
      <c r="G110" s="2" t="s">
        <v>1598</v>
      </c>
      <c r="H110" s="1">
        <v>1</v>
      </c>
      <c r="I110" s="3" t="s">
        <v>1285</v>
      </c>
      <c r="J110" s="17" t="str">
        <f>HYPERLINK("http://exon.niaid.nih.gov/transcriptome/T_rubida/S2/links/Sigp/Triru-295-SigP.txt","CYT")</f>
        <v>CYT</v>
      </c>
      <c r="K110" t="s">
        <v>5</v>
      </c>
      <c r="L110" s="1">
        <v>10.01</v>
      </c>
      <c r="M110" s="1">
        <v>7.95</v>
      </c>
      <c r="P110" s="1">
        <v>0.155</v>
      </c>
      <c r="Q110" s="1">
        <v>6.7000000000000004E-2</v>
      </c>
      <c r="R110" s="1">
        <v>0.82899999999999996</v>
      </c>
      <c r="S110" s="17" t="s">
        <v>1346</v>
      </c>
      <c r="T110">
        <v>2</v>
      </c>
      <c r="U110" t="s">
        <v>1400</v>
      </c>
      <c r="V110" s="17">
        <v>0</v>
      </c>
      <c r="W110" t="s">
        <v>5</v>
      </c>
      <c r="X110" t="s">
        <v>5</v>
      </c>
      <c r="Y110" t="s">
        <v>5</v>
      </c>
      <c r="Z110" t="s">
        <v>5</v>
      </c>
      <c r="AA110" t="s">
        <v>5</v>
      </c>
      <c r="AB110" s="17" t="str">
        <f>HYPERLINK("http://exon.niaid.nih.gov/transcriptome/T_rubida/S2/links/netoglyc/TRIRU-295-netoglyc.txt","0")</f>
        <v>0</v>
      </c>
      <c r="AC110">
        <v>14.7</v>
      </c>
      <c r="AD110">
        <v>4.2</v>
      </c>
      <c r="AE110">
        <v>3.2</v>
      </c>
      <c r="AF110" s="17" t="s">
        <v>5</v>
      </c>
      <c r="AG110" s="2" t="str">
        <f>HYPERLINK("http://exon.niaid.nih.gov/transcriptome/T_rubida/S2/links/NR/Triru-295-NR.txt","GST")</f>
        <v>GST</v>
      </c>
      <c r="AH110" t="str">
        <f>HYPERLINK("http://www.ncbi.nlm.nih.gov/sutils/blink.cgi?pid=83755202","1E-025")</f>
        <v>1E-025</v>
      </c>
      <c r="AI110" t="str">
        <f>HYPERLINK("http://www.ncbi.nlm.nih.gov/protein/83755202","gi|83755202")</f>
        <v>gi|83755202</v>
      </c>
      <c r="AJ110">
        <v>119</v>
      </c>
      <c r="AK110">
        <v>93</v>
      </c>
      <c r="AL110">
        <v>216</v>
      </c>
      <c r="AM110">
        <v>58</v>
      </c>
      <c r="AN110">
        <v>44</v>
      </c>
      <c r="AO110" t="s">
        <v>482</v>
      </c>
      <c r="AP110" s="2" t="str">
        <f>HYPERLINK("http://exon.niaid.nih.gov/transcriptome/T_rubida/S2/links/SWISSP/Triru-295-SWISSP.txt","Glutathione S-transferase 1, isoform D")</f>
        <v>Glutathione S-transferase 1, isoform D</v>
      </c>
      <c r="AQ110" t="str">
        <f>HYPERLINK("http://www.uniprot.org/uniprot/Q93113","7E-016")</f>
        <v>7E-016</v>
      </c>
      <c r="AR110" t="s">
        <v>573</v>
      </c>
      <c r="AS110">
        <v>82.4</v>
      </c>
      <c r="AT110">
        <v>88</v>
      </c>
      <c r="AU110">
        <v>209</v>
      </c>
      <c r="AV110">
        <v>45</v>
      </c>
      <c r="AW110">
        <v>43</v>
      </c>
      <c r="AX110">
        <v>49</v>
      </c>
      <c r="AY110">
        <v>1</v>
      </c>
      <c r="AZ110">
        <v>121</v>
      </c>
      <c r="BA110">
        <v>3</v>
      </c>
      <c r="BB110">
        <v>1</v>
      </c>
      <c r="BC110" t="s">
        <v>450</v>
      </c>
      <c r="BD110" s="2" t="s">
        <v>574</v>
      </c>
      <c r="BE110">
        <f>HYPERLINK("http://exon.niaid.nih.gov/transcriptome/T_rubida/S2/links/GO/Triru-295-GO.txt",0.00000000000002)</f>
        <v>2E-14</v>
      </c>
      <c r="BF110" t="s">
        <v>1916</v>
      </c>
      <c r="BG110" t="s">
        <v>77</v>
      </c>
      <c r="BH110" t="s">
        <v>470</v>
      </c>
      <c r="BI110" s="2" t="str">
        <f>HYPERLINK("http://exon.niaid.nih.gov/transcriptome/T_rubida/S2/links/CDD/Triru-295-CDD.txt","GST_C_Delta_Eps")</f>
        <v>GST_C_Delta_Eps</v>
      </c>
      <c r="BJ110" t="str">
        <f>HYPERLINK("http://www.ncbi.nlm.nih.gov/Structure/cdd/cddsrv.cgi?uid=cd03177&amp;version=v4.0","3E-019")</f>
        <v>3E-019</v>
      </c>
      <c r="BK110" t="s">
        <v>575</v>
      </c>
      <c r="BL110" s="2" t="str">
        <f>HYPERLINK("http://exon.niaid.nih.gov/transcriptome/T_rubida/S2/links/KOG/Triru-295-KOG.txt","Glutathione S-transferase")</f>
        <v>Glutathione S-transferase</v>
      </c>
      <c r="BM110" t="str">
        <f>HYPERLINK("http://www.ncbi.nlm.nih.gov/COG/grace/shokog.cgi?KOG0867","2E-009")</f>
        <v>2E-009</v>
      </c>
      <c r="BN110" t="s">
        <v>72</v>
      </c>
      <c r="BO110" s="2" t="str">
        <f>HYPERLINK("http://exon.niaid.nih.gov/transcriptome/T_rubida/S2/links/PFAM/Triru-295-PFAM.txt","GST_C")</f>
        <v>GST_C</v>
      </c>
      <c r="BP110" t="str">
        <f>HYPERLINK("http://pfam.sanger.ac.uk/family?acc=PF00043","0.022")</f>
        <v>0.022</v>
      </c>
      <c r="BQ110" s="2" t="str">
        <f>HYPERLINK("http://exon.niaid.nih.gov/transcriptome/T_rubida/S2/links/SMART/Triru-295-SMART.txt","VWC_out")</f>
        <v>VWC_out</v>
      </c>
      <c r="BR110" t="str">
        <f>HYPERLINK("http://smart.embl-heidelberg.de/smart/do_annotation.pl?DOMAIN=VWC_out&amp;BLAST=DUMMY","0.90")</f>
        <v>0.90</v>
      </c>
      <c r="BS110" s="17">
        <v>87</v>
      </c>
      <c r="BT110" s="1">
        <v>1</v>
      </c>
      <c r="BU110" s="17">
        <v>137</v>
      </c>
      <c r="BV110" s="1">
        <v>1</v>
      </c>
      <c r="BW110" s="17">
        <v>165</v>
      </c>
      <c r="BX110" s="1">
        <v>1</v>
      </c>
      <c r="BY110" s="17">
        <v>176</v>
      </c>
      <c r="BZ110" s="1">
        <v>1</v>
      </c>
      <c r="CA110" s="17">
        <v>180</v>
      </c>
      <c r="CB110" s="1">
        <v>1</v>
      </c>
      <c r="CC110" s="17">
        <v>185</v>
      </c>
      <c r="CD110" s="1">
        <v>1</v>
      </c>
      <c r="CE110" s="17">
        <v>191</v>
      </c>
      <c r="CF110" s="1">
        <v>1</v>
      </c>
      <c r="CG110" s="17">
        <v>193</v>
      </c>
      <c r="CH110" s="1">
        <v>1</v>
      </c>
      <c r="CI110" s="17">
        <v>200</v>
      </c>
      <c r="CJ110" s="1">
        <v>1</v>
      </c>
      <c r="CK110" s="17">
        <v>205</v>
      </c>
      <c r="CL110" s="1">
        <v>1</v>
      </c>
      <c r="CM110" s="17">
        <v>211</v>
      </c>
      <c r="CN110" s="1">
        <v>1</v>
      </c>
      <c r="CO110" s="17">
        <v>222</v>
      </c>
      <c r="CP110" s="1">
        <v>1</v>
      </c>
      <c r="CQ110" s="17">
        <v>232</v>
      </c>
      <c r="CR110" s="1">
        <v>1</v>
      </c>
      <c r="CS110" s="17">
        <v>239</v>
      </c>
      <c r="CT110" s="1">
        <v>1</v>
      </c>
      <c r="CU110" s="17">
        <v>250</v>
      </c>
      <c r="CV110" s="1">
        <v>1</v>
      </c>
    </row>
    <row r="111" spans="1:100">
      <c r="A111" t="str">
        <f>HYPERLINK("http://exon.niaid.nih.gov/transcriptome/T_rubida/S2/links/pep/Triru-439-pep.txt","Triru-439")</f>
        <v>Triru-439</v>
      </c>
      <c r="B111">
        <v>108</v>
      </c>
      <c r="C111" s="1" t="s">
        <v>14</v>
      </c>
      <c r="D111" s="1" t="s">
        <v>3</v>
      </c>
      <c r="E111" t="str">
        <f>HYPERLINK("http://exon.niaid.nih.gov/transcriptome/T_rubida/S2/links/cds/Triru-439-cds.txt","Triru-439")</f>
        <v>Triru-439</v>
      </c>
      <c r="F111">
        <v>327</v>
      </c>
      <c r="G111" s="2" t="s">
        <v>1599</v>
      </c>
      <c r="H111" s="1">
        <v>1</v>
      </c>
      <c r="I111" s="3" t="s">
        <v>1278</v>
      </c>
      <c r="J111" s="17" t="str">
        <f>HYPERLINK("http://exon.niaid.nih.gov/transcriptome/T_rubida/S2/links/Sigp/Triru-439-SigP.txt","CYT")</f>
        <v>CYT</v>
      </c>
      <c r="K111" t="s">
        <v>5</v>
      </c>
      <c r="L111" s="1">
        <v>12.438000000000001</v>
      </c>
      <c r="M111" s="1">
        <v>9.35</v>
      </c>
      <c r="P111" s="1">
        <v>0.108</v>
      </c>
      <c r="Q111" s="1">
        <v>5.5E-2</v>
      </c>
      <c r="R111" s="1">
        <v>0.81899999999999995</v>
      </c>
      <c r="S111" s="17" t="s">
        <v>1346</v>
      </c>
      <c r="T111">
        <v>2</v>
      </c>
      <c r="U111" t="s">
        <v>1382</v>
      </c>
      <c r="V111" s="17">
        <v>0</v>
      </c>
      <c r="W111" t="s">
        <v>5</v>
      </c>
      <c r="X111" t="s">
        <v>5</v>
      </c>
      <c r="Y111" t="s">
        <v>5</v>
      </c>
      <c r="Z111" t="s">
        <v>5</v>
      </c>
      <c r="AA111" t="s">
        <v>5</v>
      </c>
      <c r="AB111" s="17" t="str">
        <f>HYPERLINK("http://exon.niaid.nih.gov/transcriptome/T_rubida/S2/links/netoglyc/TRIRU-439-netoglyc.txt","0")</f>
        <v>0</v>
      </c>
      <c r="AC111">
        <v>9.3000000000000007</v>
      </c>
      <c r="AD111">
        <v>9.3000000000000007</v>
      </c>
      <c r="AE111">
        <v>5.6</v>
      </c>
      <c r="AF111" s="17" t="s">
        <v>5</v>
      </c>
      <c r="AG111" s="2" t="str">
        <f>HYPERLINK("http://exon.niaid.nih.gov/transcriptome/T_rubida/S2/links/NR/Triru-439-NR.txt","phospholipid hydroperoxide glutathione peroxidase, putative")</f>
        <v>phospholipid hydroperoxide glutathione peroxidase, putative</v>
      </c>
      <c r="AH111" t="str">
        <f>HYPERLINK("http://www.ncbi.nlm.nih.gov/sutils/blink.cgi?pid=242017040","2E-043")</f>
        <v>2E-043</v>
      </c>
      <c r="AI111" t="str">
        <f>HYPERLINK("http://www.ncbi.nlm.nih.gov/protein/242017040","gi|242017040")</f>
        <v>gi|242017040</v>
      </c>
      <c r="AJ111">
        <v>179</v>
      </c>
      <c r="AK111">
        <v>107</v>
      </c>
      <c r="AL111">
        <v>172</v>
      </c>
      <c r="AM111">
        <v>75</v>
      </c>
      <c r="AN111">
        <v>63</v>
      </c>
      <c r="AO111" t="s">
        <v>54</v>
      </c>
      <c r="AP111" s="2" t="str">
        <f>HYPERLINK("http://exon.niaid.nih.gov/transcriptome/T_rubida/S2/links/SWISSP/Triru-439-SWISSP.txt","Glutathione peroxidase")</f>
        <v>Glutathione peroxidase</v>
      </c>
      <c r="AQ111" t="str">
        <f>HYPERLINK("http://www.uniprot.org/uniprot/Q00277","6E-028")</f>
        <v>6E-028</v>
      </c>
      <c r="AR111" t="s">
        <v>747</v>
      </c>
      <c r="AS111">
        <v>122</v>
      </c>
      <c r="AT111">
        <v>92</v>
      </c>
      <c r="AU111">
        <v>169</v>
      </c>
      <c r="AV111">
        <v>61</v>
      </c>
      <c r="AW111">
        <v>55</v>
      </c>
      <c r="AX111">
        <v>36</v>
      </c>
      <c r="AY111">
        <v>1</v>
      </c>
      <c r="AZ111">
        <v>63</v>
      </c>
      <c r="BA111">
        <v>6</v>
      </c>
      <c r="BB111">
        <v>1</v>
      </c>
      <c r="BC111" t="s">
        <v>748</v>
      </c>
      <c r="BD111" s="2" t="s">
        <v>749</v>
      </c>
      <c r="BE111">
        <f>HYPERLINK("http://exon.niaid.nih.gov/transcriptome/T_rubida/S2/links/GO/Triru-439-GO.txt",6E-31)</f>
        <v>5.9999999999999996E-31</v>
      </c>
      <c r="BF111" t="s">
        <v>1917</v>
      </c>
      <c r="BG111" t="s">
        <v>77</v>
      </c>
      <c r="BH111" t="s">
        <v>193</v>
      </c>
      <c r="BI111" s="2" t="str">
        <f>HYPERLINK("http://exon.niaid.nih.gov/transcriptome/T_rubida/S2/links/CDD/Triru-439-CDD.txt","GSH_Peroxidase")</f>
        <v>GSH_Peroxidase</v>
      </c>
      <c r="BJ111" t="str">
        <f>HYPERLINK("http://www.ncbi.nlm.nih.gov/Structure/cdd/cddsrv.cgi?uid=cd00340&amp;version=v4.0","1E-037")</f>
        <v>1E-037</v>
      </c>
      <c r="BK111" t="s">
        <v>750</v>
      </c>
      <c r="BL111" s="2" t="str">
        <f>HYPERLINK("http://exon.niaid.nih.gov/transcriptome/T_rubida/S2/links/KOG/Triru-439-KOG.txt","Glutathione peroxidase")</f>
        <v>Glutathione peroxidase</v>
      </c>
      <c r="BM111" t="str">
        <f>HYPERLINK("http://www.ncbi.nlm.nih.gov/COG/grace/shokog.cgi?KOG1651","1E-035")</f>
        <v>1E-035</v>
      </c>
      <c r="BN111" t="s">
        <v>72</v>
      </c>
      <c r="BO111" s="2" t="str">
        <f>HYPERLINK("http://exon.niaid.nih.gov/transcriptome/T_rubida/S2/links/PFAM/Triru-439-PFAM.txt","GSHPx")</f>
        <v>GSHPx</v>
      </c>
      <c r="BP111" t="str">
        <f>HYPERLINK("http://pfam.sanger.ac.uk/family?acc=PF00255","6E-019")</f>
        <v>6E-019</v>
      </c>
      <c r="BQ111" s="2" t="str">
        <f>HYPERLINK("http://exon.niaid.nih.gov/transcriptome/T_rubida/S2/links/SMART/Triru-439-SMART.txt","Ku78")</f>
        <v>Ku78</v>
      </c>
      <c r="BR111" t="str">
        <f>HYPERLINK("http://smart.embl-heidelberg.de/smart/do_annotation.pl?DOMAIN=Ku78&amp;BLAST=DUMMY","0.95")</f>
        <v>0.95</v>
      </c>
      <c r="BS111" s="17">
        <f>HYPERLINK("http://exon.niaid.nih.gov/transcriptome/T_rubida/S2/links/cluster/Triru-pep-ext25-50-Sim-CLU29.txt", 29)</f>
        <v>29</v>
      </c>
      <c r="BT111" s="1">
        <f>HYPERLINK("http://exon.niaid.nih.gov/transcriptome/T_rubida/S2/links/cluster/Triru-pep-ext25-50-Sim-CLTL29.txt", 2)</f>
        <v>2</v>
      </c>
      <c r="BU111" s="17">
        <f>HYPERLINK("http://exon.niaid.nih.gov/transcriptome/T_rubida/S2/links/cluster/Triru-pep-ext30-50-Sim-CLU41.txt", 41)</f>
        <v>41</v>
      </c>
      <c r="BV111" s="1">
        <f>HYPERLINK("http://exon.niaid.nih.gov/transcriptome/T_rubida/S2/links/cluster/Triru-pep-ext30-50-Sim-CLTL41.txt", 2)</f>
        <v>2</v>
      </c>
      <c r="BW111" s="17">
        <v>254</v>
      </c>
      <c r="BX111" s="1">
        <v>1</v>
      </c>
      <c r="BY111" s="17">
        <v>274</v>
      </c>
      <c r="BZ111" s="1">
        <v>1</v>
      </c>
      <c r="CA111" s="17">
        <v>283</v>
      </c>
      <c r="CB111" s="1">
        <v>1</v>
      </c>
      <c r="CC111" s="17">
        <v>291</v>
      </c>
      <c r="CD111" s="1">
        <v>1</v>
      </c>
      <c r="CE111" s="17">
        <v>301</v>
      </c>
      <c r="CF111" s="1">
        <v>1</v>
      </c>
      <c r="CG111" s="17">
        <v>305</v>
      </c>
      <c r="CH111" s="1">
        <v>1</v>
      </c>
      <c r="CI111" s="17">
        <v>315</v>
      </c>
      <c r="CJ111" s="1">
        <v>1</v>
      </c>
      <c r="CK111" s="17">
        <v>321</v>
      </c>
      <c r="CL111" s="1">
        <v>1</v>
      </c>
      <c r="CM111" s="17">
        <v>329</v>
      </c>
      <c r="CN111" s="1">
        <v>1</v>
      </c>
      <c r="CO111" s="17">
        <v>341</v>
      </c>
      <c r="CP111" s="1">
        <v>1</v>
      </c>
      <c r="CQ111" s="17">
        <v>351</v>
      </c>
      <c r="CR111" s="1">
        <v>1</v>
      </c>
      <c r="CS111" s="17">
        <v>363</v>
      </c>
      <c r="CT111" s="1">
        <v>1</v>
      </c>
      <c r="CU111" s="17">
        <v>374</v>
      </c>
      <c r="CV111" s="1">
        <v>1</v>
      </c>
    </row>
    <row r="112" spans="1:100">
      <c r="A112" t="str">
        <f>HYPERLINK("http://exon.niaid.nih.gov/transcriptome/T_rubida/S2/links/pep/Triru-398-pep.txt","Triru-398")</f>
        <v>Triru-398</v>
      </c>
      <c r="B112">
        <v>211</v>
      </c>
      <c r="C112" s="1" t="s">
        <v>6</v>
      </c>
      <c r="D112" s="1" t="s">
        <v>3</v>
      </c>
      <c r="E112" t="str">
        <f>HYPERLINK("http://exon.niaid.nih.gov/transcriptome/T_rubida/S2/links/cds/Triru-398-cds.txt","Triru-398")</f>
        <v>Triru-398</v>
      </c>
      <c r="F112">
        <v>636</v>
      </c>
      <c r="G112" s="2" t="s">
        <v>1600</v>
      </c>
      <c r="H112" s="1">
        <v>1</v>
      </c>
      <c r="I112" s="3" t="s">
        <v>1278</v>
      </c>
      <c r="J112" s="17" t="str">
        <f>HYPERLINK("http://exon.niaid.nih.gov/transcriptome/T_rubida/S2/links/Sigp/Triru-398-SigP.txt","CYT")</f>
        <v>CYT</v>
      </c>
      <c r="K112" t="s">
        <v>5</v>
      </c>
      <c r="L112" s="1">
        <v>23.937000000000001</v>
      </c>
      <c r="M112" s="1">
        <v>5.48</v>
      </c>
      <c r="P112" s="1">
        <v>7.1999999999999995E-2</v>
      </c>
      <c r="Q112" s="1">
        <v>0.14599999999999999</v>
      </c>
      <c r="R112" s="1">
        <v>0.876</v>
      </c>
      <c r="S112" s="17" t="s">
        <v>1346</v>
      </c>
      <c r="T112">
        <v>2</v>
      </c>
      <c r="U112" t="s">
        <v>1401</v>
      </c>
      <c r="V112" s="17">
        <v>0</v>
      </c>
      <c r="W112" t="s">
        <v>5</v>
      </c>
      <c r="X112" t="s">
        <v>5</v>
      </c>
      <c r="Y112" t="s">
        <v>5</v>
      </c>
      <c r="Z112" t="s">
        <v>5</v>
      </c>
      <c r="AA112" t="s">
        <v>5</v>
      </c>
      <c r="AB112" s="17" t="str">
        <f>HYPERLINK("http://exon.niaid.nih.gov/transcriptome/T_rubida/S2/links/netoglyc/TRIRU-398-netoglyc.txt","1")</f>
        <v>1</v>
      </c>
      <c r="AC112">
        <v>15.2</v>
      </c>
      <c r="AD112">
        <v>5.7</v>
      </c>
      <c r="AE112">
        <v>6.2</v>
      </c>
      <c r="AF112" s="17" t="s">
        <v>5</v>
      </c>
      <c r="AG112" s="2" t="str">
        <f>HYPERLINK("http://exon.niaid.nih.gov/transcriptome/T_rubida/S2/links/NR/Triru-398-NR.txt","cytochrome P450-like protein")</f>
        <v>cytochrome P450-like protein</v>
      </c>
      <c r="AH112" t="str">
        <f>HYPERLINK("http://www.ncbi.nlm.nih.gov/sutils/blink.cgi?pid=307095134","7E-088")</f>
        <v>7E-088</v>
      </c>
      <c r="AI112" t="str">
        <f>HYPERLINK("http://www.ncbi.nlm.nih.gov/protein/307095134","gi|307095134")</f>
        <v>gi|307095134</v>
      </c>
      <c r="AJ112">
        <v>327</v>
      </c>
      <c r="AK112">
        <v>204</v>
      </c>
      <c r="AL112">
        <v>504</v>
      </c>
      <c r="AM112">
        <v>75</v>
      </c>
      <c r="AN112">
        <v>41</v>
      </c>
      <c r="AO112" t="s">
        <v>120</v>
      </c>
      <c r="AP112" s="2" t="str">
        <f>HYPERLINK("http://exon.niaid.nih.gov/transcriptome/T_rubida/S2/links/SWISSP/Triru-398-SWISSP.txt","Probable cytochrome P450 6a13")</f>
        <v>Probable cytochrome P450 6a13</v>
      </c>
      <c r="AQ112" t="str">
        <f>HYPERLINK("http://www.uniprot.org/uniprot/Q9V4U9","2E-038")</f>
        <v>2E-038</v>
      </c>
      <c r="AR112" t="s">
        <v>685</v>
      </c>
      <c r="AS112">
        <v>159</v>
      </c>
      <c r="AT112">
        <v>206</v>
      </c>
      <c r="AU112">
        <v>493</v>
      </c>
      <c r="AV112">
        <v>37</v>
      </c>
      <c r="AW112">
        <v>42</v>
      </c>
      <c r="AX112">
        <v>130</v>
      </c>
      <c r="AY112">
        <v>0</v>
      </c>
      <c r="AZ112">
        <v>286</v>
      </c>
      <c r="BA112">
        <v>2</v>
      </c>
      <c r="BB112">
        <v>1</v>
      </c>
      <c r="BC112" t="s">
        <v>150</v>
      </c>
      <c r="BD112" s="2" t="s">
        <v>686</v>
      </c>
      <c r="BE112">
        <f>HYPERLINK("http://exon.niaid.nih.gov/transcriptome/T_rubida/S2/links/GO/Triru-398-GO.txt",1E-38)</f>
        <v>9.9999999999999996E-39</v>
      </c>
      <c r="BF112" t="s">
        <v>687</v>
      </c>
      <c r="BG112" t="s">
        <v>687</v>
      </c>
      <c r="BI112" s="2" t="str">
        <f>HYPERLINK("http://exon.niaid.nih.gov/transcriptome/T_rubida/S2/links/CDD/Triru-398-CDD.txt","p450")</f>
        <v>p450</v>
      </c>
      <c r="BJ112" t="str">
        <f>HYPERLINK("http://www.ncbi.nlm.nih.gov/Structure/cdd/cddsrv.cgi?uid=pfam00067&amp;version=v4.0","7E-047")</f>
        <v>7E-047</v>
      </c>
      <c r="BK112" t="s">
        <v>688</v>
      </c>
      <c r="BL112" s="2" t="str">
        <f>HYPERLINK("http://exon.niaid.nih.gov/transcriptome/T_rubida/S2/links/KOG/Triru-398-KOG.txt","Cytochrome P450 CYP3/CYP5/CYP6/CYP9 subfamilies")</f>
        <v>Cytochrome P450 CYP3/CYP5/CYP6/CYP9 subfamilies</v>
      </c>
      <c r="BM112" t="str">
        <f>HYPERLINK("http://www.ncbi.nlm.nih.gov/COG/grace/shokog.cgi?KOG0158","1E-052")</f>
        <v>1E-052</v>
      </c>
      <c r="BN112" t="s">
        <v>196</v>
      </c>
      <c r="BO112" s="2" t="str">
        <f>HYPERLINK("http://exon.niaid.nih.gov/transcriptome/T_rubida/S2/links/PFAM/Triru-398-PFAM.txt","p450")</f>
        <v>p450</v>
      </c>
      <c r="BP112" t="str">
        <f>HYPERLINK("http://pfam.sanger.ac.uk/family?acc=PF00067","1E-047")</f>
        <v>1E-047</v>
      </c>
      <c r="BQ112" s="2" t="str">
        <f>HYPERLINK("http://exon.niaid.nih.gov/transcriptome/T_rubida/S2/links/SMART/Triru-398-SMART.txt","POL3Bc")</f>
        <v>POL3Bc</v>
      </c>
      <c r="BR112" t="str">
        <f>HYPERLINK("http://smart.embl-heidelberg.de/smart/do_annotation.pl?DOMAIN=POL3Bc&amp;BLAST=DUMMY","0.017")</f>
        <v>0.017</v>
      </c>
      <c r="BS112" s="17">
        <f>HYPERLINK("http://exon.niaid.nih.gov/transcriptome/T_rubida/S2/links/cluster/Triru-pep-ext25-50-Sim-CLU1.txt", 1)</f>
        <v>1</v>
      </c>
      <c r="BT112" s="1">
        <f>HYPERLINK("http://exon.niaid.nih.gov/transcriptome/T_rubida/S2/links/cluster/Triru-pep-ext25-50-Sim-CLTL1.txt", 359)</f>
        <v>359</v>
      </c>
      <c r="BU112" s="17">
        <f>HYPERLINK("http://exon.niaid.nih.gov/transcriptome/T_rubida/S2/links/cluster/Triru-pep-ext30-50-Sim-CLU6.txt", 6)</f>
        <v>6</v>
      </c>
      <c r="BV112" s="1">
        <f>HYPERLINK("http://exon.niaid.nih.gov/transcriptome/T_rubida/S2/links/cluster/Triru-pep-ext30-50-Sim-CLTL6.txt", 3)</f>
        <v>3</v>
      </c>
      <c r="BW112" s="17">
        <f>HYPERLINK("http://exon.niaid.nih.gov/transcriptome/T_rubida/S2/links/cluster/Triru-pep-ext35-50-Sim-CLU6.txt", 6)</f>
        <v>6</v>
      </c>
      <c r="BX112" s="1">
        <f>HYPERLINK("http://exon.niaid.nih.gov/transcriptome/T_rubida/S2/links/cluster/Triru-pep-ext35-50-Sim-CLTL6.txt", 3)</f>
        <v>3</v>
      </c>
      <c r="BY112" s="17">
        <f>HYPERLINK("http://exon.niaid.nih.gov/transcriptome/T_rubida/S2/links/cluster/Triru-pep-ext40-50-Sim-CLU6.txt", 6)</f>
        <v>6</v>
      </c>
      <c r="BZ112" s="1">
        <f>HYPERLINK("http://exon.niaid.nih.gov/transcriptome/T_rubida/S2/links/cluster/Triru-pep-ext40-50-Sim-CLTL6.txt", 3)</f>
        <v>3</v>
      </c>
      <c r="CA112" s="17">
        <f>HYPERLINK("http://exon.niaid.nih.gov/transcriptome/T_rubida/S2/links/cluster/Triru-pep-ext45-50-Sim-CLU9.txt", 9)</f>
        <v>9</v>
      </c>
      <c r="CB112" s="1">
        <f>HYPERLINK("http://exon.niaid.nih.gov/transcriptome/T_rubida/S2/links/cluster/Triru-pep-ext45-50-Sim-CLTL9.txt", 2)</f>
        <v>2</v>
      </c>
      <c r="CC112" s="17">
        <f>HYPERLINK("http://exon.niaid.nih.gov/transcriptome/T_rubida/S2/links/cluster/Triru-pep-ext50-50-Sim-CLU9.txt", 9)</f>
        <v>9</v>
      </c>
      <c r="CD112" s="1">
        <f>HYPERLINK("http://exon.niaid.nih.gov/transcriptome/T_rubida/S2/links/cluster/Triru-pep-ext50-50-Sim-CLTL9.txt", 2)</f>
        <v>2</v>
      </c>
      <c r="CE112" s="17">
        <f>HYPERLINK("http://exon.niaid.nih.gov/transcriptome/T_rubida/S2/links/cluster/Triru-pep-ext55-50-Sim-CLU8.txt", 8)</f>
        <v>8</v>
      </c>
      <c r="CF112" s="1">
        <f>HYPERLINK("http://exon.niaid.nih.gov/transcriptome/T_rubida/S2/links/cluster/Triru-pep-ext55-50-Sim-CLTL8.txt", 2)</f>
        <v>2</v>
      </c>
      <c r="CG112" s="17">
        <f>HYPERLINK("http://exon.niaid.nih.gov/transcriptome/T_rubida/S2/links/cluster/Triru-pep-ext60-50-Sim-CLU9.txt", 9)</f>
        <v>9</v>
      </c>
      <c r="CH112" s="1">
        <f>HYPERLINK("http://exon.niaid.nih.gov/transcriptome/T_rubida/S2/links/cluster/Triru-pep-ext60-50-Sim-CLTL9.txt", 2)</f>
        <v>2</v>
      </c>
      <c r="CI112" s="17">
        <f>HYPERLINK("http://exon.niaid.nih.gov/transcriptome/T_rubida/S2/links/cluster/Triru-pep-ext65-50-Sim-CLU11.txt", 11)</f>
        <v>11</v>
      </c>
      <c r="CJ112" s="1">
        <f>HYPERLINK("http://exon.niaid.nih.gov/transcriptome/T_rubida/S2/links/cluster/Triru-pep-ext65-50-Sim-CLTL11.txt", 2)</f>
        <v>2</v>
      </c>
      <c r="CK112" s="17">
        <v>283</v>
      </c>
      <c r="CL112" s="1">
        <v>1</v>
      </c>
      <c r="CM112" s="17">
        <v>291</v>
      </c>
      <c r="CN112" s="1">
        <v>1</v>
      </c>
      <c r="CO112" s="17">
        <v>303</v>
      </c>
      <c r="CP112" s="1">
        <v>1</v>
      </c>
      <c r="CQ112" s="17">
        <v>313</v>
      </c>
      <c r="CR112" s="1">
        <v>1</v>
      </c>
      <c r="CS112" s="17">
        <v>325</v>
      </c>
      <c r="CT112" s="1">
        <v>1</v>
      </c>
      <c r="CU112" s="17">
        <v>336</v>
      </c>
      <c r="CV112" s="1">
        <v>1</v>
      </c>
    </row>
    <row r="113" spans="1:100">
      <c r="A113" t="str">
        <f>HYPERLINK("http://exon.niaid.nih.gov/transcriptome/T_rubida/S2/links/pep/Triru-83-pep.txt","Triru-83")</f>
        <v>Triru-83</v>
      </c>
      <c r="B113">
        <v>162</v>
      </c>
      <c r="C113" s="1" t="s">
        <v>17</v>
      </c>
      <c r="D113" s="1" t="s">
        <v>3</v>
      </c>
      <c r="E113" t="str">
        <f>HYPERLINK("http://exon.niaid.nih.gov/transcriptome/T_rubida/S2/links/cds/Triru-83-cds.txt","Triru-83")</f>
        <v>Triru-83</v>
      </c>
      <c r="F113">
        <v>489</v>
      </c>
      <c r="G113" s="2" t="s">
        <v>1601</v>
      </c>
      <c r="H113" s="1">
        <v>18</v>
      </c>
      <c r="I113" s="3" t="s">
        <v>1278</v>
      </c>
      <c r="J113" s="17" t="str">
        <f>HYPERLINK("http://exon.niaid.nih.gov/transcriptome/T_rubida/S2/links/Sigp/Triru-83-SigP.txt","CYT")</f>
        <v>CYT</v>
      </c>
      <c r="K113" t="s">
        <v>5</v>
      </c>
      <c r="L113" s="1">
        <v>18.989999999999998</v>
      </c>
      <c r="M113" s="1">
        <v>9.17</v>
      </c>
      <c r="P113" s="1">
        <v>9.1999999999999998E-2</v>
      </c>
      <c r="Q113" s="1">
        <v>5.0999999999999997E-2</v>
      </c>
      <c r="R113" s="1">
        <v>0.89400000000000002</v>
      </c>
      <c r="S113" s="17" t="s">
        <v>1346</v>
      </c>
      <c r="T113">
        <v>1</v>
      </c>
      <c r="U113" t="s">
        <v>1369</v>
      </c>
      <c r="V113" s="17">
        <v>0</v>
      </c>
      <c r="W113" t="s">
        <v>5</v>
      </c>
      <c r="X113" t="s">
        <v>5</v>
      </c>
      <c r="Y113" t="s">
        <v>5</v>
      </c>
      <c r="Z113" t="s">
        <v>5</v>
      </c>
      <c r="AA113" t="s">
        <v>5</v>
      </c>
      <c r="AB113" s="17" t="str">
        <f>HYPERLINK("http://exon.niaid.nih.gov/transcriptome/T_rubida/S2/links/netoglyc/TRIRU-83-netoglyc.txt","0")</f>
        <v>0</v>
      </c>
      <c r="AC113">
        <v>13</v>
      </c>
      <c r="AD113">
        <v>4.3</v>
      </c>
      <c r="AE113">
        <v>8</v>
      </c>
      <c r="AF113" s="17" t="s">
        <v>5</v>
      </c>
      <c r="AG113" s="2" t="str">
        <f>HYPERLINK("http://exon.niaid.nih.gov/transcriptome/T_rubida/S2/links/NR/Triru-83-NR.txt","cytochrome P450-like protein")</f>
        <v>cytochrome P450-like protein</v>
      </c>
      <c r="AH113" t="str">
        <f>HYPERLINK("http://www.ncbi.nlm.nih.gov/sutils/blink.cgi?pid=307095134","3E-080")</f>
        <v>3E-080</v>
      </c>
      <c r="AI113" t="str">
        <f>HYPERLINK("http://www.ncbi.nlm.nih.gov/protein/307095134","gi|307095134")</f>
        <v>gi|307095134</v>
      </c>
      <c r="AJ113">
        <v>301</v>
      </c>
      <c r="AK113">
        <v>159</v>
      </c>
      <c r="AL113">
        <v>504</v>
      </c>
      <c r="AM113">
        <v>85</v>
      </c>
      <c r="AN113">
        <v>32</v>
      </c>
      <c r="AO113" t="s">
        <v>120</v>
      </c>
      <c r="AP113" s="2" t="str">
        <f>HYPERLINK("http://exon.niaid.nih.gov/transcriptome/T_rubida/S2/links/SWISSP/Triru-83-SWISSP.txt","Probable cytochrome P450 6a14")</f>
        <v>Probable cytochrome P450 6a14</v>
      </c>
      <c r="AQ113" t="str">
        <f>HYPERLINK("http://www.uniprot.org/uniprot/Q9V4U7","6E-032")</f>
        <v>6E-032</v>
      </c>
      <c r="AR113" t="s">
        <v>1161</v>
      </c>
      <c r="AS113">
        <v>136</v>
      </c>
      <c r="AT113">
        <v>157</v>
      </c>
      <c r="AU113">
        <v>509</v>
      </c>
      <c r="AV113">
        <v>39</v>
      </c>
      <c r="AW113">
        <v>31</v>
      </c>
      <c r="AX113">
        <v>95</v>
      </c>
      <c r="AY113">
        <v>0</v>
      </c>
      <c r="AZ113">
        <v>352</v>
      </c>
      <c r="BA113">
        <v>2</v>
      </c>
      <c r="BB113">
        <v>1</v>
      </c>
      <c r="BC113" t="s">
        <v>150</v>
      </c>
      <c r="BD113" s="2" t="s">
        <v>686</v>
      </c>
      <c r="BE113">
        <f>HYPERLINK("http://exon.niaid.nih.gov/transcriptome/T_rubida/S2/links/GO/Triru-83-GO.txt",1E-31)</f>
        <v>1.0000000000000001E-31</v>
      </c>
      <c r="BF113" t="s">
        <v>687</v>
      </c>
      <c r="BG113" t="s">
        <v>687</v>
      </c>
      <c r="BI113" s="2" t="str">
        <f>HYPERLINK("http://exon.niaid.nih.gov/transcriptome/T_rubida/S2/links/CDD/Triru-83-CDD.txt","p450")</f>
        <v>p450</v>
      </c>
      <c r="BJ113" t="str">
        <f>HYPERLINK("http://www.ncbi.nlm.nih.gov/Structure/cdd/cddsrv.cgi?uid=pfam00067&amp;version=v4.0","1E-033")</f>
        <v>1E-033</v>
      </c>
      <c r="BK113" t="s">
        <v>1162</v>
      </c>
      <c r="BL113" s="2" t="str">
        <f>HYPERLINK("http://exon.niaid.nih.gov/transcriptome/T_rubida/S2/links/KOG/Triru-83-KOG.txt","Cytochrome P450 CYP3/CYP5/CYP6/CYP9 subfamilies")</f>
        <v>Cytochrome P450 CYP3/CYP5/CYP6/CYP9 subfamilies</v>
      </c>
      <c r="BM113" t="str">
        <f>HYPERLINK("http://www.ncbi.nlm.nih.gov/COG/grace/shokog.cgi?KOG0158","7E-041")</f>
        <v>7E-041</v>
      </c>
      <c r="BN113" t="s">
        <v>196</v>
      </c>
      <c r="BO113" s="2" t="str">
        <f>HYPERLINK("http://exon.niaid.nih.gov/transcriptome/T_rubida/S2/links/PFAM/Triru-83-PFAM.txt","p450")</f>
        <v>p450</v>
      </c>
      <c r="BP113" t="str">
        <f>HYPERLINK("http://pfam.sanger.ac.uk/family?acc=PF00067","2E-034")</f>
        <v>2E-034</v>
      </c>
      <c r="BQ113" s="2" t="str">
        <f>HYPERLINK("http://exon.niaid.nih.gov/transcriptome/T_rubida/S2/links/SMART/Triru-83-SMART.txt","RasGEF")</f>
        <v>RasGEF</v>
      </c>
      <c r="BR113" t="str">
        <f>HYPERLINK("http://smart.embl-heidelberg.de/smart/do_annotation.pl?DOMAIN=RasGEF&amp;BLAST=DUMMY","0.056")</f>
        <v>0.056</v>
      </c>
      <c r="BS113" s="17">
        <f>HYPERLINK("http://exon.niaid.nih.gov/transcriptome/T_rubida/S2/links/cluster/Triru-pep-ext25-50-Sim-CLU1.txt", 1)</f>
        <v>1</v>
      </c>
      <c r="BT113" s="1">
        <f>HYPERLINK("http://exon.niaid.nih.gov/transcriptome/T_rubida/S2/links/cluster/Triru-pep-ext25-50-Sim-CLTL1.txt", 359)</f>
        <v>359</v>
      </c>
      <c r="BU113" s="17">
        <f>HYPERLINK("http://exon.niaid.nih.gov/transcriptome/T_rubida/S2/links/cluster/Triru-pep-ext30-50-Sim-CLU6.txt", 6)</f>
        <v>6</v>
      </c>
      <c r="BV113" s="1">
        <f>HYPERLINK("http://exon.niaid.nih.gov/transcriptome/T_rubida/S2/links/cluster/Triru-pep-ext30-50-Sim-CLTL6.txt", 3)</f>
        <v>3</v>
      </c>
      <c r="BW113" s="17">
        <f>HYPERLINK("http://exon.niaid.nih.gov/transcriptome/T_rubida/S2/links/cluster/Triru-pep-ext35-50-Sim-CLU6.txt", 6)</f>
        <v>6</v>
      </c>
      <c r="BX113" s="1">
        <f>HYPERLINK("http://exon.niaid.nih.gov/transcriptome/T_rubida/S2/links/cluster/Triru-pep-ext35-50-Sim-CLTL6.txt", 3)</f>
        <v>3</v>
      </c>
      <c r="BY113" s="17">
        <f>HYPERLINK("http://exon.niaid.nih.gov/transcriptome/T_rubida/S2/links/cluster/Triru-pep-ext40-50-Sim-CLU6.txt", 6)</f>
        <v>6</v>
      </c>
      <c r="BZ113" s="1">
        <f>HYPERLINK("http://exon.niaid.nih.gov/transcriptome/T_rubida/S2/links/cluster/Triru-pep-ext40-50-Sim-CLTL6.txt", 3)</f>
        <v>3</v>
      </c>
      <c r="CA113" s="17">
        <f>HYPERLINK("http://exon.niaid.nih.gov/transcriptome/T_rubida/S2/links/cluster/Triru-pep-ext45-50-Sim-CLU9.txt", 9)</f>
        <v>9</v>
      </c>
      <c r="CB113" s="1">
        <f>HYPERLINK("http://exon.niaid.nih.gov/transcriptome/T_rubida/S2/links/cluster/Triru-pep-ext45-50-Sim-CLTL9.txt", 2)</f>
        <v>2</v>
      </c>
      <c r="CC113" s="17">
        <f>HYPERLINK("http://exon.niaid.nih.gov/transcriptome/T_rubida/S2/links/cluster/Triru-pep-ext50-50-Sim-CLU9.txt", 9)</f>
        <v>9</v>
      </c>
      <c r="CD113" s="1">
        <f>HYPERLINK("http://exon.niaid.nih.gov/transcriptome/T_rubida/S2/links/cluster/Triru-pep-ext50-50-Sim-CLTL9.txt", 2)</f>
        <v>2</v>
      </c>
      <c r="CE113" s="17">
        <f>HYPERLINK("http://exon.niaid.nih.gov/transcriptome/T_rubida/S2/links/cluster/Triru-pep-ext55-50-Sim-CLU8.txt", 8)</f>
        <v>8</v>
      </c>
      <c r="CF113" s="1">
        <f>HYPERLINK("http://exon.niaid.nih.gov/transcriptome/T_rubida/S2/links/cluster/Triru-pep-ext55-50-Sim-CLTL8.txt", 2)</f>
        <v>2</v>
      </c>
      <c r="CG113" s="17">
        <f>HYPERLINK("http://exon.niaid.nih.gov/transcriptome/T_rubida/S2/links/cluster/Triru-pep-ext60-50-Sim-CLU9.txt", 9)</f>
        <v>9</v>
      </c>
      <c r="CH113" s="1">
        <f>HYPERLINK("http://exon.niaid.nih.gov/transcriptome/T_rubida/S2/links/cluster/Triru-pep-ext60-50-Sim-CLTL9.txt", 2)</f>
        <v>2</v>
      </c>
      <c r="CI113" s="17">
        <f>HYPERLINK("http://exon.niaid.nih.gov/transcriptome/T_rubida/S2/links/cluster/Triru-pep-ext65-50-Sim-CLU11.txt", 11)</f>
        <v>11</v>
      </c>
      <c r="CJ113" s="1">
        <f>HYPERLINK("http://exon.niaid.nih.gov/transcriptome/T_rubida/S2/links/cluster/Triru-pep-ext65-50-Sim-CLTL11.txt", 2)</f>
        <v>2</v>
      </c>
      <c r="CK113" s="17">
        <v>45</v>
      </c>
      <c r="CL113" s="1">
        <v>1</v>
      </c>
      <c r="CM113" s="17">
        <v>49</v>
      </c>
      <c r="CN113" s="1">
        <v>1</v>
      </c>
      <c r="CO113" s="17">
        <v>57</v>
      </c>
      <c r="CP113" s="1">
        <v>1</v>
      </c>
      <c r="CQ113" s="17">
        <v>67</v>
      </c>
      <c r="CR113" s="1">
        <v>1</v>
      </c>
      <c r="CS113" s="17">
        <v>72</v>
      </c>
      <c r="CT113" s="1">
        <v>1</v>
      </c>
      <c r="CU113" s="17">
        <v>81</v>
      </c>
      <c r="CV113" s="1">
        <v>1</v>
      </c>
    </row>
    <row r="114" spans="1:100">
      <c r="A114" t="str">
        <f>HYPERLINK("http://exon.niaid.nih.gov/transcriptome/T_rubida/S2/links/pep/Triru-627-pep.txt","Triru-627")</f>
        <v>Triru-627</v>
      </c>
      <c r="B114">
        <v>122</v>
      </c>
      <c r="C114" s="1" t="s">
        <v>6</v>
      </c>
      <c r="D114" s="1" t="s">
        <v>3</v>
      </c>
      <c r="E114" t="str">
        <f>HYPERLINK("http://exon.niaid.nih.gov/transcriptome/T_rubida/S2/links/cds/Triru-627-cds.txt","Triru-627")</f>
        <v>Triru-627</v>
      </c>
      <c r="F114">
        <v>369</v>
      </c>
      <c r="G114" s="2" t="s">
        <v>1602</v>
      </c>
      <c r="H114" s="1">
        <v>1</v>
      </c>
      <c r="I114" s="3" t="s">
        <v>1278</v>
      </c>
      <c r="J114" s="17" t="str">
        <f>HYPERLINK("http://exon.niaid.nih.gov/transcriptome/T_rubida/S2/links/Sigp/Triru-627-SigP.txt","CYT")</f>
        <v>CYT</v>
      </c>
      <c r="K114" t="s">
        <v>5</v>
      </c>
      <c r="L114" s="1">
        <v>13.704000000000001</v>
      </c>
      <c r="M114" s="1">
        <v>8.57</v>
      </c>
      <c r="P114" s="1">
        <v>3.9E-2</v>
      </c>
      <c r="Q114" s="1">
        <v>0.11600000000000001</v>
      </c>
      <c r="R114" s="1">
        <v>0.93899999999999995</v>
      </c>
      <c r="S114" s="17" t="s">
        <v>1346</v>
      </c>
      <c r="T114">
        <v>1</v>
      </c>
      <c r="U114" t="s">
        <v>1402</v>
      </c>
      <c r="V114" s="17">
        <v>0</v>
      </c>
      <c r="W114" t="s">
        <v>5</v>
      </c>
      <c r="X114" t="s">
        <v>5</v>
      </c>
      <c r="Y114" t="s">
        <v>5</v>
      </c>
      <c r="Z114" t="s">
        <v>5</v>
      </c>
      <c r="AA114" t="s">
        <v>5</v>
      </c>
      <c r="AB114" s="17" t="str">
        <f>HYPERLINK("http://exon.niaid.nih.gov/transcriptome/T_rubida/S2/links/netoglyc/TRIRU-627-netoglyc.txt","1")</f>
        <v>1</v>
      </c>
      <c r="AC114">
        <v>12.3</v>
      </c>
      <c r="AD114">
        <v>7.4</v>
      </c>
      <c r="AE114">
        <v>10.7</v>
      </c>
      <c r="AF114" s="17" t="s">
        <v>5</v>
      </c>
      <c r="AG114" s="2" t="str">
        <f>HYPERLINK("http://exon.niaid.nih.gov/transcriptome/T_rubida/S2/links/NR/Triru-627-NR.txt","cytochrome P450 9e2-like")</f>
        <v>cytochrome P450 9e2-like</v>
      </c>
      <c r="AH114" t="str">
        <f>HYPERLINK("http://www.ncbi.nlm.nih.gov/sutils/blink.cgi?pid=340710579","1E-023")</f>
        <v>1E-023</v>
      </c>
      <c r="AI114" t="str">
        <f>HYPERLINK("http://www.ncbi.nlm.nih.gov/protein/340710579","gi|340710579")</f>
        <v>gi|340710579</v>
      </c>
      <c r="AJ114">
        <v>112</v>
      </c>
      <c r="AK114">
        <v>116</v>
      </c>
      <c r="AL114">
        <v>496</v>
      </c>
      <c r="AM114">
        <v>47</v>
      </c>
      <c r="AN114">
        <v>24</v>
      </c>
      <c r="AO114" t="s">
        <v>265</v>
      </c>
      <c r="AP114" s="2" t="str">
        <f>HYPERLINK("http://exon.niaid.nih.gov/transcriptome/T_rubida/S2/links/SWISSP/Triru-627-SWISSP.txt","Cytochrome P450 3A31")</f>
        <v>Cytochrome P450 3A31</v>
      </c>
      <c r="AQ114" t="str">
        <f>HYPERLINK("http://www.uniprot.org/uniprot/O70537","7E-021")</f>
        <v>7E-021</v>
      </c>
      <c r="AR114" t="s">
        <v>618</v>
      </c>
      <c r="AS114">
        <v>99</v>
      </c>
      <c r="AT114">
        <v>109</v>
      </c>
      <c r="AU114">
        <v>501</v>
      </c>
      <c r="AV114">
        <v>40</v>
      </c>
      <c r="AW114">
        <v>22</v>
      </c>
      <c r="AX114">
        <v>66</v>
      </c>
      <c r="AY114">
        <v>3</v>
      </c>
      <c r="AZ114">
        <v>382</v>
      </c>
      <c r="BA114">
        <v>11</v>
      </c>
      <c r="BB114">
        <v>1</v>
      </c>
      <c r="BC114" t="s">
        <v>619</v>
      </c>
      <c r="BD114" s="2" t="s">
        <v>620</v>
      </c>
      <c r="BE114">
        <f>HYPERLINK("http://exon.niaid.nih.gov/transcriptome/T_rubida/S2/links/GO/Triru-627-GO.txt",0.0000000000000000008)</f>
        <v>7.9999999999999998E-19</v>
      </c>
      <c r="BF114" t="s">
        <v>621</v>
      </c>
      <c r="BG114" t="s">
        <v>77</v>
      </c>
      <c r="BH114" t="s">
        <v>193</v>
      </c>
      <c r="BI114" s="2" t="str">
        <f>HYPERLINK("http://exon.niaid.nih.gov/transcriptome/T_rubida/S2/links/CDD/Triru-627-CDD.txt","p450")</f>
        <v>p450</v>
      </c>
      <c r="BJ114" t="str">
        <f>HYPERLINK("http://www.ncbi.nlm.nih.gov/Structure/cdd/cddsrv.cgi?uid=pfam00067&amp;version=v4.0","4E-023")</f>
        <v>4E-023</v>
      </c>
      <c r="BK114" t="s">
        <v>622</v>
      </c>
      <c r="BL114" s="2" t="str">
        <f>HYPERLINK("http://exon.niaid.nih.gov/transcriptome/T_rubida/S2/links/KOG/Triru-627-KOG.txt","Cytochrome P450 CYP3/CYP5/CYP6/CYP9 subfamilies")</f>
        <v>Cytochrome P450 CYP3/CYP5/CYP6/CYP9 subfamilies</v>
      </c>
      <c r="BM114" t="str">
        <f>HYPERLINK("http://www.ncbi.nlm.nih.gov/COG/grace/shokog.cgi?KOG0158","2E-030")</f>
        <v>2E-030</v>
      </c>
      <c r="BN114" t="s">
        <v>196</v>
      </c>
      <c r="BO114" s="2" t="str">
        <f>HYPERLINK("http://exon.niaid.nih.gov/transcriptome/T_rubida/S2/links/PFAM/Triru-627-PFAM.txt","p450")</f>
        <v>p450</v>
      </c>
      <c r="BP114" t="str">
        <f>HYPERLINK("http://pfam.sanger.ac.uk/family?acc=PF00067","9E-024")</f>
        <v>9E-024</v>
      </c>
      <c r="BQ114" s="2" t="str">
        <f>HYPERLINK("http://exon.niaid.nih.gov/transcriptome/T_rubida/S2/links/SMART/Triru-627-SMART.txt","Alpha_L_fucos")</f>
        <v>Alpha_L_fucos</v>
      </c>
      <c r="BR114" t="str">
        <f>HYPERLINK("http://smart.embl-heidelberg.de/smart/do_annotation.pl?DOMAIN=Alpha_L_fucos&amp;BLAST=DUMMY","4.9")</f>
        <v>4.9</v>
      </c>
      <c r="BS114" s="17">
        <f>HYPERLINK("http://exon.niaid.nih.gov/transcriptome/T_rubida/S2/links/cluster/Triru-pep-ext25-50-Sim-CLU1.txt", 1)</f>
        <v>1</v>
      </c>
      <c r="BT114" s="1">
        <f>HYPERLINK("http://exon.niaid.nih.gov/transcriptome/T_rubida/S2/links/cluster/Triru-pep-ext25-50-Sim-CLTL1.txt", 359)</f>
        <v>359</v>
      </c>
      <c r="BU114" s="17">
        <f>HYPERLINK("http://exon.niaid.nih.gov/transcriptome/T_rubida/S2/links/cluster/Triru-pep-ext30-50-Sim-CLU6.txt", 6)</f>
        <v>6</v>
      </c>
      <c r="BV114" s="1">
        <f>HYPERLINK("http://exon.niaid.nih.gov/transcriptome/T_rubida/S2/links/cluster/Triru-pep-ext30-50-Sim-CLTL6.txt", 3)</f>
        <v>3</v>
      </c>
      <c r="BW114" s="17">
        <f>HYPERLINK("http://exon.niaid.nih.gov/transcriptome/T_rubida/S2/links/cluster/Triru-pep-ext35-50-Sim-CLU6.txt", 6)</f>
        <v>6</v>
      </c>
      <c r="BX114" s="1">
        <f>HYPERLINK("http://exon.niaid.nih.gov/transcriptome/T_rubida/S2/links/cluster/Triru-pep-ext35-50-Sim-CLTL6.txt", 3)</f>
        <v>3</v>
      </c>
      <c r="BY114" s="17">
        <f>HYPERLINK("http://exon.niaid.nih.gov/transcriptome/T_rubida/S2/links/cluster/Triru-pep-ext40-50-Sim-CLU6.txt", 6)</f>
        <v>6</v>
      </c>
      <c r="BZ114" s="1">
        <f>HYPERLINK("http://exon.niaid.nih.gov/transcriptome/T_rubida/S2/links/cluster/Triru-pep-ext40-50-Sim-CLTL6.txt", 3)</f>
        <v>3</v>
      </c>
      <c r="CA114" s="17">
        <v>417</v>
      </c>
      <c r="CB114" s="1">
        <v>1</v>
      </c>
      <c r="CC114" s="17">
        <v>432</v>
      </c>
      <c r="CD114" s="1">
        <v>1</v>
      </c>
      <c r="CE114" s="17">
        <v>448</v>
      </c>
      <c r="CF114" s="1">
        <v>1</v>
      </c>
      <c r="CG114" s="17">
        <v>455</v>
      </c>
      <c r="CH114" s="1">
        <v>1</v>
      </c>
      <c r="CI114" s="17">
        <v>469</v>
      </c>
      <c r="CJ114" s="1">
        <v>1</v>
      </c>
      <c r="CK114" s="17">
        <v>475</v>
      </c>
      <c r="CL114" s="1">
        <v>1</v>
      </c>
      <c r="CM114" s="17">
        <v>487</v>
      </c>
      <c r="CN114" s="1">
        <v>1</v>
      </c>
      <c r="CO114" s="17">
        <v>499</v>
      </c>
      <c r="CP114" s="1">
        <v>1</v>
      </c>
      <c r="CQ114" s="17">
        <v>509</v>
      </c>
      <c r="CR114" s="1">
        <v>1</v>
      </c>
      <c r="CS114" s="17">
        <v>522</v>
      </c>
      <c r="CT114" s="1">
        <v>1</v>
      </c>
      <c r="CU114" s="17">
        <v>535</v>
      </c>
      <c r="CV114" s="1">
        <v>1</v>
      </c>
    </row>
    <row r="115" spans="1:100">
      <c r="A115" t="str">
        <f>HYPERLINK("http://exon.niaid.nih.gov/transcriptome/T_rubida/S2/links/pep/Triru-474-pep.txt","Triru-474")</f>
        <v>Triru-474</v>
      </c>
      <c r="B115">
        <v>147</v>
      </c>
      <c r="C115" s="1" t="s">
        <v>10</v>
      </c>
      <c r="D115" s="1" t="s">
        <v>3</v>
      </c>
      <c r="E115" t="str">
        <f>HYPERLINK("http://exon.niaid.nih.gov/transcriptome/T_rubida/S2/links/cds/Triru-474-cds.txt","Triru-474")</f>
        <v>Triru-474</v>
      </c>
      <c r="F115">
        <v>444</v>
      </c>
      <c r="G115" s="2" t="s">
        <v>1603</v>
      </c>
      <c r="H115" s="1">
        <v>1</v>
      </c>
      <c r="I115" s="3" t="s">
        <v>1278</v>
      </c>
      <c r="J115" s="17" t="str">
        <f>HYPERLINK("http://exon.niaid.nih.gov/transcriptome/T_rubida/S2/links/Sigp/Triru-474-SigP.txt","CYT")</f>
        <v>CYT</v>
      </c>
      <c r="K115" t="s">
        <v>5</v>
      </c>
      <c r="L115" s="1">
        <v>16.338000000000001</v>
      </c>
      <c r="M115" s="1">
        <v>8.84</v>
      </c>
      <c r="P115" s="1">
        <v>0.09</v>
      </c>
      <c r="Q115" s="1">
        <v>0.104</v>
      </c>
      <c r="R115" s="1">
        <v>0.86799999999999999</v>
      </c>
      <c r="S115" s="17" t="s">
        <v>1346</v>
      </c>
      <c r="T115">
        <v>2</v>
      </c>
      <c r="U115" t="s">
        <v>1348</v>
      </c>
      <c r="V115" s="17">
        <v>0</v>
      </c>
      <c r="W115" t="s">
        <v>5</v>
      </c>
      <c r="X115" t="s">
        <v>5</v>
      </c>
      <c r="Y115" t="s">
        <v>5</v>
      </c>
      <c r="Z115" t="s">
        <v>5</v>
      </c>
      <c r="AA115" t="s">
        <v>5</v>
      </c>
      <c r="AB115" s="17" t="str">
        <f>HYPERLINK("http://exon.niaid.nih.gov/transcriptome/T_rubida/S2/links/netoglyc/TRIRU-474-netoglyc.txt","2")</f>
        <v>2</v>
      </c>
      <c r="AC115">
        <v>9.5</v>
      </c>
      <c r="AD115">
        <v>10.199999999999999</v>
      </c>
      <c r="AE115">
        <v>13.6</v>
      </c>
      <c r="AF115" s="17" t="s">
        <v>5</v>
      </c>
      <c r="AG115" s="2" t="str">
        <f>HYPERLINK("http://exon.niaid.nih.gov/transcriptome/T_rubida/S2/links/NR/Triru-474-NR.txt","Catalase, putative")</f>
        <v>Catalase, putative</v>
      </c>
      <c r="AH115" t="str">
        <f>HYPERLINK("http://www.ncbi.nlm.nih.gov/sutils/blink.cgi?pid=242014048","5E-050")</f>
        <v>5E-050</v>
      </c>
      <c r="AI115" t="str">
        <f>HYPERLINK("http://www.ncbi.nlm.nih.gov/protein/242014048","gi|242014048")</f>
        <v>gi|242014048</v>
      </c>
      <c r="AJ115">
        <v>200</v>
      </c>
      <c r="AK115">
        <v>108</v>
      </c>
      <c r="AL115">
        <v>491</v>
      </c>
      <c r="AM115">
        <v>81</v>
      </c>
      <c r="AN115">
        <v>22</v>
      </c>
      <c r="AO115" t="s">
        <v>54</v>
      </c>
      <c r="AP115" s="2" t="str">
        <f>HYPERLINK("http://exon.niaid.nih.gov/transcriptome/T_rubida/S2/links/SWISSP/Triru-474-SWISSP.txt","Catalase")</f>
        <v>Catalase</v>
      </c>
      <c r="AQ115" t="str">
        <f>HYPERLINK("http://www.uniprot.org/uniprot/P17336","1E-048")</f>
        <v>1E-048</v>
      </c>
      <c r="AR115" t="s">
        <v>1003</v>
      </c>
      <c r="AS115">
        <v>191</v>
      </c>
      <c r="AT115">
        <v>105</v>
      </c>
      <c r="AU115">
        <v>506</v>
      </c>
      <c r="AV115">
        <v>81</v>
      </c>
      <c r="AW115">
        <v>21</v>
      </c>
      <c r="AX115">
        <v>20</v>
      </c>
      <c r="AY115">
        <v>0</v>
      </c>
      <c r="AZ115">
        <v>305</v>
      </c>
      <c r="BA115">
        <v>4</v>
      </c>
      <c r="BB115">
        <v>1</v>
      </c>
      <c r="BC115" t="s">
        <v>150</v>
      </c>
      <c r="BD115" s="2" t="s">
        <v>1004</v>
      </c>
      <c r="BE115">
        <f>HYPERLINK("http://exon.niaid.nih.gov/transcriptome/T_rubida/S2/links/GO/Triru-474-GO.txt",8E-49)</f>
        <v>7.9999999999999995E-49</v>
      </c>
      <c r="BF115" t="s">
        <v>1918</v>
      </c>
      <c r="BG115" t="s">
        <v>77</v>
      </c>
      <c r="BH115" t="s">
        <v>193</v>
      </c>
      <c r="BI115" s="2" t="str">
        <f>HYPERLINK("http://exon.niaid.nih.gov/transcriptome/T_rubida/S2/links/CDD/Triru-474-CDD.txt","catalase_clade_")</f>
        <v>catalase_clade_</v>
      </c>
      <c r="BJ115" t="str">
        <f>HYPERLINK("http://www.ncbi.nlm.nih.gov/Structure/cdd/cddsrv.cgi?uid=cd08156&amp;version=v4.0","7E-060")</f>
        <v>7E-060</v>
      </c>
      <c r="BK115" t="s">
        <v>1005</v>
      </c>
      <c r="BL115" s="2" t="str">
        <f>HYPERLINK("http://exon.niaid.nih.gov/transcriptome/T_rubida/S2/links/KOG/Triru-474-KOG.txt","Catalase")</f>
        <v>Catalase</v>
      </c>
      <c r="BM115" t="str">
        <f>HYPERLINK("http://www.ncbi.nlm.nih.gov/COG/grace/shokog.cgi?KOG0047","4E-052")</f>
        <v>4E-052</v>
      </c>
      <c r="BN115" t="s">
        <v>117</v>
      </c>
      <c r="BO115" s="2" t="str">
        <f>HYPERLINK("http://exon.niaid.nih.gov/transcriptome/T_rubida/S2/links/PFAM/Triru-474-PFAM.txt","Catalase")</f>
        <v>Catalase</v>
      </c>
      <c r="BP115" t="str">
        <f>HYPERLINK("http://pfam.sanger.ac.uk/family?acc=PF00199","6E-046")</f>
        <v>6E-046</v>
      </c>
      <c r="BQ115" s="2" t="str">
        <f>HYPERLINK("http://exon.niaid.nih.gov/transcriptome/T_rubida/S2/links/SMART/Triru-474-SMART.txt","HDAC_interact")</f>
        <v>HDAC_interact</v>
      </c>
      <c r="BR115" t="str">
        <f>HYPERLINK("http://smart.embl-heidelberg.de/smart/do_annotation.pl?DOMAIN=HDAC_interact&amp;BLAST=DUMMY","0.44")</f>
        <v>0.44</v>
      </c>
      <c r="BS115" s="17">
        <v>143</v>
      </c>
      <c r="BT115" s="1">
        <v>1</v>
      </c>
      <c r="BU115" s="17">
        <v>212</v>
      </c>
      <c r="BV115" s="1">
        <v>1</v>
      </c>
      <c r="BW115" s="17">
        <v>275</v>
      </c>
      <c r="BX115" s="1">
        <v>1</v>
      </c>
      <c r="BY115" s="17">
        <v>297</v>
      </c>
      <c r="BZ115" s="1">
        <v>1</v>
      </c>
      <c r="CA115" s="17">
        <v>307</v>
      </c>
      <c r="CB115" s="1">
        <v>1</v>
      </c>
      <c r="CC115" s="17">
        <v>318</v>
      </c>
      <c r="CD115" s="1">
        <v>1</v>
      </c>
      <c r="CE115" s="17">
        <v>329</v>
      </c>
      <c r="CF115" s="1">
        <v>1</v>
      </c>
      <c r="CG115" s="17">
        <v>334</v>
      </c>
      <c r="CH115" s="1">
        <v>1</v>
      </c>
      <c r="CI115" s="17">
        <v>345</v>
      </c>
      <c r="CJ115" s="1">
        <v>1</v>
      </c>
      <c r="CK115" s="17">
        <v>351</v>
      </c>
      <c r="CL115" s="1">
        <v>1</v>
      </c>
      <c r="CM115" s="17">
        <v>359</v>
      </c>
      <c r="CN115" s="1">
        <v>1</v>
      </c>
      <c r="CO115" s="17">
        <v>371</v>
      </c>
      <c r="CP115" s="1">
        <v>1</v>
      </c>
      <c r="CQ115" s="17">
        <v>381</v>
      </c>
      <c r="CR115" s="1">
        <v>1</v>
      </c>
      <c r="CS115" s="17">
        <v>394</v>
      </c>
      <c r="CT115" s="1">
        <v>1</v>
      </c>
      <c r="CU115" s="17">
        <v>405</v>
      </c>
      <c r="CV115" s="1">
        <v>1</v>
      </c>
    </row>
    <row r="116" spans="1:100">
      <c r="A116" t="str">
        <f>HYPERLINK("http://exon.niaid.nih.gov/transcriptome/T_rubida/S2/links/pep/Triru-147-pep.txt","Triru-147")</f>
        <v>Triru-147</v>
      </c>
      <c r="B116">
        <v>32</v>
      </c>
      <c r="C116" s="1" t="s">
        <v>6</v>
      </c>
      <c r="D116" s="1" t="s">
        <v>3</v>
      </c>
      <c r="E116" t="str">
        <f>HYPERLINK("http://exon.niaid.nih.gov/transcriptome/T_rubida/S2/links/cds/Triru-147-cds.txt","Triru-147")</f>
        <v>Triru-147</v>
      </c>
      <c r="F116">
        <v>99</v>
      </c>
      <c r="G116" s="2" t="s">
        <v>1604</v>
      </c>
      <c r="H116" s="1">
        <v>2</v>
      </c>
      <c r="I116" s="3" t="s">
        <v>1278</v>
      </c>
      <c r="J116" s="17" t="str">
        <f>HYPERLINK("http://exon.niaid.nih.gov/transcriptome/T_rubida/S2/links/Sigp/Triru-147-SigP.txt","CYT")</f>
        <v>CYT</v>
      </c>
      <c r="K116" t="s">
        <v>5</v>
      </c>
      <c r="L116" s="1">
        <v>3.085</v>
      </c>
      <c r="M116" s="1">
        <v>8.18</v>
      </c>
      <c r="P116" s="1">
        <v>5.7000000000000002E-2</v>
      </c>
      <c r="Q116" s="1">
        <v>4.9000000000000002E-2</v>
      </c>
      <c r="R116" s="1">
        <v>0.95699999999999996</v>
      </c>
      <c r="S116" s="17" t="s">
        <v>1346</v>
      </c>
      <c r="T116">
        <v>1</v>
      </c>
      <c r="U116" t="s">
        <v>1403</v>
      </c>
      <c r="V116" s="17">
        <v>0</v>
      </c>
      <c r="W116" t="s">
        <v>5</v>
      </c>
      <c r="X116" t="s">
        <v>5</v>
      </c>
      <c r="Y116" t="s">
        <v>5</v>
      </c>
      <c r="Z116" t="s">
        <v>5</v>
      </c>
      <c r="AA116" t="s">
        <v>5</v>
      </c>
      <c r="AB116" s="17" t="str">
        <f>HYPERLINK("http://exon.niaid.nih.gov/transcriptome/T_rubida/S2/links/netoglyc/TRIRU-147-netoglyc.txt","0")</f>
        <v>0</v>
      </c>
      <c r="AC116">
        <v>12.5</v>
      </c>
      <c r="AD116">
        <v>25</v>
      </c>
      <c r="AE116" t="s">
        <v>1394</v>
      </c>
      <c r="AF116" s="17" t="s">
        <v>5</v>
      </c>
      <c r="AG116" s="2" t="str">
        <f>HYPERLINK("http://exon.niaid.nih.gov/transcriptome/T_rubida/S2/links/NR/Triru-147-NR.txt","superoxide dismutase")</f>
        <v>superoxide dismutase</v>
      </c>
      <c r="AH116" t="str">
        <f>HYPERLINK("http://www.ncbi.nlm.nih.gov/sutils/blink.cgi?pid=149898934","1E-009")</f>
        <v>1E-009</v>
      </c>
      <c r="AI116" t="str">
        <f>HYPERLINK("http://www.ncbi.nlm.nih.gov/protein/149898934","gi|149898934")</f>
        <v>gi|149898934</v>
      </c>
      <c r="AJ116">
        <v>66.599999999999994</v>
      </c>
      <c r="AK116">
        <v>30</v>
      </c>
      <c r="AL116">
        <v>154</v>
      </c>
      <c r="AM116">
        <v>100</v>
      </c>
      <c r="AN116">
        <v>20</v>
      </c>
      <c r="AO116" t="s">
        <v>80</v>
      </c>
      <c r="AP116" s="2" t="str">
        <f>HYPERLINK("http://exon.niaid.nih.gov/transcriptome/T_rubida/S2/links/SWISSP/Triru-147-SWISSP.txt","Superoxide dismutase")</f>
        <v>Superoxide dismutase</v>
      </c>
      <c r="AQ116" t="str">
        <f>HYPERLINK("http://www.uniprot.org/uniprot/P28755","2E-009")</f>
        <v>2E-009</v>
      </c>
      <c r="AR116" t="s">
        <v>421</v>
      </c>
      <c r="AS116">
        <v>61.2</v>
      </c>
      <c r="AT116">
        <v>29</v>
      </c>
      <c r="AU116">
        <v>153</v>
      </c>
      <c r="AV116">
        <v>93</v>
      </c>
      <c r="AW116">
        <v>20</v>
      </c>
      <c r="AX116">
        <v>2</v>
      </c>
      <c r="AY116">
        <v>0</v>
      </c>
      <c r="AZ116">
        <v>123</v>
      </c>
      <c r="BA116">
        <v>2</v>
      </c>
      <c r="BB116">
        <v>1</v>
      </c>
      <c r="BC116" t="s">
        <v>422</v>
      </c>
      <c r="BD116" s="2" t="s">
        <v>423</v>
      </c>
      <c r="BE116">
        <f>HYPERLINK("http://exon.niaid.nih.gov/transcriptome/T_rubida/S2/links/GO/Triru-147-GO.txt",0.00000001)</f>
        <v>1E-8</v>
      </c>
      <c r="BF116" t="s">
        <v>424</v>
      </c>
      <c r="BG116" t="s">
        <v>153</v>
      </c>
      <c r="BH116" t="s">
        <v>293</v>
      </c>
      <c r="BI116" s="2" t="str">
        <f>HYPERLINK("http://exon.niaid.nih.gov/transcriptome/T_rubida/S2/links/CDD/Triru-147-CDD.txt","PLN02386")</f>
        <v>PLN02386</v>
      </c>
      <c r="BJ116" t="str">
        <f>HYPERLINK("http://www.ncbi.nlm.nih.gov/Structure/cdd/cddsrv.cgi?uid=PLN02386&amp;version=v4.0","5E-006")</f>
        <v>5E-006</v>
      </c>
      <c r="BK116" t="s">
        <v>425</v>
      </c>
      <c r="BL116" s="2" t="str">
        <f>HYPERLINK("http://exon.niaid.nih.gov/transcriptome/T_rubida/S2/links/KOG/Triru-147-KOG.txt","Cu2+/Zn2+ superoxide dismutase SOD1")</f>
        <v>Cu2+/Zn2+ superoxide dismutase SOD1</v>
      </c>
      <c r="BM116" t="str">
        <f>HYPERLINK("http://www.ncbi.nlm.nih.gov/COG/grace/shokog.cgi?KOG0441","5E-006")</f>
        <v>5E-006</v>
      </c>
      <c r="BN116" t="s">
        <v>117</v>
      </c>
      <c r="BO116" s="2" t="str">
        <f>HYPERLINK("http://exon.niaid.nih.gov/transcriptome/T_rubida/S2/links/PFAM/Triru-147-PFAM.txt","Sod_Cu")</f>
        <v>Sod_Cu</v>
      </c>
      <c r="BP116" t="str">
        <f>HYPERLINK("http://pfam.sanger.ac.uk/family?acc=PF00080","0.007")</f>
        <v>0.007</v>
      </c>
      <c r="BQ116" s="2" t="str">
        <f>HYPERLINK("http://exon.niaid.nih.gov/transcriptome/T_rubida/S2/links/SMART/Triru-147-SMART.txt","PD")</f>
        <v>PD</v>
      </c>
      <c r="BR116" t="str">
        <f>HYPERLINK("http://smart.embl-heidelberg.de/smart/do_annotation.pl?DOMAIN=PD&amp;BLAST=DUMMY","2.8")</f>
        <v>2.8</v>
      </c>
      <c r="BS116" s="17">
        <f>HYPERLINK("http://exon.niaid.nih.gov/transcriptome/T_rubida/S2/links/cluster/Triru-pep-ext25-50-Sim-CLU15.txt", 15)</f>
        <v>15</v>
      </c>
      <c r="BT116" s="1">
        <f>HYPERLINK("http://exon.niaid.nih.gov/transcriptome/T_rubida/S2/links/cluster/Triru-pep-ext25-50-Sim-CLTL15.txt", 2)</f>
        <v>2</v>
      </c>
      <c r="BU116" s="17">
        <v>83</v>
      </c>
      <c r="BV116" s="1">
        <v>1</v>
      </c>
      <c r="BW116" s="17">
        <v>90</v>
      </c>
      <c r="BX116" s="1">
        <v>1</v>
      </c>
      <c r="BY116" s="17">
        <v>92</v>
      </c>
      <c r="BZ116" s="1">
        <v>1</v>
      </c>
      <c r="CA116" s="17">
        <v>90</v>
      </c>
      <c r="CB116" s="1">
        <v>1</v>
      </c>
      <c r="CC116" s="17">
        <v>89</v>
      </c>
      <c r="CD116" s="1">
        <v>1</v>
      </c>
      <c r="CE116" s="17">
        <v>83</v>
      </c>
      <c r="CF116" s="1">
        <v>1</v>
      </c>
      <c r="CG116" s="17">
        <v>83</v>
      </c>
      <c r="CH116" s="1">
        <v>1</v>
      </c>
      <c r="CI116" s="17">
        <v>89</v>
      </c>
      <c r="CJ116" s="1">
        <v>1</v>
      </c>
      <c r="CK116" s="17">
        <v>93</v>
      </c>
      <c r="CL116" s="1">
        <v>1</v>
      </c>
      <c r="CM116" s="17">
        <v>98</v>
      </c>
      <c r="CN116" s="1">
        <v>1</v>
      </c>
      <c r="CO116" s="17">
        <v>106</v>
      </c>
      <c r="CP116" s="1">
        <v>1</v>
      </c>
      <c r="CQ116" s="17">
        <v>116</v>
      </c>
      <c r="CR116" s="1">
        <v>1</v>
      </c>
      <c r="CS116" s="17">
        <v>121</v>
      </c>
      <c r="CT116" s="1">
        <v>1</v>
      </c>
      <c r="CU116" s="17">
        <v>132</v>
      </c>
      <c r="CV116" s="1">
        <v>1</v>
      </c>
    </row>
    <row r="117" spans="1:100">
      <c r="A117" t="str">
        <f>HYPERLINK("http://exon.niaid.nih.gov/transcriptome/T_rubida/S2/links/pep/Triru-467-pep.txt","Triru-467")</f>
        <v>Triru-467</v>
      </c>
      <c r="B117">
        <v>69</v>
      </c>
      <c r="C117" s="1" t="s">
        <v>10</v>
      </c>
      <c r="D117" s="1" t="s">
        <v>3</v>
      </c>
      <c r="E117" t="str">
        <f>HYPERLINK("http://exon.niaid.nih.gov/transcriptome/T_rubida/S2/links/cds/Triru-467-cds.txt","Triru-467")</f>
        <v>Triru-467</v>
      </c>
      <c r="F117">
        <v>210</v>
      </c>
      <c r="G117" s="2" t="s">
        <v>1605</v>
      </c>
      <c r="H117" s="1">
        <v>1</v>
      </c>
      <c r="I117" s="3" t="s">
        <v>1278</v>
      </c>
      <c r="J117" s="17" t="str">
        <f>HYPERLINK("http://exon.niaid.nih.gov/transcriptome/T_rubida/S2/links/Sigp/Triru-467-SigP.txt","SIG")</f>
        <v>SIG</v>
      </c>
      <c r="K117" t="s">
        <v>1314</v>
      </c>
      <c r="L117" s="1">
        <v>7.49</v>
      </c>
      <c r="M117" s="1">
        <v>9.5299999999999994</v>
      </c>
      <c r="N117" s="1">
        <v>3.9390000000000001</v>
      </c>
      <c r="O117" s="1">
        <v>6.67</v>
      </c>
      <c r="P117" s="1">
        <v>0.52800000000000002</v>
      </c>
      <c r="Q117" s="1">
        <v>0.219</v>
      </c>
      <c r="R117" s="1">
        <v>7.8E-2</v>
      </c>
      <c r="S117" s="17" t="s">
        <v>9</v>
      </c>
      <c r="T117">
        <v>4</v>
      </c>
      <c r="U117" t="s">
        <v>1404</v>
      </c>
      <c r="V117" s="17">
        <v>0</v>
      </c>
      <c r="W117" t="s">
        <v>5</v>
      </c>
      <c r="X117" t="s">
        <v>5</v>
      </c>
      <c r="Y117" t="s">
        <v>5</v>
      </c>
      <c r="Z117" t="s">
        <v>5</v>
      </c>
      <c r="AA117" t="s">
        <v>5</v>
      </c>
      <c r="AB117" s="17" t="str">
        <f>HYPERLINK("http://exon.niaid.nih.gov/transcriptome/T_rubida/S2/links/netoglyc/TRIRU-467-netoglyc.txt","0")</f>
        <v>0</v>
      </c>
      <c r="AC117">
        <v>15.9</v>
      </c>
      <c r="AD117">
        <v>5.8</v>
      </c>
      <c r="AE117">
        <v>8.6999999999999993</v>
      </c>
      <c r="AF117" s="17" t="s">
        <v>5</v>
      </c>
      <c r="AG117" s="2" t="str">
        <f>HYPERLINK("http://exon.niaid.nih.gov/transcriptome/T_rubida/S2/links/NR/Triru-467-NR.txt","cytochrome P450-like protein")</f>
        <v>cytochrome P450-like protein</v>
      </c>
      <c r="AH117" t="str">
        <f>HYPERLINK("http://www.ncbi.nlm.nih.gov/sutils/blink.cgi?pid=307095134","5E-021")</f>
        <v>5E-021</v>
      </c>
      <c r="AI117" t="str">
        <f>HYPERLINK("http://www.ncbi.nlm.nih.gov/protein/307095134","gi|307095134")</f>
        <v>gi|307095134</v>
      </c>
      <c r="AJ117">
        <v>104</v>
      </c>
      <c r="AK117">
        <v>65</v>
      </c>
      <c r="AL117">
        <v>504</v>
      </c>
      <c r="AM117">
        <v>75</v>
      </c>
      <c r="AN117">
        <v>13</v>
      </c>
      <c r="AO117" t="s">
        <v>120</v>
      </c>
      <c r="AP117" s="2" t="str">
        <f>HYPERLINK("http://exon.niaid.nih.gov/transcriptome/T_rubida/S2/links/SWISSP/Triru-467-SWISSP.txt","Probable cytochrome P450 6a19")</f>
        <v>Probable cytochrome P450 6a19</v>
      </c>
      <c r="AQ117" t="str">
        <f>HYPERLINK("http://www.uniprot.org/uniprot/P82711","2E-007")</f>
        <v>2E-007</v>
      </c>
      <c r="AR117" t="s">
        <v>953</v>
      </c>
      <c r="AS117">
        <v>54.3</v>
      </c>
      <c r="AT117">
        <v>63</v>
      </c>
      <c r="AU117">
        <v>503</v>
      </c>
      <c r="AV117">
        <v>35</v>
      </c>
      <c r="AW117">
        <v>13</v>
      </c>
      <c r="AX117">
        <v>41</v>
      </c>
      <c r="AY117">
        <v>0</v>
      </c>
      <c r="AZ117">
        <v>437</v>
      </c>
      <c r="BA117">
        <v>1</v>
      </c>
      <c r="BB117">
        <v>1</v>
      </c>
      <c r="BC117" t="s">
        <v>150</v>
      </c>
      <c r="BD117" s="2" t="s">
        <v>954</v>
      </c>
      <c r="BE117">
        <f>HYPERLINK("http://exon.niaid.nih.gov/transcriptome/T_rubida/S2/links/GO/Triru-467-GO.txt",0.0000001)</f>
        <v>9.9999999999999995E-8</v>
      </c>
      <c r="BF117" t="s">
        <v>687</v>
      </c>
      <c r="BG117" t="s">
        <v>687</v>
      </c>
      <c r="BI117" s="2" t="str">
        <f>HYPERLINK("http://exon.niaid.nih.gov/transcriptome/T_rubida/S2/links/CDD/Triru-467-CDD.txt","p450")</f>
        <v>p450</v>
      </c>
      <c r="BJ117" t="str">
        <f>HYPERLINK("http://www.ncbi.nlm.nih.gov/Structure/cdd/cddsrv.cgi?uid=pfam00067&amp;version=v4.0","3E-006")</f>
        <v>3E-006</v>
      </c>
      <c r="BK117" t="s">
        <v>955</v>
      </c>
      <c r="BL117" s="2" t="str">
        <f>HYPERLINK("http://exon.niaid.nih.gov/transcriptome/T_rubida/S2/links/KOG/Triru-467-KOG.txt","Cytochrome P450 CYP3/CYP5/CYP6/CYP9 subfamilies")</f>
        <v>Cytochrome P450 CYP3/CYP5/CYP6/CYP9 subfamilies</v>
      </c>
      <c r="BM117" t="str">
        <f>HYPERLINK("http://www.ncbi.nlm.nih.gov/COG/grace/shokog.cgi?KOG0158","3E-010")</f>
        <v>3E-010</v>
      </c>
      <c r="BN117" t="s">
        <v>196</v>
      </c>
      <c r="BO117" s="2" t="str">
        <f>HYPERLINK("http://exon.niaid.nih.gov/transcriptome/T_rubida/S2/links/PFAM/Triru-467-PFAM.txt","p450")</f>
        <v>p450</v>
      </c>
      <c r="BP117" t="str">
        <f>HYPERLINK("http://pfam.sanger.ac.uk/family?acc=PF00067","7E-007")</f>
        <v>7E-007</v>
      </c>
      <c r="BQ117" s="2" t="str">
        <f>HYPERLINK("http://exon.niaid.nih.gov/transcriptome/T_rubida/S2/links/SMART/Triru-467-SMART.txt","TyrKc")</f>
        <v>TyrKc</v>
      </c>
      <c r="BR117" t="str">
        <f>HYPERLINK("http://smart.embl-heidelberg.de/smart/do_annotation.pl?DOMAIN=TyrKc&amp;BLAST=DUMMY","2.9")</f>
        <v>2.9</v>
      </c>
      <c r="BS117" s="17">
        <f>HYPERLINK("http://exon.niaid.nih.gov/transcriptome/T_rubida/S2/links/cluster/Triru-pep-ext25-50-Sim-CLU1.txt", 1)</f>
        <v>1</v>
      </c>
      <c r="BT117" s="1">
        <f>HYPERLINK("http://exon.niaid.nih.gov/transcriptome/T_rubida/S2/links/cluster/Triru-pep-ext25-50-Sim-CLTL1.txt", 359)</f>
        <v>359</v>
      </c>
      <c r="BU117" s="17">
        <f>HYPERLINK("http://exon.niaid.nih.gov/transcriptome/T_rubida/S2/links/cluster/Triru-pep-ext30-50-Sim-CLU12.txt", 12)</f>
        <v>12</v>
      </c>
      <c r="BV117" s="1">
        <f>HYPERLINK("http://exon.niaid.nih.gov/transcriptome/T_rubida/S2/links/cluster/Triru-pep-ext30-50-Sim-CLTL12.txt", 3)</f>
        <v>3</v>
      </c>
      <c r="BW117" s="17">
        <v>270</v>
      </c>
      <c r="BX117" s="1">
        <v>1</v>
      </c>
      <c r="BY117" s="17">
        <v>292</v>
      </c>
      <c r="BZ117" s="1">
        <v>1</v>
      </c>
      <c r="CA117" s="17">
        <v>302</v>
      </c>
      <c r="CB117" s="1">
        <v>1</v>
      </c>
      <c r="CC117" s="17">
        <v>312</v>
      </c>
      <c r="CD117" s="1">
        <v>1</v>
      </c>
      <c r="CE117" s="17">
        <v>323</v>
      </c>
      <c r="CF117" s="1">
        <v>1</v>
      </c>
      <c r="CG117" s="17">
        <v>328</v>
      </c>
      <c r="CH117" s="1">
        <v>1</v>
      </c>
      <c r="CI117" s="17">
        <v>338</v>
      </c>
      <c r="CJ117" s="1">
        <v>1</v>
      </c>
      <c r="CK117" s="17">
        <v>344</v>
      </c>
      <c r="CL117" s="1">
        <v>1</v>
      </c>
      <c r="CM117" s="17">
        <v>352</v>
      </c>
      <c r="CN117" s="1">
        <v>1</v>
      </c>
      <c r="CO117" s="17">
        <v>364</v>
      </c>
      <c r="CP117" s="1">
        <v>1</v>
      </c>
      <c r="CQ117" s="17">
        <v>374</v>
      </c>
      <c r="CR117" s="1">
        <v>1</v>
      </c>
      <c r="CS117" s="17">
        <v>387</v>
      </c>
      <c r="CT117" s="1">
        <v>1</v>
      </c>
      <c r="CU117" s="17">
        <v>398</v>
      </c>
      <c r="CV117" s="1">
        <v>1</v>
      </c>
    </row>
    <row r="118" spans="1:100" s="4" customFormat="1">
      <c r="A118" s="16" t="s">
        <v>1300</v>
      </c>
      <c r="I118" s="5"/>
      <c r="P118" s="4" t="s">
        <v>5</v>
      </c>
      <c r="Q118" s="4" t="s">
        <v>5</v>
      </c>
      <c r="R118" s="4" t="s">
        <v>5</v>
      </c>
      <c r="S118" s="4" t="s">
        <v>5</v>
      </c>
      <c r="T118" s="4" t="s">
        <v>5</v>
      </c>
      <c r="U118" s="4" t="s">
        <v>5</v>
      </c>
      <c r="V118" s="4" t="s">
        <v>5</v>
      </c>
      <c r="W118" s="4" t="s">
        <v>5</v>
      </c>
      <c r="X118" s="4" t="s">
        <v>5</v>
      </c>
      <c r="Y118" s="4" t="s">
        <v>5</v>
      </c>
      <c r="Z118" s="4" t="s">
        <v>5</v>
      </c>
      <c r="AA118" s="4" t="s">
        <v>5</v>
      </c>
      <c r="AB118" s="4" t="s">
        <v>5</v>
      </c>
      <c r="AC118" s="4" t="s">
        <v>5</v>
      </c>
      <c r="AD118" s="4" t="s">
        <v>5</v>
      </c>
      <c r="AE118" s="4" t="s">
        <v>5</v>
      </c>
      <c r="AF118" s="4" t="s">
        <v>5</v>
      </c>
    </row>
    <row r="119" spans="1:100">
      <c r="A119" t="str">
        <f>HYPERLINK("http://exon.niaid.nih.gov/transcriptome/T_rubida/S2/links/pep/Triru-567-pep.txt","Triru-567")</f>
        <v>Triru-567</v>
      </c>
      <c r="B119">
        <v>72</v>
      </c>
      <c r="C119" s="1" t="s">
        <v>6</v>
      </c>
      <c r="D119" s="1" t="s">
        <v>3</v>
      </c>
      <c r="E119" t="str">
        <f>HYPERLINK("http://exon.niaid.nih.gov/transcriptome/T_rubida/S2/links/cds/Triru-567-cds.txt","Triru-567")</f>
        <v>Triru-567</v>
      </c>
      <c r="F119">
        <v>219</v>
      </c>
      <c r="G119" s="2" t="s">
        <v>1606</v>
      </c>
      <c r="H119" s="1">
        <v>1</v>
      </c>
      <c r="I119" s="3" t="s">
        <v>1281</v>
      </c>
      <c r="J119" s="17" t="str">
        <f>HYPERLINK("http://exon.niaid.nih.gov/transcriptome/T_rubida/S2/links/Sigp/Triru-567-SigP.txt","CYT")</f>
        <v>CYT</v>
      </c>
      <c r="K119" t="s">
        <v>5</v>
      </c>
      <c r="L119" s="1">
        <v>7.7690000000000001</v>
      </c>
      <c r="M119" s="1">
        <v>10.59</v>
      </c>
      <c r="P119" s="1">
        <v>9.1999999999999998E-2</v>
      </c>
      <c r="Q119" s="1">
        <v>9.2999999999999999E-2</v>
      </c>
      <c r="R119" s="1">
        <v>0.87</v>
      </c>
      <c r="S119" s="17" t="s">
        <v>1346</v>
      </c>
      <c r="T119">
        <v>2</v>
      </c>
      <c r="U119" t="s">
        <v>1348</v>
      </c>
      <c r="V119" s="17">
        <v>0</v>
      </c>
      <c r="W119" t="s">
        <v>5</v>
      </c>
      <c r="X119" t="s">
        <v>5</v>
      </c>
      <c r="Y119" t="s">
        <v>5</v>
      </c>
      <c r="Z119" t="s">
        <v>5</v>
      </c>
      <c r="AA119" t="s">
        <v>5</v>
      </c>
      <c r="AB119" s="17" t="str">
        <f>HYPERLINK("http://exon.niaid.nih.gov/transcriptome/T_rubida/S2/links/netoglyc/TRIRU-567-netoglyc.txt","1")</f>
        <v>1</v>
      </c>
      <c r="AC119">
        <v>12.5</v>
      </c>
      <c r="AD119">
        <v>6.9</v>
      </c>
      <c r="AE119">
        <v>1.4</v>
      </c>
      <c r="AF119" s="17" t="s">
        <v>5</v>
      </c>
      <c r="AG119" s="2" t="str">
        <f>HYPERLINK("http://exon.niaid.nih.gov/transcriptome/T_rubida/S2/links/NR/Triru-567-NR.txt","conserved hypothetical protein")</f>
        <v>conserved hypothetical protein</v>
      </c>
      <c r="AH119" t="str">
        <f>HYPERLINK("http://www.ncbi.nlm.nih.gov/sutils/blink.cgi?pid=242004839","5E-015")</f>
        <v>5E-015</v>
      </c>
      <c r="AI119" t="str">
        <f>HYPERLINK("http://www.ncbi.nlm.nih.gov/protein/242004839","gi|242004839")</f>
        <v>gi|242004839</v>
      </c>
      <c r="AJ119">
        <v>84.3</v>
      </c>
      <c r="AK119">
        <v>65</v>
      </c>
      <c r="AL119">
        <v>424</v>
      </c>
      <c r="AM119">
        <v>65</v>
      </c>
      <c r="AN119">
        <v>16</v>
      </c>
      <c r="AO119" t="s">
        <v>54</v>
      </c>
      <c r="AP119" s="2" t="str">
        <f>HYPERLINK("http://exon.niaid.nih.gov/transcriptome/T_rubida/S2/links/SWISSP/Triru-567-SWISSP.txt","Interferon-related developmental regulator 1")</f>
        <v>Interferon-related developmental regulator 1</v>
      </c>
      <c r="AQ119" t="str">
        <f>HYPERLINK("http://www.uniprot.org/uniprot/Q5S1U6","2E-008")</f>
        <v>2E-008</v>
      </c>
      <c r="AR119" t="s">
        <v>524</v>
      </c>
      <c r="AS119">
        <v>57.8</v>
      </c>
      <c r="AT119">
        <v>65</v>
      </c>
      <c r="AU119">
        <v>450</v>
      </c>
      <c r="AV119">
        <v>49</v>
      </c>
      <c r="AW119">
        <v>15</v>
      </c>
      <c r="AX119">
        <v>34</v>
      </c>
      <c r="AY119">
        <v>4</v>
      </c>
      <c r="AZ119">
        <v>381</v>
      </c>
      <c r="BA119">
        <v>6</v>
      </c>
      <c r="BB119">
        <v>1</v>
      </c>
      <c r="BC119" t="s">
        <v>220</v>
      </c>
      <c r="BD119" s="2" t="s">
        <v>525</v>
      </c>
      <c r="BE119">
        <f>HYPERLINK("http://exon.niaid.nih.gov/transcriptome/T_rubida/S2/links/GO/Triru-567-GO.txt",0.0000000000003)</f>
        <v>2.9999999999999998E-13</v>
      </c>
      <c r="BF119" t="s">
        <v>153</v>
      </c>
      <c r="BG119" t="s">
        <v>153</v>
      </c>
      <c r="BI119" s="2" t="str">
        <f>HYPERLINK("http://exon.niaid.nih.gov/transcriptome/T_rubida/S2/links/CDD/Triru-567-CDD.txt","IFRD_C")</f>
        <v>IFRD_C</v>
      </c>
      <c r="BJ119" t="str">
        <f>HYPERLINK("http://www.ncbi.nlm.nih.gov/Structure/cdd/cddsrv.cgi?uid=pfam04836&amp;version=v4.0","1E-010")</f>
        <v>1E-010</v>
      </c>
      <c r="BK119" t="s">
        <v>526</v>
      </c>
      <c r="BL119" s="2" t="str">
        <f>HYPERLINK("http://exon.niaid.nih.gov/transcriptome/T_rubida/S2/links/KOG/Triru-567-KOG.txt","Interferon-related protein PC4 like")</f>
        <v>Interferon-related protein PC4 like</v>
      </c>
      <c r="BM119" t="str">
        <f>HYPERLINK("http://www.ncbi.nlm.nih.gov/COG/grace/shokog.cgi?KOG2842","2E-012")</f>
        <v>2E-012</v>
      </c>
      <c r="BN119" t="s">
        <v>147</v>
      </c>
      <c r="BO119" s="2" t="str">
        <f>HYPERLINK("http://exon.niaid.nih.gov/transcriptome/T_rubida/S2/links/PFAM/Triru-567-PFAM.txt","IFRD_C")</f>
        <v>IFRD_C</v>
      </c>
      <c r="BP119" t="str">
        <f>HYPERLINK("http://pfam.sanger.ac.uk/family?acc=PF04836","2E-011")</f>
        <v>2E-011</v>
      </c>
      <c r="BQ119" s="2" t="str">
        <f>HYPERLINK("http://exon.niaid.nih.gov/transcriptome/T_rubida/S2/links/SMART/Triru-567-SMART.txt","AKAP_110")</f>
        <v>AKAP_110</v>
      </c>
      <c r="BR119" t="str">
        <f>HYPERLINK("http://smart.embl-heidelberg.de/smart/do_annotation.pl?DOMAIN=AKAP_110&amp;BLAST=DUMMY","0.45")</f>
        <v>0.45</v>
      </c>
      <c r="BS119" s="17">
        <f>HYPERLINK("http://exon.niaid.nih.gov/transcriptome/T_rubida/S2/links/cluster/Triru-pep-ext25-50-Sim-CLU1.txt", 1)</f>
        <v>1</v>
      </c>
      <c r="BT119" s="1">
        <f>HYPERLINK("http://exon.niaid.nih.gov/transcriptome/T_rubida/S2/links/cluster/Triru-pep-ext25-50-Sim-CLTL1.txt", 359)</f>
        <v>359</v>
      </c>
      <c r="BU119" s="17">
        <v>256</v>
      </c>
      <c r="BV119" s="1">
        <v>1</v>
      </c>
      <c r="BW119" s="17">
        <v>328</v>
      </c>
      <c r="BX119" s="1">
        <v>1</v>
      </c>
      <c r="BY119" s="17">
        <v>360</v>
      </c>
      <c r="BZ119" s="1">
        <v>1</v>
      </c>
      <c r="CA119" s="17">
        <v>374</v>
      </c>
      <c r="CB119" s="1">
        <v>1</v>
      </c>
      <c r="CC119" s="17">
        <v>387</v>
      </c>
      <c r="CD119" s="1">
        <v>1</v>
      </c>
      <c r="CE119" s="17">
        <v>402</v>
      </c>
      <c r="CF119" s="1">
        <v>1</v>
      </c>
      <c r="CG119" s="17">
        <v>408</v>
      </c>
      <c r="CH119" s="1">
        <v>1</v>
      </c>
      <c r="CI119" s="17">
        <v>420</v>
      </c>
      <c r="CJ119" s="1">
        <v>1</v>
      </c>
      <c r="CK119" s="17">
        <v>426</v>
      </c>
      <c r="CL119" s="1">
        <v>1</v>
      </c>
      <c r="CM119" s="17">
        <v>437</v>
      </c>
      <c r="CN119" s="1">
        <v>1</v>
      </c>
      <c r="CO119" s="17">
        <v>449</v>
      </c>
      <c r="CP119" s="1">
        <v>1</v>
      </c>
      <c r="CQ119" s="17">
        <v>459</v>
      </c>
      <c r="CR119" s="1">
        <v>1</v>
      </c>
      <c r="CS119" s="17">
        <v>472</v>
      </c>
      <c r="CT119" s="1">
        <v>1</v>
      </c>
      <c r="CU119" s="17">
        <v>484</v>
      </c>
      <c r="CV119" s="1">
        <v>1</v>
      </c>
    </row>
    <row r="120" spans="1:100" s="4" customFormat="1">
      <c r="A120" s="16" t="s">
        <v>1301</v>
      </c>
      <c r="I120" s="5"/>
      <c r="P120" s="4" t="s">
        <v>5</v>
      </c>
      <c r="Q120" s="4" t="s">
        <v>5</v>
      </c>
      <c r="R120" s="4" t="s">
        <v>5</v>
      </c>
      <c r="S120" s="4" t="s">
        <v>5</v>
      </c>
      <c r="T120" s="4" t="s">
        <v>5</v>
      </c>
      <c r="U120" s="4" t="s">
        <v>5</v>
      </c>
      <c r="V120" s="4" t="s">
        <v>5</v>
      </c>
      <c r="W120" s="4" t="s">
        <v>5</v>
      </c>
      <c r="X120" s="4" t="s">
        <v>5</v>
      </c>
      <c r="Y120" s="4" t="s">
        <v>5</v>
      </c>
      <c r="Z120" s="4" t="s">
        <v>5</v>
      </c>
      <c r="AA120" s="4" t="s">
        <v>5</v>
      </c>
      <c r="AB120" s="4" t="s">
        <v>5</v>
      </c>
      <c r="AC120" s="4" t="s">
        <v>5</v>
      </c>
      <c r="AD120" s="4" t="s">
        <v>5</v>
      </c>
      <c r="AE120" s="4" t="s">
        <v>5</v>
      </c>
      <c r="AF120" s="4" t="s">
        <v>5</v>
      </c>
    </row>
    <row r="121" spans="1:100">
      <c r="A121" t="str">
        <f>HYPERLINK("http://exon.niaid.nih.gov/transcriptome/T_rubida/S2/links/pep/Triru-511-pep.txt","Triru-511")</f>
        <v>Triru-511</v>
      </c>
      <c r="B121">
        <v>55</v>
      </c>
      <c r="C121" s="1" t="s">
        <v>6</v>
      </c>
      <c r="D121" s="1" t="s">
        <v>3</v>
      </c>
      <c r="E121" t="str">
        <f>HYPERLINK("http://exon.niaid.nih.gov/transcriptome/T_rubida/S2/links/cds/Triru-511-cds.txt","Triru-511")</f>
        <v>Triru-511</v>
      </c>
      <c r="F121">
        <v>168</v>
      </c>
      <c r="G121" s="2" t="s">
        <v>1607</v>
      </c>
      <c r="H121" s="1">
        <v>1</v>
      </c>
      <c r="I121" s="3" t="s">
        <v>1279</v>
      </c>
      <c r="J121" s="17" t="str">
        <f>HYPERLINK("http://exon.niaid.nih.gov/transcriptome/T_rubida/S2/links/Sigp/Triru-511-SigP.txt","CYT")</f>
        <v>CYT</v>
      </c>
      <c r="K121" t="s">
        <v>5</v>
      </c>
      <c r="L121" s="1">
        <v>5.891</v>
      </c>
      <c r="M121" s="1">
        <v>9.58</v>
      </c>
      <c r="P121" s="1">
        <v>0.13900000000000001</v>
      </c>
      <c r="Q121" s="1">
        <v>6.7000000000000004E-2</v>
      </c>
      <c r="R121" s="1">
        <v>0.81399999999999995</v>
      </c>
      <c r="S121" s="17" t="s">
        <v>1346</v>
      </c>
      <c r="T121">
        <v>2</v>
      </c>
      <c r="U121" t="s">
        <v>1348</v>
      </c>
      <c r="V121" s="17">
        <v>0</v>
      </c>
      <c r="W121" t="s">
        <v>5</v>
      </c>
      <c r="X121" t="s">
        <v>5</v>
      </c>
      <c r="Y121" t="s">
        <v>5</v>
      </c>
      <c r="Z121" t="s">
        <v>5</v>
      </c>
      <c r="AA121" t="s">
        <v>5</v>
      </c>
      <c r="AB121" s="17" t="str">
        <f>HYPERLINK("http://exon.niaid.nih.gov/transcriptome/T_rubida/S2/links/netoglyc/TRIRU-511-netoglyc.txt","1")</f>
        <v>1</v>
      </c>
      <c r="AC121">
        <v>16.399999999999999</v>
      </c>
      <c r="AD121">
        <v>7.3</v>
      </c>
      <c r="AE121">
        <v>10.9</v>
      </c>
      <c r="AF121" s="17" t="s">
        <v>5</v>
      </c>
      <c r="AG121" s="2" t="str">
        <f>HYPERLINK("http://exon.niaid.nih.gov/transcriptome/T_rubida/S2/links/NR/Triru-511-NR.txt","aminomethyltransferase, mitochondrial-like")</f>
        <v>aminomethyltransferase, mitochondrial-like</v>
      </c>
      <c r="AH121" t="str">
        <f>HYPERLINK("http://www.ncbi.nlm.nih.gov/sutils/blink.cgi?pid=328700383","4E-010")</f>
        <v>4E-010</v>
      </c>
      <c r="AI121" t="str">
        <f>HYPERLINK("http://www.ncbi.nlm.nih.gov/protein/328700383","gi|328700383")</f>
        <v>gi|328700383</v>
      </c>
      <c r="AJ121">
        <v>68.2</v>
      </c>
      <c r="AK121">
        <v>51</v>
      </c>
      <c r="AL121">
        <v>406</v>
      </c>
      <c r="AM121">
        <v>55</v>
      </c>
      <c r="AN121">
        <v>13</v>
      </c>
      <c r="AO121" t="s">
        <v>89</v>
      </c>
      <c r="AP121" s="2" t="str">
        <f>HYPERLINK("http://exon.niaid.nih.gov/transcriptome/T_rubida/S2/links/SWISSP/Triru-511-SWISSP.txt","Aminomethyltransferase, mitochondrial")</f>
        <v>Aminomethyltransferase, mitochondrial</v>
      </c>
      <c r="AQ121" t="str">
        <f>HYPERLINK("http://www.uniprot.org/uniprot/P28337","4E-009")</f>
        <v>4E-009</v>
      </c>
      <c r="AR121" t="s">
        <v>468</v>
      </c>
      <c r="AS121">
        <v>60.1</v>
      </c>
      <c r="AT121">
        <v>53</v>
      </c>
      <c r="AU121">
        <v>392</v>
      </c>
      <c r="AV121">
        <v>53</v>
      </c>
      <c r="AW121">
        <v>14</v>
      </c>
      <c r="AX121">
        <v>25</v>
      </c>
      <c r="AY121">
        <v>0</v>
      </c>
      <c r="AZ121">
        <v>339</v>
      </c>
      <c r="BA121">
        <v>1</v>
      </c>
      <c r="BB121">
        <v>1</v>
      </c>
      <c r="BC121" t="s">
        <v>122</v>
      </c>
      <c r="BD121" s="2" t="s">
        <v>469</v>
      </c>
      <c r="BE121">
        <f>HYPERLINK("http://exon.niaid.nih.gov/transcriptome/T_rubida/S2/links/GO/Triru-511-GO.txt",0.000000003)</f>
        <v>3E-9</v>
      </c>
      <c r="BF121" t="s">
        <v>1919</v>
      </c>
      <c r="BG121" t="s">
        <v>77</v>
      </c>
      <c r="BH121" t="s">
        <v>470</v>
      </c>
      <c r="BI121" s="2" t="str">
        <f>HYPERLINK("http://exon.niaid.nih.gov/transcriptome/T_rubida/S2/links/CDD/Triru-511-CDD.txt","gcvT")</f>
        <v>gcvT</v>
      </c>
      <c r="BJ121" t="str">
        <f>HYPERLINK("http://www.ncbi.nlm.nih.gov/Structure/cdd/cddsrv.cgi?uid=PRK13579&amp;version=v4.0","5E-011")</f>
        <v>5E-011</v>
      </c>
      <c r="BK121" t="s">
        <v>471</v>
      </c>
      <c r="BL121" s="2" t="str">
        <f>HYPERLINK("http://exon.niaid.nih.gov/transcriptome/T_rubida/S2/links/KOG/Triru-511-KOG.txt","Aminomethyl transferase")</f>
        <v>Aminomethyl transferase</v>
      </c>
      <c r="BM121" t="str">
        <f>HYPERLINK("http://www.ncbi.nlm.nih.gov/COG/grace/shokog.cgi?KOG2770","3E-012")</f>
        <v>3E-012</v>
      </c>
      <c r="BN121" t="s">
        <v>418</v>
      </c>
      <c r="BO121" s="2" t="str">
        <f>HYPERLINK("http://exon.niaid.nih.gov/transcriptome/T_rubida/S2/links/PFAM/Triru-511-PFAM.txt","GCV_T_C")</f>
        <v>GCV_T_C</v>
      </c>
      <c r="BP121" t="str">
        <f>HYPERLINK("http://pfam.sanger.ac.uk/family?acc=PF08669","4E-009")</f>
        <v>4E-009</v>
      </c>
      <c r="BQ121" s="2" t="str">
        <f>HYPERLINK("http://exon.niaid.nih.gov/transcriptome/T_rubida/S2/links/SMART/Triru-511-SMART.txt","LMWPc")</f>
        <v>LMWPc</v>
      </c>
      <c r="BR121" t="str">
        <f>HYPERLINK("http://smart.embl-heidelberg.de/smart/do_annotation.pl?DOMAIN=LMWPc&amp;BLAST=DUMMY","4.5")</f>
        <v>4.5</v>
      </c>
      <c r="BS121" s="17">
        <v>157</v>
      </c>
      <c r="BT121" s="1">
        <v>1</v>
      </c>
      <c r="BU121" s="17">
        <v>233</v>
      </c>
      <c r="BV121" s="1">
        <v>1</v>
      </c>
      <c r="BW121" s="17">
        <v>298</v>
      </c>
      <c r="BX121" s="1">
        <v>1</v>
      </c>
      <c r="BY121" s="17">
        <v>324</v>
      </c>
      <c r="BZ121" s="1">
        <v>1</v>
      </c>
      <c r="CA121" s="17">
        <v>335</v>
      </c>
      <c r="CB121" s="1">
        <v>1</v>
      </c>
      <c r="CC121" s="17">
        <v>347</v>
      </c>
      <c r="CD121" s="1">
        <v>1</v>
      </c>
      <c r="CE121" s="17">
        <v>359</v>
      </c>
      <c r="CF121" s="1">
        <v>1</v>
      </c>
      <c r="CG121" s="17">
        <v>365</v>
      </c>
      <c r="CH121" s="1">
        <v>1</v>
      </c>
      <c r="CI121" s="17">
        <v>377</v>
      </c>
      <c r="CJ121" s="1">
        <v>1</v>
      </c>
      <c r="CK121" s="17">
        <v>383</v>
      </c>
      <c r="CL121" s="1">
        <v>1</v>
      </c>
      <c r="CM121" s="17">
        <v>391</v>
      </c>
      <c r="CN121" s="1">
        <v>1</v>
      </c>
      <c r="CO121" s="17">
        <v>403</v>
      </c>
      <c r="CP121" s="1">
        <v>1</v>
      </c>
      <c r="CQ121" s="17">
        <v>413</v>
      </c>
      <c r="CR121" s="1">
        <v>1</v>
      </c>
      <c r="CS121" s="17">
        <v>426</v>
      </c>
      <c r="CT121" s="1">
        <v>1</v>
      </c>
      <c r="CU121" s="17">
        <v>437</v>
      </c>
      <c r="CV121" s="1">
        <v>1</v>
      </c>
    </row>
    <row r="122" spans="1:100" s="4" customFormat="1">
      <c r="A122" s="16" t="s">
        <v>1302</v>
      </c>
      <c r="I122" s="5"/>
      <c r="P122" s="4" t="s">
        <v>5</v>
      </c>
      <c r="Q122" s="4" t="s">
        <v>5</v>
      </c>
      <c r="R122" s="4" t="s">
        <v>5</v>
      </c>
      <c r="S122" s="4" t="s">
        <v>5</v>
      </c>
      <c r="T122" s="4" t="s">
        <v>5</v>
      </c>
      <c r="U122" s="4" t="s">
        <v>5</v>
      </c>
      <c r="V122" s="4" t="s">
        <v>5</v>
      </c>
      <c r="W122" s="4" t="s">
        <v>5</v>
      </c>
      <c r="X122" s="4" t="s">
        <v>5</v>
      </c>
      <c r="Y122" s="4" t="s">
        <v>5</v>
      </c>
      <c r="Z122" s="4" t="s">
        <v>5</v>
      </c>
      <c r="AA122" s="4" t="s">
        <v>5</v>
      </c>
      <c r="AB122" s="4" t="s">
        <v>5</v>
      </c>
      <c r="AC122" s="4" t="s">
        <v>5</v>
      </c>
      <c r="AD122" s="4" t="s">
        <v>5</v>
      </c>
      <c r="AE122" s="4" t="s">
        <v>5</v>
      </c>
      <c r="AF122" s="4" t="s">
        <v>5</v>
      </c>
    </row>
    <row r="123" spans="1:100">
      <c r="A123" t="str">
        <f>HYPERLINK("http://exon.niaid.nih.gov/transcriptome/T_rubida/S2/links/pep/Triru-458-pep.txt","Triru-458")</f>
        <v>Triru-458</v>
      </c>
      <c r="B123">
        <v>208</v>
      </c>
      <c r="C123" s="1" t="s">
        <v>9</v>
      </c>
      <c r="D123" s="1" t="s">
        <v>3</v>
      </c>
      <c r="E123" t="str">
        <f>HYPERLINK("http://exon.niaid.nih.gov/transcriptome/T_rubida/S2/links/cds/Triru-458-cds.txt","Triru-458")</f>
        <v>Triru-458</v>
      </c>
      <c r="F123">
        <v>627</v>
      </c>
      <c r="G123" s="2" t="s">
        <v>1608</v>
      </c>
      <c r="H123" s="1">
        <v>1</v>
      </c>
      <c r="I123" s="3" t="s">
        <v>1265</v>
      </c>
      <c r="J123" s="17" t="str">
        <f>HYPERLINK("http://exon.niaid.nih.gov/transcriptome/T_rubida/S2/links/Sigp/Triru-458-SigP.txt","BL/ANC")</f>
        <v>BL/ANC</v>
      </c>
      <c r="K123" t="s">
        <v>5</v>
      </c>
      <c r="L123" s="1">
        <v>23.34</v>
      </c>
      <c r="M123" s="1">
        <v>7.87</v>
      </c>
      <c r="P123" s="1">
        <v>0.16400000000000001</v>
      </c>
      <c r="Q123" s="1">
        <v>0.93899999999999995</v>
      </c>
      <c r="R123" s="1">
        <v>1.4999999999999999E-2</v>
      </c>
      <c r="S123" s="17" t="s">
        <v>18</v>
      </c>
      <c r="T123">
        <v>2</v>
      </c>
      <c r="U123" t="s">
        <v>1405</v>
      </c>
      <c r="V123" s="17" t="str">
        <f>HYPERLINK("http://exon.niaid.nih.gov/transcriptome/T_rubida/S2/links/tmhmm/TRIRU-458-tmhmm.txt","4")</f>
        <v>4</v>
      </c>
      <c r="W123">
        <v>40.9</v>
      </c>
      <c r="X123">
        <v>48.6</v>
      </c>
      <c r="Y123">
        <v>10.6</v>
      </c>
      <c r="Z123" t="s">
        <v>5</v>
      </c>
      <c r="AA123" t="s">
        <v>5</v>
      </c>
      <c r="AB123" s="17" t="str">
        <f>HYPERLINK("http://exon.niaid.nih.gov/transcriptome/T_rubida/S2/links/netoglyc/TRIRU-458-netoglyc.txt","0")</f>
        <v>0</v>
      </c>
      <c r="AC123">
        <v>18.3</v>
      </c>
      <c r="AD123">
        <v>3.8</v>
      </c>
      <c r="AE123">
        <v>5.3</v>
      </c>
      <c r="AF123" s="17" t="s">
        <v>5</v>
      </c>
      <c r="AG123" s="2" t="str">
        <f>HYPERLINK("http://exon.niaid.nih.gov/transcriptome/T_rubida/S2/links/NR/Triru-458-NR.txt","truncated ATPase subunit 6")</f>
        <v>truncated ATPase subunit 6</v>
      </c>
      <c r="AH123" t="str">
        <f>HYPERLINK("http://www.ncbi.nlm.nih.gov/sutils/blink.cgi?pid=149898887","5E-091")</f>
        <v>5E-091</v>
      </c>
      <c r="AI123" t="str">
        <f>HYPERLINK("http://www.ncbi.nlm.nih.gov/protein/149898887","gi|149898887")</f>
        <v>gi|149898887</v>
      </c>
      <c r="AJ123">
        <v>337</v>
      </c>
      <c r="AK123">
        <v>206</v>
      </c>
      <c r="AL123">
        <v>222</v>
      </c>
      <c r="AM123">
        <v>77</v>
      </c>
      <c r="AN123">
        <v>93</v>
      </c>
      <c r="AO123" t="s">
        <v>80</v>
      </c>
      <c r="AP123" s="2" t="str">
        <f>HYPERLINK("http://exon.niaid.nih.gov/transcriptome/T_rubida/S2/links/SWISSP/Triru-458-SWISSP.txt","ATP synthase subunit a")</f>
        <v>ATP synthase subunit a</v>
      </c>
      <c r="AQ123" t="str">
        <f>HYPERLINK("http://www.uniprot.org/uniprot/P00851","3E-073")</f>
        <v>3E-073</v>
      </c>
      <c r="AR123" t="s">
        <v>862</v>
      </c>
      <c r="AS123">
        <v>274</v>
      </c>
      <c r="AT123">
        <v>207</v>
      </c>
      <c r="AU123">
        <v>224</v>
      </c>
      <c r="AV123">
        <v>62</v>
      </c>
      <c r="AW123">
        <v>93</v>
      </c>
      <c r="AX123">
        <v>77</v>
      </c>
      <c r="AY123">
        <v>2</v>
      </c>
      <c r="AZ123">
        <v>16</v>
      </c>
      <c r="BA123">
        <v>2</v>
      </c>
      <c r="BB123">
        <v>1</v>
      </c>
      <c r="BC123" t="s">
        <v>67</v>
      </c>
      <c r="BD123" s="2" t="s">
        <v>863</v>
      </c>
      <c r="BE123">
        <f>HYPERLINK("http://exon.niaid.nih.gov/transcriptome/T_rubida/S2/links/GO/Triru-458-GO.txt",1E-72)</f>
        <v>9.9999999999999997E-73</v>
      </c>
      <c r="BF123" t="s">
        <v>1920</v>
      </c>
      <c r="BG123" t="s">
        <v>77</v>
      </c>
      <c r="BH123" t="s">
        <v>590</v>
      </c>
      <c r="BI123" s="2" t="str">
        <f>HYPERLINK("http://exon.niaid.nih.gov/transcriptome/T_rubida/S2/links/CDD/Triru-458-CDD.txt","ATP6")</f>
        <v>ATP6</v>
      </c>
      <c r="BJ123" t="str">
        <f>HYPERLINK("http://www.ncbi.nlm.nih.gov/Structure/cdd/cddsrv.cgi?uid=MTH00157&amp;version=v4.0","3E-071")</f>
        <v>3E-071</v>
      </c>
      <c r="BK123" t="s">
        <v>864</v>
      </c>
      <c r="BL123" s="2" t="str">
        <f>HYPERLINK("http://exon.niaid.nih.gov/transcriptome/T_rubida/S2/links/KOG/Triru-458-KOG.txt","ATP synthase F0 subunit 6 and related proteins")</f>
        <v>ATP synthase F0 subunit 6 and related proteins</v>
      </c>
      <c r="BM123" t="str">
        <f>HYPERLINK("http://www.ncbi.nlm.nih.gov/COG/grace/shokog.cgi?KOG4665","3E-031")</f>
        <v>3E-031</v>
      </c>
      <c r="BN123" t="s">
        <v>65</v>
      </c>
      <c r="BO123" s="2" t="str">
        <f>HYPERLINK("http://exon.niaid.nih.gov/transcriptome/T_rubida/S2/links/PFAM/Triru-458-PFAM.txt","ATP-synt_A")</f>
        <v>ATP-synt_A</v>
      </c>
      <c r="BP123" t="str">
        <f>HYPERLINK("http://pfam.sanger.ac.uk/family?acc=PF00119","8E-034")</f>
        <v>8E-034</v>
      </c>
      <c r="BQ123" s="2" t="str">
        <f>HYPERLINK("http://exon.niaid.nih.gov/transcriptome/T_rubida/S2/links/SMART/Triru-458-SMART.txt","C1Q")</f>
        <v>C1Q</v>
      </c>
      <c r="BR123" t="str">
        <f>HYPERLINK("http://smart.embl-heidelberg.de/smart/do_annotation.pl?DOMAIN=C1Q&amp;BLAST=DUMMY","1.7")</f>
        <v>1.7</v>
      </c>
      <c r="BS123" s="17">
        <v>35</v>
      </c>
      <c r="BT123" s="1">
        <v>1</v>
      </c>
      <c r="BU123" s="17">
        <v>48</v>
      </c>
      <c r="BV123" s="1">
        <v>1</v>
      </c>
      <c r="BW123" s="17">
        <v>48</v>
      </c>
      <c r="BX123" s="1">
        <v>1</v>
      </c>
      <c r="BY123" s="17">
        <v>44</v>
      </c>
      <c r="BZ123" s="1">
        <v>1</v>
      </c>
      <c r="CA123" s="17">
        <v>41</v>
      </c>
      <c r="CB123" s="1">
        <v>1</v>
      </c>
      <c r="CC123" s="17">
        <v>39</v>
      </c>
      <c r="CD123" s="1">
        <v>1</v>
      </c>
      <c r="CE123" s="17">
        <v>32</v>
      </c>
      <c r="CF123" s="1">
        <v>1</v>
      </c>
      <c r="CG123" s="17">
        <v>31</v>
      </c>
      <c r="CH123" s="1">
        <v>1</v>
      </c>
      <c r="CI123" s="17">
        <v>29</v>
      </c>
      <c r="CJ123" s="1">
        <v>1</v>
      </c>
      <c r="CK123" s="17">
        <v>29</v>
      </c>
      <c r="CL123" s="1">
        <v>1</v>
      </c>
      <c r="CM123" s="17">
        <v>29</v>
      </c>
      <c r="CN123" s="1">
        <v>1</v>
      </c>
      <c r="CO123" s="17">
        <v>26</v>
      </c>
      <c r="CP123" s="1">
        <v>1</v>
      </c>
      <c r="CQ123" s="17">
        <v>26</v>
      </c>
      <c r="CR123" s="1">
        <v>1</v>
      </c>
      <c r="CS123" s="17">
        <v>23</v>
      </c>
      <c r="CT123" s="1">
        <v>1</v>
      </c>
      <c r="CU123" s="17">
        <v>19</v>
      </c>
      <c r="CV123" s="1">
        <v>1</v>
      </c>
    </row>
    <row r="124" spans="1:100">
      <c r="A124" t="str">
        <f>HYPERLINK("http://exon.niaid.nih.gov/transcriptome/T_rubida/S2/links/pep/Triru-104-pep.txt","Triru-104")</f>
        <v>Triru-104</v>
      </c>
      <c r="B124">
        <v>251</v>
      </c>
      <c r="C124" s="1" t="s">
        <v>4</v>
      </c>
      <c r="D124" s="1" t="s">
        <v>5</v>
      </c>
      <c r="E124" t="str">
        <f>HYPERLINK("http://exon.niaid.nih.gov/transcriptome/T_rubida/S2/links/cds/Triru-104-cds.txt","Triru-104")</f>
        <v>Triru-104</v>
      </c>
      <c r="F124">
        <v>750</v>
      </c>
      <c r="G124" s="2" t="s">
        <v>1609</v>
      </c>
      <c r="H124" s="1">
        <v>5</v>
      </c>
      <c r="I124" s="3" t="s">
        <v>1265</v>
      </c>
      <c r="J124" s="17" t="str">
        <f>HYPERLINK("http://exon.niaid.nih.gov/transcriptome/T_rubida/S2/links/Sigp/Triru-104-SigP.txt","CYT")</f>
        <v>CYT</v>
      </c>
      <c r="K124" t="s">
        <v>5</v>
      </c>
      <c r="L124" s="1">
        <v>29.07</v>
      </c>
      <c r="M124" s="1">
        <v>7.96</v>
      </c>
      <c r="P124" s="1">
        <v>0.01</v>
      </c>
      <c r="Q124" s="1">
        <v>0.88800000000000001</v>
      </c>
      <c r="R124" s="1">
        <v>0.497</v>
      </c>
      <c r="S124" s="17" t="s">
        <v>18</v>
      </c>
      <c r="T124">
        <v>4</v>
      </c>
      <c r="U124" t="s">
        <v>1406</v>
      </c>
      <c r="V124" s="17" t="str">
        <f>HYPERLINK("http://exon.niaid.nih.gov/transcriptome/T_rubida/S2/links/tmhmm/TRIRU-104-tmhmm.txt","6")</f>
        <v>6</v>
      </c>
      <c r="W124">
        <v>49.8</v>
      </c>
      <c r="X124">
        <v>29.1</v>
      </c>
      <c r="Y124">
        <v>21.1</v>
      </c>
      <c r="Z124" t="s">
        <v>5</v>
      </c>
      <c r="AA124" t="s">
        <v>5</v>
      </c>
      <c r="AB124" s="17" t="str">
        <f>HYPERLINK("http://exon.niaid.nih.gov/transcriptome/T_rubida/S2/links/netoglyc/TRIRU-104-netoglyc.txt","0")</f>
        <v>0</v>
      </c>
      <c r="AC124">
        <v>17.100000000000001</v>
      </c>
      <c r="AD124">
        <v>6.8</v>
      </c>
      <c r="AE124">
        <v>2</v>
      </c>
      <c r="AF124" s="17" t="s">
        <v>5</v>
      </c>
      <c r="AG124" s="2" t="str">
        <f>HYPERLINK("http://exon.niaid.nih.gov/transcriptome/T_rubida/S2/links/NR/Triru-104-NR.txt","cytochrome c oxidase subunit III")</f>
        <v>cytochrome c oxidase subunit III</v>
      </c>
      <c r="AH124" t="str">
        <f>HYPERLINK("http://www.ncbi.nlm.nih.gov/sutils/blink.cgi?pid=11182465","1E-137")</f>
        <v>1E-137</v>
      </c>
      <c r="AI124" t="str">
        <f>HYPERLINK("http://www.ncbi.nlm.nih.gov/protein/11182465","gi|11182465")</f>
        <v>gi|11182465</v>
      </c>
      <c r="AJ124">
        <v>493</v>
      </c>
      <c r="AK124">
        <v>240</v>
      </c>
      <c r="AL124">
        <v>261</v>
      </c>
      <c r="AM124">
        <v>96</v>
      </c>
      <c r="AN124">
        <v>92</v>
      </c>
      <c r="AO124" t="s">
        <v>59</v>
      </c>
      <c r="AP124" s="2" t="str">
        <f>HYPERLINK("http://exon.niaid.nih.gov/transcriptome/T_rubida/S2/links/SWISSP/Triru-104-SWISSP.txt","Cytochrome c oxidase subunit 3")</f>
        <v>Cytochrome c oxidase subunit 3</v>
      </c>
      <c r="AQ124" t="str">
        <f>HYPERLINK("http://www.uniprot.org/uniprot/P00418","1E-111")</f>
        <v>1E-111</v>
      </c>
      <c r="AR124" t="s">
        <v>66</v>
      </c>
      <c r="AS124">
        <v>401</v>
      </c>
      <c r="AT124">
        <v>238</v>
      </c>
      <c r="AU124">
        <v>262</v>
      </c>
      <c r="AV124">
        <v>74</v>
      </c>
      <c r="AW124">
        <v>91</v>
      </c>
      <c r="AX124">
        <v>61</v>
      </c>
      <c r="AY124">
        <v>0</v>
      </c>
      <c r="AZ124">
        <v>23</v>
      </c>
      <c r="BA124">
        <v>5</v>
      </c>
      <c r="BB124">
        <v>1</v>
      </c>
      <c r="BC124" t="s">
        <v>67</v>
      </c>
      <c r="BD124" s="2" t="s">
        <v>68</v>
      </c>
      <c r="BE124">
        <f>HYPERLINK("http://exon.niaid.nih.gov/transcriptome/T_rubida/S2/links/GO/Triru-104-GO.txt",0)</f>
        <v>0</v>
      </c>
      <c r="BF124" t="s">
        <v>1921</v>
      </c>
      <c r="BG124" t="s">
        <v>63</v>
      </c>
      <c r="BH124" t="s">
        <v>1922</v>
      </c>
      <c r="BI124" s="2" t="str">
        <f>HYPERLINK("http://exon.niaid.nih.gov/transcriptome/T_rubida/S2/links/CDD/Triru-104-CDD.txt","COX3")</f>
        <v>COX3</v>
      </c>
      <c r="BJ124" t="str">
        <f>HYPERLINK("http://www.ncbi.nlm.nih.gov/Structure/cdd/cddsrv.cgi?uid=MTH00155&amp;version=v4.0","1E-120")</f>
        <v>1E-120</v>
      </c>
      <c r="BK124" t="s">
        <v>69</v>
      </c>
      <c r="BL124" s="2" t="str">
        <f>HYPERLINK("http://exon.niaid.nih.gov/transcriptome/T_rubida/S2/links/KOG/Triru-104-KOG.txt","Cytochrome oxidase subunit III and related proteins")</f>
        <v>Cytochrome oxidase subunit III and related proteins</v>
      </c>
      <c r="BM124" t="str">
        <f>HYPERLINK("http://www.ncbi.nlm.nih.gov/COG/grace/shokog.cgi?KOG4664","3E-085")</f>
        <v>3E-085</v>
      </c>
      <c r="BN124" t="s">
        <v>65</v>
      </c>
      <c r="BO124" s="2" t="str">
        <f>HYPERLINK("http://exon.niaid.nih.gov/transcriptome/T_rubida/S2/links/PFAM/Triru-104-PFAM.txt","COX3")</f>
        <v>COX3</v>
      </c>
      <c r="BP124" t="str">
        <f>HYPERLINK("http://pfam.sanger.ac.uk/family?acc=PF00510","1E-105")</f>
        <v>1E-105</v>
      </c>
      <c r="BQ124" s="2" t="str">
        <f>HYPERLINK("http://exon.niaid.nih.gov/transcriptome/T_rubida/S2/links/SMART/Triru-104-SMART.txt","PP2C_SIG")</f>
        <v>PP2C_SIG</v>
      </c>
      <c r="BR124" t="str">
        <f>HYPERLINK("http://smart.embl-heidelberg.de/smart/do_annotation.pl?DOMAIN=PP2C_SIG&amp;BLAST=DUMMY","0.32")</f>
        <v>0.32</v>
      </c>
      <c r="BS124" s="17">
        <v>33</v>
      </c>
      <c r="BT124" s="1">
        <v>1</v>
      </c>
      <c r="BU124" s="17">
        <v>46</v>
      </c>
      <c r="BV124" s="1">
        <v>1</v>
      </c>
      <c r="BW124" s="17">
        <v>46</v>
      </c>
      <c r="BX124" s="1">
        <v>1</v>
      </c>
      <c r="BY124" s="17">
        <v>42</v>
      </c>
      <c r="BZ124" s="1">
        <v>1</v>
      </c>
      <c r="CA124" s="17">
        <v>37</v>
      </c>
      <c r="CB124" s="1">
        <v>1</v>
      </c>
      <c r="CC124" s="17">
        <v>35</v>
      </c>
      <c r="CD124" s="1">
        <v>1</v>
      </c>
      <c r="CE124" s="17">
        <v>28</v>
      </c>
      <c r="CF124" s="1">
        <v>1</v>
      </c>
      <c r="CG124" s="17">
        <v>27</v>
      </c>
      <c r="CH124" s="1">
        <v>1</v>
      </c>
      <c r="CI124" s="17">
        <v>25</v>
      </c>
      <c r="CJ124" s="1">
        <v>1</v>
      </c>
      <c r="CK124" s="17">
        <v>25</v>
      </c>
      <c r="CL124" s="1">
        <v>1</v>
      </c>
      <c r="CM124" s="17">
        <v>25</v>
      </c>
      <c r="CN124" s="1">
        <v>1</v>
      </c>
      <c r="CO124" s="17">
        <v>22</v>
      </c>
      <c r="CP124" s="1">
        <v>1</v>
      </c>
      <c r="CQ124" s="17">
        <v>20</v>
      </c>
      <c r="CR124" s="1">
        <v>1</v>
      </c>
      <c r="CS124" s="17">
        <v>17</v>
      </c>
      <c r="CT124" s="1">
        <v>1</v>
      </c>
      <c r="CU124" s="17">
        <v>13</v>
      </c>
      <c r="CV124" s="1">
        <v>1</v>
      </c>
    </row>
    <row r="125" spans="1:100">
      <c r="A125" t="str">
        <f>HYPERLINK("http://exon.niaid.nih.gov/transcriptome/T_rubida/S2/links/pep/Triru-283-pep.txt","Triru-283")</f>
        <v>Triru-283</v>
      </c>
      <c r="B125">
        <v>117</v>
      </c>
      <c r="C125" s="1" t="s">
        <v>6</v>
      </c>
      <c r="D125" s="1" t="s">
        <v>3</v>
      </c>
      <c r="E125" t="str">
        <f>HYPERLINK("http://exon.niaid.nih.gov/transcriptome/T_rubida/S2/links/cds/Triru-283-cds.txt","Triru-283")</f>
        <v>Triru-283</v>
      </c>
      <c r="F125">
        <v>354</v>
      </c>
      <c r="G125" s="2" t="s">
        <v>1610</v>
      </c>
      <c r="H125" s="1">
        <v>1</v>
      </c>
      <c r="I125" s="3" t="s">
        <v>1265</v>
      </c>
      <c r="J125" s="17" t="str">
        <f>HYPERLINK("http://exon.niaid.nih.gov/transcriptome/T_rubida/S2/links/Sigp/Triru-283-SigP.txt","CYT")</f>
        <v>CYT</v>
      </c>
      <c r="K125" t="s">
        <v>5</v>
      </c>
      <c r="L125" s="1">
        <v>11.901</v>
      </c>
      <c r="M125" s="1">
        <v>8.15</v>
      </c>
      <c r="P125" s="1">
        <v>0.41099999999999998</v>
      </c>
      <c r="Q125" s="1">
        <v>4.3999999999999997E-2</v>
      </c>
      <c r="R125" s="1">
        <v>0.67800000000000005</v>
      </c>
      <c r="S125" s="17" t="s">
        <v>1346</v>
      </c>
      <c r="T125">
        <v>4</v>
      </c>
      <c r="U125" t="s">
        <v>1407</v>
      </c>
      <c r="V125" s="17" t="str">
        <f>HYPERLINK("http://exon.niaid.nih.gov/transcriptome/T_rubida/S2/links/tmhmm/TRIRU-283-tmhmm.txt","2")</f>
        <v>2</v>
      </c>
      <c r="W125">
        <v>37.6</v>
      </c>
      <c r="X125">
        <v>51.3</v>
      </c>
      <c r="Y125">
        <v>11.1</v>
      </c>
      <c r="Z125" t="s">
        <v>5</v>
      </c>
      <c r="AA125" t="s">
        <v>5</v>
      </c>
      <c r="AB125" s="17" t="s">
        <v>5</v>
      </c>
      <c r="AC125" t="s">
        <v>5</v>
      </c>
      <c r="AD125" t="s">
        <v>5</v>
      </c>
      <c r="AE125" t="s">
        <v>5</v>
      </c>
      <c r="AF125" s="17" t="s">
        <v>5</v>
      </c>
      <c r="AG125" s="2" t="str">
        <f>HYPERLINK("http://exon.niaid.nih.gov/transcriptome/T_rubida/S2/links/NR/Triru-283-NR.txt","MIP02330p")</f>
        <v>MIP02330p</v>
      </c>
      <c r="AH125" t="str">
        <f>HYPERLINK("http://www.ncbi.nlm.nih.gov/sutils/blink.cgi?pid=223029543","2E-040")</f>
        <v>2E-040</v>
      </c>
      <c r="AI125" t="str">
        <f>HYPERLINK("http://www.ncbi.nlm.nih.gov/protein/223029543","gi|223029543")</f>
        <v>gi|223029543</v>
      </c>
      <c r="AJ125">
        <v>169</v>
      </c>
      <c r="AK125">
        <v>108</v>
      </c>
      <c r="AL125">
        <v>134</v>
      </c>
      <c r="AM125">
        <v>80</v>
      </c>
      <c r="AN125">
        <v>81</v>
      </c>
      <c r="AO125" t="s">
        <v>150</v>
      </c>
      <c r="AP125" s="2" t="str">
        <f>HYPERLINK("http://exon.niaid.nih.gov/transcriptome/T_rubida/S2/links/SWISSP/Triru-283-SWISSP.txt","ATP synthase lipid-binding protein, mitochondrial")</f>
        <v>ATP synthase lipid-binding protein, mitochondrial</v>
      </c>
      <c r="AQ125" t="str">
        <f>HYPERLINK("http://www.uniprot.org/uniprot/Q9U505","9E-041")</f>
        <v>9E-041</v>
      </c>
      <c r="AR125" t="s">
        <v>611</v>
      </c>
      <c r="AS125">
        <v>165</v>
      </c>
      <c r="AT125">
        <v>104</v>
      </c>
      <c r="AU125">
        <v>131</v>
      </c>
      <c r="AV125">
        <v>82</v>
      </c>
      <c r="AW125">
        <v>80</v>
      </c>
      <c r="AX125">
        <v>19</v>
      </c>
      <c r="AY125">
        <v>2</v>
      </c>
      <c r="AZ125">
        <v>27</v>
      </c>
      <c r="BA125">
        <v>11</v>
      </c>
      <c r="BB125">
        <v>1</v>
      </c>
      <c r="BC125" t="s">
        <v>612</v>
      </c>
      <c r="BD125" s="2" t="s">
        <v>613</v>
      </c>
      <c r="BE125">
        <f>HYPERLINK("http://exon.niaid.nih.gov/transcriptome/T_rubida/S2/links/GO/Triru-283-GO.txt",4E-42)</f>
        <v>4.0000000000000002E-42</v>
      </c>
      <c r="BF125" t="s">
        <v>1920</v>
      </c>
      <c r="BG125" t="s">
        <v>77</v>
      </c>
      <c r="BH125" t="s">
        <v>590</v>
      </c>
      <c r="BI125" s="2" t="str">
        <f>HYPERLINK("http://exon.niaid.nih.gov/transcriptome/T_rubida/S2/links/CDD/Triru-283-CDD.txt","ATP9")</f>
        <v>ATP9</v>
      </c>
      <c r="BJ125" t="str">
        <f>HYPERLINK("http://www.ncbi.nlm.nih.gov/Structure/cdd/cddsrv.cgi?uid=MTH00222&amp;version=v4.0","2E-028")</f>
        <v>2E-028</v>
      </c>
      <c r="BK125" t="s">
        <v>614</v>
      </c>
      <c r="BL125" s="2" t="str">
        <f>HYPERLINK("http://exon.niaid.nih.gov/transcriptome/T_rubida/S2/links/KOG/Triru-283-KOG.txt","Mitochondrial F1F0-ATP synthase, subunit c/ATP9/proteolipid")</f>
        <v>Mitochondrial F1F0-ATP synthase, subunit c/ATP9/proteolipid</v>
      </c>
      <c r="BM125" t="str">
        <f>HYPERLINK("http://www.ncbi.nlm.nih.gov/COG/grace/shokog.cgi?KOG3025","2E-032")</f>
        <v>2E-032</v>
      </c>
      <c r="BN125" t="s">
        <v>65</v>
      </c>
      <c r="BO125" s="2" t="str">
        <f>HYPERLINK("http://exon.niaid.nih.gov/transcriptome/T_rubida/S2/links/PFAM/Triru-283-PFAM.txt","ATP-synt_C")</f>
        <v>ATP-synt_C</v>
      </c>
      <c r="BP125" t="str">
        <f>HYPERLINK("http://pfam.sanger.ac.uk/family?acc=PF00137","2E-007")</f>
        <v>2E-007</v>
      </c>
      <c r="BQ125" s="2" t="str">
        <f>HYPERLINK("http://exon.niaid.nih.gov/transcriptome/T_rubida/S2/links/SMART/Triru-283-SMART.txt","FBG")</f>
        <v>FBG</v>
      </c>
      <c r="BR125" t="str">
        <f>HYPERLINK("http://smart.embl-heidelberg.de/smart/do_annotation.pl?DOMAIN=FBG&amp;BLAST=DUMMY","1.1")</f>
        <v>1.1</v>
      </c>
      <c r="BS125" s="17">
        <v>84</v>
      </c>
      <c r="BT125" s="1">
        <v>1</v>
      </c>
      <c r="BU125" s="17">
        <v>133</v>
      </c>
      <c r="BV125" s="1">
        <v>1</v>
      </c>
      <c r="BW125" s="17">
        <v>158</v>
      </c>
      <c r="BX125" s="1">
        <v>1</v>
      </c>
      <c r="BY125" s="17">
        <v>167</v>
      </c>
      <c r="BZ125" s="1">
        <v>1</v>
      </c>
      <c r="CA125" s="17">
        <v>171</v>
      </c>
      <c r="CB125" s="1">
        <v>1</v>
      </c>
      <c r="CC125" s="17">
        <v>175</v>
      </c>
      <c r="CD125" s="1">
        <v>1</v>
      </c>
      <c r="CE125" s="17">
        <v>180</v>
      </c>
      <c r="CF125" s="1">
        <v>1</v>
      </c>
      <c r="CG125" s="17">
        <v>182</v>
      </c>
      <c r="CH125" s="1">
        <v>1</v>
      </c>
      <c r="CI125" s="17">
        <v>189</v>
      </c>
      <c r="CJ125" s="1">
        <v>1</v>
      </c>
      <c r="CK125" s="17">
        <v>194</v>
      </c>
      <c r="CL125" s="1">
        <v>1</v>
      </c>
      <c r="CM125" s="17">
        <v>200</v>
      </c>
      <c r="CN125" s="1">
        <v>1</v>
      </c>
      <c r="CO125" s="17">
        <v>210</v>
      </c>
      <c r="CP125" s="1">
        <v>1</v>
      </c>
      <c r="CQ125" s="17">
        <v>220</v>
      </c>
      <c r="CR125" s="1">
        <v>1</v>
      </c>
      <c r="CS125" s="17">
        <v>227</v>
      </c>
      <c r="CT125" s="1">
        <v>1</v>
      </c>
      <c r="CU125" s="17">
        <v>238</v>
      </c>
      <c r="CV125" s="1">
        <v>1</v>
      </c>
    </row>
    <row r="126" spans="1:100">
      <c r="A126" t="str">
        <f>HYPERLINK("http://exon.niaid.nih.gov/transcriptome/T_rubida/S2/links/pep/Triru-93-pep.txt","Triru-93")</f>
        <v>Triru-93</v>
      </c>
      <c r="B126">
        <v>286</v>
      </c>
      <c r="C126" s="1" t="s">
        <v>6</v>
      </c>
      <c r="D126" s="1" t="s">
        <v>5</v>
      </c>
      <c r="E126" t="str">
        <f>HYPERLINK("http://exon.niaid.nih.gov/transcriptome/T_rubida/S2/links/cds/Triru-93-cds.txt","Triru-93")</f>
        <v>Triru-93</v>
      </c>
      <c r="F126">
        <v>856</v>
      </c>
      <c r="G126" s="2" t="s">
        <v>1611</v>
      </c>
      <c r="H126" s="1">
        <v>8</v>
      </c>
      <c r="I126" s="3" t="s">
        <v>1265</v>
      </c>
      <c r="J126" s="17" t="str">
        <f>HYPERLINK("http://exon.niaid.nih.gov/transcriptome/T_rubida/S2/links/Sigp/Triru-93-SigP.txt","ANC")</f>
        <v>ANC</v>
      </c>
      <c r="K126" t="s">
        <v>5</v>
      </c>
      <c r="L126" s="1">
        <v>32.606000000000002</v>
      </c>
      <c r="M126" s="1">
        <v>9.57</v>
      </c>
      <c r="N126" s="1">
        <v>29.042999999999999</v>
      </c>
      <c r="O126" s="1">
        <v>9.4700000000000006</v>
      </c>
      <c r="P126" s="1">
        <v>3.1E-2</v>
      </c>
      <c r="Q126" s="1">
        <v>0.98799999999999999</v>
      </c>
      <c r="R126" s="1">
        <v>1.7000000000000001E-2</v>
      </c>
      <c r="S126" s="17" t="s">
        <v>18</v>
      </c>
      <c r="T126">
        <v>1</v>
      </c>
      <c r="U126" t="s">
        <v>1408</v>
      </c>
      <c r="V126" s="17" t="str">
        <f>HYPERLINK("http://exon.niaid.nih.gov/transcriptome/T_rubida/S2/links/tmhmm/TRIRU-93-tmhmm.txt","7")</f>
        <v>7</v>
      </c>
      <c r="W126">
        <v>51.4</v>
      </c>
      <c r="X126">
        <v>18.5</v>
      </c>
      <c r="Y126">
        <v>30.1</v>
      </c>
      <c r="Z126" t="s">
        <v>5</v>
      </c>
      <c r="AA126" t="s">
        <v>5</v>
      </c>
      <c r="AB126" s="17" t="str">
        <f>HYPERLINK("http://exon.niaid.nih.gov/transcriptome/T_rubida/S2/links/netoglyc/TRIRU-93-netoglyc.txt","0")</f>
        <v>0</v>
      </c>
      <c r="AC126">
        <v>10.1</v>
      </c>
      <c r="AD126">
        <v>7.3</v>
      </c>
      <c r="AE126">
        <v>6.6</v>
      </c>
      <c r="AF126" s="17" t="s">
        <v>5</v>
      </c>
      <c r="AG126" s="2" t="str">
        <f>HYPERLINK("http://exon.niaid.nih.gov/transcriptome/T_rubida/S2/links/NR/Triru-93-NR.txt","truncated cytochrome b")</f>
        <v>truncated cytochrome b</v>
      </c>
      <c r="AH126" t="str">
        <f>HYPERLINK("http://www.ncbi.nlm.nih.gov/sutils/blink.cgi?pid=149898868","1E-149")</f>
        <v>1E-149</v>
      </c>
      <c r="AI126" t="str">
        <f>HYPERLINK("http://www.ncbi.nlm.nih.gov/protein/149898868","gi|149898868")</f>
        <v>gi|149898868</v>
      </c>
      <c r="AJ126">
        <v>533</v>
      </c>
      <c r="AK126">
        <v>276</v>
      </c>
      <c r="AL126">
        <v>368</v>
      </c>
      <c r="AM126">
        <v>89</v>
      </c>
      <c r="AN126">
        <v>75</v>
      </c>
      <c r="AO126" t="s">
        <v>80</v>
      </c>
      <c r="AP126" s="2" t="str">
        <f>HYPERLINK("http://exon.niaid.nih.gov/transcriptome/T_rubida/S2/links/SWISSP/Triru-93-SWISSP.txt","Cytochrome b")</f>
        <v>Cytochrome b</v>
      </c>
      <c r="AQ126" t="str">
        <f>HYPERLINK("http://www.uniprot.org/uniprot/Q9MGL5","1E-125")</f>
        <v>1E-125</v>
      </c>
      <c r="AR126" t="s">
        <v>408</v>
      </c>
      <c r="AS126">
        <v>449</v>
      </c>
      <c r="AT126">
        <v>277</v>
      </c>
      <c r="AU126">
        <v>378</v>
      </c>
      <c r="AV126">
        <v>72</v>
      </c>
      <c r="AW126">
        <v>74</v>
      </c>
      <c r="AX126">
        <v>77</v>
      </c>
      <c r="AY126">
        <v>0</v>
      </c>
      <c r="AZ126">
        <v>100</v>
      </c>
      <c r="BA126">
        <v>2</v>
      </c>
      <c r="BB126">
        <v>1</v>
      </c>
      <c r="BC126" t="s">
        <v>409</v>
      </c>
      <c r="BD126" s="2" t="s">
        <v>410</v>
      </c>
      <c r="BE126">
        <f>HYPERLINK("http://exon.niaid.nih.gov/transcriptome/T_rubida/S2/links/GO/Triru-93-GO.txt",0)</f>
        <v>0</v>
      </c>
      <c r="BF126" t="s">
        <v>1923</v>
      </c>
      <c r="BG126" t="s">
        <v>63</v>
      </c>
      <c r="BH126" t="s">
        <v>1922</v>
      </c>
      <c r="BI126" s="2" t="str">
        <f>HYPERLINK("http://exon.niaid.nih.gov/transcriptome/T_rubida/S2/links/CDD/Triru-93-CDD.txt","CYTB")</f>
        <v>CYTB</v>
      </c>
      <c r="BJ126" t="str">
        <f>HYPERLINK("http://www.ncbi.nlm.nih.gov/Structure/cdd/cddsrv.cgi?uid=MTH00156&amp;version=v4.0","1E-146")</f>
        <v>1E-146</v>
      </c>
      <c r="BK126" t="s">
        <v>411</v>
      </c>
      <c r="BL126" s="2" t="str">
        <f>HYPERLINK("http://exon.niaid.nih.gov/transcriptome/T_rubida/S2/links/KOG/Triru-93-KOG.txt","Cytochrome b")</f>
        <v>Cytochrome b</v>
      </c>
      <c r="BM126" t="str">
        <f>HYPERLINK("http://www.ncbi.nlm.nih.gov/COG/grace/shokog.cgi?KOG4663","1E-035")</f>
        <v>1E-035</v>
      </c>
      <c r="BN126" t="s">
        <v>65</v>
      </c>
      <c r="BO126" s="2" t="str">
        <f>HYPERLINK("http://exon.niaid.nih.gov/transcriptome/T_rubida/S2/links/PFAM/Triru-93-PFAM.txt","Cytochrom_B_C")</f>
        <v>Cytochrom_B_C</v>
      </c>
      <c r="BP126" t="str">
        <f>HYPERLINK("http://pfam.sanger.ac.uk/family?acc=PF00032","3E-041")</f>
        <v>3E-041</v>
      </c>
      <c r="BQ126" s="2" t="str">
        <f>HYPERLINK("http://exon.niaid.nih.gov/transcriptome/T_rubida/S2/links/SMART/Triru-93-SMART.txt","VPS10")</f>
        <v>VPS10</v>
      </c>
      <c r="BR126" t="str">
        <f>HYPERLINK("http://smart.embl-heidelberg.de/smart/do_annotation.pl?DOMAIN=VPS10&amp;BLAST=DUMMY","2.6")</f>
        <v>2.6</v>
      </c>
      <c r="BS126" s="17">
        <v>34</v>
      </c>
      <c r="BT126" s="1">
        <v>1</v>
      </c>
      <c r="BU126" s="17">
        <v>47</v>
      </c>
      <c r="BV126" s="1">
        <v>1</v>
      </c>
      <c r="BW126" s="17">
        <v>47</v>
      </c>
      <c r="BX126" s="1">
        <v>1</v>
      </c>
      <c r="BY126" s="17">
        <v>43</v>
      </c>
      <c r="BZ126" s="1">
        <v>1</v>
      </c>
      <c r="CA126" s="17">
        <v>38</v>
      </c>
      <c r="CB126" s="1">
        <v>1</v>
      </c>
      <c r="CC126" s="17">
        <v>36</v>
      </c>
      <c r="CD126" s="1">
        <v>1</v>
      </c>
      <c r="CE126" s="17">
        <v>29</v>
      </c>
      <c r="CF126" s="1">
        <v>1</v>
      </c>
      <c r="CG126" s="17">
        <v>28</v>
      </c>
      <c r="CH126" s="1">
        <v>1</v>
      </c>
      <c r="CI126" s="17">
        <v>26</v>
      </c>
      <c r="CJ126" s="1">
        <v>1</v>
      </c>
      <c r="CK126" s="17">
        <v>26</v>
      </c>
      <c r="CL126" s="1">
        <v>1</v>
      </c>
      <c r="CM126" s="17">
        <v>26</v>
      </c>
      <c r="CN126" s="1">
        <v>1</v>
      </c>
      <c r="CO126" s="17">
        <v>23</v>
      </c>
      <c r="CP126" s="1">
        <v>1</v>
      </c>
      <c r="CQ126" s="17">
        <v>21</v>
      </c>
      <c r="CR126" s="1">
        <v>1</v>
      </c>
      <c r="CS126" s="17">
        <v>18</v>
      </c>
      <c r="CT126" s="1">
        <v>1</v>
      </c>
      <c r="CU126" s="17">
        <v>14</v>
      </c>
      <c r="CV126" s="1">
        <v>1</v>
      </c>
    </row>
    <row r="127" spans="1:100">
      <c r="A127" t="str">
        <f>HYPERLINK("http://exon.niaid.nih.gov/transcriptome/T_rubida/S2/links/pep/Triru-85-pep.txt","Triru-85")</f>
        <v>Triru-85</v>
      </c>
      <c r="B127">
        <v>178</v>
      </c>
      <c r="C127" s="1" t="s">
        <v>4</v>
      </c>
      <c r="D127" s="1" t="s">
        <v>5</v>
      </c>
      <c r="E127" t="str">
        <f>HYPERLINK("http://exon.niaid.nih.gov/transcriptome/T_rubida/S2/links/cds/Triru-85-cds.txt","Triru-85")</f>
        <v>Triru-85</v>
      </c>
      <c r="F127">
        <v>532</v>
      </c>
      <c r="G127" s="2" t="s">
        <v>1612</v>
      </c>
      <c r="H127" s="1">
        <v>9</v>
      </c>
      <c r="I127" s="3" t="s">
        <v>1265</v>
      </c>
      <c r="J127" s="17" t="str">
        <f>HYPERLINK("http://exon.niaid.nih.gov/transcriptome/T_rubida/S2/links/Sigp/Triru-85-SigP.txt","BL/ANC")</f>
        <v>BL/ANC</v>
      </c>
      <c r="K127" t="s">
        <v>5</v>
      </c>
      <c r="L127" s="1">
        <v>20.202000000000002</v>
      </c>
      <c r="M127" s="1">
        <v>7.98</v>
      </c>
      <c r="P127" s="1">
        <v>6.0000000000000001E-3</v>
      </c>
      <c r="Q127" s="1">
        <v>0.97399999999999998</v>
      </c>
      <c r="R127" s="1">
        <v>0.122</v>
      </c>
      <c r="S127" s="17" t="s">
        <v>18</v>
      </c>
      <c r="T127">
        <v>1</v>
      </c>
      <c r="U127" t="s">
        <v>1409</v>
      </c>
      <c r="V127" s="17" t="str">
        <f>HYPERLINK("http://exon.niaid.nih.gov/transcriptome/T_rubida/S2/links/tmhmm/TRIRU-85-tmhmm.txt","1")</f>
        <v>1</v>
      </c>
      <c r="W127">
        <v>12.4</v>
      </c>
      <c r="X127">
        <v>5.6</v>
      </c>
      <c r="Y127">
        <v>82</v>
      </c>
      <c r="Z127" t="s">
        <v>5</v>
      </c>
      <c r="AA127">
        <v>146</v>
      </c>
      <c r="AB127" s="17" t="str">
        <f>HYPERLINK("http://exon.niaid.nih.gov/transcriptome/T_rubida/S2/links/netoglyc/TRIRU-85-netoglyc.txt","0")</f>
        <v>0</v>
      </c>
      <c r="AC127">
        <v>14.6</v>
      </c>
      <c r="AD127">
        <v>5.0999999999999996</v>
      </c>
      <c r="AE127">
        <v>5.0999999999999996</v>
      </c>
      <c r="AF127" s="17" t="s">
        <v>5</v>
      </c>
      <c r="AG127" s="2" t="str">
        <f>HYPERLINK("http://exon.niaid.nih.gov/transcriptome/T_rubida/S2/links/NR/Triru-85-NR.txt","cytochrome c oxidase subunit II")</f>
        <v>cytochrome c oxidase subunit II</v>
      </c>
      <c r="AH127" t="str">
        <f>HYPERLINK("http://www.ncbi.nlm.nih.gov/sutils/blink.cgi?pid=11182464","2E-089")</f>
        <v>2E-089</v>
      </c>
      <c r="AI127" t="str">
        <f>HYPERLINK("http://www.ncbi.nlm.nih.gov/protein/11182464","gi|11182464")</f>
        <v>gi|11182464</v>
      </c>
      <c r="AJ127">
        <v>332</v>
      </c>
      <c r="AK127">
        <v>165</v>
      </c>
      <c r="AL127">
        <v>226</v>
      </c>
      <c r="AM127">
        <v>95</v>
      </c>
      <c r="AN127">
        <v>73</v>
      </c>
      <c r="AO127" t="s">
        <v>59</v>
      </c>
      <c r="AP127" s="2" t="str">
        <f>HYPERLINK("http://exon.niaid.nih.gov/transcriptome/T_rubida/S2/links/SWISSP/Triru-85-SWISSP.txt","Cytochrome c oxidase subunit 2")</f>
        <v>Cytochrome c oxidase subunit 2</v>
      </c>
      <c r="AQ127" t="str">
        <f>HYPERLINK("http://www.uniprot.org/uniprot/P29876","5E-076")</f>
        <v>5E-076</v>
      </c>
      <c r="AR127" t="s">
        <v>60</v>
      </c>
      <c r="AS127">
        <v>283</v>
      </c>
      <c r="AT127">
        <v>163</v>
      </c>
      <c r="AU127">
        <v>229</v>
      </c>
      <c r="AV127">
        <v>76</v>
      </c>
      <c r="AW127">
        <v>72</v>
      </c>
      <c r="AX127">
        <v>38</v>
      </c>
      <c r="AY127">
        <v>0</v>
      </c>
      <c r="AZ127">
        <v>60</v>
      </c>
      <c r="BA127">
        <v>5</v>
      </c>
      <c r="BB127">
        <v>1</v>
      </c>
      <c r="BC127" t="s">
        <v>61</v>
      </c>
      <c r="BD127" s="2" t="s">
        <v>62</v>
      </c>
      <c r="BE127">
        <f>HYPERLINK("http://exon.niaid.nih.gov/transcriptome/T_rubida/S2/links/GO/Triru-85-GO.txt",1E-74)</f>
        <v>9.9999999999999996E-75</v>
      </c>
      <c r="BF127" t="s">
        <v>1921</v>
      </c>
      <c r="BG127" t="s">
        <v>63</v>
      </c>
      <c r="BH127" t="s">
        <v>1922</v>
      </c>
      <c r="BI127" s="2" t="str">
        <f>HYPERLINK("http://exon.niaid.nih.gov/transcriptome/T_rubida/S2/links/CDD/Triru-85-CDD.txt","COX2")</f>
        <v>COX2</v>
      </c>
      <c r="BJ127" t="str">
        <f>HYPERLINK("http://www.ncbi.nlm.nih.gov/Structure/cdd/cddsrv.cgi?uid=MTH00154&amp;version=v4.0","1E-101")</f>
        <v>1E-101</v>
      </c>
      <c r="BK127" t="s">
        <v>64</v>
      </c>
      <c r="BL127" s="2" t="str">
        <f>HYPERLINK("http://exon.niaid.nih.gov/transcriptome/T_rubida/S2/links/KOG/Triru-85-KOG.txt","Cytochrome c oxidase, subunit II, and related proteins")</f>
        <v>Cytochrome c oxidase, subunit II, and related proteins</v>
      </c>
      <c r="BM127" t="str">
        <f>HYPERLINK("http://www.ncbi.nlm.nih.gov/COG/grace/shokog.cgi?KOG4767","4E-076")</f>
        <v>4E-076</v>
      </c>
      <c r="BN127" t="s">
        <v>65</v>
      </c>
      <c r="BO127" s="2" t="str">
        <f>HYPERLINK("http://exon.niaid.nih.gov/transcriptome/T_rubida/S2/links/PFAM/Triru-85-PFAM.txt","COX2")</f>
        <v>COX2</v>
      </c>
      <c r="BP127" t="str">
        <f>HYPERLINK("http://pfam.sanger.ac.uk/family?acc=PF00116","1E-061")</f>
        <v>1E-061</v>
      </c>
      <c r="BQ127" s="2" t="str">
        <f>HYPERLINK("http://exon.niaid.nih.gov/transcriptome/T_rubida/S2/links/SMART/Triru-85-SMART.txt","eIF5C")</f>
        <v>eIF5C</v>
      </c>
      <c r="BR127" t="str">
        <f>HYPERLINK("http://smart.embl-heidelberg.de/smart/do_annotation.pl?DOMAIN=eIF5C&amp;BLAST=DUMMY","1.7")</f>
        <v>1.7</v>
      </c>
      <c r="BS127" s="17">
        <f>HYPERLINK("http://exon.niaid.nih.gov/transcriptome/T_rubida/S2/links/cluster/Triru-pep-ext25-50-Sim-CLU7.txt", 7)</f>
        <v>7</v>
      </c>
      <c r="BT127" s="1">
        <f>HYPERLINK("http://exon.niaid.nih.gov/transcriptome/T_rubida/S2/links/cluster/Triru-pep-ext25-50-Sim-CLTL7.txt", 2)</f>
        <v>2</v>
      </c>
      <c r="BU127" s="17">
        <f>HYPERLINK("http://exon.niaid.nih.gov/transcriptome/T_rubida/S2/links/cluster/Triru-pep-ext30-50-Sim-CLU14.txt", 14)</f>
        <v>14</v>
      </c>
      <c r="BV127" s="1">
        <f>HYPERLINK("http://exon.niaid.nih.gov/transcriptome/T_rubida/S2/links/cluster/Triru-pep-ext30-50-Sim-CLTL14.txt", 2)</f>
        <v>2</v>
      </c>
      <c r="BW127" s="17">
        <f>HYPERLINK("http://exon.niaid.nih.gov/transcriptome/T_rubida/S2/links/cluster/Triru-pep-ext35-50-Sim-CLU11.txt", 11)</f>
        <v>11</v>
      </c>
      <c r="BX127" s="1">
        <f>HYPERLINK("http://exon.niaid.nih.gov/transcriptome/T_rubida/S2/links/cluster/Triru-pep-ext35-50-Sim-CLTL11.txt", 2)</f>
        <v>2</v>
      </c>
      <c r="BY127" s="17">
        <f>HYPERLINK("http://exon.niaid.nih.gov/transcriptome/T_rubida/S2/links/cluster/Triru-pep-ext40-50-Sim-CLU8.txt", 8)</f>
        <v>8</v>
      </c>
      <c r="BZ127" s="1">
        <f>HYPERLINK("http://exon.niaid.nih.gov/transcriptome/T_rubida/S2/links/cluster/Triru-pep-ext40-50-Sim-CLTL8.txt", 2)</f>
        <v>2</v>
      </c>
      <c r="CA127" s="17">
        <f>HYPERLINK("http://exon.niaid.nih.gov/transcriptome/T_rubida/S2/links/cluster/Triru-pep-ext45-50-Sim-CLU7.txt", 7)</f>
        <v>7</v>
      </c>
      <c r="CB127" s="1">
        <f>HYPERLINK("http://exon.niaid.nih.gov/transcriptome/T_rubida/S2/links/cluster/Triru-pep-ext45-50-Sim-CLTL7.txt", 2)</f>
        <v>2</v>
      </c>
      <c r="CC127" s="17">
        <f>HYPERLINK("http://exon.niaid.nih.gov/transcriptome/T_rubida/S2/links/cluster/Triru-pep-ext50-50-Sim-CLU7.txt", 7)</f>
        <v>7</v>
      </c>
      <c r="CD127" s="1">
        <f>HYPERLINK("http://exon.niaid.nih.gov/transcriptome/T_rubida/S2/links/cluster/Triru-pep-ext50-50-Sim-CLTL7.txt", 2)</f>
        <v>2</v>
      </c>
      <c r="CE127" s="17">
        <f>HYPERLINK("http://exon.niaid.nih.gov/transcriptome/T_rubida/S2/links/cluster/Triru-pep-ext55-50-Sim-CLU6.txt", 6)</f>
        <v>6</v>
      </c>
      <c r="CF127" s="1">
        <f>HYPERLINK("http://exon.niaid.nih.gov/transcriptome/T_rubida/S2/links/cluster/Triru-pep-ext55-50-Sim-CLTL6.txt", 2)</f>
        <v>2</v>
      </c>
      <c r="CG127" s="17">
        <f>HYPERLINK("http://exon.niaid.nih.gov/transcriptome/T_rubida/S2/links/cluster/Triru-pep-ext60-50-Sim-CLU8.txt", 8)</f>
        <v>8</v>
      </c>
      <c r="CH127" s="1">
        <f>HYPERLINK("http://exon.niaid.nih.gov/transcriptome/T_rubida/S2/links/cluster/Triru-pep-ext60-50-Sim-CLTL8.txt", 2)</f>
        <v>2</v>
      </c>
      <c r="CI127" s="17">
        <f>HYPERLINK("http://exon.niaid.nih.gov/transcriptome/T_rubida/S2/links/cluster/Triru-pep-ext65-50-Sim-CLU8.txt", 8)</f>
        <v>8</v>
      </c>
      <c r="CJ127" s="1">
        <f>HYPERLINK("http://exon.niaid.nih.gov/transcriptome/T_rubida/S2/links/cluster/Triru-pep-ext65-50-Sim-CLTL8.txt", 2)</f>
        <v>2</v>
      </c>
      <c r="CK127" s="17">
        <f>HYPERLINK("http://exon.niaid.nih.gov/transcriptome/T_rubida/S2/links/cluster/Triru-pep-ext70-50-Sim-CLU7.txt", 7)</f>
        <v>7</v>
      </c>
      <c r="CL127" s="1">
        <f>HYPERLINK("http://exon.niaid.nih.gov/transcriptome/T_rubida/S2/links/cluster/Triru-pep-ext70-50-Sim-CLTL7.txt", 2)</f>
        <v>2</v>
      </c>
      <c r="CM127" s="17">
        <f>HYPERLINK("http://exon.niaid.nih.gov/transcriptome/T_rubida/S2/links/cluster/Triru-pep-ext75-50-Sim-CLU8.txt", 8)</f>
        <v>8</v>
      </c>
      <c r="CN127" s="1">
        <f>HYPERLINK("http://exon.niaid.nih.gov/transcriptome/T_rubida/S2/links/cluster/Triru-pep-ext75-50-Sim-CLTL8.txt", 2)</f>
        <v>2</v>
      </c>
      <c r="CO127" s="17">
        <f>HYPERLINK("http://exon.niaid.nih.gov/transcriptome/T_rubida/S2/links/cluster/Triru-pep-ext80-50-Sim-CLU7.txt", 7)</f>
        <v>7</v>
      </c>
      <c r="CP127" s="1">
        <f>HYPERLINK("http://exon.niaid.nih.gov/transcriptome/T_rubida/S2/links/cluster/Triru-pep-ext80-50-Sim-CLTL7.txt", 2)</f>
        <v>2</v>
      </c>
      <c r="CQ127" s="17">
        <v>22</v>
      </c>
      <c r="CR127" s="1">
        <v>1</v>
      </c>
      <c r="CS127" s="17">
        <v>19</v>
      </c>
      <c r="CT127" s="1">
        <v>1</v>
      </c>
      <c r="CU127" s="17">
        <v>15</v>
      </c>
      <c r="CV127" s="1">
        <v>1</v>
      </c>
    </row>
    <row r="128" spans="1:100">
      <c r="A128" t="str">
        <f>HYPERLINK("http://exon.niaid.nih.gov/transcriptome/T_rubida/S2/links/pep/Triru-84-pep.txt","Triru-84")</f>
        <v>Triru-84</v>
      </c>
      <c r="B128">
        <v>156</v>
      </c>
      <c r="C128" s="1" t="s">
        <v>7</v>
      </c>
      <c r="D128" s="1" t="s">
        <v>3</v>
      </c>
      <c r="E128" t="str">
        <f>HYPERLINK("http://exon.niaid.nih.gov/transcriptome/T_rubida/S2/links/cds/Triru-84-cds.txt","Triru-84")</f>
        <v>Triru-84</v>
      </c>
      <c r="F128">
        <v>471</v>
      </c>
      <c r="G128" s="2" t="s">
        <v>1612</v>
      </c>
      <c r="H128" s="1">
        <v>6</v>
      </c>
      <c r="I128" s="3" t="s">
        <v>1265</v>
      </c>
      <c r="J128" s="17" t="str">
        <f>HYPERLINK("http://exon.niaid.nih.gov/transcriptome/T_rubida/S2/links/Sigp/Triru-84-SigP.txt","CYT")</f>
        <v>CYT</v>
      </c>
      <c r="K128" t="s">
        <v>5</v>
      </c>
      <c r="L128" s="1">
        <v>17.716999999999999</v>
      </c>
      <c r="M128" s="1">
        <v>5.8</v>
      </c>
      <c r="P128" s="1">
        <v>4.2999999999999997E-2</v>
      </c>
      <c r="Q128" s="1">
        <v>0.76</v>
      </c>
      <c r="R128" s="1">
        <v>0.36099999999999999</v>
      </c>
      <c r="S128" s="17" t="s">
        <v>18</v>
      </c>
      <c r="T128">
        <v>4</v>
      </c>
      <c r="U128" t="s">
        <v>1410</v>
      </c>
      <c r="V128" s="17">
        <v>0</v>
      </c>
      <c r="W128" t="s">
        <v>5</v>
      </c>
      <c r="X128" t="s">
        <v>5</v>
      </c>
      <c r="Y128" t="s">
        <v>5</v>
      </c>
      <c r="Z128" t="s">
        <v>5</v>
      </c>
      <c r="AA128" t="s">
        <v>5</v>
      </c>
      <c r="AB128" s="17" t="str">
        <f>HYPERLINK("http://exon.niaid.nih.gov/transcriptome/T_rubida/S2/links/netoglyc/TRIRU-84-netoglyc.txt","0")</f>
        <v>0</v>
      </c>
      <c r="AC128">
        <v>15.4</v>
      </c>
      <c r="AD128">
        <v>5.0999999999999996</v>
      </c>
      <c r="AE128">
        <v>5.0999999999999996</v>
      </c>
      <c r="AF128" s="17" t="s">
        <v>5</v>
      </c>
      <c r="AG128" s="2" t="str">
        <f>HYPERLINK("http://exon.niaid.nih.gov/transcriptome/T_rubida/S2/links/NR/Triru-84-NR.txt","cytochrome c oxidase subunit II")</f>
        <v>cytochrome c oxidase subunit II</v>
      </c>
      <c r="AH128" t="str">
        <f>HYPERLINK("http://www.ncbi.nlm.nih.gov/sutils/blink.cgi?pid=11182464","3E-080")</f>
        <v>3E-080</v>
      </c>
      <c r="AI128" t="str">
        <f>HYPERLINK("http://www.ncbi.nlm.nih.gov/protein/11182464","gi|11182464")</f>
        <v>gi|11182464</v>
      </c>
      <c r="AJ128">
        <v>300</v>
      </c>
      <c r="AK128">
        <v>154</v>
      </c>
      <c r="AL128">
        <v>226</v>
      </c>
      <c r="AM128">
        <v>91</v>
      </c>
      <c r="AN128">
        <v>69</v>
      </c>
      <c r="AO128" t="s">
        <v>59</v>
      </c>
      <c r="AP128" s="2" t="str">
        <f>HYPERLINK("http://exon.niaid.nih.gov/transcriptome/T_rubida/S2/links/SWISSP/Triru-84-SWISSP.txt","Cytochrome c oxidase subunit 2")</f>
        <v>Cytochrome c oxidase subunit 2</v>
      </c>
      <c r="AQ128" t="str">
        <f>HYPERLINK("http://www.uniprot.org/uniprot/P29876","4E-068")</f>
        <v>4E-068</v>
      </c>
      <c r="AR128" t="s">
        <v>60</v>
      </c>
      <c r="AS128">
        <v>256</v>
      </c>
      <c r="AT128">
        <v>154</v>
      </c>
      <c r="AU128">
        <v>229</v>
      </c>
      <c r="AV128">
        <v>72</v>
      </c>
      <c r="AW128">
        <v>68</v>
      </c>
      <c r="AX128">
        <v>42</v>
      </c>
      <c r="AY128">
        <v>0</v>
      </c>
      <c r="AZ128">
        <v>72</v>
      </c>
      <c r="BA128">
        <v>2</v>
      </c>
      <c r="BB128">
        <v>1</v>
      </c>
      <c r="BC128" t="s">
        <v>61</v>
      </c>
      <c r="BD128" s="2" t="s">
        <v>62</v>
      </c>
      <c r="BE128">
        <f>HYPERLINK("http://exon.niaid.nih.gov/transcriptome/T_rubida/S2/links/GO/Triru-84-GO.txt",1E-67)</f>
        <v>9.9999999999999994E-68</v>
      </c>
      <c r="BF128" t="s">
        <v>1921</v>
      </c>
      <c r="BG128" t="s">
        <v>63</v>
      </c>
      <c r="BH128" t="s">
        <v>1922</v>
      </c>
      <c r="BI128" s="2" t="str">
        <f>HYPERLINK("http://exon.niaid.nih.gov/transcriptome/T_rubida/S2/links/CDD/Triru-84-CDD.txt","COX2")</f>
        <v>COX2</v>
      </c>
      <c r="BJ128" t="str">
        <f>HYPERLINK("http://www.ncbi.nlm.nih.gov/Structure/cdd/cddsrv.cgi?uid=MTH00154&amp;version=v4.0","3E-089")</f>
        <v>3E-089</v>
      </c>
      <c r="BK128" t="s">
        <v>704</v>
      </c>
      <c r="BL128" s="2" t="str">
        <f>HYPERLINK("http://exon.niaid.nih.gov/transcriptome/T_rubida/S2/links/KOG/Triru-84-KOG.txt","Cytochrome c oxidase, subunit II, and related proteins")</f>
        <v>Cytochrome c oxidase, subunit II, and related proteins</v>
      </c>
      <c r="BM128" t="str">
        <f>HYPERLINK("http://www.ncbi.nlm.nih.gov/COG/grace/shokog.cgi?KOG4767","8E-069")</f>
        <v>8E-069</v>
      </c>
      <c r="BN128" t="s">
        <v>65</v>
      </c>
      <c r="BO128" s="2" t="str">
        <f>HYPERLINK("http://exon.niaid.nih.gov/transcriptome/T_rubida/S2/links/PFAM/Triru-84-PFAM.txt","COX2")</f>
        <v>COX2</v>
      </c>
      <c r="BP128" t="str">
        <f>HYPERLINK("http://pfam.sanger.ac.uk/family?acc=PF00116","3E-060")</f>
        <v>3E-060</v>
      </c>
      <c r="BQ128" s="2" t="str">
        <f>HYPERLINK("http://exon.niaid.nih.gov/transcriptome/T_rubida/S2/links/SMART/Triru-84-SMART.txt","eIF5C")</f>
        <v>eIF5C</v>
      </c>
      <c r="BR128" t="str">
        <f>HYPERLINK("http://smart.embl-heidelberg.de/smart/do_annotation.pl?DOMAIN=eIF5C&amp;BLAST=DUMMY","0.96")</f>
        <v>0.96</v>
      </c>
      <c r="BS128" s="17">
        <f>HYPERLINK("http://exon.niaid.nih.gov/transcriptome/T_rubida/S2/links/cluster/Triru-pep-ext25-50-Sim-CLU7.txt", 7)</f>
        <v>7</v>
      </c>
      <c r="BT128" s="1">
        <f>HYPERLINK("http://exon.niaid.nih.gov/transcriptome/T_rubida/S2/links/cluster/Triru-pep-ext25-50-Sim-CLTL7.txt", 2)</f>
        <v>2</v>
      </c>
      <c r="BU128" s="17">
        <f>HYPERLINK("http://exon.niaid.nih.gov/transcriptome/T_rubida/S2/links/cluster/Triru-pep-ext30-50-Sim-CLU14.txt", 14)</f>
        <v>14</v>
      </c>
      <c r="BV128" s="1">
        <f>HYPERLINK("http://exon.niaid.nih.gov/transcriptome/T_rubida/S2/links/cluster/Triru-pep-ext30-50-Sim-CLTL14.txt", 2)</f>
        <v>2</v>
      </c>
      <c r="BW128" s="17">
        <f>HYPERLINK("http://exon.niaid.nih.gov/transcriptome/T_rubida/S2/links/cluster/Triru-pep-ext35-50-Sim-CLU11.txt", 11)</f>
        <v>11</v>
      </c>
      <c r="BX128" s="1">
        <f>HYPERLINK("http://exon.niaid.nih.gov/transcriptome/T_rubida/S2/links/cluster/Triru-pep-ext35-50-Sim-CLTL11.txt", 2)</f>
        <v>2</v>
      </c>
      <c r="BY128" s="17">
        <f>HYPERLINK("http://exon.niaid.nih.gov/transcriptome/T_rubida/S2/links/cluster/Triru-pep-ext40-50-Sim-CLU8.txt", 8)</f>
        <v>8</v>
      </c>
      <c r="BZ128" s="1">
        <f>HYPERLINK("http://exon.niaid.nih.gov/transcriptome/T_rubida/S2/links/cluster/Triru-pep-ext40-50-Sim-CLTL8.txt", 2)</f>
        <v>2</v>
      </c>
      <c r="CA128" s="17">
        <f>HYPERLINK("http://exon.niaid.nih.gov/transcriptome/T_rubida/S2/links/cluster/Triru-pep-ext45-50-Sim-CLU7.txt", 7)</f>
        <v>7</v>
      </c>
      <c r="CB128" s="1">
        <f>HYPERLINK("http://exon.niaid.nih.gov/transcriptome/T_rubida/S2/links/cluster/Triru-pep-ext45-50-Sim-CLTL7.txt", 2)</f>
        <v>2</v>
      </c>
      <c r="CC128" s="17">
        <f>HYPERLINK("http://exon.niaid.nih.gov/transcriptome/T_rubida/S2/links/cluster/Triru-pep-ext50-50-Sim-CLU7.txt", 7)</f>
        <v>7</v>
      </c>
      <c r="CD128" s="1">
        <f>HYPERLINK("http://exon.niaid.nih.gov/transcriptome/T_rubida/S2/links/cluster/Triru-pep-ext50-50-Sim-CLTL7.txt", 2)</f>
        <v>2</v>
      </c>
      <c r="CE128" s="17">
        <f>HYPERLINK("http://exon.niaid.nih.gov/transcriptome/T_rubida/S2/links/cluster/Triru-pep-ext55-50-Sim-CLU6.txt", 6)</f>
        <v>6</v>
      </c>
      <c r="CF128" s="1">
        <f>HYPERLINK("http://exon.niaid.nih.gov/transcriptome/T_rubida/S2/links/cluster/Triru-pep-ext55-50-Sim-CLTL6.txt", 2)</f>
        <v>2</v>
      </c>
      <c r="CG128" s="17">
        <f>HYPERLINK("http://exon.niaid.nih.gov/transcriptome/T_rubida/S2/links/cluster/Triru-pep-ext60-50-Sim-CLU8.txt", 8)</f>
        <v>8</v>
      </c>
      <c r="CH128" s="1">
        <f>HYPERLINK("http://exon.niaid.nih.gov/transcriptome/T_rubida/S2/links/cluster/Triru-pep-ext60-50-Sim-CLTL8.txt", 2)</f>
        <v>2</v>
      </c>
      <c r="CI128" s="17">
        <f>HYPERLINK("http://exon.niaid.nih.gov/transcriptome/T_rubida/S2/links/cluster/Triru-pep-ext65-50-Sim-CLU8.txt", 8)</f>
        <v>8</v>
      </c>
      <c r="CJ128" s="1">
        <f>HYPERLINK("http://exon.niaid.nih.gov/transcriptome/T_rubida/S2/links/cluster/Triru-pep-ext65-50-Sim-CLTL8.txt", 2)</f>
        <v>2</v>
      </c>
      <c r="CK128" s="17">
        <f>HYPERLINK("http://exon.niaid.nih.gov/transcriptome/T_rubida/S2/links/cluster/Triru-pep-ext70-50-Sim-CLU7.txt", 7)</f>
        <v>7</v>
      </c>
      <c r="CL128" s="1">
        <f>HYPERLINK("http://exon.niaid.nih.gov/transcriptome/T_rubida/S2/links/cluster/Triru-pep-ext70-50-Sim-CLTL7.txt", 2)</f>
        <v>2</v>
      </c>
      <c r="CM128" s="17">
        <f>HYPERLINK("http://exon.niaid.nih.gov/transcriptome/T_rubida/S2/links/cluster/Triru-pep-ext75-50-Sim-CLU8.txt", 8)</f>
        <v>8</v>
      </c>
      <c r="CN128" s="1">
        <f>HYPERLINK("http://exon.niaid.nih.gov/transcriptome/T_rubida/S2/links/cluster/Triru-pep-ext75-50-Sim-CLTL8.txt", 2)</f>
        <v>2</v>
      </c>
      <c r="CO128" s="17">
        <f>HYPERLINK("http://exon.niaid.nih.gov/transcriptome/T_rubida/S2/links/cluster/Triru-pep-ext80-50-Sim-CLU7.txt", 7)</f>
        <v>7</v>
      </c>
      <c r="CP128" s="1">
        <f>HYPERLINK("http://exon.niaid.nih.gov/transcriptome/T_rubida/S2/links/cluster/Triru-pep-ext80-50-Sim-CLTL7.txt", 2)</f>
        <v>2</v>
      </c>
      <c r="CQ128" s="17">
        <v>23</v>
      </c>
      <c r="CR128" s="1">
        <v>1</v>
      </c>
      <c r="CS128" s="17">
        <v>20</v>
      </c>
      <c r="CT128" s="1">
        <v>1</v>
      </c>
      <c r="CU128" s="17">
        <v>16</v>
      </c>
      <c r="CV128" s="1">
        <v>1</v>
      </c>
    </row>
    <row r="129" spans="1:100">
      <c r="A129" t="str">
        <f>HYPERLINK("http://exon.niaid.nih.gov/transcriptome/T_rubida/S2/links/pep/Triru-297-pep.txt","Triru-297")</f>
        <v>Triru-297</v>
      </c>
      <c r="B129">
        <v>83</v>
      </c>
      <c r="C129" s="1" t="s">
        <v>6</v>
      </c>
      <c r="D129" s="1" t="s">
        <v>3</v>
      </c>
      <c r="E129" t="str">
        <f>HYPERLINK("http://exon.niaid.nih.gov/transcriptome/T_rubida/S2/links/cds/Triru-297-cds.txt","Triru-297")</f>
        <v>Triru-297</v>
      </c>
      <c r="F129">
        <v>252</v>
      </c>
      <c r="G129" s="2" t="s">
        <v>1613</v>
      </c>
      <c r="H129" s="1">
        <v>1</v>
      </c>
      <c r="I129" s="3" t="s">
        <v>1265</v>
      </c>
      <c r="J129" s="17" t="str">
        <f>HYPERLINK("http://exon.niaid.nih.gov/transcriptome/T_rubida/S2/links/Sigp/Triru-297-SigP.txt","CYT")</f>
        <v>CYT</v>
      </c>
      <c r="K129" t="s">
        <v>5</v>
      </c>
      <c r="L129" s="1">
        <v>9.2889999999999997</v>
      </c>
      <c r="M129" s="1">
        <v>8.76</v>
      </c>
      <c r="P129" s="1">
        <v>0.11600000000000001</v>
      </c>
      <c r="Q129" s="1">
        <v>6.8000000000000005E-2</v>
      </c>
      <c r="R129" s="1">
        <v>0.88800000000000001</v>
      </c>
      <c r="S129" s="17" t="s">
        <v>1346</v>
      </c>
      <c r="T129">
        <v>2</v>
      </c>
      <c r="U129" t="s">
        <v>1382</v>
      </c>
      <c r="V129" s="17">
        <v>0</v>
      </c>
      <c r="W129" t="s">
        <v>5</v>
      </c>
      <c r="X129" t="s">
        <v>5</v>
      </c>
      <c r="Y129" t="s">
        <v>5</v>
      </c>
      <c r="Z129" t="s">
        <v>5</v>
      </c>
      <c r="AA129" t="s">
        <v>5</v>
      </c>
      <c r="AB129" s="17" t="str">
        <f>HYPERLINK("http://exon.niaid.nih.gov/transcriptome/T_rubida/S2/links/netoglyc/TRIRU-297-netoglyc.txt","0")</f>
        <v>0</v>
      </c>
      <c r="AC129">
        <v>6</v>
      </c>
      <c r="AD129">
        <v>10.8</v>
      </c>
      <c r="AE129">
        <v>6</v>
      </c>
      <c r="AF129" s="17" t="s">
        <v>1411</v>
      </c>
      <c r="AG129" s="2" t="str">
        <f>HYPERLINK("http://exon.niaid.nih.gov/transcriptome/T_rubida/S2/links/NR/Triru-297-NR.txt","ACYPI000747")</f>
        <v>ACYPI000747</v>
      </c>
      <c r="AH129" t="str">
        <f>HYPERLINK("http://www.ncbi.nlm.nih.gov/sutils/blink.cgi?pid=239788117","2E-030")</f>
        <v>2E-030</v>
      </c>
      <c r="AI129" t="str">
        <f>HYPERLINK("http://www.ncbi.nlm.nih.gov/protein/239788117","gi|239788117")</f>
        <v>gi|239788117</v>
      </c>
      <c r="AJ129">
        <v>135</v>
      </c>
      <c r="AK129">
        <v>81</v>
      </c>
      <c r="AL129">
        <v>123</v>
      </c>
      <c r="AM129">
        <v>70</v>
      </c>
      <c r="AN129">
        <v>67</v>
      </c>
      <c r="AO129" t="s">
        <v>89</v>
      </c>
      <c r="AP129" s="2" t="str">
        <f>HYPERLINK("http://exon.niaid.nih.gov/transcriptome/T_rubida/S2/links/SWISSP/Triru-297-SWISSP.txt","NADH dehydrogenase")</f>
        <v>NADH dehydrogenase</v>
      </c>
      <c r="AQ129" t="str">
        <f>HYPERLINK("http://www.uniprot.org/uniprot/P52503","6E-021")</f>
        <v>6E-021</v>
      </c>
      <c r="AR129" t="s">
        <v>534</v>
      </c>
      <c r="AS129">
        <v>99.4</v>
      </c>
      <c r="AT129">
        <v>81</v>
      </c>
      <c r="AU129">
        <v>116</v>
      </c>
      <c r="AV129">
        <v>59</v>
      </c>
      <c r="AW129">
        <v>71</v>
      </c>
      <c r="AX129">
        <v>34</v>
      </c>
      <c r="AY129">
        <v>3</v>
      </c>
      <c r="AZ129">
        <v>35</v>
      </c>
      <c r="BA129">
        <v>1</v>
      </c>
      <c r="BB129">
        <v>1</v>
      </c>
      <c r="BC129" t="s">
        <v>75</v>
      </c>
      <c r="BD129" s="2" t="s">
        <v>535</v>
      </c>
      <c r="BE129">
        <f>HYPERLINK("http://exon.niaid.nih.gov/transcriptome/T_rubida/S2/links/GO/Triru-297-GO.txt",6E-30)</f>
        <v>5.9999999999999998E-30</v>
      </c>
      <c r="BF129" t="s">
        <v>1924</v>
      </c>
      <c r="BG129" t="s">
        <v>77</v>
      </c>
      <c r="BH129" t="s">
        <v>193</v>
      </c>
      <c r="BI129" s="2" t="str">
        <f>HYPERLINK("http://exon.niaid.nih.gov/transcriptome/T_rubida/S2/links/CDD/Triru-297-CDD.txt","zf-CHCC")</f>
        <v>zf-CHCC</v>
      </c>
      <c r="BJ129" t="str">
        <f>HYPERLINK("http://www.ncbi.nlm.nih.gov/Structure/cdd/cddsrv.cgi?uid=pfam10276&amp;version=v4.0","1E-010")</f>
        <v>1E-010</v>
      </c>
      <c r="BK129" t="s">
        <v>536</v>
      </c>
      <c r="BL129" s="2" t="str">
        <f>HYPERLINK("http://exon.niaid.nih.gov/transcriptome/T_rubida/S2/links/KOG/Triru-297-KOG.txt","NADH:ubiquinone oxidoreductase, NDUFS6/13 kDa subunit")</f>
        <v>NADH:ubiquinone oxidoreductase, NDUFS6/13 kDa subunit</v>
      </c>
      <c r="BM129" t="str">
        <f>HYPERLINK("http://www.ncbi.nlm.nih.gov/COG/grace/shokog.cgi?KOG3456","6E-029")</f>
        <v>6E-029</v>
      </c>
      <c r="BN129" t="s">
        <v>65</v>
      </c>
      <c r="BO129" s="2" t="str">
        <f>HYPERLINK("http://exon.niaid.nih.gov/transcriptome/T_rubida/S2/links/PFAM/Triru-297-PFAM.txt","zf-CHCC")</f>
        <v>zf-CHCC</v>
      </c>
      <c r="BP129" t="str">
        <f>HYPERLINK("http://pfam.sanger.ac.uk/family?acc=PF10276","2E-011")</f>
        <v>2E-011</v>
      </c>
      <c r="BQ129" s="2" t="str">
        <f>HYPERLINK("http://exon.niaid.nih.gov/transcriptome/T_rubida/S2/links/SMART/Triru-297-SMART.txt","Elp3")</f>
        <v>Elp3</v>
      </c>
      <c r="BR129" t="str">
        <f>HYPERLINK("http://smart.embl-heidelberg.de/smart/do_annotation.pl?DOMAIN=Elp3&amp;BLAST=DUMMY","0.42")</f>
        <v>0.42</v>
      </c>
      <c r="BS129" s="17">
        <v>88</v>
      </c>
      <c r="BT129" s="1">
        <v>1</v>
      </c>
      <c r="BU129" s="17">
        <v>138</v>
      </c>
      <c r="BV129" s="1">
        <v>1</v>
      </c>
      <c r="BW129" s="17">
        <v>166</v>
      </c>
      <c r="BX129" s="1">
        <v>1</v>
      </c>
      <c r="BY129" s="17">
        <v>177</v>
      </c>
      <c r="BZ129" s="1">
        <v>1</v>
      </c>
      <c r="CA129" s="17">
        <v>181</v>
      </c>
      <c r="CB129" s="1">
        <v>1</v>
      </c>
      <c r="CC129" s="17">
        <v>186</v>
      </c>
      <c r="CD129" s="1">
        <v>1</v>
      </c>
      <c r="CE129" s="17">
        <v>192</v>
      </c>
      <c r="CF129" s="1">
        <v>1</v>
      </c>
      <c r="CG129" s="17">
        <v>194</v>
      </c>
      <c r="CH129" s="1">
        <v>1</v>
      </c>
      <c r="CI129" s="17">
        <v>201</v>
      </c>
      <c r="CJ129" s="1">
        <v>1</v>
      </c>
      <c r="CK129" s="17">
        <v>206</v>
      </c>
      <c r="CL129" s="1">
        <v>1</v>
      </c>
      <c r="CM129" s="17">
        <v>212</v>
      </c>
      <c r="CN129" s="1">
        <v>1</v>
      </c>
      <c r="CO129" s="17">
        <v>223</v>
      </c>
      <c r="CP129" s="1">
        <v>1</v>
      </c>
      <c r="CQ129" s="17">
        <v>233</v>
      </c>
      <c r="CR129" s="1">
        <v>1</v>
      </c>
      <c r="CS129" s="17">
        <v>241</v>
      </c>
      <c r="CT129" s="1">
        <v>1</v>
      </c>
      <c r="CU129" s="17">
        <v>252</v>
      </c>
      <c r="CV129" s="1">
        <v>1</v>
      </c>
    </row>
    <row r="130" spans="1:100">
      <c r="A130" t="str">
        <f>HYPERLINK("http://exon.niaid.nih.gov/transcriptome/T_rubida/S2/links/pep/Triru-524-pep.txt","Triru-524")</f>
        <v>Triru-524</v>
      </c>
      <c r="B130">
        <v>64</v>
      </c>
      <c r="C130" s="1" t="s">
        <v>24</v>
      </c>
      <c r="D130" s="1" t="s">
        <v>3</v>
      </c>
      <c r="E130" t="str">
        <f>HYPERLINK("http://exon.niaid.nih.gov/transcriptome/T_rubida/S2/links/cds/Triru-524-cds.txt","Triru-524")</f>
        <v>Triru-524</v>
      </c>
      <c r="F130">
        <v>195</v>
      </c>
      <c r="G130" s="2" t="s">
        <v>1613</v>
      </c>
      <c r="H130" s="1">
        <v>1</v>
      </c>
      <c r="I130" s="3" t="s">
        <v>1265</v>
      </c>
      <c r="J130" s="17" t="str">
        <f>HYPERLINK("http://exon.niaid.nih.gov/transcriptome/T_rubida/S2/links/Sigp/Triru-524-SigP.txt","CYT")</f>
        <v>CYT</v>
      </c>
      <c r="K130" t="s">
        <v>5</v>
      </c>
      <c r="L130" s="1">
        <v>7.5629999999999997</v>
      </c>
      <c r="M130" s="1">
        <v>5.28</v>
      </c>
      <c r="P130" s="1">
        <v>6.8000000000000005E-2</v>
      </c>
      <c r="Q130" s="1">
        <v>0.14899999999999999</v>
      </c>
      <c r="R130" s="1">
        <v>0.84299999999999997</v>
      </c>
      <c r="S130" s="17" t="s">
        <v>1346</v>
      </c>
      <c r="T130">
        <v>2</v>
      </c>
      <c r="U130" t="s">
        <v>1348</v>
      </c>
      <c r="V130" s="17">
        <v>0</v>
      </c>
      <c r="W130" t="s">
        <v>5</v>
      </c>
      <c r="X130" t="s">
        <v>5</v>
      </c>
      <c r="Y130" t="s">
        <v>5</v>
      </c>
      <c r="Z130" t="s">
        <v>5</v>
      </c>
      <c r="AA130" t="s">
        <v>5</v>
      </c>
      <c r="AB130" s="17" t="s">
        <v>5</v>
      </c>
      <c r="AC130" t="s">
        <v>5</v>
      </c>
      <c r="AD130" t="s">
        <v>5</v>
      </c>
      <c r="AE130" t="s">
        <v>5</v>
      </c>
      <c r="AF130" s="17" t="s">
        <v>5</v>
      </c>
      <c r="AG130" s="2" t="str">
        <f>HYPERLINK("http://exon.niaid.nih.gov/transcriptome/T_rubida/S2/links/NR/Triru-524-NR.txt","NADH-ubiquinone oxidoreductase NDUFS4/18 kDa subunit")</f>
        <v>NADH-ubiquinone oxidoreductase NDUFS4/18 kDa subunit</v>
      </c>
      <c r="AH130" t="str">
        <f>HYPERLINK("http://www.ncbi.nlm.nih.gov/sutils/blink.cgi?pid=289741441","7E-020")</f>
        <v>7E-020</v>
      </c>
      <c r="AI130" t="str">
        <f>HYPERLINK("http://www.ncbi.nlm.nih.gov/protein/289741441","gi|289741441")</f>
        <v>gi|289741441</v>
      </c>
      <c r="AJ130">
        <v>100</v>
      </c>
      <c r="AK130">
        <v>63</v>
      </c>
      <c r="AL130">
        <v>182</v>
      </c>
      <c r="AM130">
        <v>68</v>
      </c>
      <c r="AN130">
        <v>35</v>
      </c>
      <c r="AO130" t="s">
        <v>1232</v>
      </c>
      <c r="AP130" s="2" t="str">
        <f>HYPERLINK("http://exon.niaid.nih.gov/transcriptome/T_rubida/S2/links/SWISSP/Triru-524-SWISSP.txt","NADH dehydrogenase")</f>
        <v>NADH dehydrogenase</v>
      </c>
      <c r="AQ130" t="str">
        <f>HYPERLINK("http://www.uniprot.org/uniprot/Q66XS7","5E-019")</f>
        <v>5E-019</v>
      </c>
      <c r="AR130" t="s">
        <v>1233</v>
      </c>
      <c r="AS130">
        <v>92.8</v>
      </c>
      <c r="AT130">
        <v>62</v>
      </c>
      <c r="AU130">
        <v>175</v>
      </c>
      <c r="AV130">
        <v>68</v>
      </c>
      <c r="AW130">
        <v>36</v>
      </c>
      <c r="AX130">
        <v>20</v>
      </c>
      <c r="AY130">
        <v>0</v>
      </c>
      <c r="AZ130">
        <v>113</v>
      </c>
      <c r="BA130">
        <v>2</v>
      </c>
      <c r="BB130">
        <v>1</v>
      </c>
      <c r="BC130" t="s">
        <v>580</v>
      </c>
      <c r="BD130" s="2" t="s">
        <v>1234</v>
      </c>
      <c r="BE130">
        <f>HYPERLINK("http://exon.niaid.nih.gov/transcriptome/T_rubida/S2/links/GO/Triru-524-GO.txt",0.0000000000000000002)</f>
        <v>2E-19</v>
      </c>
      <c r="BF130" t="s">
        <v>1925</v>
      </c>
      <c r="BG130" t="s">
        <v>77</v>
      </c>
      <c r="BH130" t="s">
        <v>193</v>
      </c>
      <c r="BI130" s="2" t="str">
        <f>HYPERLINK("http://exon.niaid.nih.gov/transcriptome/T_rubida/S2/links/CDD/Triru-524-CDD.txt","ETC_C1_NDUFA4")</f>
        <v>ETC_C1_NDUFA4</v>
      </c>
      <c r="BJ130" t="str">
        <f>HYPERLINK("http://www.ncbi.nlm.nih.gov/Structure/cdd/cddsrv.cgi?uid=pfam04800&amp;version=v4.0","1E-013")</f>
        <v>1E-013</v>
      </c>
      <c r="BK130" t="s">
        <v>1235</v>
      </c>
      <c r="BL130" s="2" t="str">
        <f>HYPERLINK("http://exon.niaid.nih.gov/transcriptome/T_rubida/S2/links/KOG/Triru-524-KOG.txt","NADH:ubiquinone oxidoreductase, NDUFS4/18 kDa subunit")</f>
        <v>NADH:ubiquinone oxidoreductase, NDUFS4/18 kDa subunit</v>
      </c>
      <c r="BM130" t="str">
        <f>HYPERLINK("http://www.ncbi.nlm.nih.gov/COG/grace/shokog.cgi?KOG3389","2E-017")</f>
        <v>2E-017</v>
      </c>
      <c r="BN130" t="s">
        <v>65</v>
      </c>
      <c r="BO130" s="2" t="str">
        <f>HYPERLINK("http://exon.niaid.nih.gov/transcriptome/T_rubida/S2/links/PFAM/Triru-524-PFAM.txt","ETC_C1_NDUFA4")</f>
        <v>ETC_C1_NDUFA4</v>
      </c>
      <c r="BP130" t="str">
        <f>HYPERLINK("http://pfam.sanger.ac.uk/family?acc=PF04800","3E-014")</f>
        <v>3E-014</v>
      </c>
      <c r="BQ130" s="2" t="str">
        <f>HYPERLINK("http://exon.niaid.nih.gov/transcriptome/T_rubida/S2/links/SMART/Triru-524-SMART.txt","Resolvase")</f>
        <v>Resolvase</v>
      </c>
      <c r="BR130" t="str">
        <f>HYPERLINK("http://smart.embl-heidelberg.de/smart/do_annotation.pl?DOMAIN=Resolvase&amp;BLAST=DUMMY","0.13")</f>
        <v>0.13</v>
      </c>
      <c r="BS130" s="17">
        <f>HYPERLINK("http://exon.niaid.nih.gov/transcriptome/T_rubida/S2/links/cluster/Triru-pep-ext25-50-Sim-CLU1.txt", 1)</f>
        <v>1</v>
      </c>
      <c r="BT130" s="1">
        <f>HYPERLINK("http://exon.niaid.nih.gov/transcriptome/T_rubida/S2/links/cluster/Triru-pep-ext25-50-Sim-CLTL1.txt", 359)</f>
        <v>359</v>
      </c>
      <c r="BU130" s="17">
        <f>HYPERLINK("http://exon.niaid.nih.gov/transcriptome/T_rubida/S2/links/cluster/Triru-pep-ext30-50-Sim-CLU1.txt", 1)</f>
        <v>1</v>
      </c>
      <c r="BV130" s="1">
        <f>HYPERLINK("http://exon.niaid.nih.gov/transcriptome/T_rubida/S2/links/cluster/Triru-pep-ext30-50-Sim-CLTL1.txt", 225)</f>
        <v>225</v>
      </c>
      <c r="BW130" s="17">
        <f>HYPERLINK("http://exon.niaid.nih.gov/transcriptome/T_rubida/S2/links/cluster/Triru-pep-ext35-50-Sim-CLU1.txt", 1)</f>
        <v>1</v>
      </c>
      <c r="BX130" s="1">
        <f>HYPERLINK("http://exon.niaid.nih.gov/transcriptome/T_rubida/S2/links/cluster/Triru-pep-ext35-50-Sim-CLTL1.txt", 75)</f>
        <v>75</v>
      </c>
      <c r="BY130" s="17">
        <v>332</v>
      </c>
      <c r="BZ130" s="1">
        <v>1</v>
      </c>
      <c r="CA130" s="17">
        <v>344</v>
      </c>
      <c r="CB130" s="1">
        <v>1</v>
      </c>
      <c r="CC130" s="17">
        <v>356</v>
      </c>
      <c r="CD130" s="1">
        <v>1</v>
      </c>
      <c r="CE130" s="17">
        <v>370</v>
      </c>
      <c r="CF130" s="1">
        <v>1</v>
      </c>
      <c r="CG130" s="17">
        <v>376</v>
      </c>
      <c r="CH130" s="1">
        <v>1</v>
      </c>
      <c r="CI130" s="17">
        <v>388</v>
      </c>
      <c r="CJ130" s="1">
        <v>1</v>
      </c>
      <c r="CK130" s="17">
        <v>394</v>
      </c>
      <c r="CL130" s="1">
        <v>1</v>
      </c>
      <c r="CM130" s="17">
        <v>403</v>
      </c>
      <c r="CN130" s="1">
        <v>1</v>
      </c>
      <c r="CO130" s="17">
        <v>415</v>
      </c>
      <c r="CP130" s="1">
        <v>1</v>
      </c>
      <c r="CQ130" s="17">
        <v>425</v>
      </c>
      <c r="CR130" s="1">
        <v>1</v>
      </c>
      <c r="CS130" s="17">
        <v>438</v>
      </c>
      <c r="CT130" s="1">
        <v>1</v>
      </c>
      <c r="CU130" s="17">
        <v>449</v>
      </c>
      <c r="CV130" s="1">
        <v>1</v>
      </c>
    </row>
    <row r="131" spans="1:100">
      <c r="A131" t="str">
        <f>HYPERLINK("http://exon.niaid.nih.gov/transcriptome/T_rubida/S2/links/pep/Triru-123-pep.txt","Triru-123")</f>
        <v>Triru-123</v>
      </c>
      <c r="B131">
        <v>94</v>
      </c>
      <c r="C131" s="1" t="s">
        <v>4</v>
      </c>
      <c r="D131" s="1" t="s">
        <v>3</v>
      </c>
      <c r="E131" t="str">
        <f>HYPERLINK("http://exon.niaid.nih.gov/transcriptome/T_rubida/S2/links/cds/Triru-123-cds.txt","Triru-123")</f>
        <v>Triru-123</v>
      </c>
      <c r="F131">
        <v>285</v>
      </c>
      <c r="G131" s="2" t="s">
        <v>1614</v>
      </c>
      <c r="H131" s="1">
        <v>3</v>
      </c>
      <c r="I131" s="3" t="s">
        <v>1265</v>
      </c>
      <c r="J131" s="17" t="str">
        <f>HYPERLINK("http://exon.niaid.nih.gov/transcriptome/T_rubida/S2/links/Sigp/Triru-123-SigP.txt","BL/ANC")</f>
        <v>BL/ANC</v>
      </c>
      <c r="K131" t="s">
        <v>5</v>
      </c>
      <c r="L131" s="1">
        <v>11.204000000000001</v>
      </c>
      <c r="M131" s="1">
        <v>6.29</v>
      </c>
      <c r="P131" s="1">
        <v>3.0000000000000001E-3</v>
      </c>
      <c r="Q131" s="1">
        <v>0.96299999999999997</v>
      </c>
      <c r="R131" s="1">
        <v>0.42399999999999999</v>
      </c>
      <c r="S131" s="17" t="s">
        <v>18</v>
      </c>
      <c r="T131">
        <v>3</v>
      </c>
      <c r="U131" t="s">
        <v>1412</v>
      </c>
      <c r="V131" s="17" t="str">
        <f>HYPERLINK("http://exon.niaid.nih.gov/transcriptome/T_rubida/S2/links/tmhmm/TRIRU-123-tmhmm.txt","3")</f>
        <v>3</v>
      </c>
      <c r="W131">
        <v>70.2</v>
      </c>
      <c r="X131">
        <v>21.3</v>
      </c>
      <c r="Y131">
        <v>8.5</v>
      </c>
      <c r="Z131" t="s">
        <v>5</v>
      </c>
      <c r="AA131" t="s">
        <v>5</v>
      </c>
      <c r="AB131" s="17" t="str">
        <f>HYPERLINK("http://exon.niaid.nih.gov/transcriptome/T_rubida/S2/links/netoglyc/TRIRU-123-netoglyc.txt","0")</f>
        <v>0</v>
      </c>
      <c r="AC131">
        <v>11.7</v>
      </c>
      <c r="AD131">
        <v>5.3</v>
      </c>
      <c r="AE131">
        <v>2.1</v>
      </c>
      <c r="AF131" s="17" t="s">
        <v>5</v>
      </c>
      <c r="AG131" s="2" t="str">
        <f>HYPERLINK("http://exon.niaid.nih.gov/transcriptome/T_rubida/S2/links/NR/Triru-123-NR.txt","NADH dehydrogenase subunit I")</f>
        <v>NADH dehydrogenase subunit I</v>
      </c>
      <c r="AH131" t="str">
        <f>HYPERLINK("http://www.ncbi.nlm.nih.gov/sutils/blink.cgi?pid=291621797","5E-047")</f>
        <v>5E-047</v>
      </c>
      <c r="AI131" t="str">
        <f>HYPERLINK("http://www.ncbi.nlm.nih.gov/protein/291621797","gi|291621797")</f>
        <v>gi|291621797</v>
      </c>
      <c r="AJ131">
        <v>190</v>
      </c>
      <c r="AK131">
        <v>91</v>
      </c>
      <c r="AL131">
        <v>307</v>
      </c>
      <c r="AM131">
        <v>98</v>
      </c>
      <c r="AN131">
        <v>30</v>
      </c>
      <c r="AO131" t="s">
        <v>189</v>
      </c>
      <c r="AP131" s="2" t="str">
        <f>HYPERLINK("http://exon.niaid.nih.gov/transcriptome/T_rubida/S2/links/SWISSP/Triru-123-SWISSP.txt","NADH-ubiquinone oxidoreductase chain 1")</f>
        <v>NADH-ubiquinone oxidoreductase chain 1</v>
      </c>
      <c r="AQ131" t="str">
        <f>HYPERLINK("http://www.uniprot.org/uniprot/B0FWD8","4E-034")</f>
        <v>4E-034</v>
      </c>
      <c r="AR131" t="s">
        <v>190</v>
      </c>
      <c r="AS131">
        <v>142</v>
      </c>
      <c r="AT131">
        <v>91</v>
      </c>
      <c r="AU131">
        <v>313</v>
      </c>
      <c r="AV131">
        <v>72</v>
      </c>
      <c r="AW131">
        <v>29</v>
      </c>
      <c r="AX131">
        <v>25</v>
      </c>
      <c r="AY131">
        <v>0</v>
      </c>
      <c r="AZ131">
        <v>218</v>
      </c>
      <c r="BA131">
        <v>3</v>
      </c>
      <c r="BB131">
        <v>1</v>
      </c>
      <c r="BC131" t="s">
        <v>191</v>
      </c>
      <c r="BD131" s="2" t="s">
        <v>192</v>
      </c>
      <c r="BE131">
        <f>HYPERLINK("http://exon.niaid.nih.gov/transcriptome/T_rubida/S2/links/GO/Triru-123-GO.txt",9E-31)</f>
        <v>9.0000000000000008E-31</v>
      </c>
      <c r="BF131" t="s">
        <v>1924</v>
      </c>
      <c r="BG131" t="s">
        <v>77</v>
      </c>
      <c r="BH131" t="s">
        <v>193</v>
      </c>
      <c r="BI131" s="2" t="str">
        <f>HYPERLINK("http://exon.niaid.nih.gov/transcriptome/T_rubida/S2/links/CDD/Triru-123-CDD.txt","ND1")</f>
        <v>ND1</v>
      </c>
      <c r="BJ131" t="str">
        <f>HYPERLINK("http://www.ncbi.nlm.nih.gov/Structure/cdd/cddsrv.cgi?uid=MTH00193&amp;version=v4.0","3E-025")</f>
        <v>3E-025</v>
      </c>
      <c r="BK131" t="s">
        <v>194</v>
      </c>
      <c r="BL131" s="2" t="str">
        <f>HYPERLINK("http://exon.niaid.nih.gov/transcriptome/T_rubida/S2/links/KOG/Triru-123-KOG.txt","NADH dehydrogenase subunit 1")</f>
        <v>NADH dehydrogenase subunit 1</v>
      </c>
      <c r="BM131" t="str">
        <f>HYPERLINK("http://www.ncbi.nlm.nih.gov/COG/grace/shokog.cgi?KOG4770","2E-018")</f>
        <v>2E-018</v>
      </c>
      <c r="BN131" t="s">
        <v>65</v>
      </c>
      <c r="BO131" s="2" t="str">
        <f>HYPERLINK("http://exon.niaid.nih.gov/transcriptome/T_rubida/S2/links/PFAM/Triru-123-PFAM.txt","NADHdh")</f>
        <v>NADHdh</v>
      </c>
      <c r="BP131" t="str">
        <f>HYPERLINK("http://pfam.sanger.ac.uk/family?acc=PF00146","1E-023")</f>
        <v>1E-023</v>
      </c>
      <c r="BQ131" s="2" t="str">
        <f>HYPERLINK("http://exon.niaid.nih.gov/transcriptome/T_rubida/S2/links/SMART/Triru-123-SMART.txt","MyTH4")</f>
        <v>MyTH4</v>
      </c>
      <c r="BR131" t="str">
        <f>HYPERLINK("http://smart.embl-heidelberg.de/smart/do_annotation.pl?DOMAIN=MyTH4&amp;BLAST=DUMMY","2.8")</f>
        <v>2.8</v>
      </c>
      <c r="BS131" s="17">
        <f>HYPERLINK("http://exon.niaid.nih.gov/transcriptome/T_rubida/S2/links/cluster/Triru-pep-ext25-50-Sim-CLU1.txt", 1)</f>
        <v>1</v>
      </c>
      <c r="BT131" s="1">
        <f>HYPERLINK("http://exon.niaid.nih.gov/transcriptome/T_rubida/S2/links/cluster/Triru-pep-ext25-50-Sim-CLTL1.txt", 359)</f>
        <v>359</v>
      </c>
      <c r="BU131" s="17">
        <f>HYPERLINK("http://exon.niaid.nih.gov/transcriptome/T_rubida/S2/links/cluster/Triru-pep-ext30-50-Sim-CLU1.txt", 1)</f>
        <v>1</v>
      </c>
      <c r="BV131" s="1">
        <f>HYPERLINK("http://exon.niaid.nih.gov/transcriptome/T_rubida/S2/links/cluster/Triru-pep-ext30-50-Sim-CLTL1.txt", 225)</f>
        <v>225</v>
      </c>
      <c r="BW131" s="17">
        <f>HYPERLINK("http://exon.niaid.nih.gov/transcriptome/T_rubida/S2/links/cluster/Triru-pep-ext35-50-Sim-CLU5.txt", 5)</f>
        <v>5</v>
      </c>
      <c r="BX131" s="1">
        <f>HYPERLINK("http://exon.niaid.nih.gov/transcriptome/T_rubida/S2/links/cluster/Triru-pep-ext35-50-Sim-CLTL5.txt", 5)</f>
        <v>5</v>
      </c>
      <c r="BY131" s="17">
        <f>HYPERLINK("http://exon.niaid.nih.gov/transcriptome/T_rubida/S2/links/cluster/Triru-pep-ext40-50-Sim-CLU9.txt", 9)</f>
        <v>9</v>
      </c>
      <c r="BZ131" s="1">
        <f>HYPERLINK("http://exon.niaid.nih.gov/transcriptome/T_rubida/S2/links/cluster/Triru-pep-ext40-50-Sim-CLTL9.txt", 2)</f>
        <v>2</v>
      </c>
      <c r="CA131" s="17">
        <v>39</v>
      </c>
      <c r="CB131" s="1">
        <v>1</v>
      </c>
      <c r="CC131" s="17">
        <v>37</v>
      </c>
      <c r="CD131" s="1">
        <v>1</v>
      </c>
      <c r="CE131" s="17">
        <v>30</v>
      </c>
      <c r="CF131" s="1">
        <v>1</v>
      </c>
      <c r="CG131" s="17">
        <v>29</v>
      </c>
      <c r="CH131" s="1">
        <v>1</v>
      </c>
      <c r="CI131" s="17">
        <v>27</v>
      </c>
      <c r="CJ131" s="1">
        <v>1</v>
      </c>
      <c r="CK131" s="17">
        <v>27</v>
      </c>
      <c r="CL131" s="1">
        <v>1</v>
      </c>
      <c r="CM131" s="17">
        <v>27</v>
      </c>
      <c r="CN131" s="1">
        <v>1</v>
      </c>
      <c r="CO131" s="17">
        <v>24</v>
      </c>
      <c r="CP131" s="1">
        <v>1</v>
      </c>
      <c r="CQ131" s="17">
        <v>24</v>
      </c>
      <c r="CR131" s="1">
        <v>1</v>
      </c>
      <c r="CS131" s="17">
        <v>21</v>
      </c>
      <c r="CT131" s="1">
        <v>1</v>
      </c>
      <c r="CU131" s="17">
        <v>17</v>
      </c>
      <c r="CV131" s="1">
        <v>1</v>
      </c>
    </row>
    <row r="132" spans="1:100">
      <c r="A132" t="str">
        <f>HYPERLINK("http://exon.niaid.nih.gov/transcriptome/T_rubida/S2/links/pep/Triru-498-pep.txt","Triru-498")</f>
        <v>Triru-498</v>
      </c>
      <c r="B132">
        <v>49</v>
      </c>
      <c r="C132" s="1" t="s">
        <v>6</v>
      </c>
      <c r="D132" s="1" t="s">
        <v>3</v>
      </c>
      <c r="E132" t="str">
        <f>HYPERLINK("http://exon.niaid.nih.gov/transcriptome/T_rubida/S2/links/cds/Triru-498-cds.txt","Triru-498")</f>
        <v>Triru-498</v>
      </c>
      <c r="F132">
        <v>150</v>
      </c>
      <c r="G132" s="2" t="s">
        <v>1615</v>
      </c>
      <c r="H132" s="1">
        <v>1</v>
      </c>
      <c r="I132" s="3" t="s">
        <v>1265</v>
      </c>
      <c r="J132" s="17" t="str">
        <f>HYPERLINK("http://exon.niaid.nih.gov/transcriptome/T_rubida/S2/links/Sigp/Triru-498-SigP.txt","ANC")</f>
        <v>ANC</v>
      </c>
      <c r="K132" t="s">
        <v>5</v>
      </c>
      <c r="L132" s="1">
        <v>5.5590000000000002</v>
      </c>
      <c r="M132" s="1">
        <v>9.99</v>
      </c>
      <c r="P132" s="1">
        <v>2.4E-2</v>
      </c>
      <c r="Q132" s="1">
        <v>0.83699999999999997</v>
      </c>
      <c r="R132" s="1">
        <v>0.17699999999999999</v>
      </c>
      <c r="S132" s="17" t="s">
        <v>18</v>
      </c>
      <c r="T132">
        <v>2</v>
      </c>
      <c r="U132" t="s">
        <v>1413</v>
      </c>
      <c r="V132" s="17" t="str">
        <f>HYPERLINK("http://exon.niaid.nih.gov/transcriptome/T_rubida/S2/links/tmhmm/TRIRU-498-tmhmm.txt","1")</f>
        <v>1</v>
      </c>
      <c r="W132">
        <v>44.9</v>
      </c>
      <c r="X132">
        <v>30.6</v>
      </c>
      <c r="Y132">
        <v>24.5</v>
      </c>
      <c r="Z132" t="s">
        <v>5</v>
      </c>
      <c r="AA132">
        <v>12</v>
      </c>
      <c r="AB132" s="17" t="str">
        <f>HYPERLINK("http://exon.niaid.nih.gov/transcriptome/T_rubida/S2/links/netoglyc/TRIRU-498-netoglyc.txt","0")</f>
        <v>0</v>
      </c>
      <c r="AC132">
        <v>14.3</v>
      </c>
      <c r="AD132">
        <v>6.1</v>
      </c>
      <c r="AE132">
        <v>2</v>
      </c>
      <c r="AF132" s="17" t="s">
        <v>5</v>
      </c>
      <c r="AG132" s="2" t="str">
        <f>HYPERLINK("http://exon.niaid.nih.gov/transcriptome/T_rubida/S2/links/NR/Triru-498-NR.txt","NADH dehydrogenase subunit 6")</f>
        <v>NADH dehydrogenase subunit 6</v>
      </c>
      <c r="AH132" t="str">
        <f>HYPERLINK("http://www.ncbi.nlm.nih.gov/sutils/blink.cgi?pid=11182472","2E-011")</f>
        <v>2E-011</v>
      </c>
      <c r="AI132" t="str">
        <f>HYPERLINK("http://www.ncbi.nlm.nih.gov/protein/11182472","gi|11182472")</f>
        <v>gi|11182472</v>
      </c>
      <c r="AJ132">
        <v>72.8</v>
      </c>
      <c r="AK132">
        <v>48</v>
      </c>
      <c r="AL132">
        <v>167</v>
      </c>
      <c r="AM132">
        <v>71</v>
      </c>
      <c r="AN132">
        <v>29</v>
      </c>
      <c r="AO132" t="s">
        <v>59</v>
      </c>
      <c r="AP132" s="2" t="str">
        <f>HYPERLINK("http://exon.niaid.nih.gov/transcriptome/T_rubida/S2/links/SWISSP/Triru-498-SWISSP.txt","NADH-ubiquinone oxidoreductase chain 6")</f>
        <v>NADH-ubiquinone oxidoreductase chain 6</v>
      </c>
      <c r="AQ132" t="str">
        <f>HYPERLINK("http://www.uniprot.org/uniprot/P34856","4E-004")</f>
        <v>4E-004</v>
      </c>
      <c r="AR132" t="s">
        <v>449</v>
      </c>
      <c r="AS132">
        <v>43.5</v>
      </c>
      <c r="AT132">
        <v>41</v>
      </c>
      <c r="AU132">
        <v>174</v>
      </c>
      <c r="AV132">
        <v>42</v>
      </c>
      <c r="AW132">
        <v>24</v>
      </c>
      <c r="AX132">
        <v>24</v>
      </c>
      <c r="AY132">
        <v>0</v>
      </c>
      <c r="AZ132">
        <v>130</v>
      </c>
      <c r="BA132">
        <v>5</v>
      </c>
      <c r="BB132">
        <v>1</v>
      </c>
      <c r="BC132" t="s">
        <v>450</v>
      </c>
      <c r="BD132" s="2" t="s">
        <v>5</v>
      </c>
      <c r="BE132" t="s">
        <v>5</v>
      </c>
      <c r="BF132" t="s">
        <v>5</v>
      </c>
      <c r="BG132" t="s">
        <v>5</v>
      </c>
      <c r="BH132" t="s">
        <v>5</v>
      </c>
      <c r="BI132" s="2" t="str">
        <f>HYPERLINK("http://exon.niaid.nih.gov/transcriptome/T_rubida/S2/links/CDD/Triru-498-CDD.txt","ND6")</f>
        <v>ND6</v>
      </c>
      <c r="BJ132" t="str">
        <f>HYPERLINK("http://www.ncbi.nlm.nih.gov/Structure/cdd/cddsrv.cgi?uid=MTH00166&amp;version=v4.0","0.002")</f>
        <v>0.002</v>
      </c>
      <c r="BK132" t="s">
        <v>451</v>
      </c>
      <c r="BL132" s="2" t="str">
        <f>HYPERLINK("http://exon.niaid.nih.gov/transcriptome/T_rubida/S2/links/KOG/Triru-498-KOG.txt","Lysyl hydrolase/glycosyltransferase family 25")</f>
        <v>Lysyl hydrolase/glycosyltransferase family 25</v>
      </c>
      <c r="BM132" t="str">
        <f>HYPERLINK("http://www.ncbi.nlm.nih.gov/COG/grace/shokog.cgi?KOG4179","5.6")</f>
        <v>5.6</v>
      </c>
      <c r="BN132" t="s">
        <v>72</v>
      </c>
      <c r="BO132" s="2" t="str">
        <f>HYPERLINK("http://exon.niaid.nih.gov/transcriptome/T_rubida/S2/links/PFAM/Triru-498-PFAM.txt","Pox_mRNA-cap")</f>
        <v>Pox_mRNA-cap</v>
      </c>
      <c r="BP132" t="str">
        <f>HYPERLINK("http://pfam.sanger.ac.uk/family?acc=PF03341","5.0")</f>
        <v>5.0</v>
      </c>
      <c r="BQ132" s="2" t="str">
        <f>HYPERLINK("http://exon.niaid.nih.gov/transcriptome/T_rubida/S2/links/SMART/Triru-498-SMART.txt","Agouti")</f>
        <v>Agouti</v>
      </c>
      <c r="BR132" t="str">
        <f>HYPERLINK("http://smart.embl-heidelberg.de/smart/do_annotation.pl?DOMAIN=Agouti&amp;BLAST=DUMMY","0.54")</f>
        <v>0.54</v>
      </c>
      <c r="BS132" s="17">
        <f>HYPERLINK("http://exon.niaid.nih.gov/transcriptome/T_rubida/S2/links/cluster/Triru-pep-ext25-50-Sim-CLU1.txt", 1)</f>
        <v>1</v>
      </c>
      <c r="BT132" s="1">
        <f>HYPERLINK("http://exon.niaid.nih.gov/transcriptome/T_rubida/S2/links/cluster/Triru-pep-ext25-50-Sim-CLTL1.txt", 359)</f>
        <v>359</v>
      </c>
      <c r="BU132" s="17">
        <f>HYPERLINK("http://exon.niaid.nih.gov/transcriptome/T_rubida/S2/links/cluster/Triru-pep-ext30-50-Sim-CLU1.txt", 1)</f>
        <v>1</v>
      </c>
      <c r="BV132" s="1">
        <f>HYPERLINK("http://exon.niaid.nih.gov/transcriptome/T_rubida/S2/links/cluster/Triru-pep-ext30-50-Sim-CLTL1.txt", 225)</f>
        <v>225</v>
      </c>
      <c r="BW132" s="17">
        <f>HYPERLINK("http://exon.niaid.nih.gov/transcriptome/T_rubida/S2/links/cluster/Triru-pep-ext35-50-Sim-CLU22.txt", 22)</f>
        <v>22</v>
      </c>
      <c r="BX132" s="1">
        <f>HYPERLINK("http://exon.niaid.nih.gov/transcriptome/T_rubida/S2/links/cluster/Triru-pep-ext35-50-Sim-CLTL22.txt", 2)</f>
        <v>2</v>
      </c>
      <c r="BY132" s="17">
        <f>HYPERLINK("http://exon.niaid.nih.gov/transcriptome/T_rubida/S2/links/cluster/Triru-pep-ext40-50-Sim-CLU20.txt", 20)</f>
        <v>20</v>
      </c>
      <c r="BZ132" s="1">
        <f>HYPERLINK("http://exon.niaid.nih.gov/transcriptome/T_rubida/S2/links/cluster/Triru-pep-ext40-50-Sim-CLTL20.txt", 2)</f>
        <v>2</v>
      </c>
      <c r="CA132" s="17">
        <f>HYPERLINK("http://exon.niaid.nih.gov/transcriptome/T_rubida/S2/links/cluster/Triru-pep-ext45-50-Sim-CLU16.txt", 16)</f>
        <v>16</v>
      </c>
      <c r="CB132" s="1">
        <f>HYPERLINK("http://exon.niaid.nih.gov/transcriptome/T_rubida/S2/links/cluster/Triru-pep-ext45-50-Sim-CLTL16.txt", 2)</f>
        <v>2</v>
      </c>
      <c r="CC132" s="17">
        <f>HYPERLINK("http://exon.niaid.nih.gov/transcriptome/T_rubida/S2/links/cluster/Triru-pep-ext50-50-Sim-CLU16.txt", 16)</f>
        <v>16</v>
      </c>
      <c r="CD132" s="1">
        <f>HYPERLINK("http://exon.niaid.nih.gov/transcriptome/T_rubida/S2/links/cluster/Triru-pep-ext50-50-Sim-CLTL16.txt", 2)</f>
        <v>2</v>
      </c>
      <c r="CE132" s="17">
        <f>HYPERLINK("http://exon.niaid.nih.gov/transcriptome/T_rubida/S2/links/cluster/Triru-pep-ext55-50-Sim-CLU12.txt", 12)</f>
        <v>12</v>
      </c>
      <c r="CF132" s="1">
        <f>HYPERLINK("http://exon.niaid.nih.gov/transcriptome/T_rubida/S2/links/cluster/Triru-pep-ext55-50-Sim-CLTL12.txt", 2)</f>
        <v>2</v>
      </c>
      <c r="CG132" s="17">
        <f>HYPERLINK("http://exon.niaid.nih.gov/transcriptome/T_rubida/S2/links/cluster/Triru-pep-ext60-50-Sim-CLU13.txt", 13)</f>
        <v>13</v>
      </c>
      <c r="CH132" s="1">
        <f>HYPERLINK("http://exon.niaid.nih.gov/transcriptome/T_rubida/S2/links/cluster/Triru-pep-ext60-50-Sim-CLTL13.txt", 2)</f>
        <v>2</v>
      </c>
      <c r="CI132" s="17">
        <f>HYPERLINK("http://exon.niaid.nih.gov/transcriptome/T_rubida/S2/links/cluster/Triru-pep-ext65-50-Sim-CLU13.txt", 13)</f>
        <v>13</v>
      </c>
      <c r="CJ132" s="1">
        <f>HYPERLINK("http://exon.niaid.nih.gov/transcriptome/T_rubida/S2/links/cluster/Triru-pep-ext65-50-Sim-CLTL13.txt", 2)</f>
        <v>2</v>
      </c>
      <c r="CK132" s="17">
        <f>HYPERLINK("http://exon.niaid.nih.gov/transcriptome/T_rubida/S2/links/cluster/Triru-pep-ext70-50-Sim-CLU13.txt", 13)</f>
        <v>13</v>
      </c>
      <c r="CL132" s="1">
        <f>HYPERLINK("http://exon.niaid.nih.gov/transcriptome/T_rubida/S2/links/cluster/Triru-pep-ext70-50-Sim-CLTL13.txt", 2)</f>
        <v>2</v>
      </c>
      <c r="CM132" s="17">
        <f>HYPERLINK("http://exon.niaid.nih.gov/transcriptome/T_rubida/S2/links/cluster/Triru-pep-ext75-50-Sim-CLU14.txt", 14)</f>
        <v>14</v>
      </c>
      <c r="CN132" s="1">
        <f>HYPERLINK("http://exon.niaid.nih.gov/transcriptome/T_rubida/S2/links/cluster/Triru-pep-ext75-50-Sim-CLTL14.txt", 2)</f>
        <v>2</v>
      </c>
      <c r="CO132" s="17">
        <f>HYPERLINK("http://exon.niaid.nih.gov/transcriptome/T_rubida/S2/links/cluster/Triru-pep-ext80-50-Sim-CLU12.txt", 12)</f>
        <v>12</v>
      </c>
      <c r="CP132" s="1">
        <f>HYPERLINK("http://exon.niaid.nih.gov/transcriptome/T_rubida/S2/links/cluster/Triru-pep-ext80-50-Sim-CLTL12.txt", 2)</f>
        <v>2</v>
      </c>
      <c r="CQ132" s="17">
        <f>HYPERLINK("http://exon.niaid.nih.gov/transcriptome/T_rubida/S2/links/cluster/Triru-pep-ext85-50-Sim-CLU10.txt", 10)</f>
        <v>10</v>
      </c>
      <c r="CR132" s="1">
        <f>HYPERLINK("http://exon.niaid.nih.gov/transcriptome/T_rubida/S2/links/cluster/Triru-pep-ext85-50-Sim-CLTL10.txt", 2)</f>
        <v>2</v>
      </c>
      <c r="CS132" s="17">
        <f>HYPERLINK("http://exon.niaid.nih.gov/transcriptome/T_rubida/S2/links/cluster/Triru-pep-ext90-50-Sim-CLU11.txt", 11)</f>
        <v>11</v>
      </c>
      <c r="CT132" s="1">
        <f>HYPERLINK("http://exon.niaid.nih.gov/transcriptome/T_rubida/S2/links/cluster/Triru-pep-ext90-50-Sim-CLTL11.txt", 2)</f>
        <v>2</v>
      </c>
      <c r="CU132" s="17">
        <f>HYPERLINK("http://exon.niaid.nih.gov/transcriptome/T_rubida/S2/links/cluster/Triru-pep-ext95-50-Sim-CLU8.txt", 8)</f>
        <v>8</v>
      </c>
      <c r="CV132" s="1">
        <f>HYPERLINK("http://exon.niaid.nih.gov/transcriptome/T_rubida/S2/links/cluster/Triru-pep-ext95-50-Sim-CLTL8.txt", 2)</f>
        <v>2</v>
      </c>
    </row>
    <row r="133" spans="1:100">
      <c r="A133" t="str">
        <f>HYPERLINK("http://exon.niaid.nih.gov/transcriptome/T_rubida/S2/links/pep/Triru-234-pep.txt","Triru-234")</f>
        <v>Triru-234</v>
      </c>
      <c r="B133">
        <v>50</v>
      </c>
      <c r="C133" s="1" t="s">
        <v>17</v>
      </c>
      <c r="D133" s="1" t="s">
        <v>3</v>
      </c>
      <c r="E133" t="str">
        <f>HYPERLINK("http://exon.niaid.nih.gov/transcriptome/T_rubida/S2/links/cds/Triru-234-cds.txt","Triru-234")</f>
        <v>Triru-234</v>
      </c>
      <c r="F133">
        <v>153</v>
      </c>
      <c r="G133" s="2" t="s">
        <v>1615</v>
      </c>
      <c r="H133" s="1">
        <v>1</v>
      </c>
      <c r="I133" s="3" t="s">
        <v>1265</v>
      </c>
      <c r="J133" s="17" t="str">
        <f>HYPERLINK("http://exon.niaid.nih.gov/transcriptome/T_rubida/S2/links/Sigp/Triru-234-SigP.txt","ANC")</f>
        <v>ANC</v>
      </c>
      <c r="K133" t="s">
        <v>5</v>
      </c>
      <c r="L133" s="1">
        <v>5.7089999999999996</v>
      </c>
      <c r="M133" s="1">
        <v>10.28</v>
      </c>
      <c r="P133" s="1">
        <v>4.7E-2</v>
      </c>
      <c r="Q133" s="1">
        <v>0.82299999999999995</v>
      </c>
      <c r="R133" s="1">
        <v>0.106</v>
      </c>
      <c r="S133" s="17" t="s">
        <v>18</v>
      </c>
      <c r="T133">
        <v>2</v>
      </c>
      <c r="U133" t="s">
        <v>1414</v>
      </c>
      <c r="V133" s="17" t="str">
        <f>HYPERLINK("http://exon.niaid.nih.gov/transcriptome/T_rubida/S2/links/tmhmm/TRIRU-234-tmhmm.txt","1")</f>
        <v>1</v>
      </c>
      <c r="W133">
        <v>44</v>
      </c>
      <c r="X133">
        <v>30</v>
      </c>
      <c r="Y133">
        <v>26</v>
      </c>
      <c r="Z133" t="s">
        <v>5</v>
      </c>
      <c r="AA133">
        <v>15</v>
      </c>
      <c r="AB133" s="17" t="str">
        <f>HYPERLINK("http://exon.niaid.nih.gov/transcriptome/T_rubida/S2/links/netoglyc/TRIRU-234-netoglyc.txt","0")</f>
        <v>0</v>
      </c>
      <c r="AC133">
        <v>14</v>
      </c>
      <c r="AD133">
        <v>6</v>
      </c>
      <c r="AE133">
        <v>2</v>
      </c>
      <c r="AF133" s="17" t="s">
        <v>5</v>
      </c>
      <c r="AG133" s="2" t="str">
        <f>HYPERLINK("http://exon.niaid.nih.gov/transcriptome/T_rubida/S2/links/NR/Triru-234-NR.txt","NADH dehydrogenase subunit 6")</f>
        <v>NADH dehydrogenase subunit 6</v>
      </c>
      <c r="AH133" t="str">
        <f>HYPERLINK("http://www.ncbi.nlm.nih.gov/sutils/blink.cgi?pid=11182472","2E-011")</f>
        <v>2E-011</v>
      </c>
      <c r="AI133" t="str">
        <f>HYPERLINK("http://www.ncbi.nlm.nih.gov/protein/11182472","gi|11182472")</f>
        <v>gi|11182472</v>
      </c>
      <c r="AJ133">
        <v>72.8</v>
      </c>
      <c r="AK133">
        <v>48</v>
      </c>
      <c r="AL133">
        <v>167</v>
      </c>
      <c r="AM133">
        <v>71</v>
      </c>
      <c r="AN133">
        <v>29</v>
      </c>
      <c r="AO133" t="s">
        <v>59</v>
      </c>
      <c r="AP133" s="2" t="str">
        <f>HYPERLINK("http://exon.niaid.nih.gov/transcriptome/T_rubida/S2/links/SWISSP/Triru-234-SWISSP.txt","NADH-ubiquinone oxidoreductase chain 6")</f>
        <v>NADH-ubiquinone oxidoreductase chain 6</v>
      </c>
      <c r="AQ133" t="str">
        <f>HYPERLINK("http://www.uniprot.org/uniprot/P34856","4E-004")</f>
        <v>4E-004</v>
      </c>
      <c r="AR133" t="s">
        <v>449</v>
      </c>
      <c r="AS133">
        <v>43.5</v>
      </c>
      <c r="AT133">
        <v>41</v>
      </c>
      <c r="AU133">
        <v>174</v>
      </c>
      <c r="AV133">
        <v>42</v>
      </c>
      <c r="AW133">
        <v>24</v>
      </c>
      <c r="AX133">
        <v>24</v>
      </c>
      <c r="AY133">
        <v>0</v>
      </c>
      <c r="AZ133">
        <v>130</v>
      </c>
      <c r="BA133">
        <v>6</v>
      </c>
      <c r="BB133">
        <v>1</v>
      </c>
      <c r="BC133" t="s">
        <v>450</v>
      </c>
      <c r="BD133" s="2" t="s">
        <v>5</v>
      </c>
      <c r="BE133" t="s">
        <v>5</v>
      </c>
      <c r="BF133" t="s">
        <v>5</v>
      </c>
      <c r="BG133" t="s">
        <v>5</v>
      </c>
      <c r="BH133" t="s">
        <v>5</v>
      </c>
      <c r="BI133" s="2" t="str">
        <f>HYPERLINK("http://exon.niaid.nih.gov/transcriptome/T_rubida/S2/links/CDD/Triru-234-CDD.txt","ND6")</f>
        <v>ND6</v>
      </c>
      <c r="BJ133" t="str">
        <f>HYPERLINK("http://www.ncbi.nlm.nih.gov/Structure/cdd/cddsrv.cgi?uid=MTH00166&amp;version=v4.0","5E-004")</f>
        <v>5E-004</v>
      </c>
      <c r="BK133" t="s">
        <v>1041</v>
      </c>
      <c r="BL133" s="2" t="str">
        <f>HYPERLINK("http://exon.niaid.nih.gov/transcriptome/T_rubida/S2/links/KOG/Triru-234-KOG.txt","Lysyl hydrolase/glycosyltransferase family 25")</f>
        <v>Lysyl hydrolase/glycosyltransferase family 25</v>
      </c>
      <c r="BM133" t="str">
        <f>HYPERLINK("http://www.ncbi.nlm.nih.gov/COG/grace/shokog.cgi?KOG4179","6.0")</f>
        <v>6.0</v>
      </c>
      <c r="BN133" t="s">
        <v>72</v>
      </c>
      <c r="BO133" s="2" t="str">
        <f>HYPERLINK("http://exon.niaid.nih.gov/transcriptome/T_rubida/S2/links/PFAM/Triru-234-PFAM.txt","Pox_mRNA-cap")</f>
        <v>Pox_mRNA-cap</v>
      </c>
      <c r="BP133" t="str">
        <f>HYPERLINK("http://pfam.sanger.ac.uk/family?acc=PF03341","4.7")</f>
        <v>4.7</v>
      </c>
      <c r="BQ133" s="2" t="str">
        <f>HYPERLINK("http://exon.niaid.nih.gov/transcriptome/T_rubida/S2/links/SMART/Triru-234-SMART.txt","Agouti")</f>
        <v>Agouti</v>
      </c>
      <c r="BR133" t="str">
        <f>HYPERLINK("http://smart.embl-heidelberg.de/smart/do_annotation.pl?DOMAIN=Agouti&amp;BLAST=DUMMY","0.62")</f>
        <v>0.62</v>
      </c>
      <c r="BS133" s="17">
        <f>HYPERLINK("http://exon.niaid.nih.gov/transcriptome/T_rubida/S2/links/cluster/Triru-pep-ext25-50-Sim-CLU1.txt", 1)</f>
        <v>1</v>
      </c>
      <c r="BT133" s="1">
        <f>HYPERLINK("http://exon.niaid.nih.gov/transcriptome/T_rubida/S2/links/cluster/Triru-pep-ext25-50-Sim-CLTL1.txt", 359)</f>
        <v>359</v>
      </c>
      <c r="BU133" s="17">
        <f>HYPERLINK("http://exon.niaid.nih.gov/transcriptome/T_rubida/S2/links/cluster/Triru-pep-ext30-50-Sim-CLU1.txt", 1)</f>
        <v>1</v>
      </c>
      <c r="BV133" s="1">
        <f>HYPERLINK("http://exon.niaid.nih.gov/transcriptome/T_rubida/S2/links/cluster/Triru-pep-ext30-50-Sim-CLTL1.txt", 225)</f>
        <v>225</v>
      </c>
      <c r="BW133" s="17">
        <f>HYPERLINK("http://exon.niaid.nih.gov/transcriptome/T_rubida/S2/links/cluster/Triru-pep-ext35-50-Sim-CLU22.txt", 22)</f>
        <v>22</v>
      </c>
      <c r="BX133" s="1">
        <f>HYPERLINK("http://exon.niaid.nih.gov/transcriptome/T_rubida/S2/links/cluster/Triru-pep-ext35-50-Sim-CLTL22.txt", 2)</f>
        <v>2</v>
      </c>
      <c r="BY133" s="17">
        <f>HYPERLINK("http://exon.niaid.nih.gov/transcriptome/T_rubida/S2/links/cluster/Triru-pep-ext40-50-Sim-CLU20.txt", 20)</f>
        <v>20</v>
      </c>
      <c r="BZ133" s="1">
        <f>HYPERLINK("http://exon.niaid.nih.gov/transcriptome/T_rubida/S2/links/cluster/Triru-pep-ext40-50-Sim-CLTL20.txt", 2)</f>
        <v>2</v>
      </c>
      <c r="CA133" s="17">
        <f>HYPERLINK("http://exon.niaid.nih.gov/transcriptome/T_rubida/S2/links/cluster/Triru-pep-ext45-50-Sim-CLU16.txt", 16)</f>
        <v>16</v>
      </c>
      <c r="CB133" s="1">
        <f>HYPERLINK("http://exon.niaid.nih.gov/transcriptome/T_rubida/S2/links/cluster/Triru-pep-ext45-50-Sim-CLTL16.txt", 2)</f>
        <v>2</v>
      </c>
      <c r="CC133" s="17">
        <f>HYPERLINK("http://exon.niaid.nih.gov/transcriptome/T_rubida/S2/links/cluster/Triru-pep-ext50-50-Sim-CLU16.txt", 16)</f>
        <v>16</v>
      </c>
      <c r="CD133" s="1">
        <f>HYPERLINK("http://exon.niaid.nih.gov/transcriptome/T_rubida/S2/links/cluster/Triru-pep-ext50-50-Sim-CLTL16.txt", 2)</f>
        <v>2</v>
      </c>
      <c r="CE133" s="17">
        <f>HYPERLINK("http://exon.niaid.nih.gov/transcriptome/T_rubida/S2/links/cluster/Triru-pep-ext55-50-Sim-CLU12.txt", 12)</f>
        <v>12</v>
      </c>
      <c r="CF133" s="1">
        <f>HYPERLINK("http://exon.niaid.nih.gov/transcriptome/T_rubida/S2/links/cluster/Triru-pep-ext55-50-Sim-CLTL12.txt", 2)</f>
        <v>2</v>
      </c>
      <c r="CG133" s="17">
        <f>HYPERLINK("http://exon.niaid.nih.gov/transcriptome/T_rubida/S2/links/cluster/Triru-pep-ext60-50-Sim-CLU13.txt", 13)</f>
        <v>13</v>
      </c>
      <c r="CH133" s="1">
        <f>HYPERLINK("http://exon.niaid.nih.gov/transcriptome/T_rubida/S2/links/cluster/Triru-pep-ext60-50-Sim-CLTL13.txt", 2)</f>
        <v>2</v>
      </c>
      <c r="CI133" s="17">
        <f>HYPERLINK("http://exon.niaid.nih.gov/transcriptome/T_rubida/S2/links/cluster/Triru-pep-ext65-50-Sim-CLU13.txt", 13)</f>
        <v>13</v>
      </c>
      <c r="CJ133" s="1">
        <f>HYPERLINK("http://exon.niaid.nih.gov/transcriptome/T_rubida/S2/links/cluster/Triru-pep-ext65-50-Sim-CLTL13.txt", 2)</f>
        <v>2</v>
      </c>
      <c r="CK133" s="17">
        <f>HYPERLINK("http://exon.niaid.nih.gov/transcriptome/T_rubida/S2/links/cluster/Triru-pep-ext70-50-Sim-CLU13.txt", 13)</f>
        <v>13</v>
      </c>
      <c r="CL133" s="1">
        <f>HYPERLINK("http://exon.niaid.nih.gov/transcriptome/T_rubida/S2/links/cluster/Triru-pep-ext70-50-Sim-CLTL13.txt", 2)</f>
        <v>2</v>
      </c>
      <c r="CM133" s="17">
        <f>HYPERLINK("http://exon.niaid.nih.gov/transcriptome/T_rubida/S2/links/cluster/Triru-pep-ext75-50-Sim-CLU14.txt", 14)</f>
        <v>14</v>
      </c>
      <c r="CN133" s="1">
        <f>HYPERLINK("http://exon.niaid.nih.gov/transcriptome/T_rubida/S2/links/cluster/Triru-pep-ext75-50-Sim-CLTL14.txt", 2)</f>
        <v>2</v>
      </c>
      <c r="CO133" s="17">
        <f>HYPERLINK("http://exon.niaid.nih.gov/transcriptome/T_rubida/S2/links/cluster/Triru-pep-ext80-50-Sim-CLU12.txt", 12)</f>
        <v>12</v>
      </c>
      <c r="CP133" s="1">
        <f>HYPERLINK("http://exon.niaid.nih.gov/transcriptome/T_rubida/S2/links/cluster/Triru-pep-ext80-50-Sim-CLTL12.txt", 2)</f>
        <v>2</v>
      </c>
      <c r="CQ133" s="17">
        <f>HYPERLINK("http://exon.niaid.nih.gov/transcriptome/T_rubida/S2/links/cluster/Triru-pep-ext85-50-Sim-CLU10.txt", 10)</f>
        <v>10</v>
      </c>
      <c r="CR133" s="1">
        <f>HYPERLINK("http://exon.niaid.nih.gov/transcriptome/T_rubida/S2/links/cluster/Triru-pep-ext85-50-Sim-CLTL10.txt", 2)</f>
        <v>2</v>
      </c>
      <c r="CS133" s="17">
        <f>HYPERLINK("http://exon.niaid.nih.gov/transcriptome/T_rubida/S2/links/cluster/Triru-pep-ext90-50-Sim-CLU11.txt", 11)</f>
        <v>11</v>
      </c>
      <c r="CT133" s="1">
        <f>HYPERLINK("http://exon.niaid.nih.gov/transcriptome/T_rubida/S2/links/cluster/Triru-pep-ext90-50-Sim-CLTL11.txt", 2)</f>
        <v>2</v>
      </c>
      <c r="CU133" s="17">
        <f>HYPERLINK("http://exon.niaid.nih.gov/transcriptome/T_rubida/S2/links/cluster/Triru-pep-ext95-50-Sim-CLU8.txt", 8)</f>
        <v>8</v>
      </c>
      <c r="CV133" s="1">
        <f>HYPERLINK("http://exon.niaid.nih.gov/transcriptome/T_rubida/S2/links/cluster/Triru-pep-ext95-50-Sim-CLTL8.txt", 2)</f>
        <v>2</v>
      </c>
    </row>
    <row r="134" spans="1:100">
      <c r="A134" t="str">
        <f>HYPERLINK("http://exon.niaid.nih.gov/transcriptome/T_rubida/S2/links/pep/Triru-534-pep.txt","Triru-534")</f>
        <v>Triru-534</v>
      </c>
      <c r="B134">
        <v>104</v>
      </c>
      <c r="C134" s="1" t="s">
        <v>20</v>
      </c>
      <c r="D134" s="1" t="s">
        <v>3</v>
      </c>
      <c r="E134" t="str">
        <f>HYPERLINK("http://exon.niaid.nih.gov/transcriptome/T_rubida/S2/links/cds/Triru-534-cds.txt","Triru-534")</f>
        <v>Triru-534</v>
      </c>
      <c r="F134">
        <v>315</v>
      </c>
      <c r="G134" s="2" t="s">
        <v>1616</v>
      </c>
      <c r="H134" s="1">
        <v>1</v>
      </c>
      <c r="I134" s="3" t="s">
        <v>1265</v>
      </c>
      <c r="J134" s="17" t="str">
        <f>HYPERLINK("http://exon.niaid.nih.gov/transcriptome/T_rubida/S2/links/Sigp/Triru-534-SigP.txt","CYT")</f>
        <v>CYT</v>
      </c>
      <c r="K134" t="s">
        <v>5</v>
      </c>
      <c r="L134" s="1">
        <v>10.859</v>
      </c>
      <c r="M134" s="1">
        <v>7.08</v>
      </c>
      <c r="P134" s="1">
        <v>2.5999999999999999E-2</v>
      </c>
      <c r="Q134" s="1">
        <v>0.375</v>
      </c>
      <c r="R134" s="1">
        <v>0.83699999999999997</v>
      </c>
      <c r="S134" s="17" t="s">
        <v>1346</v>
      </c>
      <c r="T134">
        <v>3</v>
      </c>
      <c r="U134" t="s">
        <v>1415</v>
      </c>
      <c r="V134" s="17">
        <v>0</v>
      </c>
      <c r="W134" t="s">
        <v>5</v>
      </c>
      <c r="X134" t="s">
        <v>5</v>
      </c>
      <c r="Y134" t="s">
        <v>5</v>
      </c>
      <c r="Z134" t="s">
        <v>5</v>
      </c>
      <c r="AA134" t="s">
        <v>5</v>
      </c>
      <c r="AB134" s="17" t="str">
        <f>HYPERLINK("http://exon.niaid.nih.gov/transcriptome/T_rubida/S2/links/netoglyc/TRIRU-534-netoglyc.txt","0")</f>
        <v>0</v>
      </c>
      <c r="AC134">
        <v>9.6</v>
      </c>
      <c r="AD134">
        <v>9.6</v>
      </c>
      <c r="AE134">
        <v>4.8</v>
      </c>
      <c r="AF134" s="17" t="s">
        <v>5</v>
      </c>
      <c r="AG134" s="2" t="str">
        <f>HYPERLINK("http://exon.niaid.nih.gov/transcriptome/T_rubida/S2/links/NR/Triru-534-NR.txt","conserved unknown protein")</f>
        <v>conserved unknown protein</v>
      </c>
      <c r="AH134" t="str">
        <f>HYPERLINK("http://www.ncbi.nlm.nih.gov/sutils/blink.cgi?pid=299473038","5E-034")</f>
        <v>5E-034</v>
      </c>
      <c r="AI134" t="str">
        <f>HYPERLINK("http://www.ncbi.nlm.nih.gov/protein/299473038","gi|299473038")</f>
        <v>gi|299473038</v>
      </c>
      <c r="AJ134">
        <v>147</v>
      </c>
      <c r="AK134">
        <v>97</v>
      </c>
      <c r="AL134">
        <v>335</v>
      </c>
      <c r="AM134">
        <v>71</v>
      </c>
      <c r="AN134">
        <v>29</v>
      </c>
      <c r="AO134" t="s">
        <v>903</v>
      </c>
      <c r="AP134" s="2" t="str">
        <f>HYPERLINK("http://exon.niaid.nih.gov/transcriptome/T_rubida/S2/links/SWISSP/Triru-534-SWISSP.txt","Hydroxymethylglutaryl-CoA lyase, mitochondrial")</f>
        <v>Hydroxymethylglutaryl-CoA lyase, mitochondrial</v>
      </c>
      <c r="AQ134" t="str">
        <f>HYPERLINK("http://www.uniprot.org/uniprot/P38060","5E-035")</f>
        <v>5E-035</v>
      </c>
      <c r="AR134" t="s">
        <v>904</v>
      </c>
      <c r="AS134">
        <v>145</v>
      </c>
      <c r="AT134">
        <v>100</v>
      </c>
      <c r="AU134">
        <v>325</v>
      </c>
      <c r="AV134">
        <v>68</v>
      </c>
      <c r="AW134">
        <v>31</v>
      </c>
      <c r="AX134">
        <v>32</v>
      </c>
      <c r="AY134">
        <v>0</v>
      </c>
      <c r="AZ134">
        <v>225</v>
      </c>
      <c r="BA134">
        <v>3</v>
      </c>
      <c r="BB134">
        <v>1</v>
      </c>
      <c r="BC134" t="s">
        <v>75</v>
      </c>
      <c r="BD134" s="2" t="s">
        <v>905</v>
      </c>
      <c r="BE134">
        <f>HYPERLINK("http://exon.niaid.nih.gov/transcriptome/T_rubida/S2/links/GO/Triru-534-GO.txt",1E-34)</f>
        <v>9.9999999999999993E-35</v>
      </c>
      <c r="BF134" t="s">
        <v>1926</v>
      </c>
      <c r="BG134" t="s">
        <v>153</v>
      </c>
      <c r="BH134" t="s">
        <v>906</v>
      </c>
      <c r="BI134" s="2" t="str">
        <f>HYPERLINK("http://exon.niaid.nih.gov/transcriptome/T_rubida/S2/links/CDD/Triru-534-CDD.txt","PLN02746")</f>
        <v>PLN02746</v>
      </c>
      <c r="BJ134" t="str">
        <f>HYPERLINK("http://www.ncbi.nlm.nih.gov/Structure/cdd/cddsrv.cgi?uid=PLN02746&amp;version=v4.0","9E-045")</f>
        <v>9E-045</v>
      </c>
      <c r="BK134" t="s">
        <v>907</v>
      </c>
      <c r="BL134" s="2" t="str">
        <f>HYPERLINK("http://exon.niaid.nih.gov/transcriptome/T_rubida/S2/links/KOG/Triru-534-KOG.txt","Hydroxymethylglutaryl-CoA lyase")</f>
        <v>Hydroxymethylglutaryl-CoA lyase</v>
      </c>
      <c r="BM134" t="str">
        <f>HYPERLINK("http://www.ncbi.nlm.nih.gov/COG/grace/shokog.cgi?KOG2368","9E-041")</f>
        <v>9E-041</v>
      </c>
      <c r="BN134" t="s">
        <v>908</v>
      </c>
      <c r="BO134" s="2" t="str">
        <f>HYPERLINK("http://exon.niaid.nih.gov/transcriptome/T_rubida/S2/links/PFAM/Triru-534-PFAM.txt","HMGL-like")</f>
        <v>HMGL-like</v>
      </c>
      <c r="BP134" t="str">
        <f>HYPERLINK("http://pfam.sanger.ac.uk/family?acc=PF00682","8E-014")</f>
        <v>8E-014</v>
      </c>
      <c r="BQ134" s="2" t="str">
        <f>HYPERLINK("http://exon.niaid.nih.gov/transcriptome/T_rubida/S2/links/SMART/Triru-534-SMART.txt","alkPPc")</f>
        <v>alkPPc</v>
      </c>
      <c r="BR134" t="str">
        <f>HYPERLINK("http://smart.embl-heidelberg.de/smart/do_annotation.pl?DOMAIN=alkPPc&amp;BLAST=DUMMY","3.3")</f>
        <v>3.3</v>
      </c>
      <c r="BS134" s="17">
        <v>165</v>
      </c>
      <c r="BT134" s="1">
        <v>1</v>
      </c>
      <c r="BU134" s="17">
        <v>244</v>
      </c>
      <c r="BV134" s="1">
        <v>1</v>
      </c>
      <c r="BW134" s="17">
        <v>310</v>
      </c>
      <c r="BX134" s="1">
        <v>1</v>
      </c>
      <c r="BY134" s="17">
        <v>338</v>
      </c>
      <c r="BZ134" s="1">
        <v>1</v>
      </c>
      <c r="CA134" s="17">
        <v>350</v>
      </c>
      <c r="CB134" s="1">
        <v>1</v>
      </c>
      <c r="CC134" s="17">
        <v>363</v>
      </c>
      <c r="CD134" s="1">
        <v>1</v>
      </c>
      <c r="CE134" s="17">
        <v>378</v>
      </c>
      <c r="CF134" s="1">
        <v>1</v>
      </c>
      <c r="CG134" s="17">
        <v>384</v>
      </c>
      <c r="CH134" s="1">
        <v>1</v>
      </c>
      <c r="CI134" s="17">
        <v>396</v>
      </c>
      <c r="CJ134" s="1">
        <v>1</v>
      </c>
      <c r="CK134" s="17">
        <v>402</v>
      </c>
      <c r="CL134" s="1">
        <v>1</v>
      </c>
      <c r="CM134" s="17">
        <v>411</v>
      </c>
      <c r="CN134" s="1">
        <v>1</v>
      </c>
      <c r="CO134" s="17">
        <v>423</v>
      </c>
      <c r="CP134" s="1">
        <v>1</v>
      </c>
      <c r="CQ134" s="17">
        <v>433</v>
      </c>
      <c r="CR134" s="1">
        <v>1</v>
      </c>
      <c r="CS134" s="17">
        <v>446</v>
      </c>
      <c r="CT134" s="1">
        <v>1</v>
      </c>
      <c r="CU134" s="17">
        <v>457</v>
      </c>
      <c r="CV134" s="1">
        <v>1</v>
      </c>
    </row>
    <row r="135" spans="1:100">
      <c r="A135" t="str">
        <f>HYPERLINK("http://exon.niaid.nih.gov/transcriptome/T_rubida/S2/links/pep/Triru-233-pep.txt","Triru-233")</f>
        <v>Triru-233</v>
      </c>
      <c r="B135">
        <v>63</v>
      </c>
      <c r="C135" s="1" t="s">
        <v>10</v>
      </c>
      <c r="D135" s="1" t="s">
        <v>5</v>
      </c>
      <c r="E135" t="str">
        <f>HYPERLINK("http://exon.niaid.nih.gov/transcriptome/T_rubida/S2/links/cds/Triru-233-cds.txt","Triru-233")</f>
        <v>Triru-233</v>
      </c>
      <c r="F135">
        <v>187</v>
      </c>
      <c r="G135" s="2" t="s">
        <v>1608</v>
      </c>
      <c r="H135" s="1">
        <v>1</v>
      </c>
      <c r="I135" s="3" t="s">
        <v>1265</v>
      </c>
      <c r="J135" s="17" t="str">
        <f>HYPERLINK("http://exon.niaid.nih.gov/transcriptome/T_rubida/S2/links/Sigp/Triru-233-SigP.txt","BL")</f>
        <v>BL</v>
      </c>
      <c r="K135" t="s">
        <v>1315</v>
      </c>
      <c r="L135" s="1">
        <v>7.1150000000000002</v>
      </c>
      <c r="M135" s="1">
        <v>10</v>
      </c>
      <c r="N135" s="1">
        <v>3.012</v>
      </c>
      <c r="O135" s="1">
        <v>10.220000000000001</v>
      </c>
      <c r="P135" s="1">
        <v>3.4000000000000002E-2</v>
      </c>
      <c r="Q135" s="1">
        <v>0.71899999999999997</v>
      </c>
      <c r="R135" s="1">
        <v>0.45900000000000002</v>
      </c>
      <c r="S135" s="17" t="s">
        <v>18</v>
      </c>
      <c r="T135">
        <v>4</v>
      </c>
      <c r="U135" t="s">
        <v>1416</v>
      </c>
      <c r="V135" s="17" t="str">
        <f>HYPERLINK("http://exon.niaid.nih.gov/transcriptome/T_rubida/S2/links/tmhmm/TRIRU-233-tmhmm.txt","1")</f>
        <v>1</v>
      </c>
      <c r="W135">
        <v>34.9</v>
      </c>
      <c r="X135">
        <v>36.5</v>
      </c>
      <c r="Y135">
        <v>28.6</v>
      </c>
      <c r="Z135" t="s">
        <v>5</v>
      </c>
      <c r="AA135">
        <v>18</v>
      </c>
      <c r="AB135" s="17" t="str">
        <f>HYPERLINK("http://exon.niaid.nih.gov/transcriptome/T_rubida/S2/links/netoglyc/TRIRU-233-netoglyc.txt","0")</f>
        <v>0</v>
      </c>
      <c r="AC135">
        <v>14.3</v>
      </c>
      <c r="AD135">
        <v>3.2</v>
      </c>
      <c r="AE135">
        <v>3.2</v>
      </c>
      <c r="AF135" s="17" t="s">
        <v>5</v>
      </c>
      <c r="AG135" s="2" t="str">
        <f>HYPERLINK("http://exon.niaid.nih.gov/transcriptome/T_rubida/S2/links/NR/Triru-233-NR.txt","truncated ATPase subunit 6")</f>
        <v>truncated ATPase subunit 6</v>
      </c>
      <c r="AH135" t="str">
        <f>HYPERLINK("http://www.ncbi.nlm.nih.gov/sutils/blink.cgi?pid=149898887","2E-011")</f>
        <v>2E-011</v>
      </c>
      <c r="AI135" t="str">
        <f>HYPERLINK("http://www.ncbi.nlm.nih.gov/protein/149898887","gi|149898887")</f>
        <v>gi|149898887</v>
      </c>
      <c r="AJ135">
        <v>72.400000000000006</v>
      </c>
      <c r="AK135">
        <v>55</v>
      </c>
      <c r="AL135">
        <v>222</v>
      </c>
      <c r="AM135">
        <v>66</v>
      </c>
      <c r="AN135">
        <v>25</v>
      </c>
      <c r="AO135" t="s">
        <v>80</v>
      </c>
      <c r="AP135" s="2" t="str">
        <f>HYPERLINK("http://exon.niaid.nih.gov/transcriptome/T_rubida/S2/links/SWISSP/Triru-233-SWISSP.txt","ATP synthase subunit a")</f>
        <v>ATP synthase subunit a</v>
      </c>
      <c r="AQ135" t="str">
        <f>HYPERLINK("http://www.uniprot.org/uniprot/Q1HRS5","6E-007")</f>
        <v>6E-007</v>
      </c>
      <c r="AR135" t="s">
        <v>910</v>
      </c>
      <c r="AS135">
        <v>52.8</v>
      </c>
      <c r="AT135">
        <v>56</v>
      </c>
      <c r="AU135">
        <v>226</v>
      </c>
      <c r="AV135">
        <v>50</v>
      </c>
      <c r="AW135">
        <v>25</v>
      </c>
      <c r="AX135">
        <v>28</v>
      </c>
      <c r="AY135">
        <v>2</v>
      </c>
      <c r="AZ135">
        <v>169</v>
      </c>
      <c r="BA135">
        <v>2</v>
      </c>
      <c r="BB135">
        <v>1</v>
      </c>
      <c r="BC135" t="s">
        <v>191</v>
      </c>
      <c r="BD135" s="2" t="s">
        <v>863</v>
      </c>
      <c r="BE135">
        <f>HYPERLINK("http://exon.niaid.nih.gov/transcriptome/T_rubida/S2/links/GO/Triru-233-GO.txt",0.000001)</f>
        <v>9.9999999999999995E-7</v>
      </c>
      <c r="BF135" t="s">
        <v>1920</v>
      </c>
      <c r="BG135" t="s">
        <v>77</v>
      </c>
      <c r="BH135" t="s">
        <v>590</v>
      </c>
      <c r="BI135" s="2" t="str">
        <f>HYPERLINK("http://exon.niaid.nih.gov/transcriptome/T_rubida/S2/links/CDD/Triru-233-CDD.txt","ATP6")</f>
        <v>ATP6</v>
      </c>
      <c r="BJ135" t="str">
        <f>HYPERLINK("http://www.ncbi.nlm.nih.gov/Structure/cdd/cddsrv.cgi?uid=MTH00157&amp;version=v4.0","7E-013")</f>
        <v>7E-013</v>
      </c>
      <c r="BK135" t="s">
        <v>911</v>
      </c>
      <c r="BL135" s="2" t="str">
        <f>HYPERLINK("http://exon.niaid.nih.gov/transcriptome/T_rubida/S2/links/KOG/Triru-233-KOG.txt","ATP synthase F0 subunit 6 and related proteins")</f>
        <v>ATP synthase F0 subunit 6 and related proteins</v>
      </c>
      <c r="BM135" t="str">
        <f>HYPERLINK("http://www.ncbi.nlm.nih.gov/COG/grace/shokog.cgi?KOG4665","0.003")</f>
        <v>0.003</v>
      </c>
      <c r="BN135" t="s">
        <v>65</v>
      </c>
      <c r="BO135" s="2" t="str">
        <f>HYPERLINK("http://exon.niaid.nih.gov/transcriptome/T_rubida/S2/links/PFAM/Triru-233-PFAM.txt","ATP-synt_A")</f>
        <v>ATP-synt_A</v>
      </c>
      <c r="BP135" t="str">
        <f>HYPERLINK("http://pfam.sanger.ac.uk/family?acc=PF00119","1E-004")</f>
        <v>1E-004</v>
      </c>
      <c r="BQ135" s="2" t="str">
        <f>HYPERLINK("http://exon.niaid.nih.gov/transcriptome/T_rubida/S2/links/SMART/Triru-233-SMART.txt","TOP1Ac")</f>
        <v>TOP1Ac</v>
      </c>
      <c r="BR135" t="str">
        <f>HYPERLINK("http://smart.embl-heidelberg.de/smart/do_annotation.pl?DOMAIN=TOP1Ac&amp;BLAST=DUMMY","4.4")</f>
        <v>4.4</v>
      </c>
      <c r="BS135" s="17">
        <f>HYPERLINK("http://exon.niaid.nih.gov/transcriptome/T_rubida/S2/links/cluster/Triru-pep-ext25-50-Sim-CLU1.txt", 1)</f>
        <v>1</v>
      </c>
      <c r="BT135" s="1">
        <f>HYPERLINK("http://exon.niaid.nih.gov/transcriptome/T_rubida/S2/links/cluster/Triru-pep-ext25-50-Sim-CLTL1.txt", 359)</f>
        <v>359</v>
      </c>
      <c r="BU135" s="17">
        <f>HYPERLINK("http://exon.niaid.nih.gov/transcriptome/T_rubida/S2/links/cluster/Triru-pep-ext30-50-Sim-CLU1.txt", 1)</f>
        <v>1</v>
      </c>
      <c r="BV135" s="1">
        <f>HYPERLINK("http://exon.niaid.nih.gov/transcriptome/T_rubida/S2/links/cluster/Triru-pep-ext30-50-Sim-CLTL1.txt", 225)</f>
        <v>225</v>
      </c>
      <c r="BW135" s="17">
        <f>HYPERLINK("http://exon.niaid.nih.gov/transcriptome/T_rubida/S2/links/cluster/Triru-pep-ext35-50-Sim-CLU4.txt", 4)</f>
        <v>4</v>
      </c>
      <c r="BX135" s="1">
        <f>HYPERLINK("http://exon.niaid.nih.gov/transcriptome/T_rubida/S2/links/cluster/Triru-pep-ext35-50-Sim-CLTL4.txt", 6)</f>
        <v>6</v>
      </c>
      <c r="BY135" s="17">
        <v>46</v>
      </c>
      <c r="BZ135" s="1">
        <v>1</v>
      </c>
      <c r="CA135" s="17">
        <v>43</v>
      </c>
      <c r="CB135" s="1">
        <v>1</v>
      </c>
      <c r="CC135" s="17">
        <v>41</v>
      </c>
      <c r="CD135" s="1">
        <v>1</v>
      </c>
      <c r="CE135" s="17">
        <v>34</v>
      </c>
      <c r="CF135" s="1">
        <v>1</v>
      </c>
      <c r="CG135" s="17">
        <v>33</v>
      </c>
      <c r="CH135" s="1">
        <v>1</v>
      </c>
      <c r="CI135" s="17">
        <v>31</v>
      </c>
      <c r="CJ135" s="1">
        <v>1</v>
      </c>
      <c r="CK135" s="17">
        <v>31</v>
      </c>
      <c r="CL135" s="1">
        <v>1</v>
      </c>
      <c r="CM135" s="17">
        <v>31</v>
      </c>
      <c r="CN135" s="1">
        <v>1</v>
      </c>
      <c r="CO135" s="17">
        <v>28</v>
      </c>
      <c r="CP135" s="1">
        <v>1</v>
      </c>
      <c r="CQ135" s="17">
        <v>28</v>
      </c>
      <c r="CR135" s="1">
        <v>1</v>
      </c>
      <c r="CS135" s="17">
        <v>25</v>
      </c>
      <c r="CT135" s="1">
        <v>1</v>
      </c>
      <c r="CU135" s="17">
        <v>21</v>
      </c>
      <c r="CV135" s="1">
        <v>1</v>
      </c>
    </row>
    <row r="136" spans="1:100">
      <c r="A136" t="str">
        <f>HYPERLINK("http://exon.niaid.nih.gov/transcriptome/T_rubida/S2/links/pep/Triru-345-pep.txt","Triru-345")</f>
        <v>Triru-345</v>
      </c>
      <c r="B136">
        <v>33</v>
      </c>
      <c r="C136" s="1" t="s">
        <v>4</v>
      </c>
      <c r="D136" s="1" t="s">
        <v>5</v>
      </c>
      <c r="E136" t="str">
        <f>HYPERLINK("http://exon.niaid.nih.gov/transcriptome/T_rubida/S2/links/cds/Triru-345-cds.txt","Triru-345")</f>
        <v>Triru-345</v>
      </c>
      <c r="F136">
        <v>97</v>
      </c>
      <c r="G136" s="2" t="s">
        <v>1617</v>
      </c>
      <c r="H136" s="1">
        <v>1</v>
      </c>
      <c r="I136" s="3" t="s">
        <v>1265</v>
      </c>
      <c r="J136" s="17" t="str">
        <f>HYPERLINK("http://exon.niaid.nih.gov/transcriptome/T_rubida/S2/links/Sigp/Triru-345-SigP.txt","CYT")</f>
        <v>CYT</v>
      </c>
      <c r="K136" t="s">
        <v>5</v>
      </c>
      <c r="L136" s="1">
        <v>4.1890000000000001</v>
      </c>
      <c r="M136" s="1">
        <v>10.85</v>
      </c>
      <c r="P136" s="1">
        <v>0.34699999999999998</v>
      </c>
      <c r="Q136" s="1">
        <v>0.13200000000000001</v>
      </c>
      <c r="R136" s="1">
        <v>0.38700000000000001</v>
      </c>
      <c r="S136" s="17" t="s">
        <v>1346</v>
      </c>
      <c r="T136">
        <v>5</v>
      </c>
      <c r="U136" t="s">
        <v>1348</v>
      </c>
      <c r="V136" s="17">
        <v>0</v>
      </c>
      <c r="W136" t="s">
        <v>5</v>
      </c>
      <c r="X136" t="s">
        <v>5</v>
      </c>
      <c r="Y136" t="s">
        <v>5</v>
      </c>
      <c r="Z136" t="s">
        <v>5</v>
      </c>
      <c r="AA136" t="s">
        <v>5</v>
      </c>
      <c r="AB136" s="17" t="str">
        <f>HYPERLINK("http://exon.niaid.nih.gov/transcriptome/T_rubida/S2/links/netoglyc/TRIRU-345-netoglyc.txt","0")</f>
        <v>0</v>
      </c>
      <c r="AC136">
        <v>9.1</v>
      </c>
      <c r="AD136" t="s">
        <v>1417</v>
      </c>
      <c r="AE136" t="s">
        <v>1394</v>
      </c>
      <c r="AF136" s="17" t="s">
        <v>5</v>
      </c>
      <c r="AG136" s="2" t="str">
        <f>HYPERLINK("http://exon.niaid.nih.gov/transcriptome/T_rubida/S2/links/NR/Triru-345-NR.txt","hypothetical protein smi_1442")</f>
        <v>hypothetical protein smi_1442</v>
      </c>
      <c r="AH136" t="str">
        <f>HYPERLINK("http://www.ncbi.nlm.nih.gov/sutils/blink.cgi?pid=289168275","39")</f>
        <v>39</v>
      </c>
      <c r="AI136" t="str">
        <f>HYPERLINK("http://www.ncbi.nlm.nih.gov/protein/289168275","gi|289168275")</f>
        <v>gi|289168275</v>
      </c>
      <c r="AJ136">
        <v>31.6</v>
      </c>
      <c r="AK136">
        <v>27</v>
      </c>
      <c r="AL136">
        <v>250</v>
      </c>
      <c r="AM136">
        <v>46</v>
      </c>
      <c r="AN136">
        <v>11</v>
      </c>
      <c r="AO136" t="s">
        <v>51</v>
      </c>
      <c r="AP136" s="2" t="str">
        <f>HYPERLINK("http://exon.niaid.nih.gov/transcriptome/T_rubida/S2/links/SWISSP/Triru-345-SWISSP.txt","Erythronate-4-phosphate dehydrogenase")</f>
        <v>Erythronate-4-phosphate dehydrogenase</v>
      </c>
      <c r="AQ136" t="str">
        <f>HYPERLINK("http://www.uniprot.org/uniprot/Q8D2P6","61")</f>
        <v>61</v>
      </c>
      <c r="AR136" t="s">
        <v>52</v>
      </c>
      <c r="AS136">
        <v>26.2</v>
      </c>
      <c r="AT136">
        <v>19</v>
      </c>
      <c r="AU136">
        <v>378</v>
      </c>
      <c r="AV136">
        <v>40</v>
      </c>
      <c r="AW136">
        <v>5</v>
      </c>
      <c r="AX136">
        <v>12</v>
      </c>
      <c r="AY136">
        <v>0</v>
      </c>
      <c r="AZ136">
        <v>319</v>
      </c>
      <c r="BA136">
        <v>8</v>
      </c>
      <c r="BB136">
        <v>1</v>
      </c>
      <c r="BC136" t="s">
        <v>53</v>
      </c>
      <c r="BD136" s="2" t="s">
        <v>5</v>
      </c>
      <c r="BE136" t="s">
        <v>5</v>
      </c>
      <c r="BF136" t="s">
        <v>5</v>
      </c>
      <c r="BG136" t="s">
        <v>5</v>
      </c>
      <c r="BH136" t="s">
        <v>5</v>
      </c>
      <c r="BI136" s="2" t="s">
        <v>5</v>
      </c>
      <c r="BJ136" t="s">
        <v>5</v>
      </c>
      <c r="BK136" t="s">
        <v>5</v>
      </c>
      <c r="BL136" s="2" t="s">
        <v>5</v>
      </c>
      <c r="BM136" t="s">
        <v>5</v>
      </c>
      <c r="BN136" t="s">
        <v>5</v>
      </c>
      <c r="BO136" s="2" t="s">
        <v>5</v>
      </c>
      <c r="BP136" t="s">
        <v>5</v>
      </c>
      <c r="BQ136" s="2" t="str">
        <f>HYPERLINK("http://exon.niaid.nih.gov/transcriptome/T_rubida/S2/links/SMART/Triru-345-SMART.txt","TOP4c")</f>
        <v>TOP4c</v>
      </c>
      <c r="BR136" t="str">
        <f>HYPERLINK("http://smart.embl-heidelberg.de/smart/do_annotation.pl?DOMAIN=TOP4c&amp;BLAST=DUMMY","8.1")</f>
        <v>8.1</v>
      </c>
      <c r="BS136" s="17">
        <f>HYPERLINK("http://exon.niaid.nih.gov/transcriptome/T_rubida/S2/links/cluster/Triru-pep-ext25-50-Sim-CLU1.txt", 1)</f>
        <v>1</v>
      </c>
      <c r="BT136" s="1">
        <f>HYPERLINK("http://exon.niaid.nih.gov/transcriptome/T_rubida/S2/links/cluster/Triru-pep-ext25-50-Sim-CLTL1.txt", 359)</f>
        <v>359</v>
      </c>
      <c r="BU136" s="17">
        <f>HYPERLINK("http://exon.niaid.nih.gov/transcriptome/T_rubida/S2/links/cluster/Triru-pep-ext30-50-Sim-CLU1.txt", 1)</f>
        <v>1</v>
      </c>
      <c r="BV136" s="1">
        <f>HYPERLINK("http://exon.niaid.nih.gov/transcriptome/T_rubida/S2/links/cluster/Triru-pep-ext30-50-Sim-CLTL1.txt", 225)</f>
        <v>225</v>
      </c>
      <c r="BW136" s="17">
        <f>HYPERLINK("http://exon.niaid.nih.gov/transcriptome/T_rubida/S2/links/cluster/Triru-pep-ext35-50-Sim-CLU1.txt", 1)</f>
        <v>1</v>
      </c>
      <c r="BX136" s="1">
        <f>HYPERLINK("http://exon.niaid.nih.gov/transcriptome/T_rubida/S2/links/cluster/Triru-pep-ext35-50-Sim-CLTL1.txt", 75)</f>
        <v>75</v>
      </c>
      <c r="BY136" s="17">
        <f>HYPERLINK("http://exon.niaid.nih.gov/transcriptome/T_rubida/S2/links/cluster/Triru-pep-ext40-50-Sim-CLU2.txt", 2)</f>
        <v>2</v>
      </c>
      <c r="BZ136" s="1">
        <f>HYPERLINK("http://exon.niaid.nih.gov/transcriptome/T_rubida/S2/links/cluster/Triru-pep-ext40-50-Sim-CLTL2.txt", 42)</f>
        <v>42</v>
      </c>
      <c r="CA136" s="17">
        <v>213</v>
      </c>
      <c r="CB136" s="1">
        <v>1</v>
      </c>
      <c r="CC136" s="17">
        <v>218</v>
      </c>
      <c r="CD136" s="1">
        <v>1</v>
      </c>
      <c r="CE136" s="17">
        <v>224</v>
      </c>
      <c r="CF136" s="1">
        <v>1</v>
      </c>
      <c r="CG136" s="17">
        <v>226</v>
      </c>
      <c r="CH136" s="1">
        <v>1</v>
      </c>
      <c r="CI136" s="17">
        <v>236</v>
      </c>
      <c r="CJ136" s="1">
        <v>1</v>
      </c>
      <c r="CK136" s="17">
        <v>241</v>
      </c>
      <c r="CL136" s="1">
        <v>1</v>
      </c>
      <c r="CM136" s="17">
        <v>249</v>
      </c>
      <c r="CN136" s="1">
        <v>1</v>
      </c>
      <c r="CO136" s="17">
        <v>260</v>
      </c>
      <c r="CP136" s="1">
        <v>1</v>
      </c>
      <c r="CQ136" s="17">
        <v>270</v>
      </c>
      <c r="CR136" s="1">
        <v>1</v>
      </c>
      <c r="CS136" s="17">
        <v>280</v>
      </c>
      <c r="CT136" s="1">
        <v>1</v>
      </c>
      <c r="CU136" s="17">
        <v>291</v>
      </c>
      <c r="CV136" s="1">
        <v>1</v>
      </c>
    </row>
    <row r="137" spans="1:100" s="4" customFormat="1">
      <c r="A137" s="16" t="s">
        <v>1303</v>
      </c>
      <c r="I137" s="5"/>
      <c r="P137" s="4" t="s">
        <v>5</v>
      </c>
      <c r="Q137" s="4" t="s">
        <v>5</v>
      </c>
      <c r="R137" s="4" t="s">
        <v>5</v>
      </c>
      <c r="S137" s="4" t="s">
        <v>5</v>
      </c>
      <c r="T137" s="4" t="s">
        <v>5</v>
      </c>
      <c r="U137" s="4" t="s">
        <v>5</v>
      </c>
      <c r="V137" s="4" t="s">
        <v>5</v>
      </c>
      <c r="W137" s="4" t="s">
        <v>5</v>
      </c>
      <c r="X137" s="4" t="s">
        <v>5</v>
      </c>
      <c r="Y137" s="4" t="s">
        <v>5</v>
      </c>
      <c r="Z137" s="4" t="s">
        <v>5</v>
      </c>
      <c r="AA137" s="4" t="s">
        <v>5</v>
      </c>
      <c r="AB137" s="4" t="s">
        <v>5</v>
      </c>
      <c r="AC137" s="4" t="s">
        <v>5</v>
      </c>
      <c r="AD137" s="4" t="s">
        <v>5</v>
      </c>
      <c r="AE137" s="4" t="s">
        <v>5</v>
      </c>
      <c r="AF137" s="4" t="s">
        <v>5</v>
      </c>
    </row>
    <row r="138" spans="1:100">
      <c r="A138" t="str">
        <f>HYPERLINK("http://exon.niaid.nih.gov/transcriptome/T_rubida/S2/links/pep/Triru-86-pep.txt","Triru-86")</f>
        <v>Triru-86</v>
      </c>
      <c r="B138">
        <v>258</v>
      </c>
      <c r="C138" s="1" t="s">
        <v>9</v>
      </c>
      <c r="D138" s="1" t="s">
        <v>3</v>
      </c>
      <c r="E138" t="str">
        <f>HYPERLINK("http://exon.niaid.nih.gov/transcriptome/T_rubida/S2/links/cds/Triru-86-cds.txt","Triru-86")</f>
        <v>Triru-86</v>
      </c>
      <c r="F138">
        <v>777</v>
      </c>
      <c r="G138" s="2" t="s">
        <v>1618</v>
      </c>
      <c r="H138" s="1">
        <v>8</v>
      </c>
      <c r="I138" s="3" t="s">
        <v>1289</v>
      </c>
      <c r="J138" s="17" t="str">
        <f>HYPERLINK("http://exon.niaid.nih.gov/transcriptome/T_rubida/S2/links/Sigp/Triru-86-SigP.txt","CYT")</f>
        <v>CYT</v>
      </c>
      <c r="K138" t="s">
        <v>5</v>
      </c>
      <c r="L138" s="1">
        <v>27.946999999999999</v>
      </c>
      <c r="M138" s="1">
        <v>7.66</v>
      </c>
      <c r="P138" s="1">
        <v>5.1999999999999998E-2</v>
      </c>
      <c r="Q138" s="1">
        <v>0.24299999999999999</v>
      </c>
      <c r="R138" s="1">
        <v>0.84599999999999997</v>
      </c>
      <c r="S138" s="17" t="s">
        <v>1346</v>
      </c>
      <c r="T138">
        <v>2</v>
      </c>
      <c r="U138" t="s">
        <v>1418</v>
      </c>
      <c r="V138" s="17">
        <v>0</v>
      </c>
      <c r="W138" t="s">
        <v>5</v>
      </c>
      <c r="X138" t="s">
        <v>5</v>
      </c>
      <c r="Y138" t="s">
        <v>5</v>
      </c>
      <c r="Z138" t="s">
        <v>5</v>
      </c>
      <c r="AA138" t="s">
        <v>5</v>
      </c>
      <c r="AB138" s="17" t="str">
        <f>HYPERLINK("http://exon.niaid.nih.gov/transcriptome/T_rubida/S2/links/netoglyc/TRIRU-86-netoglyc.txt","1")</f>
        <v>1</v>
      </c>
      <c r="AC138">
        <v>14.7</v>
      </c>
      <c r="AD138">
        <v>9.3000000000000007</v>
      </c>
      <c r="AE138">
        <v>2.2999999999999998</v>
      </c>
      <c r="AF138" s="17" t="s">
        <v>5</v>
      </c>
      <c r="AG138" s="2" t="str">
        <f>HYPERLINK("http://exon.niaid.nih.gov/transcriptome/T_rubida/S2/links/NR/Triru-86-NR.txt","15-hydroxyprostaglandin dehydrogenase")</f>
        <v>15-hydroxyprostaglandin dehydrogenase</v>
      </c>
      <c r="AH138" t="str">
        <f>HYPERLINK("http://www.ncbi.nlm.nih.gov/sutils/blink.cgi?pid=340719801","5E-043")</f>
        <v>5E-043</v>
      </c>
      <c r="AI138" t="str">
        <f>HYPERLINK("http://www.ncbi.nlm.nih.gov/protein/340719801","gi|340719801")</f>
        <v>gi|340719801</v>
      </c>
      <c r="AJ138">
        <v>179</v>
      </c>
      <c r="AK138">
        <v>251</v>
      </c>
      <c r="AL138">
        <v>255</v>
      </c>
      <c r="AM138">
        <v>39</v>
      </c>
      <c r="AN138">
        <v>99</v>
      </c>
      <c r="AO138" t="s">
        <v>265</v>
      </c>
      <c r="AP138" s="2" t="str">
        <f>HYPERLINK("http://exon.niaid.nih.gov/transcriptome/T_rubida/S2/links/SWISSP/Triru-86-SWISSP.txt","15-hydroxyprostaglandin dehydrogenase")</f>
        <v>15-hydroxyprostaglandin dehydrogenase</v>
      </c>
      <c r="AQ138" t="str">
        <f>HYPERLINK("http://www.uniprot.org/uniprot/Q8MJY8","1E-034")</f>
        <v>1E-034</v>
      </c>
      <c r="AR138" t="s">
        <v>873</v>
      </c>
      <c r="AS138">
        <v>146</v>
      </c>
      <c r="AT138">
        <v>196</v>
      </c>
      <c r="AU138">
        <v>266</v>
      </c>
      <c r="AV138">
        <v>39</v>
      </c>
      <c r="AW138">
        <v>74</v>
      </c>
      <c r="AX138">
        <v>122</v>
      </c>
      <c r="AY138">
        <v>3</v>
      </c>
      <c r="AZ138">
        <v>1</v>
      </c>
      <c r="BA138">
        <v>1</v>
      </c>
      <c r="BB138">
        <v>1</v>
      </c>
      <c r="BC138" t="s">
        <v>402</v>
      </c>
      <c r="BD138" s="2" t="s">
        <v>676</v>
      </c>
      <c r="BE138">
        <f>HYPERLINK("http://exon.niaid.nih.gov/transcriptome/T_rubida/S2/links/GO/Triru-86-GO.txt",2E-37)</f>
        <v>2.0000000000000001E-37</v>
      </c>
      <c r="BF138" t="s">
        <v>77</v>
      </c>
      <c r="BG138" t="s">
        <v>77</v>
      </c>
      <c r="BI138" s="2" t="str">
        <f>HYPERLINK("http://exon.niaid.nih.gov/transcriptome/T_rubida/S2/links/CDD/Triru-86-CDD.txt","ADH_SDR_c_like")</f>
        <v>ADH_SDR_c_like</v>
      </c>
      <c r="BJ138" t="str">
        <f>HYPERLINK("http://www.ncbi.nlm.nih.gov/Structure/cdd/cddsrv.cgi?uid=cd05323&amp;version=v4.0","3E-047")</f>
        <v>3E-047</v>
      </c>
      <c r="BK138" t="s">
        <v>874</v>
      </c>
      <c r="BL138" s="2" t="str">
        <f>HYPERLINK("http://exon.niaid.nih.gov/transcriptome/T_rubida/S2/links/KOG/Triru-86-KOG.txt","15-hydroxyprostaglandin dehydrogenase and related dehydrogenases")</f>
        <v>15-hydroxyprostaglandin dehydrogenase and related dehydrogenases</v>
      </c>
      <c r="BM138" t="str">
        <f>HYPERLINK("http://www.ncbi.nlm.nih.gov/COG/grace/shokog.cgi?KOG4169","1E-041")</f>
        <v>1E-041</v>
      </c>
      <c r="BN138" t="s">
        <v>678</v>
      </c>
      <c r="BO138" s="2" t="str">
        <f>HYPERLINK("http://exon.niaid.nih.gov/transcriptome/T_rubida/S2/links/PFAM/Triru-86-PFAM.txt","adh_short")</f>
        <v>adh_short</v>
      </c>
      <c r="BP138" t="str">
        <f>HYPERLINK("http://pfam.sanger.ac.uk/family?acc=PF00106","7E-021")</f>
        <v>7E-021</v>
      </c>
      <c r="BQ138" s="2" t="str">
        <f>HYPERLINK("http://exon.niaid.nih.gov/transcriptome/T_rubida/S2/links/SMART/Triru-86-SMART.txt","PKS_KR")</f>
        <v>PKS_KR</v>
      </c>
      <c r="BR138" t="str">
        <f>HYPERLINK("http://smart.embl-heidelberg.de/smart/do_annotation.pl?DOMAIN=PKS_KR&amp;BLAST=DUMMY","3E-007")</f>
        <v>3E-007</v>
      </c>
      <c r="BS138" s="17">
        <f>HYPERLINK("http://exon.niaid.nih.gov/transcriptome/T_rubida/S2/links/cluster/Triru-pep-ext25-50-Sim-CLU2.txt", 2)</f>
        <v>2</v>
      </c>
      <c r="BT138" s="1">
        <f>HYPERLINK("http://exon.niaid.nih.gov/transcriptome/T_rubida/S2/links/cluster/Triru-pep-ext25-50-Sim-CLTL2.txt", 3)</f>
        <v>3</v>
      </c>
      <c r="BU138" s="17">
        <f>HYPERLINK("http://exon.niaid.nih.gov/transcriptome/T_rubida/S2/links/cluster/Triru-pep-ext30-50-Sim-CLU7.txt", 7)</f>
        <v>7</v>
      </c>
      <c r="BV138" s="1">
        <f>HYPERLINK("http://exon.niaid.nih.gov/transcriptome/T_rubida/S2/links/cluster/Triru-pep-ext30-50-Sim-CLTL7.txt", 3)</f>
        <v>3</v>
      </c>
      <c r="BW138" s="17">
        <f>HYPERLINK("http://exon.niaid.nih.gov/transcriptome/T_rubida/S2/links/cluster/Triru-pep-ext35-50-Sim-CLU7.txt", 7)</f>
        <v>7</v>
      </c>
      <c r="BX138" s="1">
        <f>HYPERLINK("http://exon.niaid.nih.gov/transcriptome/T_rubida/S2/links/cluster/Triru-pep-ext35-50-Sim-CLTL7.txt", 3)</f>
        <v>3</v>
      </c>
      <c r="BY138" s="17">
        <f>HYPERLINK("http://exon.niaid.nih.gov/transcriptome/T_rubida/S2/links/cluster/Triru-pep-ext40-50-Sim-CLU7.txt", 7)</f>
        <v>7</v>
      </c>
      <c r="BZ138" s="1">
        <f>HYPERLINK("http://exon.niaid.nih.gov/transcriptome/T_rubida/S2/links/cluster/Triru-pep-ext40-50-Sim-CLTL7.txt", 3)</f>
        <v>3</v>
      </c>
      <c r="CA138" s="17">
        <f>HYPERLINK("http://exon.niaid.nih.gov/transcriptome/T_rubida/S2/links/cluster/Triru-pep-ext45-50-Sim-CLU5.txt", 5)</f>
        <v>5</v>
      </c>
      <c r="CB138" s="1">
        <f>HYPERLINK("http://exon.niaid.nih.gov/transcriptome/T_rubida/S2/links/cluster/Triru-pep-ext45-50-Sim-CLTL5.txt", 3)</f>
        <v>3</v>
      </c>
      <c r="CC138" s="17">
        <f>HYPERLINK("http://exon.niaid.nih.gov/transcriptome/T_rubida/S2/links/cluster/Triru-pep-ext50-50-Sim-CLU6.txt", 6)</f>
        <v>6</v>
      </c>
      <c r="CD138" s="1">
        <f>HYPERLINK("http://exon.niaid.nih.gov/transcriptome/T_rubida/S2/links/cluster/Triru-pep-ext50-50-Sim-CLTL6.txt", 3)</f>
        <v>3</v>
      </c>
      <c r="CE138" s="17">
        <f>HYPERLINK("http://exon.niaid.nih.gov/transcriptome/T_rubida/S2/links/cluster/Triru-pep-ext55-50-Sim-CLU5.txt", 5)</f>
        <v>5</v>
      </c>
      <c r="CF138" s="1">
        <f>HYPERLINK("http://exon.niaid.nih.gov/transcriptome/T_rubida/S2/links/cluster/Triru-pep-ext55-50-Sim-CLTL5.txt", 3)</f>
        <v>3</v>
      </c>
      <c r="CG138" s="17">
        <f>HYPERLINK("http://exon.niaid.nih.gov/transcriptome/T_rubida/S2/links/cluster/Triru-pep-ext60-50-Sim-CLU7.txt", 7)</f>
        <v>7</v>
      </c>
      <c r="CH138" s="1">
        <f>HYPERLINK("http://exon.niaid.nih.gov/transcriptome/T_rubida/S2/links/cluster/Triru-pep-ext60-50-Sim-CLTL7.txt", 3)</f>
        <v>3</v>
      </c>
      <c r="CI138" s="17">
        <f>HYPERLINK("http://exon.niaid.nih.gov/transcriptome/T_rubida/S2/links/cluster/Triru-pep-ext65-50-Sim-CLU7.txt", 7)</f>
        <v>7</v>
      </c>
      <c r="CJ138" s="1">
        <f>HYPERLINK("http://exon.niaid.nih.gov/transcriptome/T_rubida/S2/links/cluster/Triru-pep-ext65-50-Sim-CLTL7.txt", 3)</f>
        <v>3</v>
      </c>
      <c r="CK138" s="17">
        <f>HYPERLINK("http://exon.niaid.nih.gov/transcriptome/T_rubida/S2/links/cluster/Triru-pep-ext70-50-Sim-CLU11.txt", 11)</f>
        <v>11</v>
      </c>
      <c r="CL138" s="1">
        <f>HYPERLINK("http://exon.niaid.nih.gov/transcriptome/T_rubida/S2/links/cluster/Triru-pep-ext70-50-Sim-CLTL11.txt", 2)</f>
        <v>2</v>
      </c>
      <c r="CM138" s="17">
        <f>HYPERLINK("http://exon.niaid.nih.gov/transcriptome/T_rubida/S2/links/cluster/Triru-pep-ext75-50-Sim-CLU12.txt", 12)</f>
        <v>12</v>
      </c>
      <c r="CN138" s="1">
        <f>HYPERLINK("http://exon.niaid.nih.gov/transcriptome/T_rubida/S2/links/cluster/Triru-pep-ext75-50-Sim-CLTL12.txt", 2)</f>
        <v>2</v>
      </c>
      <c r="CO138" s="17">
        <f>HYPERLINK("http://exon.niaid.nih.gov/transcriptome/T_rubida/S2/links/cluster/Triru-pep-ext80-50-Sim-CLU11.txt", 11)</f>
        <v>11</v>
      </c>
      <c r="CP138" s="1">
        <f>HYPERLINK("http://exon.niaid.nih.gov/transcriptome/T_rubida/S2/links/cluster/Triru-pep-ext80-50-Sim-CLTL11.txt", 2)</f>
        <v>2</v>
      </c>
      <c r="CQ138" s="17">
        <f>HYPERLINK("http://exon.niaid.nih.gov/transcriptome/T_rubida/S2/links/cluster/Triru-pep-ext85-50-Sim-CLU9.txt", 9)</f>
        <v>9</v>
      </c>
      <c r="CR138" s="1">
        <f>HYPERLINK("http://exon.niaid.nih.gov/transcriptome/T_rubida/S2/links/cluster/Triru-pep-ext85-50-Sim-CLTL9.txt", 2)</f>
        <v>2</v>
      </c>
      <c r="CS138" s="17">
        <f>HYPERLINK("http://exon.niaid.nih.gov/transcriptome/T_rubida/S2/links/cluster/Triru-pep-ext90-50-Sim-CLU10.txt", 10)</f>
        <v>10</v>
      </c>
      <c r="CT138" s="1">
        <f>HYPERLINK("http://exon.niaid.nih.gov/transcriptome/T_rubida/S2/links/cluster/Triru-pep-ext90-50-Sim-CLTL10.txt", 2)</f>
        <v>2</v>
      </c>
      <c r="CU138" s="17">
        <v>82</v>
      </c>
      <c r="CV138" s="1">
        <v>1</v>
      </c>
    </row>
    <row r="139" spans="1:100">
      <c r="A139" t="str">
        <f>HYPERLINK("http://exon.niaid.nih.gov/transcriptome/T_rubida/S2/links/pep/Triru-87-pep.txt","Triru-87")</f>
        <v>Triru-87</v>
      </c>
      <c r="B139">
        <v>261</v>
      </c>
      <c r="C139" s="1" t="s">
        <v>9</v>
      </c>
      <c r="D139" s="1" t="s">
        <v>3</v>
      </c>
      <c r="E139" t="str">
        <f>HYPERLINK("http://exon.niaid.nih.gov/transcriptome/T_rubida/S2/links/cds/Triru-87-cds.txt","Triru-87")</f>
        <v>Triru-87</v>
      </c>
      <c r="F139">
        <v>786</v>
      </c>
      <c r="G139" s="2" t="s">
        <v>1618</v>
      </c>
      <c r="H139" s="1">
        <v>3</v>
      </c>
      <c r="I139" s="3" t="s">
        <v>1289</v>
      </c>
      <c r="J139" s="17" t="str">
        <f>HYPERLINK("http://exon.niaid.nih.gov/transcriptome/T_rubida/S2/links/Sigp/Triru-87-SigP.txt","CYT")</f>
        <v>CYT</v>
      </c>
      <c r="K139" t="s">
        <v>5</v>
      </c>
      <c r="L139" s="1">
        <v>28.468</v>
      </c>
      <c r="M139" s="1">
        <v>8.7100000000000009</v>
      </c>
      <c r="P139" s="1">
        <v>5.7000000000000002E-2</v>
      </c>
      <c r="Q139" s="1">
        <v>0.26500000000000001</v>
      </c>
      <c r="R139" s="1">
        <v>0.81200000000000006</v>
      </c>
      <c r="S139" s="17" t="s">
        <v>1346</v>
      </c>
      <c r="T139">
        <v>3</v>
      </c>
      <c r="U139" t="s">
        <v>1419</v>
      </c>
      <c r="V139" s="17">
        <v>0</v>
      </c>
      <c r="W139" t="s">
        <v>5</v>
      </c>
      <c r="X139" t="s">
        <v>5</v>
      </c>
      <c r="Y139" t="s">
        <v>5</v>
      </c>
      <c r="Z139" t="s">
        <v>5</v>
      </c>
      <c r="AA139" t="s">
        <v>5</v>
      </c>
      <c r="AB139" s="17" t="str">
        <f>HYPERLINK("http://exon.niaid.nih.gov/transcriptome/T_rubida/S2/links/netoglyc/TRIRU-87-netoglyc.txt","3")</f>
        <v>3</v>
      </c>
      <c r="AC139">
        <v>13</v>
      </c>
      <c r="AD139">
        <v>8.4</v>
      </c>
      <c r="AE139">
        <v>2.2999999999999998</v>
      </c>
      <c r="AF139" s="17" t="s">
        <v>5</v>
      </c>
      <c r="AG139" s="2" t="str">
        <f>HYPERLINK("http://exon.niaid.nih.gov/transcriptome/T_rubida/S2/links/NR/Triru-87-NR.txt","15-hydroxyprostaglandin dehydrogenase")</f>
        <v>15-hydroxyprostaglandin dehydrogenase</v>
      </c>
      <c r="AH139" t="str">
        <f>HYPERLINK("http://www.ncbi.nlm.nih.gov/sutils/blink.cgi?pid=328779312","6E-048")</f>
        <v>6E-048</v>
      </c>
      <c r="AI139" t="str">
        <f>HYPERLINK("http://www.ncbi.nlm.nih.gov/protein/328779312","gi|328779312")</f>
        <v>gi|328779312</v>
      </c>
      <c r="AJ139">
        <v>195</v>
      </c>
      <c r="AK139">
        <v>249</v>
      </c>
      <c r="AL139">
        <v>272</v>
      </c>
      <c r="AM139">
        <v>40</v>
      </c>
      <c r="AN139">
        <v>92</v>
      </c>
      <c r="AO139" t="s">
        <v>302</v>
      </c>
      <c r="AP139" s="2" t="str">
        <f>HYPERLINK("http://exon.niaid.nih.gov/transcriptome/T_rubida/S2/links/SWISSP/Triru-87-SWISSP.txt","15-hydroxyprostaglandin dehydrogenase")</f>
        <v>15-hydroxyprostaglandin dehydrogenase</v>
      </c>
      <c r="AQ139" t="str">
        <f>HYPERLINK("http://www.uniprot.org/uniprot/Q8VCC1","4E-038")</f>
        <v>4E-038</v>
      </c>
      <c r="AR139" t="s">
        <v>879</v>
      </c>
      <c r="AS139">
        <v>158</v>
      </c>
      <c r="AT139">
        <v>196</v>
      </c>
      <c r="AU139">
        <v>269</v>
      </c>
      <c r="AV139">
        <v>40</v>
      </c>
      <c r="AW139">
        <v>73</v>
      </c>
      <c r="AX139">
        <v>119</v>
      </c>
      <c r="AY139">
        <v>3</v>
      </c>
      <c r="AZ139">
        <v>1</v>
      </c>
      <c r="BA139">
        <v>1</v>
      </c>
      <c r="BB139">
        <v>1</v>
      </c>
      <c r="BC139" t="s">
        <v>75</v>
      </c>
      <c r="BD139" s="2" t="s">
        <v>676</v>
      </c>
      <c r="BE139">
        <f>HYPERLINK("http://exon.niaid.nih.gov/transcriptome/T_rubida/S2/links/GO/Triru-87-GO.txt",9E-41)</f>
        <v>9.0000000000000002E-41</v>
      </c>
      <c r="BF139" t="s">
        <v>77</v>
      </c>
      <c r="BG139" t="s">
        <v>77</v>
      </c>
      <c r="BI139" s="2" t="str">
        <f>HYPERLINK("http://exon.niaid.nih.gov/transcriptome/T_rubida/S2/links/CDD/Triru-87-CDD.txt","ADH_SDR_c_like")</f>
        <v>ADH_SDR_c_like</v>
      </c>
      <c r="BJ139" t="str">
        <f>HYPERLINK("http://www.ncbi.nlm.nih.gov/Structure/cdd/cddsrv.cgi?uid=cd05323&amp;version=v4.0","1E-051")</f>
        <v>1E-051</v>
      </c>
      <c r="BK139" t="s">
        <v>880</v>
      </c>
      <c r="BL139" s="2" t="str">
        <f>HYPERLINK("http://exon.niaid.nih.gov/transcriptome/T_rubida/S2/links/KOG/Triru-87-KOG.txt","15-hydroxyprostaglandin dehydrogenase and related dehydrogenases")</f>
        <v>15-hydroxyprostaglandin dehydrogenase and related dehydrogenases</v>
      </c>
      <c r="BM139" t="str">
        <f>HYPERLINK("http://www.ncbi.nlm.nih.gov/COG/grace/shokog.cgi?KOG4169","1E-043")</f>
        <v>1E-043</v>
      </c>
      <c r="BN139" t="s">
        <v>678</v>
      </c>
      <c r="BO139" s="2" t="str">
        <f>HYPERLINK("http://exon.niaid.nih.gov/transcriptome/T_rubida/S2/links/PFAM/Triru-87-PFAM.txt","adh_short")</f>
        <v>adh_short</v>
      </c>
      <c r="BP139" t="str">
        <f>HYPERLINK("http://pfam.sanger.ac.uk/family?acc=PF00106","2E-021")</f>
        <v>2E-021</v>
      </c>
      <c r="BQ139" s="2" t="str">
        <f>HYPERLINK("http://exon.niaid.nih.gov/transcriptome/T_rubida/S2/links/SMART/Triru-87-SMART.txt","PKS_KR")</f>
        <v>PKS_KR</v>
      </c>
      <c r="BR139" t="str">
        <f>HYPERLINK("http://smart.embl-heidelberg.de/smart/do_annotation.pl?DOMAIN=PKS_KR&amp;BLAST=DUMMY","2E-008")</f>
        <v>2E-008</v>
      </c>
      <c r="BS139" s="17">
        <f>HYPERLINK("http://exon.niaid.nih.gov/transcriptome/T_rubida/S2/links/cluster/Triru-pep-ext25-50-Sim-CLU2.txt", 2)</f>
        <v>2</v>
      </c>
      <c r="BT139" s="1">
        <f>HYPERLINK("http://exon.niaid.nih.gov/transcriptome/T_rubida/S2/links/cluster/Triru-pep-ext25-50-Sim-CLTL2.txt", 3)</f>
        <v>3</v>
      </c>
      <c r="BU139" s="17">
        <f>HYPERLINK("http://exon.niaid.nih.gov/transcriptome/T_rubida/S2/links/cluster/Triru-pep-ext30-50-Sim-CLU7.txt", 7)</f>
        <v>7</v>
      </c>
      <c r="BV139" s="1">
        <f>HYPERLINK("http://exon.niaid.nih.gov/transcriptome/T_rubida/S2/links/cluster/Triru-pep-ext30-50-Sim-CLTL7.txt", 3)</f>
        <v>3</v>
      </c>
      <c r="BW139" s="17">
        <f>HYPERLINK("http://exon.niaid.nih.gov/transcriptome/T_rubida/S2/links/cluster/Triru-pep-ext35-50-Sim-CLU7.txt", 7)</f>
        <v>7</v>
      </c>
      <c r="BX139" s="1">
        <f>HYPERLINK("http://exon.niaid.nih.gov/transcriptome/T_rubida/S2/links/cluster/Triru-pep-ext35-50-Sim-CLTL7.txt", 3)</f>
        <v>3</v>
      </c>
      <c r="BY139" s="17">
        <f>HYPERLINK("http://exon.niaid.nih.gov/transcriptome/T_rubida/S2/links/cluster/Triru-pep-ext40-50-Sim-CLU7.txt", 7)</f>
        <v>7</v>
      </c>
      <c r="BZ139" s="1">
        <f>HYPERLINK("http://exon.niaid.nih.gov/transcriptome/T_rubida/S2/links/cluster/Triru-pep-ext40-50-Sim-CLTL7.txt", 3)</f>
        <v>3</v>
      </c>
      <c r="CA139" s="17">
        <f>HYPERLINK("http://exon.niaid.nih.gov/transcriptome/T_rubida/S2/links/cluster/Triru-pep-ext45-50-Sim-CLU5.txt", 5)</f>
        <v>5</v>
      </c>
      <c r="CB139" s="1">
        <f>HYPERLINK("http://exon.niaid.nih.gov/transcriptome/T_rubida/S2/links/cluster/Triru-pep-ext45-50-Sim-CLTL5.txt", 3)</f>
        <v>3</v>
      </c>
      <c r="CC139" s="17">
        <f>HYPERLINK("http://exon.niaid.nih.gov/transcriptome/T_rubida/S2/links/cluster/Triru-pep-ext50-50-Sim-CLU6.txt", 6)</f>
        <v>6</v>
      </c>
      <c r="CD139" s="1">
        <f>HYPERLINK("http://exon.niaid.nih.gov/transcriptome/T_rubida/S2/links/cluster/Triru-pep-ext50-50-Sim-CLTL6.txt", 3)</f>
        <v>3</v>
      </c>
      <c r="CE139" s="17">
        <f>HYPERLINK("http://exon.niaid.nih.gov/transcriptome/T_rubida/S2/links/cluster/Triru-pep-ext55-50-Sim-CLU5.txt", 5)</f>
        <v>5</v>
      </c>
      <c r="CF139" s="1">
        <f>HYPERLINK("http://exon.niaid.nih.gov/transcriptome/T_rubida/S2/links/cluster/Triru-pep-ext55-50-Sim-CLTL5.txt", 3)</f>
        <v>3</v>
      </c>
      <c r="CG139" s="17">
        <f>HYPERLINK("http://exon.niaid.nih.gov/transcriptome/T_rubida/S2/links/cluster/Triru-pep-ext60-50-Sim-CLU7.txt", 7)</f>
        <v>7</v>
      </c>
      <c r="CH139" s="1">
        <f>HYPERLINK("http://exon.niaid.nih.gov/transcriptome/T_rubida/S2/links/cluster/Triru-pep-ext60-50-Sim-CLTL7.txt", 3)</f>
        <v>3</v>
      </c>
      <c r="CI139" s="17">
        <f>HYPERLINK("http://exon.niaid.nih.gov/transcriptome/T_rubida/S2/links/cluster/Triru-pep-ext65-50-Sim-CLU7.txt", 7)</f>
        <v>7</v>
      </c>
      <c r="CJ139" s="1">
        <f>HYPERLINK("http://exon.niaid.nih.gov/transcriptome/T_rubida/S2/links/cluster/Triru-pep-ext65-50-Sim-CLTL7.txt", 3)</f>
        <v>3</v>
      </c>
      <c r="CK139" s="17">
        <f>HYPERLINK("http://exon.niaid.nih.gov/transcriptome/T_rubida/S2/links/cluster/Triru-pep-ext70-50-Sim-CLU11.txt", 11)</f>
        <v>11</v>
      </c>
      <c r="CL139" s="1">
        <f>HYPERLINK("http://exon.niaid.nih.gov/transcriptome/T_rubida/S2/links/cluster/Triru-pep-ext70-50-Sim-CLTL11.txt", 2)</f>
        <v>2</v>
      </c>
      <c r="CM139" s="17">
        <f>HYPERLINK("http://exon.niaid.nih.gov/transcriptome/T_rubida/S2/links/cluster/Triru-pep-ext75-50-Sim-CLU12.txt", 12)</f>
        <v>12</v>
      </c>
      <c r="CN139" s="1">
        <f>HYPERLINK("http://exon.niaid.nih.gov/transcriptome/T_rubida/S2/links/cluster/Triru-pep-ext75-50-Sim-CLTL12.txt", 2)</f>
        <v>2</v>
      </c>
      <c r="CO139" s="17">
        <f>HYPERLINK("http://exon.niaid.nih.gov/transcriptome/T_rubida/S2/links/cluster/Triru-pep-ext80-50-Sim-CLU11.txt", 11)</f>
        <v>11</v>
      </c>
      <c r="CP139" s="1">
        <f>HYPERLINK("http://exon.niaid.nih.gov/transcriptome/T_rubida/S2/links/cluster/Triru-pep-ext80-50-Sim-CLTL11.txt", 2)</f>
        <v>2</v>
      </c>
      <c r="CQ139" s="17">
        <f>HYPERLINK("http://exon.niaid.nih.gov/transcriptome/T_rubida/S2/links/cluster/Triru-pep-ext85-50-Sim-CLU9.txt", 9)</f>
        <v>9</v>
      </c>
      <c r="CR139" s="1">
        <f>HYPERLINK("http://exon.niaid.nih.gov/transcriptome/T_rubida/S2/links/cluster/Triru-pep-ext85-50-Sim-CLTL9.txt", 2)</f>
        <v>2</v>
      </c>
      <c r="CS139" s="17">
        <f>HYPERLINK("http://exon.niaid.nih.gov/transcriptome/T_rubida/S2/links/cluster/Triru-pep-ext90-50-Sim-CLU10.txt", 10)</f>
        <v>10</v>
      </c>
      <c r="CT139" s="1">
        <f>HYPERLINK("http://exon.niaid.nih.gov/transcriptome/T_rubida/S2/links/cluster/Triru-pep-ext90-50-Sim-CLTL10.txt", 2)</f>
        <v>2</v>
      </c>
      <c r="CU139" s="17">
        <v>83</v>
      </c>
      <c r="CV139" s="1">
        <v>1</v>
      </c>
    </row>
    <row r="140" spans="1:100">
      <c r="A140" t="str">
        <f>HYPERLINK("http://exon.niaid.nih.gov/transcriptome/T_rubida/S2/links/pep/Triru-378-pep.txt","Triru-378")</f>
        <v>Triru-378</v>
      </c>
      <c r="B140">
        <v>228</v>
      </c>
      <c r="C140" s="1" t="s">
        <v>6</v>
      </c>
      <c r="D140" s="1" t="s">
        <v>3</v>
      </c>
      <c r="E140" t="str">
        <f>HYPERLINK("http://exon.niaid.nih.gov/transcriptome/T_rubida/S2/links/cds/Triru-378-cds.txt","Triru-378")</f>
        <v>Triru-378</v>
      </c>
      <c r="F140">
        <v>687</v>
      </c>
      <c r="G140" s="2" t="s">
        <v>1619</v>
      </c>
      <c r="H140" s="1">
        <v>1</v>
      </c>
      <c r="I140" s="3" t="s">
        <v>1289</v>
      </c>
      <c r="J140" s="17" t="str">
        <f>HYPERLINK("http://exon.niaid.nih.gov/transcriptome/T_rubida/S2/links/Sigp/Triru-378-SigP.txt","CYT")</f>
        <v>CYT</v>
      </c>
      <c r="K140" t="s">
        <v>5</v>
      </c>
      <c r="L140" s="1">
        <v>27.408000000000001</v>
      </c>
      <c r="M140" s="1">
        <v>9.3000000000000007</v>
      </c>
      <c r="P140" s="1">
        <v>0.70299999999999996</v>
      </c>
      <c r="Q140" s="1">
        <v>0.13200000000000001</v>
      </c>
      <c r="R140" s="1">
        <v>0.13200000000000001</v>
      </c>
      <c r="S140" s="17" t="s">
        <v>9</v>
      </c>
      <c r="T140">
        <v>3</v>
      </c>
      <c r="U140" t="s">
        <v>1420</v>
      </c>
      <c r="V140" s="17" t="str">
        <f>HYPERLINK("http://exon.niaid.nih.gov/transcriptome/T_rubida/S2/links/tmhmm/TRIRU-378-tmhmm.txt","5")</f>
        <v>5</v>
      </c>
      <c r="W140">
        <v>48.2</v>
      </c>
      <c r="X140">
        <v>20.6</v>
      </c>
      <c r="Y140">
        <v>31.1</v>
      </c>
      <c r="Z140" t="s">
        <v>5</v>
      </c>
      <c r="AA140" t="s">
        <v>5</v>
      </c>
      <c r="AB140" s="17" t="str">
        <f>HYPERLINK("http://exon.niaid.nih.gov/transcriptome/T_rubida/S2/links/netoglyc/TRIRU-378-netoglyc.txt","0")</f>
        <v>0</v>
      </c>
      <c r="AC140">
        <v>11.8</v>
      </c>
      <c r="AD140">
        <v>3.5</v>
      </c>
      <c r="AE140">
        <v>1.8</v>
      </c>
      <c r="AF140" s="17" t="s">
        <v>5</v>
      </c>
      <c r="AG140" s="2" t="str">
        <f>HYPERLINK("http://exon.niaid.nih.gov/transcriptome/T_rubida/S2/links/NR/Triru-378-NR.txt","ACYPI007931")</f>
        <v>ACYPI007931</v>
      </c>
      <c r="AH140" t="str">
        <f>HYPERLINK("http://www.ncbi.nlm.nih.gov/sutils/blink.cgi?pid=239791051","1E-042")</f>
        <v>1E-042</v>
      </c>
      <c r="AI140" t="str">
        <f>HYPERLINK("http://www.ncbi.nlm.nih.gov/protein/239791051","gi|239791051")</f>
        <v>gi|239791051</v>
      </c>
      <c r="AJ140">
        <v>177</v>
      </c>
      <c r="AK140">
        <v>220</v>
      </c>
      <c r="AL140">
        <v>278</v>
      </c>
      <c r="AM140">
        <v>41</v>
      </c>
      <c r="AN140">
        <v>79</v>
      </c>
      <c r="AO140" t="s">
        <v>89</v>
      </c>
      <c r="AP140" s="2" t="str">
        <f>HYPERLINK("http://exon.niaid.nih.gov/transcriptome/T_rubida/S2/links/SWISSP/Triru-378-SWISSP.txt","Elongation of very long chain fatty acids protein 7")</f>
        <v>Elongation of very long chain fatty acids protein 7</v>
      </c>
      <c r="AQ140" t="str">
        <f>HYPERLINK("http://www.uniprot.org/uniprot/A1L3X0","2E-035")</f>
        <v>2E-035</v>
      </c>
      <c r="AR140" t="s">
        <v>695</v>
      </c>
      <c r="AS140">
        <v>149</v>
      </c>
      <c r="AT140">
        <v>219</v>
      </c>
      <c r="AU140">
        <v>281</v>
      </c>
      <c r="AV140">
        <v>36</v>
      </c>
      <c r="AW140">
        <v>78</v>
      </c>
      <c r="AX140">
        <v>148</v>
      </c>
      <c r="AY140">
        <v>20</v>
      </c>
      <c r="AZ140">
        <v>44</v>
      </c>
      <c r="BA140">
        <v>2</v>
      </c>
      <c r="BB140">
        <v>1</v>
      </c>
      <c r="BC140" t="s">
        <v>208</v>
      </c>
      <c r="BD140" s="2" t="s">
        <v>696</v>
      </c>
      <c r="BE140">
        <f>HYPERLINK("http://exon.niaid.nih.gov/transcriptome/T_rubida/S2/links/GO/Triru-378-GO.txt",5E-40)</f>
        <v>4.9999999999999996E-40</v>
      </c>
      <c r="BF140" t="s">
        <v>173</v>
      </c>
      <c r="BG140" t="s">
        <v>153</v>
      </c>
      <c r="BH140" t="s">
        <v>174</v>
      </c>
      <c r="BI140" s="2" t="str">
        <f>HYPERLINK("http://exon.niaid.nih.gov/transcriptome/T_rubida/S2/links/CDD/Triru-378-CDD.txt","ELO")</f>
        <v>ELO</v>
      </c>
      <c r="BJ140" t="str">
        <f>HYPERLINK("http://www.ncbi.nlm.nih.gov/Structure/cdd/cddsrv.cgi?uid=pfam01151&amp;version=v4.0","1E-039")</f>
        <v>1E-039</v>
      </c>
      <c r="BK140" t="s">
        <v>697</v>
      </c>
      <c r="BL140" s="2" t="str">
        <f>HYPERLINK("http://exon.niaid.nih.gov/transcriptome/T_rubida/S2/links/KOG/Triru-378-KOG.txt","Fatty acyl-CoA elongase/Polyunsaturated fatty acid specific elongation enzyme")</f>
        <v>Fatty acyl-CoA elongase/Polyunsaturated fatty acid specific elongation enzyme</v>
      </c>
      <c r="BM140" t="str">
        <f>HYPERLINK("http://www.ncbi.nlm.nih.gov/COG/grace/shokog.cgi?KOG3071","9E-036")</f>
        <v>9E-036</v>
      </c>
      <c r="BN140" t="s">
        <v>88</v>
      </c>
      <c r="BO140" s="2" t="str">
        <f>HYPERLINK("http://exon.niaid.nih.gov/transcriptome/T_rubida/S2/links/PFAM/Triru-378-PFAM.txt","ELO")</f>
        <v>ELO</v>
      </c>
      <c r="BP140" t="str">
        <f>HYPERLINK("http://pfam.sanger.ac.uk/family?acc=PF01151","2E-040")</f>
        <v>2E-040</v>
      </c>
      <c r="BQ140" s="2" t="str">
        <f>HYPERLINK("http://exon.niaid.nih.gov/transcriptome/T_rubida/S2/links/SMART/Triru-378-SMART.txt","NGN")</f>
        <v>NGN</v>
      </c>
      <c r="BR140" t="str">
        <f>HYPERLINK("http://smart.embl-heidelberg.de/smart/do_annotation.pl?DOMAIN=NGN&amp;BLAST=DUMMY","0.95")</f>
        <v>0.95</v>
      </c>
      <c r="BS140" s="17">
        <v>114</v>
      </c>
      <c r="BT140" s="1">
        <v>1</v>
      </c>
      <c r="BU140" s="17">
        <v>173</v>
      </c>
      <c r="BV140" s="1">
        <v>1</v>
      </c>
      <c r="BW140" s="17">
        <v>213</v>
      </c>
      <c r="BX140" s="1">
        <v>1</v>
      </c>
      <c r="BY140" s="17">
        <v>229</v>
      </c>
      <c r="BZ140" s="1">
        <v>1</v>
      </c>
      <c r="CA140" s="17">
        <v>236</v>
      </c>
      <c r="CB140" s="1">
        <v>1</v>
      </c>
      <c r="CC140" s="17">
        <v>241</v>
      </c>
      <c r="CD140" s="1">
        <v>1</v>
      </c>
      <c r="CE140" s="17">
        <v>248</v>
      </c>
      <c r="CF140" s="1">
        <v>1</v>
      </c>
      <c r="CG140" s="17">
        <v>250</v>
      </c>
      <c r="CH140" s="1">
        <v>1</v>
      </c>
      <c r="CI140" s="17">
        <v>260</v>
      </c>
      <c r="CJ140" s="1">
        <v>1</v>
      </c>
      <c r="CK140" s="17">
        <v>265</v>
      </c>
      <c r="CL140" s="1">
        <v>1</v>
      </c>
      <c r="CM140" s="17">
        <v>273</v>
      </c>
      <c r="CN140" s="1">
        <v>1</v>
      </c>
      <c r="CO140" s="17">
        <v>285</v>
      </c>
      <c r="CP140" s="1">
        <v>1</v>
      </c>
      <c r="CQ140" s="17">
        <v>295</v>
      </c>
      <c r="CR140" s="1">
        <v>1</v>
      </c>
      <c r="CS140" s="17">
        <v>307</v>
      </c>
      <c r="CT140" s="1">
        <v>1</v>
      </c>
      <c r="CU140" s="17">
        <v>318</v>
      </c>
      <c r="CV140" s="1">
        <v>1</v>
      </c>
    </row>
    <row r="141" spans="1:100">
      <c r="A141" t="str">
        <f>HYPERLINK("http://exon.niaid.nih.gov/transcriptome/T_rubida/S2/links/pep/Triru-88-pep.txt","Triru-88")</f>
        <v>Triru-88</v>
      </c>
      <c r="B141">
        <v>190</v>
      </c>
      <c r="C141" s="1" t="s">
        <v>6</v>
      </c>
      <c r="D141" s="1" t="s">
        <v>3</v>
      </c>
      <c r="E141" t="str">
        <f>HYPERLINK("http://exon.niaid.nih.gov/transcriptome/T_rubida/S2/links/cds/Triru-88-cds.txt","Triru-88")</f>
        <v>Triru-88</v>
      </c>
      <c r="F141">
        <v>573</v>
      </c>
      <c r="G141" s="2" t="s">
        <v>1618</v>
      </c>
      <c r="H141" s="1">
        <v>1</v>
      </c>
      <c r="I141" s="3" t="s">
        <v>1289</v>
      </c>
      <c r="J141" s="17" t="str">
        <f>HYPERLINK("http://exon.niaid.nih.gov/transcriptome/T_rubida/S2/links/Sigp/Triru-88-SigP.txt","CYT")</f>
        <v>CYT</v>
      </c>
      <c r="K141" t="s">
        <v>5</v>
      </c>
      <c r="L141" s="1">
        <v>20.754000000000001</v>
      </c>
      <c r="M141" s="1">
        <v>9.15</v>
      </c>
      <c r="P141" s="1">
        <v>0.113</v>
      </c>
      <c r="Q141" s="1">
        <v>7.1999999999999995E-2</v>
      </c>
      <c r="R141" s="1">
        <v>0.84799999999999998</v>
      </c>
      <c r="S141" s="17" t="s">
        <v>1346</v>
      </c>
      <c r="T141">
        <v>2</v>
      </c>
      <c r="U141" t="s">
        <v>1421</v>
      </c>
      <c r="V141" s="17">
        <v>0</v>
      </c>
      <c r="W141" t="s">
        <v>5</v>
      </c>
      <c r="X141" t="s">
        <v>5</v>
      </c>
      <c r="Y141" t="s">
        <v>5</v>
      </c>
      <c r="Z141" t="s">
        <v>5</v>
      </c>
      <c r="AA141" t="s">
        <v>5</v>
      </c>
      <c r="AB141" s="17" t="str">
        <f>HYPERLINK("http://exon.niaid.nih.gov/transcriptome/T_rubida/S2/links/netoglyc/TRIRU-88-netoglyc.txt","2")</f>
        <v>2</v>
      </c>
      <c r="AC141">
        <v>15.3</v>
      </c>
      <c r="AD141">
        <v>11.1</v>
      </c>
      <c r="AE141">
        <v>3.2</v>
      </c>
      <c r="AF141" s="17" t="s">
        <v>5</v>
      </c>
      <c r="AG141" s="2" t="str">
        <f>HYPERLINK("http://exon.niaid.nih.gov/transcriptome/T_rubida/S2/links/NR/Triru-88-NR.txt","15-hydroxyprostaglandin dehydrogenase")</f>
        <v>15-hydroxyprostaglandin dehydrogenase</v>
      </c>
      <c r="AH141" t="str">
        <f>HYPERLINK("http://www.ncbi.nlm.nih.gov/sutils/blink.cgi?pid=328713782","4E-026")</f>
        <v>4E-026</v>
      </c>
      <c r="AI141" t="str">
        <f>HYPERLINK("http://www.ncbi.nlm.nih.gov/protein/328713782","gi|328713782")</f>
        <v>gi|328713782</v>
      </c>
      <c r="AJ141">
        <v>121</v>
      </c>
      <c r="AK141">
        <v>171</v>
      </c>
      <c r="AL141">
        <v>256</v>
      </c>
      <c r="AM141">
        <v>38</v>
      </c>
      <c r="AN141">
        <v>67</v>
      </c>
      <c r="AO141" t="s">
        <v>89</v>
      </c>
      <c r="AP141" s="2" t="str">
        <f>HYPERLINK("http://exon.niaid.nih.gov/transcriptome/T_rubida/S2/links/SWISSP/Triru-88-SWISSP.txt","15-hydroxyprostaglandin dehydrogenase")</f>
        <v>15-hydroxyprostaglandin dehydrogenase</v>
      </c>
      <c r="AQ141" t="str">
        <f>HYPERLINK("http://www.uniprot.org/uniprot/O08699","9E-019")</f>
        <v>9E-019</v>
      </c>
      <c r="AR141" t="s">
        <v>675</v>
      </c>
      <c r="AS141">
        <v>93.2</v>
      </c>
      <c r="AT141">
        <v>115</v>
      </c>
      <c r="AU141">
        <v>266</v>
      </c>
      <c r="AV141">
        <v>37</v>
      </c>
      <c r="AW141">
        <v>44</v>
      </c>
      <c r="AX141">
        <v>74</v>
      </c>
      <c r="AY141">
        <v>3</v>
      </c>
      <c r="AZ141">
        <v>82</v>
      </c>
      <c r="BA141">
        <v>14</v>
      </c>
      <c r="BB141">
        <v>1</v>
      </c>
      <c r="BC141" t="s">
        <v>130</v>
      </c>
      <c r="BD141" s="2" t="s">
        <v>676</v>
      </c>
      <c r="BE141">
        <f>HYPERLINK("http://exon.niaid.nih.gov/transcriptome/T_rubida/S2/links/GO/Triru-88-GO.txt",8E-21)</f>
        <v>7.9999999999999993E-21</v>
      </c>
      <c r="BF141" t="s">
        <v>77</v>
      </c>
      <c r="BG141" t="s">
        <v>77</v>
      </c>
      <c r="BI141" s="2" t="str">
        <f>HYPERLINK("http://exon.niaid.nih.gov/transcriptome/T_rubida/S2/links/CDD/Triru-88-CDD.txt","ADH_SDR_c_like")</f>
        <v>ADH_SDR_c_like</v>
      </c>
      <c r="BJ141" t="str">
        <f>HYPERLINK("http://www.ncbi.nlm.nih.gov/Structure/cdd/cddsrv.cgi?uid=cd05323&amp;version=v4.0","1E-030")</f>
        <v>1E-030</v>
      </c>
      <c r="BK141" t="s">
        <v>677</v>
      </c>
      <c r="BL141" s="2" t="str">
        <f>HYPERLINK("http://exon.niaid.nih.gov/transcriptome/T_rubida/S2/links/KOG/Triru-88-KOG.txt","15-hydroxyprostaglandin dehydrogenase and related dehydrogenases")</f>
        <v>15-hydroxyprostaglandin dehydrogenase and related dehydrogenases</v>
      </c>
      <c r="BM141" t="str">
        <f>HYPERLINK("http://www.ncbi.nlm.nih.gov/COG/grace/shokog.cgi?KOG4169","1E-028")</f>
        <v>1E-028</v>
      </c>
      <c r="BN141" t="s">
        <v>678</v>
      </c>
      <c r="BO141" s="2" t="str">
        <f>HYPERLINK("http://exon.niaid.nih.gov/transcriptome/T_rubida/S2/links/PFAM/Triru-88-PFAM.txt","adh_short")</f>
        <v>adh_short</v>
      </c>
      <c r="BP141" t="str">
        <f>HYPERLINK("http://pfam.sanger.ac.uk/family?acc=PF00106","1E-008")</f>
        <v>1E-008</v>
      </c>
      <c r="BQ141" s="2" t="str">
        <f>HYPERLINK("http://exon.niaid.nih.gov/transcriptome/T_rubida/S2/links/SMART/Triru-88-SMART.txt","TSPN")</f>
        <v>TSPN</v>
      </c>
      <c r="BR141" t="str">
        <f>HYPERLINK("http://smart.embl-heidelberg.de/smart/do_annotation.pl?DOMAIN=TSPN&amp;BLAST=DUMMY","1.1")</f>
        <v>1.1</v>
      </c>
      <c r="BS141" s="17">
        <f>HYPERLINK("http://exon.niaid.nih.gov/transcriptome/T_rubida/S2/links/cluster/Triru-pep-ext25-50-Sim-CLU2.txt", 2)</f>
        <v>2</v>
      </c>
      <c r="BT141" s="1">
        <f>HYPERLINK("http://exon.niaid.nih.gov/transcriptome/T_rubida/S2/links/cluster/Triru-pep-ext25-50-Sim-CLTL2.txt", 3)</f>
        <v>3</v>
      </c>
      <c r="BU141" s="17">
        <f>HYPERLINK("http://exon.niaid.nih.gov/transcriptome/T_rubida/S2/links/cluster/Triru-pep-ext30-50-Sim-CLU7.txt", 7)</f>
        <v>7</v>
      </c>
      <c r="BV141" s="1">
        <f>HYPERLINK("http://exon.niaid.nih.gov/transcriptome/T_rubida/S2/links/cluster/Triru-pep-ext30-50-Sim-CLTL7.txt", 3)</f>
        <v>3</v>
      </c>
      <c r="BW141" s="17">
        <f>HYPERLINK("http://exon.niaid.nih.gov/transcriptome/T_rubida/S2/links/cluster/Triru-pep-ext35-50-Sim-CLU7.txt", 7)</f>
        <v>7</v>
      </c>
      <c r="BX141" s="1">
        <f>HYPERLINK("http://exon.niaid.nih.gov/transcriptome/T_rubida/S2/links/cluster/Triru-pep-ext35-50-Sim-CLTL7.txt", 3)</f>
        <v>3</v>
      </c>
      <c r="BY141" s="17">
        <f>HYPERLINK("http://exon.niaid.nih.gov/transcriptome/T_rubida/S2/links/cluster/Triru-pep-ext40-50-Sim-CLU7.txt", 7)</f>
        <v>7</v>
      </c>
      <c r="BZ141" s="1">
        <f>HYPERLINK("http://exon.niaid.nih.gov/transcriptome/T_rubida/S2/links/cluster/Triru-pep-ext40-50-Sim-CLTL7.txt", 3)</f>
        <v>3</v>
      </c>
      <c r="CA141" s="17">
        <f>HYPERLINK("http://exon.niaid.nih.gov/transcriptome/T_rubida/S2/links/cluster/Triru-pep-ext45-50-Sim-CLU5.txt", 5)</f>
        <v>5</v>
      </c>
      <c r="CB141" s="1">
        <f>HYPERLINK("http://exon.niaid.nih.gov/transcriptome/T_rubida/S2/links/cluster/Triru-pep-ext45-50-Sim-CLTL5.txt", 3)</f>
        <v>3</v>
      </c>
      <c r="CC141" s="17">
        <f>HYPERLINK("http://exon.niaid.nih.gov/transcriptome/T_rubida/S2/links/cluster/Triru-pep-ext50-50-Sim-CLU6.txt", 6)</f>
        <v>6</v>
      </c>
      <c r="CD141" s="1">
        <f>HYPERLINK("http://exon.niaid.nih.gov/transcriptome/T_rubida/S2/links/cluster/Triru-pep-ext50-50-Sim-CLTL6.txt", 3)</f>
        <v>3</v>
      </c>
      <c r="CE141" s="17">
        <f>HYPERLINK("http://exon.niaid.nih.gov/transcriptome/T_rubida/S2/links/cluster/Triru-pep-ext55-50-Sim-CLU5.txt", 5)</f>
        <v>5</v>
      </c>
      <c r="CF141" s="1">
        <f>HYPERLINK("http://exon.niaid.nih.gov/transcriptome/T_rubida/S2/links/cluster/Triru-pep-ext55-50-Sim-CLTL5.txt", 3)</f>
        <v>3</v>
      </c>
      <c r="CG141" s="17">
        <f>HYPERLINK("http://exon.niaid.nih.gov/transcriptome/T_rubida/S2/links/cluster/Triru-pep-ext60-50-Sim-CLU7.txt", 7)</f>
        <v>7</v>
      </c>
      <c r="CH141" s="1">
        <f>HYPERLINK("http://exon.niaid.nih.gov/transcriptome/T_rubida/S2/links/cluster/Triru-pep-ext60-50-Sim-CLTL7.txt", 3)</f>
        <v>3</v>
      </c>
      <c r="CI141" s="17">
        <f>HYPERLINK("http://exon.niaid.nih.gov/transcriptome/T_rubida/S2/links/cluster/Triru-pep-ext65-50-Sim-CLU7.txt", 7)</f>
        <v>7</v>
      </c>
      <c r="CJ141" s="1">
        <f>HYPERLINK("http://exon.niaid.nih.gov/transcriptome/T_rubida/S2/links/cluster/Triru-pep-ext65-50-Sim-CLTL7.txt", 3)</f>
        <v>3</v>
      </c>
      <c r="CK141" s="17">
        <v>46</v>
      </c>
      <c r="CL141" s="1">
        <v>1</v>
      </c>
      <c r="CM141" s="17">
        <v>50</v>
      </c>
      <c r="CN141" s="1">
        <v>1</v>
      </c>
      <c r="CO141" s="17">
        <v>58</v>
      </c>
      <c r="CP141" s="1">
        <v>1</v>
      </c>
      <c r="CQ141" s="17">
        <v>68</v>
      </c>
      <c r="CR141" s="1">
        <v>1</v>
      </c>
      <c r="CS141" s="17">
        <v>73</v>
      </c>
      <c r="CT141" s="1">
        <v>1</v>
      </c>
      <c r="CU141" s="17">
        <v>84</v>
      </c>
      <c r="CV141" s="1">
        <v>1</v>
      </c>
    </row>
    <row r="142" spans="1:100">
      <c r="A142" t="str">
        <f>HYPERLINK("http://exon.niaid.nih.gov/transcriptome/T_rubida/S2/links/pep/Triru-441-pep.txt","Triru-441")</f>
        <v>Triru-441</v>
      </c>
      <c r="B142">
        <v>187</v>
      </c>
      <c r="C142" s="1" t="s">
        <v>17</v>
      </c>
      <c r="D142" s="1" t="s">
        <v>3</v>
      </c>
      <c r="E142" t="str">
        <f>HYPERLINK("http://exon.niaid.nih.gov/transcriptome/T_rubida/S2/links/cds/Triru-441-cds.txt","Triru-441")</f>
        <v>Triru-441</v>
      </c>
      <c r="F142">
        <v>564</v>
      </c>
      <c r="G142" s="2" t="s">
        <v>1620</v>
      </c>
      <c r="H142" s="1">
        <v>1</v>
      </c>
      <c r="I142" s="3" t="s">
        <v>1293</v>
      </c>
      <c r="J142" s="17" t="str">
        <f>HYPERLINK("http://exon.niaid.nih.gov/transcriptome/T_rubida/S2/links/Sigp/Triru-441-SigP.txt","CYT")</f>
        <v>CYT</v>
      </c>
      <c r="K142" t="s">
        <v>5</v>
      </c>
      <c r="L142" s="1">
        <v>20.492000000000001</v>
      </c>
      <c r="M142" s="1">
        <v>6.85</v>
      </c>
      <c r="P142" s="1">
        <v>8.6999999999999994E-2</v>
      </c>
      <c r="Q142" s="1">
        <v>0.09</v>
      </c>
      <c r="R142" s="1">
        <v>0.84</v>
      </c>
      <c r="S142" s="17" t="s">
        <v>1346</v>
      </c>
      <c r="T142">
        <v>2</v>
      </c>
      <c r="U142" t="s">
        <v>1372</v>
      </c>
      <c r="V142" s="17">
        <v>0</v>
      </c>
      <c r="W142" t="s">
        <v>5</v>
      </c>
      <c r="X142" t="s">
        <v>5</v>
      </c>
      <c r="Y142" t="s">
        <v>5</v>
      </c>
      <c r="Z142" t="s">
        <v>5</v>
      </c>
      <c r="AA142" t="s">
        <v>5</v>
      </c>
      <c r="AB142" s="17" t="str">
        <f>HYPERLINK("http://exon.niaid.nih.gov/transcriptome/T_rubida/S2/links/netoglyc/TRIRU-441-netoglyc.txt","0")</f>
        <v>0</v>
      </c>
      <c r="AC142">
        <v>12.3</v>
      </c>
      <c r="AD142">
        <v>9.6</v>
      </c>
      <c r="AE142">
        <v>1.6</v>
      </c>
      <c r="AF142" s="17" t="s">
        <v>5</v>
      </c>
      <c r="AG142" s="2" t="str">
        <f>HYPERLINK("http://exon.niaid.nih.gov/transcriptome/T_rubida/S2/links/NR/Triru-441-NR.txt","guanine deaminase-like isoform 1")</f>
        <v>guanine deaminase-like isoform 1</v>
      </c>
      <c r="AH142" t="str">
        <f>HYPERLINK("http://www.ncbi.nlm.nih.gov/sutils/blink.cgi?pid=340710988","6E-049")</f>
        <v>6E-049</v>
      </c>
      <c r="AI142" t="str">
        <f>HYPERLINK("http://www.ncbi.nlm.nih.gov/protein/340710988","gi|340710988")</f>
        <v>gi|340710988</v>
      </c>
      <c r="AJ142">
        <v>197</v>
      </c>
      <c r="AK142">
        <v>176</v>
      </c>
      <c r="AL142">
        <v>440</v>
      </c>
      <c r="AM142">
        <v>55</v>
      </c>
      <c r="AN142">
        <v>40</v>
      </c>
      <c r="AO142" t="s">
        <v>265</v>
      </c>
      <c r="AP142" s="2" t="str">
        <f>HYPERLINK("http://exon.niaid.nih.gov/transcriptome/T_rubida/S2/links/SWISSP/Triru-441-SWISSP.txt","Guanine deaminase")</f>
        <v>Guanine deaminase</v>
      </c>
      <c r="AQ142" t="str">
        <f>HYPERLINK("http://www.uniprot.org/uniprot/Q86AW9","5E-040")</f>
        <v>5E-040</v>
      </c>
      <c r="AR142" t="s">
        <v>1168</v>
      </c>
      <c r="AS142">
        <v>163</v>
      </c>
      <c r="AT142">
        <v>179</v>
      </c>
      <c r="AU142">
        <v>450</v>
      </c>
      <c r="AV142">
        <v>43</v>
      </c>
      <c r="AW142">
        <v>40</v>
      </c>
      <c r="AX142">
        <v>101</v>
      </c>
      <c r="AY142">
        <v>0</v>
      </c>
      <c r="AZ142">
        <v>269</v>
      </c>
      <c r="BA142">
        <v>3</v>
      </c>
      <c r="BB142">
        <v>1</v>
      </c>
      <c r="BC142" t="s">
        <v>99</v>
      </c>
      <c r="BD142" s="2" t="s">
        <v>1169</v>
      </c>
      <c r="BE142">
        <f>HYPERLINK("http://exon.niaid.nih.gov/transcriptome/T_rubida/S2/links/GO/Triru-441-GO.txt",1E-42)</f>
        <v>1E-42</v>
      </c>
      <c r="BF142" t="s">
        <v>292</v>
      </c>
      <c r="BG142" t="s">
        <v>153</v>
      </c>
      <c r="BH142" t="s">
        <v>293</v>
      </c>
      <c r="BI142" s="2" t="str">
        <f>HYPERLINK("http://exon.niaid.nih.gov/transcriptome/T_rubida/S2/links/CDD/Triru-441-CDD.txt","GDEase")</f>
        <v>GDEase</v>
      </c>
      <c r="BJ142" t="str">
        <f>HYPERLINK("http://www.ncbi.nlm.nih.gov/Structure/cdd/cddsrv.cgi?uid=cd01303&amp;version=v4.0","5E-055")</f>
        <v>5E-055</v>
      </c>
      <c r="BK142" t="s">
        <v>1170</v>
      </c>
      <c r="BL142" s="2" t="str">
        <f>HYPERLINK("http://exon.niaid.nih.gov/transcriptome/T_rubida/S2/links/KOG/Triru-441-KOG.txt","Atrazine chlorohydrolase/guanine deaminase")</f>
        <v>Atrazine chlorohydrolase/guanine deaminase</v>
      </c>
      <c r="BM142" t="str">
        <f>HYPERLINK("http://www.ncbi.nlm.nih.gov/COG/grace/shokog.cgi?KOG3968","5E-043")</f>
        <v>5E-043</v>
      </c>
      <c r="BN142" t="s">
        <v>1171</v>
      </c>
      <c r="BO142" s="2" t="str">
        <f>HYPERLINK("http://exon.niaid.nih.gov/transcriptome/T_rubida/S2/links/PFAM/Triru-441-PFAM.txt","Amidohydro_1")</f>
        <v>Amidohydro_1</v>
      </c>
      <c r="BP142" t="str">
        <f>HYPERLINK("http://pfam.sanger.ac.uk/family?acc=PF01979","1E-010")</f>
        <v>1E-010</v>
      </c>
      <c r="BQ142" s="2" t="str">
        <f>HYPERLINK("http://exon.niaid.nih.gov/transcriptome/T_rubida/S2/links/SMART/Triru-441-SMART.txt","PKS_KS")</f>
        <v>PKS_KS</v>
      </c>
      <c r="BR142" t="str">
        <f>HYPERLINK("http://smart.embl-heidelberg.de/smart/do_annotation.pl?DOMAIN=PKS_KS&amp;BLAST=DUMMY","1.4")</f>
        <v>1.4</v>
      </c>
      <c r="BS142" s="17">
        <v>137</v>
      </c>
      <c r="BT142" s="1">
        <v>1</v>
      </c>
      <c r="BU142" s="17">
        <v>202</v>
      </c>
      <c r="BV142" s="1">
        <v>1</v>
      </c>
      <c r="BW142" s="17">
        <v>256</v>
      </c>
      <c r="BX142" s="1">
        <v>1</v>
      </c>
      <c r="BY142" s="17">
        <v>276</v>
      </c>
      <c r="BZ142" s="1">
        <v>1</v>
      </c>
      <c r="CA142" s="17">
        <v>285</v>
      </c>
      <c r="CB142" s="1">
        <v>1</v>
      </c>
      <c r="CC142" s="17">
        <v>293</v>
      </c>
      <c r="CD142" s="1">
        <v>1</v>
      </c>
      <c r="CE142" s="17">
        <v>303</v>
      </c>
      <c r="CF142" s="1">
        <v>1</v>
      </c>
      <c r="CG142" s="17">
        <v>307</v>
      </c>
      <c r="CH142" s="1">
        <v>1</v>
      </c>
      <c r="CI142" s="17">
        <v>317</v>
      </c>
      <c r="CJ142" s="1">
        <v>1</v>
      </c>
      <c r="CK142" s="17">
        <v>323</v>
      </c>
      <c r="CL142" s="1">
        <v>1</v>
      </c>
      <c r="CM142" s="17">
        <v>331</v>
      </c>
      <c r="CN142" s="1">
        <v>1</v>
      </c>
      <c r="CO142" s="17">
        <v>343</v>
      </c>
      <c r="CP142" s="1">
        <v>1</v>
      </c>
      <c r="CQ142" s="17">
        <v>353</v>
      </c>
      <c r="CR142" s="1">
        <v>1</v>
      </c>
      <c r="CS142" s="17">
        <v>365</v>
      </c>
      <c r="CT142" s="1">
        <v>1</v>
      </c>
      <c r="CU142" s="17">
        <v>376</v>
      </c>
      <c r="CV142" s="1">
        <v>1</v>
      </c>
    </row>
    <row r="143" spans="1:100">
      <c r="A143" t="str">
        <f>HYPERLINK("http://exon.niaid.nih.gov/transcriptome/T_rubida/S2/links/pep/Triru-473-pep.txt","Triru-473")</f>
        <v>Triru-473</v>
      </c>
      <c r="B143">
        <v>85</v>
      </c>
      <c r="C143" s="1" t="s">
        <v>10</v>
      </c>
      <c r="D143" s="1" t="s">
        <v>3</v>
      </c>
      <c r="E143" t="str">
        <f>HYPERLINK("http://exon.niaid.nih.gov/transcriptome/T_rubida/S2/links/cds/Triru-473-cds.txt","Triru-473")</f>
        <v>Triru-473</v>
      </c>
      <c r="F143">
        <v>258</v>
      </c>
      <c r="G143" s="2" t="s">
        <v>1621</v>
      </c>
      <c r="H143" s="1">
        <v>1</v>
      </c>
      <c r="I143" s="3" t="s">
        <v>1293</v>
      </c>
      <c r="J143" s="17" t="str">
        <f>HYPERLINK("http://exon.niaid.nih.gov/transcriptome/T_rubida/S2/links/Sigp/Triru-473-SigP.txt","CYT")</f>
        <v>CYT</v>
      </c>
      <c r="K143" t="s">
        <v>5</v>
      </c>
      <c r="L143" s="1">
        <v>9.9190000000000005</v>
      </c>
      <c r="M143" s="1">
        <v>9.6199999999999992</v>
      </c>
      <c r="P143" s="1">
        <v>0.26600000000000001</v>
      </c>
      <c r="Q143" s="1">
        <v>3.7999999999999999E-2</v>
      </c>
      <c r="R143" s="1">
        <v>0.78600000000000003</v>
      </c>
      <c r="S143" s="17" t="s">
        <v>1346</v>
      </c>
      <c r="T143">
        <v>3</v>
      </c>
      <c r="U143" t="s">
        <v>1422</v>
      </c>
      <c r="V143" s="17">
        <v>0</v>
      </c>
      <c r="W143" t="s">
        <v>5</v>
      </c>
      <c r="X143" t="s">
        <v>5</v>
      </c>
      <c r="Y143" t="s">
        <v>5</v>
      </c>
      <c r="Z143" t="s">
        <v>5</v>
      </c>
      <c r="AA143" t="s">
        <v>5</v>
      </c>
      <c r="AB143" s="17" t="str">
        <f>HYPERLINK("http://exon.niaid.nih.gov/transcriptome/T_rubida/S2/links/netoglyc/TRIRU-473-netoglyc.txt","1")</f>
        <v>1</v>
      </c>
      <c r="AC143">
        <v>10.6</v>
      </c>
      <c r="AD143">
        <v>3.5</v>
      </c>
      <c r="AE143">
        <v>7.1</v>
      </c>
      <c r="AF143" s="17" t="s">
        <v>5</v>
      </c>
      <c r="AG143" s="2" t="str">
        <f>HYPERLINK("http://exon.niaid.nih.gov/transcriptome/T_rubida/S2/links/NR/Triru-473-NR.txt","conserved hypothetical protein")</f>
        <v>conserved hypothetical protein</v>
      </c>
      <c r="AH143" t="str">
        <f>HYPERLINK("http://www.ncbi.nlm.nih.gov/sutils/blink.cgi?pid=170070405","3E-019")</f>
        <v>3E-019</v>
      </c>
      <c r="AI143" t="str">
        <f>HYPERLINK("http://www.ncbi.nlm.nih.gov/protein/170070405","gi|170070405")</f>
        <v>gi|170070405</v>
      </c>
      <c r="AJ143">
        <v>98.2</v>
      </c>
      <c r="AK143">
        <v>74</v>
      </c>
      <c r="AL143">
        <v>296</v>
      </c>
      <c r="AM143">
        <v>56</v>
      </c>
      <c r="AN143">
        <v>25</v>
      </c>
      <c r="AO143" t="s">
        <v>275</v>
      </c>
      <c r="AP143" s="2" t="str">
        <f>HYPERLINK("http://exon.niaid.nih.gov/transcriptome/T_rubida/S2/links/SWISSP/Triru-473-SWISSP.txt","Epimerase family protein SDR39U1")</f>
        <v>Epimerase family protein SDR39U1</v>
      </c>
      <c r="AQ143" t="str">
        <f>HYPERLINK("http://www.uniprot.org/uniprot/Q5M8N4","6E-009")</f>
        <v>6E-009</v>
      </c>
      <c r="AR143" t="s">
        <v>976</v>
      </c>
      <c r="AS143">
        <v>59.3</v>
      </c>
      <c r="AT143">
        <v>75</v>
      </c>
      <c r="AU143">
        <v>308</v>
      </c>
      <c r="AV143">
        <v>42</v>
      </c>
      <c r="AW143">
        <v>25</v>
      </c>
      <c r="AX143">
        <v>44</v>
      </c>
      <c r="AY143">
        <v>4</v>
      </c>
      <c r="AZ143">
        <v>225</v>
      </c>
      <c r="BA143">
        <v>7</v>
      </c>
      <c r="BB143">
        <v>1</v>
      </c>
      <c r="BC143" t="s">
        <v>75</v>
      </c>
      <c r="BD143" s="2" t="s">
        <v>977</v>
      </c>
      <c r="BE143">
        <f>HYPERLINK("http://exon.niaid.nih.gov/transcriptome/T_rubida/S2/links/GO/Triru-473-GO.txt",0.0000000000003)</f>
        <v>2.9999999999999998E-13</v>
      </c>
      <c r="BF143" t="s">
        <v>105</v>
      </c>
      <c r="BG143" t="s">
        <v>105</v>
      </c>
      <c r="BI143" s="2" t="str">
        <f>HYPERLINK("http://exon.niaid.nih.gov/transcriptome/T_rubida/S2/links/CDD/Triru-473-CDD.txt","SDR_a8")</f>
        <v>SDR_a8</v>
      </c>
      <c r="BJ143" t="str">
        <f>HYPERLINK("http://www.ncbi.nlm.nih.gov/Structure/cdd/cddsrv.cgi?uid=cd05242&amp;version=v4.0","4E-019")</f>
        <v>4E-019</v>
      </c>
      <c r="BK143" t="s">
        <v>978</v>
      </c>
      <c r="BL143" s="2" t="str">
        <f>HYPERLINK("http://exon.niaid.nih.gov/transcriptome/T_rubida/S2/links/KOG/Triru-473-KOG.txt","Predicted nucleoside-diphosphate sugar epimerase")</f>
        <v>Predicted nucleoside-diphosphate sugar epimerase</v>
      </c>
      <c r="BM143" t="str">
        <f>HYPERLINK("http://www.ncbi.nlm.nih.gov/COG/grace/shokog.cgi?KOG3019","7E-017")</f>
        <v>7E-017</v>
      </c>
      <c r="BN143" t="s">
        <v>420</v>
      </c>
      <c r="BO143" s="2" t="str">
        <f>HYPERLINK("http://exon.niaid.nih.gov/transcriptome/T_rubida/S2/links/PFAM/Triru-473-PFAM.txt","DUF1731")</f>
        <v>DUF1731</v>
      </c>
      <c r="BP143" t="str">
        <f>HYPERLINK("http://pfam.sanger.ac.uk/family?acc=PF08338","2E-009")</f>
        <v>2E-009</v>
      </c>
      <c r="BQ143" s="2" t="str">
        <f>HYPERLINK("http://exon.niaid.nih.gov/transcriptome/T_rubida/S2/links/SMART/Triru-473-SMART.txt","BROMO")</f>
        <v>BROMO</v>
      </c>
      <c r="BR143" t="str">
        <f>HYPERLINK("http://smart.embl-heidelberg.de/smart/do_annotation.pl?DOMAIN=BROMO&amp;BLAST=DUMMY","1.1")</f>
        <v>1.1</v>
      </c>
      <c r="BS143" s="17">
        <f>HYPERLINK("http://exon.niaid.nih.gov/transcriptome/T_rubida/S2/links/cluster/Triru-pep-ext25-50-Sim-CLU1.txt", 1)</f>
        <v>1</v>
      </c>
      <c r="BT143" s="1">
        <f>HYPERLINK("http://exon.niaid.nih.gov/transcriptome/T_rubida/S2/links/cluster/Triru-pep-ext25-50-Sim-CLTL1.txt", 359)</f>
        <v>359</v>
      </c>
      <c r="BU143" s="17">
        <f>HYPERLINK("http://exon.niaid.nih.gov/transcriptome/T_rubida/S2/links/cluster/Triru-pep-ext30-50-Sim-CLU1.txt", 1)</f>
        <v>1</v>
      </c>
      <c r="BV143" s="1">
        <f>HYPERLINK("http://exon.niaid.nih.gov/transcriptome/T_rubida/S2/links/cluster/Triru-pep-ext30-50-Sim-CLTL1.txt", 225)</f>
        <v>225</v>
      </c>
      <c r="BW143" s="17">
        <v>274</v>
      </c>
      <c r="BX143" s="1">
        <v>1</v>
      </c>
      <c r="BY143" s="17">
        <v>296</v>
      </c>
      <c r="BZ143" s="1">
        <v>1</v>
      </c>
      <c r="CA143" s="17">
        <v>306</v>
      </c>
      <c r="CB143" s="1">
        <v>1</v>
      </c>
      <c r="CC143" s="17">
        <v>317</v>
      </c>
      <c r="CD143" s="1">
        <v>1</v>
      </c>
      <c r="CE143" s="17">
        <v>328</v>
      </c>
      <c r="CF143" s="1">
        <v>1</v>
      </c>
      <c r="CG143" s="17">
        <v>333</v>
      </c>
      <c r="CH143" s="1">
        <v>1</v>
      </c>
      <c r="CI143" s="17">
        <v>344</v>
      </c>
      <c r="CJ143" s="1">
        <v>1</v>
      </c>
      <c r="CK143" s="17">
        <v>350</v>
      </c>
      <c r="CL143" s="1">
        <v>1</v>
      </c>
      <c r="CM143" s="17">
        <v>358</v>
      </c>
      <c r="CN143" s="1">
        <v>1</v>
      </c>
      <c r="CO143" s="17">
        <v>370</v>
      </c>
      <c r="CP143" s="1">
        <v>1</v>
      </c>
      <c r="CQ143" s="17">
        <v>380</v>
      </c>
      <c r="CR143" s="1">
        <v>1</v>
      </c>
      <c r="CS143" s="17">
        <v>393</v>
      </c>
      <c r="CT143" s="1">
        <v>1</v>
      </c>
      <c r="CU143" s="17">
        <v>404</v>
      </c>
      <c r="CV143" s="1">
        <v>1</v>
      </c>
    </row>
    <row r="144" spans="1:100" s="4" customFormat="1">
      <c r="A144" s="16" t="s">
        <v>1304</v>
      </c>
      <c r="I144" s="5"/>
      <c r="P144" s="4" t="s">
        <v>5</v>
      </c>
      <c r="Q144" s="4" t="s">
        <v>5</v>
      </c>
      <c r="R144" s="4" t="s">
        <v>5</v>
      </c>
      <c r="S144" s="4" t="s">
        <v>5</v>
      </c>
      <c r="T144" s="4" t="s">
        <v>5</v>
      </c>
      <c r="U144" s="4" t="s">
        <v>5</v>
      </c>
      <c r="V144" s="4" t="s">
        <v>5</v>
      </c>
      <c r="W144" s="4" t="s">
        <v>5</v>
      </c>
      <c r="X144" s="4" t="s">
        <v>5</v>
      </c>
      <c r="Y144" s="4" t="s">
        <v>5</v>
      </c>
      <c r="Z144" s="4" t="s">
        <v>5</v>
      </c>
      <c r="AA144" s="4" t="s">
        <v>5</v>
      </c>
      <c r="AB144" s="4" t="s">
        <v>5</v>
      </c>
      <c r="AC144" s="4" t="s">
        <v>5</v>
      </c>
      <c r="AD144" s="4" t="s">
        <v>5</v>
      </c>
      <c r="AE144" s="4" t="s">
        <v>5</v>
      </c>
      <c r="AF144" s="4" t="s">
        <v>5</v>
      </c>
    </row>
    <row r="145" spans="1:100">
      <c r="A145" t="str">
        <f>HYPERLINK("http://exon.niaid.nih.gov/transcriptome/T_rubida/S2/links/pep/Triru-361-pep.txt","Triru-361")</f>
        <v>Triru-361</v>
      </c>
      <c r="B145">
        <v>96</v>
      </c>
      <c r="C145" s="1" t="s">
        <v>6</v>
      </c>
      <c r="D145" s="1" t="s">
        <v>3</v>
      </c>
      <c r="E145" t="str">
        <f>HYPERLINK("http://exon.niaid.nih.gov/transcriptome/T_rubida/S2/links/cds/Triru-361-cds.txt","Triru-361")</f>
        <v>Triru-361</v>
      </c>
      <c r="F145">
        <v>291</v>
      </c>
      <c r="G145" s="2" t="s">
        <v>1622</v>
      </c>
      <c r="H145" s="1">
        <v>1</v>
      </c>
      <c r="I145" s="3" t="s">
        <v>1286</v>
      </c>
      <c r="J145" s="17" t="str">
        <f>HYPERLINK("http://exon.niaid.nih.gov/transcriptome/T_rubida/S2/links/Sigp/Triru-361-SigP.txt","CYT")</f>
        <v>CYT</v>
      </c>
      <c r="K145" t="s">
        <v>5</v>
      </c>
      <c r="L145" s="1">
        <v>11.552</v>
      </c>
      <c r="M145" s="1">
        <v>9.33</v>
      </c>
      <c r="P145" s="1">
        <v>0.21</v>
      </c>
      <c r="Q145" s="1">
        <v>3.6999999999999998E-2</v>
      </c>
      <c r="R145" s="1">
        <v>0.84799999999999998</v>
      </c>
      <c r="S145" s="17" t="s">
        <v>1346</v>
      </c>
      <c r="T145">
        <v>2</v>
      </c>
      <c r="U145" t="s">
        <v>1379</v>
      </c>
      <c r="V145" s="17">
        <v>0</v>
      </c>
      <c r="W145" t="s">
        <v>5</v>
      </c>
      <c r="X145" t="s">
        <v>5</v>
      </c>
      <c r="Y145" t="s">
        <v>5</v>
      </c>
      <c r="Z145" t="s">
        <v>5</v>
      </c>
      <c r="AA145" t="s">
        <v>5</v>
      </c>
      <c r="AB145" s="17" t="str">
        <f>HYPERLINK("http://exon.niaid.nih.gov/transcriptome/T_rubida/S2/links/netoglyc/TRIRU-361-netoglyc.txt","0")</f>
        <v>0</v>
      </c>
      <c r="AC145">
        <v>6.3</v>
      </c>
      <c r="AD145">
        <v>7.3</v>
      </c>
      <c r="AE145">
        <v>1</v>
      </c>
      <c r="AF145" s="17" t="s">
        <v>5</v>
      </c>
      <c r="AG145" s="2" t="str">
        <f>HYPERLINK("http://exon.niaid.nih.gov/transcriptome/T_rubida/S2/links/NR/Triru-361-NR.txt","hypothetical protein SINV_02581")</f>
        <v>hypothetical protein SINV_02581</v>
      </c>
      <c r="AH145" t="str">
        <f>HYPERLINK("http://www.ncbi.nlm.nih.gov/sutils/blink.cgi?pid=322794495","8E-037")</f>
        <v>8E-037</v>
      </c>
      <c r="AI145" t="str">
        <f>HYPERLINK("http://www.ncbi.nlm.nih.gov/protein/322794495","gi|322794495")</f>
        <v>gi|322794495</v>
      </c>
      <c r="AJ145">
        <v>156</v>
      </c>
      <c r="AK145">
        <v>94</v>
      </c>
      <c r="AL145">
        <v>232</v>
      </c>
      <c r="AM145">
        <v>76</v>
      </c>
      <c r="AN145">
        <v>41</v>
      </c>
      <c r="AO145" t="s">
        <v>218</v>
      </c>
      <c r="AP145" s="2" t="str">
        <f>HYPERLINK("http://exon.niaid.nih.gov/transcriptome/T_rubida/S2/links/SWISSP/Triru-361-SWISSP.txt","Pre-mRNA-splicing factor syf2")</f>
        <v>Pre-mRNA-splicing factor syf2</v>
      </c>
      <c r="AQ145" t="str">
        <f>HYPERLINK("http://www.uniprot.org/uniprot/Q6DV01","2E-034")</f>
        <v>2E-034</v>
      </c>
      <c r="AR145" t="s">
        <v>579</v>
      </c>
      <c r="AS145">
        <v>144</v>
      </c>
      <c r="AT145">
        <v>94</v>
      </c>
      <c r="AU145">
        <v>249</v>
      </c>
      <c r="AV145">
        <v>73</v>
      </c>
      <c r="AW145">
        <v>38</v>
      </c>
      <c r="AX145">
        <v>25</v>
      </c>
      <c r="AY145">
        <v>0</v>
      </c>
      <c r="AZ145">
        <v>155</v>
      </c>
      <c r="BA145">
        <v>2</v>
      </c>
      <c r="BB145">
        <v>1</v>
      </c>
      <c r="BC145" t="s">
        <v>580</v>
      </c>
      <c r="BD145" s="2" t="s">
        <v>581</v>
      </c>
      <c r="BE145">
        <f>HYPERLINK("http://exon.niaid.nih.gov/transcriptome/T_rubida/S2/links/GO/Triru-361-GO.txt",1E-34)</f>
        <v>9.9999999999999993E-35</v>
      </c>
      <c r="BF145" t="s">
        <v>105</v>
      </c>
      <c r="BG145" t="s">
        <v>105</v>
      </c>
      <c r="BI145" s="2" t="str">
        <f>HYPERLINK("http://exon.niaid.nih.gov/transcriptome/T_rubida/S2/links/CDD/Triru-361-CDD.txt","SYF2")</f>
        <v>SYF2</v>
      </c>
      <c r="BJ145" t="str">
        <f>HYPERLINK("http://www.ncbi.nlm.nih.gov/Structure/cdd/cddsrv.cgi?uid=pfam08231&amp;version=v4.0","3E-025")</f>
        <v>3E-025</v>
      </c>
      <c r="BK145" t="s">
        <v>582</v>
      </c>
      <c r="BL145" s="2" t="str">
        <f>HYPERLINK("http://exon.niaid.nih.gov/transcriptome/T_rubida/S2/links/KOG/Triru-361-KOG.txt","Cyclin D-interacting protein GCIP")</f>
        <v>Cyclin D-interacting protein GCIP</v>
      </c>
      <c r="BM145" t="str">
        <f>HYPERLINK("http://www.ncbi.nlm.nih.gov/COG/grace/shokog.cgi?KOG2609","5E-023")</f>
        <v>5E-023</v>
      </c>
      <c r="BN145" t="s">
        <v>583</v>
      </c>
      <c r="BO145" s="2" t="str">
        <f>HYPERLINK("http://exon.niaid.nih.gov/transcriptome/T_rubida/S2/links/PFAM/Triru-361-PFAM.txt","SYF2")</f>
        <v>SYF2</v>
      </c>
      <c r="BP145" t="str">
        <f>HYPERLINK("http://pfam.sanger.ac.uk/family?acc=PF08231","7E-026")</f>
        <v>7E-026</v>
      </c>
      <c r="BQ145" s="2" t="str">
        <f>HYPERLINK("http://exon.niaid.nih.gov/transcriptome/T_rubida/S2/links/SMART/Triru-361-SMART.txt","DWB")</f>
        <v>DWB</v>
      </c>
      <c r="BR145" t="str">
        <f>HYPERLINK("http://smart.embl-heidelberg.de/smart/do_annotation.pl?DOMAIN=DWB&amp;BLAST=DUMMY","0.80")</f>
        <v>0.80</v>
      </c>
      <c r="BS145" s="17">
        <v>108</v>
      </c>
      <c r="BT145" s="1">
        <v>1</v>
      </c>
      <c r="BU145" s="17">
        <v>167</v>
      </c>
      <c r="BV145" s="1">
        <v>1</v>
      </c>
      <c r="BW145" s="17">
        <v>204</v>
      </c>
      <c r="BX145" s="1">
        <v>1</v>
      </c>
      <c r="BY145" s="17">
        <v>219</v>
      </c>
      <c r="BZ145" s="1">
        <v>1</v>
      </c>
      <c r="CA145" s="17">
        <v>226</v>
      </c>
      <c r="CB145" s="1">
        <v>1</v>
      </c>
      <c r="CC145" s="17">
        <v>231</v>
      </c>
      <c r="CD145" s="1">
        <v>1</v>
      </c>
      <c r="CE145" s="17">
        <v>238</v>
      </c>
      <c r="CF145" s="1">
        <v>1</v>
      </c>
      <c r="CG145" s="17">
        <v>240</v>
      </c>
      <c r="CH145" s="1">
        <v>1</v>
      </c>
      <c r="CI145" s="17">
        <v>250</v>
      </c>
      <c r="CJ145" s="1">
        <v>1</v>
      </c>
      <c r="CK145" s="17">
        <v>255</v>
      </c>
      <c r="CL145" s="1">
        <v>1</v>
      </c>
      <c r="CM145" s="17">
        <v>263</v>
      </c>
      <c r="CN145" s="1">
        <v>1</v>
      </c>
      <c r="CO145" s="17">
        <v>274</v>
      </c>
      <c r="CP145" s="1">
        <v>1</v>
      </c>
      <c r="CQ145" s="17">
        <v>284</v>
      </c>
      <c r="CR145" s="1">
        <v>1</v>
      </c>
      <c r="CS145" s="17">
        <v>294</v>
      </c>
      <c r="CT145" s="1">
        <v>1</v>
      </c>
      <c r="CU145" s="17">
        <v>305</v>
      </c>
      <c r="CV145" s="1">
        <v>1</v>
      </c>
    </row>
    <row r="146" spans="1:100" s="4" customFormat="1">
      <c r="A146" s="16" t="s">
        <v>1305</v>
      </c>
      <c r="I146" s="5"/>
      <c r="P146" s="4" t="s">
        <v>5</v>
      </c>
      <c r="Q146" s="4" t="s">
        <v>5</v>
      </c>
      <c r="R146" s="4" t="s">
        <v>5</v>
      </c>
      <c r="S146" s="4" t="s">
        <v>5</v>
      </c>
      <c r="T146" s="4" t="s">
        <v>5</v>
      </c>
      <c r="U146" s="4" t="s">
        <v>5</v>
      </c>
      <c r="V146" s="4" t="s">
        <v>5</v>
      </c>
      <c r="W146" s="4" t="s">
        <v>5</v>
      </c>
      <c r="X146" s="4" t="s">
        <v>5</v>
      </c>
      <c r="Y146" s="4" t="s">
        <v>5</v>
      </c>
      <c r="Z146" s="4" t="s">
        <v>5</v>
      </c>
      <c r="AA146" s="4" t="s">
        <v>5</v>
      </c>
      <c r="AB146" s="4" t="s">
        <v>5</v>
      </c>
      <c r="AC146" s="4" t="s">
        <v>5</v>
      </c>
      <c r="AD146" s="4" t="s">
        <v>5</v>
      </c>
      <c r="AE146" s="4" t="s">
        <v>5</v>
      </c>
      <c r="AF146" s="4" t="s">
        <v>5</v>
      </c>
    </row>
    <row r="147" spans="1:100">
      <c r="A147" t="str">
        <f>HYPERLINK("http://exon.niaid.nih.gov/transcriptome/T_rubida/S2/links/pep/Triru-569-pep.txt","Triru-569")</f>
        <v>Triru-569</v>
      </c>
      <c r="B147">
        <v>218</v>
      </c>
      <c r="C147" s="1" t="s">
        <v>9</v>
      </c>
      <c r="D147" s="1" t="s">
        <v>3</v>
      </c>
      <c r="E147" t="str">
        <f>HYPERLINK("http://exon.niaid.nih.gov/transcriptome/T_rubida/S2/links/cds/Triru-569-cds.txt","Triru-569")</f>
        <v>Triru-569</v>
      </c>
      <c r="F147">
        <v>657</v>
      </c>
      <c r="G147" s="2" t="s">
        <v>1623</v>
      </c>
      <c r="H147" s="1">
        <v>1</v>
      </c>
      <c r="I147" s="3" t="s">
        <v>1280</v>
      </c>
      <c r="J147" s="17" t="str">
        <f>HYPERLINK("http://exon.niaid.nih.gov/transcriptome/T_rubida/S2/links/Sigp/Triru-569-SigP.txt","CYT")</f>
        <v>CYT</v>
      </c>
      <c r="K147" t="s">
        <v>5</v>
      </c>
      <c r="L147" s="1">
        <v>24.460999999999999</v>
      </c>
      <c r="M147" s="1">
        <v>5.22</v>
      </c>
      <c r="P147" s="1">
        <v>0.105</v>
      </c>
      <c r="Q147" s="1">
        <v>0.13500000000000001</v>
      </c>
      <c r="R147" s="1">
        <v>0.78500000000000003</v>
      </c>
      <c r="S147" s="17" t="s">
        <v>1346</v>
      </c>
      <c r="T147">
        <v>2</v>
      </c>
      <c r="U147" t="s">
        <v>1423</v>
      </c>
      <c r="V147" s="17">
        <v>0</v>
      </c>
      <c r="W147" t="s">
        <v>5</v>
      </c>
      <c r="X147" t="s">
        <v>5</v>
      </c>
      <c r="Y147" t="s">
        <v>5</v>
      </c>
      <c r="Z147" t="s">
        <v>5</v>
      </c>
      <c r="AA147" t="s">
        <v>5</v>
      </c>
      <c r="AB147" s="17" t="str">
        <f>HYPERLINK("http://exon.niaid.nih.gov/transcriptome/T_rubida/S2/links/netoglyc/TRIRU-569-netoglyc.txt","0")</f>
        <v>0</v>
      </c>
      <c r="AC147">
        <v>12.8</v>
      </c>
      <c r="AD147">
        <v>5.5</v>
      </c>
      <c r="AE147">
        <v>5</v>
      </c>
      <c r="AF147" s="17" t="s">
        <v>5</v>
      </c>
      <c r="AG147" s="2" t="str">
        <f>HYPERLINK("http://exon.niaid.nih.gov/transcriptome/T_rubida/S2/links/NR/Triru-569-NR.txt","Trafficking protein particle complex subunit 4")</f>
        <v>Trafficking protein particle complex subunit 4</v>
      </c>
      <c r="AH147" t="str">
        <f>HYPERLINK("http://www.ncbi.nlm.nih.gov/sutils/blink.cgi?pid=307199208","1E-089")</f>
        <v>1E-089</v>
      </c>
      <c r="AI147" t="str">
        <f>HYPERLINK("http://www.ncbi.nlm.nih.gov/protein/307199208","gi|307199208")</f>
        <v>gi|307199208</v>
      </c>
      <c r="AJ147">
        <v>333</v>
      </c>
      <c r="AK147">
        <v>211</v>
      </c>
      <c r="AL147">
        <v>217</v>
      </c>
      <c r="AM147">
        <v>73</v>
      </c>
      <c r="AN147">
        <v>98</v>
      </c>
      <c r="AO147" t="s">
        <v>230</v>
      </c>
      <c r="AP147" s="2" t="str">
        <f>HYPERLINK("http://exon.niaid.nih.gov/transcriptome/T_rubida/S2/links/SWISSP/Triru-569-SWISSP.txt","Trafficking protein particle complex subunit 4")</f>
        <v>Trafficking protein particle complex subunit 4</v>
      </c>
      <c r="AQ147" t="str">
        <f>HYPERLINK("http://www.uniprot.org/uniprot/Q2TBL9","1E-072")</f>
        <v>1E-072</v>
      </c>
      <c r="AR147" t="s">
        <v>865</v>
      </c>
      <c r="AS147">
        <v>272</v>
      </c>
      <c r="AT147">
        <v>211</v>
      </c>
      <c r="AU147">
        <v>219</v>
      </c>
      <c r="AV147">
        <v>58</v>
      </c>
      <c r="AW147">
        <v>97</v>
      </c>
      <c r="AX147">
        <v>87</v>
      </c>
      <c r="AY147">
        <v>0</v>
      </c>
      <c r="AZ147">
        <v>1</v>
      </c>
      <c r="BA147">
        <v>1</v>
      </c>
      <c r="BB147">
        <v>1</v>
      </c>
      <c r="BC147" t="s">
        <v>95</v>
      </c>
      <c r="BD147" s="2" t="s">
        <v>866</v>
      </c>
      <c r="BE147">
        <f>HYPERLINK("http://exon.niaid.nih.gov/transcriptome/T_rubida/S2/links/GO/Triru-569-GO.txt",1E-79)</f>
        <v>1E-79</v>
      </c>
      <c r="BF147" t="s">
        <v>173</v>
      </c>
      <c r="BG147" t="s">
        <v>153</v>
      </c>
      <c r="BH147" t="s">
        <v>174</v>
      </c>
      <c r="BI147" s="2" t="str">
        <f>HYPERLINK("http://exon.niaid.nih.gov/transcriptome/T_rubida/S2/links/CDD/Triru-569-CDD.txt","Sybindin")</f>
        <v>Sybindin</v>
      </c>
      <c r="BJ147" t="str">
        <f>HYPERLINK("http://www.ncbi.nlm.nih.gov/Structure/cdd/cddsrv.cgi?uid=pfam04099&amp;version=v4.0","1E-040")</f>
        <v>1E-040</v>
      </c>
      <c r="BK147" t="s">
        <v>867</v>
      </c>
      <c r="BL147" s="2" t="str">
        <f>HYPERLINK("http://exon.niaid.nih.gov/transcriptome/T_rubida/S2/links/KOG/Triru-569-KOG.txt","Transport protein particle (TRAPP) complex subunit")</f>
        <v>Transport protein particle (TRAPP) complex subunit</v>
      </c>
      <c r="BM147" t="str">
        <f>HYPERLINK("http://www.ncbi.nlm.nih.gov/COG/grace/shokog.cgi?KOG3369","4E-062")</f>
        <v>4E-062</v>
      </c>
      <c r="BN147" t="s">
        <v>164</v>
      </c>
      <c r="BO147" s="2" t="str">
        <f>HYPERLINK("http://exon.niaid.nih.gov/transcriptome/T_rubida/S2/links/PFAM/Triru-569-PFAM.txt","Sybindin")</f>
        <v>Sybindin</v>
      </c>
      <c r="BP147" t="str">
        <f>HYPERLINK("http://pfam.sanger.ac.uk/family?acc=PF04099","3E-041")</f>
        <v>3E-041</v>
      </c>
      <c r="BQ147" s="2" t="str">
        <f>HYPERLINK("http://exon.niaid.nih.gov/transcriptome/T_rubida/S2/links/SMART/Triru-569-SMART.txt","PDZ")</f>
        <v>PDZ</v>
      </c>
      <c r="BR147" t="str">
        <f>HYPERLINK("http://smart.embl-heidelberg.de/smart/do_annotation.pl?DOMAIN=PDZ&amp;BLAST=DUMMY","0.009")</f>
        <v>0.009</v>
      </c>
      <c r="BS147" s="17">
        <v>171</v>
      </c>
      <c r="BT147" s="1">
        <v>1</v>
      </c>
      <c r="BU147" s="17">
        <v>258</v>
      </c>
      <c r="BV147" s="1">
        <v>1</v>
      </c>
      <c r="BW147" s="17">
        <v>330</v>
      </c>
      <c r="BX147" s="1">
        <v>1</v>
      </c>
      <c r="BY147" s="17">
        <v>362</v>
      </c>
      <c r="BZ147" s="1">
        <v>1</v>
      </c>
      <c r="CA147" s="17">
        <v>376</v>
      </c>
      <c r="CB147" s="1">
        <v>1</v>
      </c>
      <c r="CC147" s="17">
        <v>389</v>
      </c>
      <c r="CD147" s="1">
        <v>1</v>
      </c>
      <c r="CE147" s="17">
        <v>404</v>
      </c>
      <c r="CF147" s="1">
        <v>1</v>
      </c>
      <c r="CG147" s="17">
        <v>410</v>
      </c>
      <c r="CH147" s="1">
        <v>1</v>
      </c>
      <c r="CI147" s="17">
        <v>422</v>
      </c>
      <c r="CJ147" s="1">
        <v>1</v>
      </c>
      <c r="CK147" s="17">
        <v>428</v>
      </c>
      <c r="CL147" s="1">
        <v>1</v>
      </c>
      <c r="CM147" s="17">
        <v>439</v>
      </c>
      <c r="CN147" s="1">
        <v>1</v>
      </c>
      <c r="CO147" s="17">
        <v>451</v>
      </c>
      <c r="CP147" s="1">
        <v>1</v>
      </c>
      <c r="CQ147" s="17">
        <v>461</v>
      </c>
      <c r="CR147" s="1">
        <v>1</v>
      </c>
      <c r="CS147" s="17">
        <v>474</v>
      </c>
      <c r="CT147" s="1">
        <v>1</v>
      </c>
      <c r="CU147" s="17">
        <v>486</v>
      </c>
      <c r="CV147" s="1">
        <v>1</v>
      </c>
    </row>
    <row r="148" spans="1:100">
      <c r="A148" t="str">
        <f>HYPERLINK("http://exon.niaid.nih.gov/transcriptome/T_rubida/S2/links/pep/Triru-188-pep.txt","Triru-188")</f>
        <v>Triru-188</v>
      </c>
      <c r="B148">
        <v>119</v>
      </c>
      <c r="C148" s="1" t="s">
        <v>17</v>
      </c>
      <c r="D148" s="1" t="s">
        <v>3</v>
      </c>
      <c r="E148" t="str">
        <f>HYPERLINK("http://exon.niaid.nih.gov/transcriptome/T_rubida/S2/links/cds/Triru-188-cds.txt","Triru-188")</f>
        <v>Triru-188</v>
      </c>
      <c r="F148">
        <v>360</v>
      </c>
      <c r="G148" s="2" t="s">
        <v>1624</v>
      </c>
      <c r="H148" s="1">
        <v>1</v>
      </c>
      <c r="I148" s="3" t="s">
        <v>1280</v>
      </c>
      <c r="J148" s="17" t="str">
        <f>HYPERLINK("http://exon.niaid.nih.gov/transcriptome/T_rubida/S2/links/Sigp/Triru-188-SigP.txt","CYT")</f>
        <v>CYT</v>
      </c>
      <c r="K148" t="s">
        <v>5</v>
      </c>
      <c r="L148" s="1">
        <v>13.608000000000001</v>
      </c>
      <c r="M148" s="1">
        <v>7.15</v>
      </c>
      <c r="P148" s="1">
        <v>4.4999999999999998E-2</v>
      </c>
      <c r="Q148" s="1">
        <v>6.0999999999999999E-2</v>
      </c>
      <c r="R148" s="1">
        <v>0.95699999999999996</v>
      </c>
      <c r="S148" s="17" t="s">
        <v>1346</v>
      </c>
      <c r="T148">
        <v>1</v>
      </c>
      <c r="U148" t="s">
        <v>1368</v>
      </c>
      <c r="V148" s="17">
        <v>0</v>
      </c>
      <c r="W148" t="s">
        <v>5</v>
      </c>
      <c r="X148" t="s">
        <v>5</v>
      </c>
      <c r="Y148" t="s">
        <v>5</v>
      </c>
      <c r="Z148" t="s">
        <v>5</v>
      </c>
      <c r="AA148" t="s">
        <v>5</v>
      </c>
      <c r="AB148" s="17" t="str">
        <f>HYPERLINK("http://exon.niaid.nih.gov/transcriptome/T_rubida/S2/links/netoglyc/TRIRU-188-netoglyc.txt","0")</f>
        <v>0</v>
      </c>
      <c r="AC148">
        <v>10.1</v>
      </c>
      <c r="AD148">
        <v>5</v>
      </c>
      <c r="AE148">
        <v>2.5</v>
      </c>
      <c r="AF148" s="17" t="s">
        <v>5</v>
      </c>
      <c r="AG148" s="2" t="str">
        <f>HYPERLINK("http://exon.niaid.nih.gov/transcriptome/T_rubida/S2/links/NR/Triru-188-NR.txt","hypothetical protein BRAFLDRAFT_234778")</f>
        <v>hypothetical protein BRAFLDRAFT_234778</v>
      </c>
      <c r="AH148" t="str">
        <f>HYPERLINK("http://www.ncbi.nlm.nih.gov/sutils/blink.cgi?pid=260797829","1E-036")</f>
        <v>1E-036</v>
      </c>
      <c r="AI148" t="str">
        <f>HYPERLINK("http://www.ncbi.nlm.nih.gov/protein/260797829","gi|260797829")</f>
        <v>gi|260797829</v>
      </c>
      <c r="AJ148">
        <v>156</v>
      </c>
      <c r="AK148">
        <v>114</v>
      </c>
      <c r="AL148">
        <v>144</v>
      </c>
      <c r="AM148">
        <v>56</v>
      </c>
      <c r="AN148">
        <v>80</v>
      </c>
      <c r="AO148" t="s">
        <v>1142</v>
      </c>
      <c r="AP148" s="2" t="str">
        <f>HYPERLINK("http://exon.niaid.nih.gov/transcriptome/T_rubida/S2/links/SWISSP/Triru-188-SWISSP.txt","Trafficking protein particle complex subunit 2-like protein")</f>
        <v>Trafficking protein particle complex subunit 2-like protein</v>
      </c>
      <c r="AQ148" t="str">
        <f>HYPERLINK("http://www.uniprot.org/uniprot/B5XGE7","8E-036")</f>
        <v>8E-036</v>
      </c>
      <c r="AR148" t="s">
        <v>1143</v>
      </c>
      <c r="AS148">
        <v>148</v>
      </c>
      <c r="AT148">
        <v>117</v>
      </c>
      <c r="AU148">
        <v>139</v>
      </c>
      <c r="AV148">
        <v>53</v>
      </c>
      <c r="AW148">
        <v>85</v>
      </c>
      <c r="AX148">
        <v>55</v>
      </c>
      <c r="AY148">
        <v>0</v>
      </c>
      <c r="AZ148">
        <v>21</v>
      </c>
      <c r="BA148">
        <v>2</v>
      </c>
      <c r="BB148">
        <v>1</v>
      </c>
      <c r="BC148" t="s">
        <v>1144</v>
      </c>
      <c r="BD148" s="2" t="s">
        <v>1145</v>
      </c>
      <c r="BE148">
        <f>HYPERLINK("http://exon.niaid.nih.gov/transcriptome/T_rubida/S2/links/GO/Triru-188-GO.txt",8E-35)</f>
        <v>8.0000000000000001E-35</v>
      </c>
      <c r="BF148" t="s">
        <v>5</v>
      </c>
      <c r="BG148" t="s">
        <v>5</v>
      </c>
      <c r="BH148" t="s">
        <v>5</v>
      </c>
      <c r="BI148" s="2" t="str">
        <f>HYPERLINK("http://exon.niaid.nih.gov/transcriptome/T_rubida/S2/links/CDD/Triru-188-CDD.txt","Sedlin_N")</f>
        <v>Sedlin_N</v>
      </c>
      <c r="BJ148" t="str">
        <f>HYPERLINK("http://www.ncbi.nlm.nih.gov/Structure/cdd/cddsrv.cgi?uid=pfam04628&amp;version=v4.0","4E-026")</f>
        <v>4E-026</v>
      </c>
      <c r="BK148" t="s">
        <v>1146</v>
      </c>
      <c r="BL148" s="2" t="str">
        <f>HYPERLINK("http://exon.niaid.nih.gov/transcriptome/T_rubida/S2/links/KOG/Triru-188-KOG.txt","Uncharacterized conserved protein")</f>
        <v>Uncharacterized conserved protein</v>
      </c>
      <c r="BM148" t="str">
        <f>HYPERLINK("http://www.ncbi.nlm.nih.gov/COG/grace/shokog.cgi?KOG3444","4E-030")</f>
        <v>4E-030</v>
      </c>
      <c r="BN148" t="s">
        <v>264</v>
      </c>
      <c r="BO148" s="2" t="str">
        <f>HYPERLINK("http://exon.niaid.nih.gov/transcriptome/T_rubida/S2/links/PFAM/Triru-188-PFAM.txt","Sedlin_N")</f>
        <v>Sedlin_N</v>
      </c>
      <c r="BP148" t="str">
        <f>HYPERLINK("http://pfam.sanger.ac.uk/family?acc=PF04628","1E-026")</f>
        <v>1E-026</v>
      </c>
      <c r="BQ148" s="2" t="str">
        <f>HYPERLINK("http://exon.niaid.nih.gov/transcriptome/T_rubida/S2/links/SMART/Triru-188-SMART.txt","BBC")</f>
        <v>BBC</v>
      </c>
      <c r="BR148" t="str">
        <f>HYPERLINK("http://smart.embl-heidelberg.de/smart/do_annotation.pl?DOMAIN=BBC&amp;BLAST=DUMMY","0.41")</f>
        <v>0.41</v>
      </c>
      <c r="BS148" s="17">
        <v>68</v>
      </c>
      <c r="BT148" s="1">
        <v>1</v>
      </c>
      <c r="BU148" s="17">
        <v>99</v>
      </c>
      <c r="BV148" s="1">
        <v>1</v>
      </c>
      <c r="BW148" s="17">
        <v>112</v>
      </c>
      <c r="BX148" s="1">
        <v>1</v>
      </c>
      <c r="BY148" s="17">
        <v>116</v>
      </c>
      <c r="BZ148" s="1">
        <v>1</v>
      </c>
      <c r="CA148" s="17">
        <v>116</v>
      </c>
      <c r="CB148" s="1">
        <v>1</v>
      </c>
      <c r="CC148" s="17">
        <v>118</v>
      </c>
      <c r="CD148" s="1">
        <v>1</v>
      </c>
      <c r="CE148" s="17">
        <v>115</v>
      </c>
      <c r="CF148" s="1">
        <v>1</v>
      </c>
      <c r="CG148" s="17">
        <v>116</v>
      </c>
      <c r="CH148" s="1">
        <v>1</v>
      </c>
      <c r="CI148" s="17">
        <v>122</v>
      </c>
      <c r="CJ148" s="1">
        <v>1</v>
      </c>
      <c r="CK148" s="17">
        <v>127</v>
      </c>
      <c r="CL148" s="1">
        <v>1</v>
      </c>
      <c r="CM148" s="17">
        <v>133</v>
      </c>
      <c r="CN148" s="1">
        <v>1</v>
      </c>
      <c r="CO148" s="17">
        <v>143</v>
      </c>
      <c r="CP148" s="1">
        <v>1</v>
      </c>
      <c r="CQ148" s="17">
        <v>153</v>
      </c>
      <c r="CR148" s="1">
        <v>1</v>
      </c>
      <c r="CS148" s="17">
        <v>158</v>
      </c>
      <c r="CT148" s="1">
        <v>1</v>
      </c>
      <c r="CU148" s="17">
        <v>169</v>
      </c>
      <c r="CV148" s="1">
        <v>1</v>
      </c>
    </row>
    <row r="149" spans="1:100">
      <c r="A149" t="str">
        <f>HYPERLINK("http://exon.niaid.nih.gov/transcriptome/T_rubida/S2/links/pep/Triru-135-pep.txt","Triru-135")</f>
        <v>Triru-135</v>
      </c>
      <c r="B149">
        <v>69</v>
      </c>
      <c r="C149" s="1" t="s">
        <v>6</v>
      </c>
      <c r="D149" s="1" t="s">
        <v>3</v>
      </c>
      <c r="E149" t="str">
        <f>HYPERLINK("http://exon.niaid.nih.gov/transcriptome/T_rubida/S2/links/cds/Triru-135-cds.txt","Triru-135")</f>
        <v>Triru-135</v>
      </c>
      <c r="F149">
        <v>210</v>
      </c>
      <c r="G149" s="2" t="s">
        <v>1625</v>
      </c>
      <c r="H149" s="1">
        <v>2</v>
      </c>
      <c r="I149" s="3" t="s">
        <v>1280</v>
      </c>
      <c r="J149" s="17" t="str">
        <f>HYPERLINK("http://exon.niaid.nih.gov/transcriptome/T_rubida/S2/links/Sigp/Triru-135-SigP.txt","BL/ANC")</f>
        <v>BL/ANC</v>
      </c>
      <c r="K149" t="s">
        <v>5</v>
      </c>
      <c r="L149" s="1">
        <v>6.8280000000000003</v>
      </c>
      <c r="M149" s="1">
        <v>10.95</v>
      </c>
      <c r="P149" s="1">
        <v>0.61299999999999999</v>
      </c>
      <c r="Q149" s="1">
        <v>8.2000000000000003E-2</v>
      </c>
      <c r="R149" s="1">
        <v>0.247</v>
      </c>
      <c r="S149" s="17" t="s">
        <v>9</v>
      </c>
      <c r="T149">
        <v>4</v>
      </c>
      <c r="U149" t="s">
        <v>1424</v>
      </c>
      <c r="V149" s="17" t="str">
        <f>HYPERLINK("http://exon.niaid.nih.gov/transcriptome/T_rubida/S2/links/tmhmm/TRIRU-135-tmhmm.txt","1")</f>
        <v>1</v>
      </c>
      <c r="W149">
        <v>31.9</v>
      </c>
      <c r="X149">
        <v>59.4</v>
      </c>
      <c r="Y149">
        <v>8.6999999999999993</v>
      </c>
      <c r="Z149" t="s">
        <v>5</v>
      </c>
      <c r="AA149">
        <v>6</v>
      </c>
      <c r="AB149" s="17" t="str">
        <f>HYPERLINK("http://exon.niaid.nih.gov/transcriptome/T_rubida/S2/links/netoglyc/TRIRU-135-netoglyc.txt","4")</f>
        <v>4</v>
      </c>
      <c r="AC149">
        <v>18.8</v>
      </c>
      <c r="AD149">
        <v>11.6</v>
      </c>
      <c r="AE149">
        <v>4.3</v>
      </c>
      <c r="AF149" s="17" t="s">
        <v>5</v>
      </c>
      <c r="AG149" s="2" t="str">
        <f>HYPERLINK("http://exon.niaid.nih.gov/transcriptome/T_rubida/S2/links/NR/Triru-135-NR.txt","Sec61 protein translocation complex beta subunit")</f>
        <v>Sec61 protein translocation complex beta subunit</v>
      </c>
      <c r="AH149" t="str">
        <f>HYPERLINK("http://www.ncbi.nlm.nih.gov/sutils/blink.cgi?pid=149898803","1E-028")</f>
        <v>1E-028</v>
      </c>
      <c r="AI149" t="str">
        <f>HYPERLINK("http://www.ncbi.nlm.nih.gov/protein/149898803","gi|149898803")</f>
        <v>gi|149898803</v>
      </c>
      <c r="AJ149">
        <v>129</v>
      </c>
      <c r="AK149">
        <v>68</v>
      </c>
      <c r="AL149">
        <v>96</v>
      </c>
      <c r="AM149">
        <v>91</v>
      </c>
      <c r="AN149">
        <v>72</v>
      </c>
      <c r="AO149" t="s">
        <v>80</v>
      </c>
      <c r="AP149" s="2" t="str">
        <f>HYPERLINK("http://exon.niaid.nih.gov/transcriptome/T_rubida/S2/links/SWISSP/Triru-135-SWISSP.txt","Protein transport protein Sec61 subunit beta")</f>
        <v>Protein transport protein Sec61 subunit beta</v>
      </c>
      <c r="AQ149" t="str">
        <f>HYPERLINK("http://www.uniprot.org/uniprot/Q5RB31","2E-022")</f>
        <v>2E-022</v>
      </c>
      <c r="AR149" t="s">
        <v>513</v>
      </c>
      <c r="AS149">
        <v>103</v>
      </c>
      <c r="AT149">
        <v>55</v>
      </c>
      <c r="AU149">
        <v>96</v>
      </c>
      <c r="AV149">
        <v>83</v>
      </c>
      <c r="AW149">
        <v>58</v>
      </c>
      <c r="AX149">
        <v>9</v>
      </c>
      <c r="AY149">
        <v>0</v>
      </c>
      <c r="AZ149">
        <v>41</v>
      </c>
      <c r="BA149">
        <v>14</v>
      </c>
      <c r="BB149">
        <v>1</v>
      </c>
      <c r="BC149" t="s">
        <v>158</v>
      </c>
      <c r="BD149" s="2" t="s">
        <v>514</v>
      </c>
      <c r="BE149">
        <f>HYPERLINK("http://exon.niaid.nih.gov/transcriptome/T_rubida/S2/links/GO/Triru-135-GO.txt",2E-22)</f>
        <v>2.0000000000000001E-22</v>
      </c>
      <c r="BF149" t="s">
        <v>105</v>
      </c>
      <c r="BG149" t="s">
        <v>105</v>
      </c>
      <c r="BI149" s="2" t="str">
        <f>HYPERLINK("http://exon.niaid.nih.gov/transcriptome/T_rubida/S2/links/CDD/Triru-135-CDD.txt","Sec61_beta")</f>
        <v>Sec61_beta</v>
      </c>
      <c r="BJ149" t="str">
        <f>HYPERLINK("http://www.ncbi.nlm.nih.gov/Structure/cdd/cddsrv.cgi?uid=pfam03911&amp;version=v4.0","1E-013")</f>
        <v>1E-013</v>
      </c>
      <c r="BK149" t="s">
        <v>515</v>
      </c>
      <c r="BL149" s="2" t="str">
        <f>HYPERLINK("http://exon.niaid.nih.gov/transcriptome/T_rubida/S2/links/KOG/Triru-135-KOG.txt","Sec61 protein translocation complex, beta subunit")</f>
        <v>Sec61 protein translocation complex, beta subunit</v>
      </c>
      <c r="BM149" t="str">
        <f>HYPERLINK("http://www.ncbi.nlm.nih.gov/COG/grace/shokog.cgi?KOG3457","1E-017")</f>
        <v>1E-017</v>
      </c>
      <c r="BN149" t="s">
        <v>72</v>
      </c>
      <c r="BO149" s="2" t="str">
        <f>HYPERLINK("http://exon.niaid.nih.gov/transcriptome/T_rubida/S2/links/PFAM/Triru-135-PFAM.txt","Sec61_beta")</f>
        <v>Sec61_beta</v>
      </c>
      <c r="BP149" t="str">
        <f>HYPERLINK("http://pfam.sanger.ac.uk/family?acc=PF03911","3E-014")</f>
        <v>3E-014</v>
      </c>
      <c r="BQ149" s="2" t="str">
        <f>HYPERLINK("http://exon.niaid.nih.gov/transcriptome/T_rubida/S2/links/SMART/Triru-135-SMART.txt","HhH2")</f>
        <v>HhH2</v>
      </c>
      <c r="BR149" t="str">
        <f>HYPERLINK("http://smart.embl-heidelberg.de/smart/do_annotation.pl?DOMAIN=HhH2&amp;BLAST=DUMMY","1.5")</f>
        <v>1.5</v>
      </c>
      <c r="BS149" s="17">
        <v>58</v>
      </c>
      <c r="BT149" s="1">
        <v>1</v>
      </c>
      <c r="BU149" s="17">
        <v>80</v>
      </c>
      <c r="BV149" s="1">
        <v>1</v>
      </c>
      <c r="BW149" s="17">
        <v>86</v>
      </c>
      <c r="BX149" s="1">
        <v>1</v>
      </c>
      <c r="BY149" s="17">
        <v>86</v>
      </c>
      <c r="BZ149" s="1">
        <v>1</v>
      </c>
      <c r="CA149" s="17">
        <v>84</v>
      </c>
      <c r="CB149" s="1">
        <v>1</v>
      </c>
      <c r="CC149" s="17">
        <v>83</v>
      </c>
      <c r="CD149" s="1">
        <v>1</v>
      </c>
      <c r="CE149" s="17">
        <v>77</v>
      </c>
      <c r="CF149" s="1">
        <v>1</v>
      </c>
      <c r="CG149" s="17">
        <v>77</v>
      </c>
      <c r="CH149" s="1">
        <v>1</v>
      </c>
      <c r="CI149" s="17">
        <v>83</v>
      </c>
      <c r="CJ149" s="1">
        <v>1</v>
      </c>
      <c r="CK149" s="17">
        <v>87</v>
      </c>
      <c r="CL149" s="1">
        <v>1</v>
      </c>
      <c r="CM149" s="17">
        <v>91</v>
      </c>
      <c r="CN149" s="1">
        <v>1</v>
      </c>
      <c r="CO149" s="17">
        <v>99</v>
      </c>
      <c r="CP149" s="1">
        <v>1</v>
      </c>
      <c r="CQ149" s="17">
        <v>109</v>
      </c>
      <c r="CR149" s="1">
        <v>1</v>
      </c>
      <c r="CS149" s="17">
        <v>114</v>
      </c>
      <c r="CT149" s="1">
        <v>1</v>
      </c>
      <c r="CU149" s="17">
        <v>125</v>
      </c>
      <c r="CV149" s="1">
        <v>1</v>
      </c>
    </row>
    <row r="150" spans="1:100">
      <c r="A150" t="str">
        <f>HYPERLINK("http://exon.niaid.nih.gov/transcriptome/T_rubida/S2/links/pep/Triru-313-pep.txt","Triru-313")</f>
        <v>Triru-313</v>
      </c>
      <c r="B150">
        <v>64</v>
      </c>
      <c r="C150" s="1" t="s">
        <v>6</v>
      </c>
      <c r="D150" s="1" t="s">
        <v>3</v>
      </c>
      <c r="E150" t="str">
        <f>HYPERLINK("http://exon.niaid.nih.gov/transcriptome/T_rubida/S2/links/cds/Triru-313-cds.txt","Triru-313")</f>
        <v>Triru-313</v>
      </c>
      <c r="F150">
        <v>195</v>
      </c>
      <c r="G150" s="2" t="s">
        <v>1626</v>
      </c>
      <c r="H150" s="1">
        <v>1</v>
      </c>
      <c r="I150" s="3" t="s">
        <v>1280</v>
      </c>
      <c r="J150" s="17" t="str">
        <f>HYPERLINK("http://exon.niaid.nih.gov/transcriptome/T_rubida/S2/links/Sigp/Triru-313-SigP.txt","CYT")</f>
        <v>CYT</v>
      </c>
      <c r="K150" t="s">
        <v>5</v>
      </c>
      <c r="L150" s="1">
        <v>7.2869999999999999</v>
      </c>
      <c r="M150" s="1">
        <v>9.92</v>
      </c>
      <c r="P150" s="1">
        <v>7.4999999999999997E-2</v>
      </c>
      <c r="Q150" s="1">
        <v>8.8999999999999996E-2</v>
      </c>
      <c r="R150" s="1">
        <v>0.89800000000000002</v>
      </c>
      <c r="S150" s="17" t="s">
        <v>1346</v>
      </c>
      <c r="T150">
        <v>1</v>
      </c>
      <c r="U150" t="s">
        <v>1348</v>
      </c>
      <c r="V150" s="17">
        <v>0</v>
      </c>
      <c r="W150" t="s">
        <v>5</v>
      </c>
      <c r="X150" t="s">
        <v>5</v>
      </c>
      <c r="Y150" t="s">
        <v>5</v>
      </c>
      <c r="Z150" t="s">
        <v>5</v>
      </c>
      <c r="AA150" t="s">
        <v>5</v>
      </c>
      <c r="AB150" s="17" t="str">
        <f>HYPERLINK("http://exon.niaid.nih.gov/transcriptome/T_rubida/S2/links/netoglyc/TRIRU-313-netoglyc.txt","0")</f>
        <v>0</v>
      </c>
      <c r="AC150">
        <v>12.5</v>
      </c>
      <c r="AD150">
        <v>1.6</v>
      </c>
      <c r="AE150">
        <v>1.6</v>
      </c>
      <c r="AF150" s="17" t="s">
        <v>5</v>
      </c>
      <c r="AG150" s="2" t="str">
        <f>HYPERLINK("http://exon.niaid.nih.gov/transcriptome/T_rubida/S2/links/NR/Triru-313-NR.txt","Exocyst complex component 6")</f>
        <v>Exocyst complex component 6</v>
      </c>
      <c r="AH150" t="str">
        <f>HYPERLINK("http://www.ncbi.nlm.nih.gov/sutils/blink.cgi?pid=332023102","5E-018")</f>
        <v>5E-018</v>
      </c>
      <c r="AI150" t="str">
        <f>HYPERLINK("http://www.ncbi.nlm.nih.gov/protein/332023102","gi|332023102")</f>
        <v>gi|332023102</v>
      </c>
      <c r="AJ150">
        <v>94.4</v>
      </c>
      <c r="AK150">
        <v>57</v>
      </c>
      <c r="AL150">
        <v>799</v>
      </c>
      <c r="AM150">
        <v>81</v>
      </c>
      <c r="AN150">
        <v>7</v>
      </c>
      <c r="AO150" t="s">
        <v>300</v>
      </c>
      <c r="AP150" s="2" t="str">
        <f>HYPERLINK("http://exon.niaid.nih.gov/transcriptome/T_rubida/S2/links/SWISSP/Triru-313-SWISSP.txt","Exocyst complex component 6")</f>
        <v>Exocyst complex component 6</v>
      </c>
      <c r="AQ150" t="str">
        <f>HYPERLINK("http://www.uniprot.org/uniprot/Q9VDE6","2E-010")</f>
        <v>2E-010</v>
      </c>
      <c r="AR150" t="s">
        <v>496</v>
      </c>
      <c r="AS150">
        <v>64.7</v>
      </c>
      <c r="AT150">
        <v>50</v>
      </c>
      <c r="AU150">
        <v>766</v>
      </c>
      <c r="AV150">
        <v>58</v>
      </c>
      <c r="AW150">
        <v>7</v>
      </c>
      <c r="AX150">
        <v>22</v>
      </c>
      <c r="AY150">
        <v>2</v>
      </c>
      <c r="AZ150">
        <v>712</v>
      </c>
      <c r="BA150">
        <v>2</v>
      </c>
      <c r="BB150">
        <v>1</v>
      </c>
      <c r="BC150" t="s">
        <v>150</v>
      </c>
      <c r="BD150" s="2" t="s">
        <v>497</v>
      </c>
      <c r="BE150">
        <f>HYPERLINK("http://exon.niaid.nih.gov/transcriptome/T_rubida/S2/links/GO/Triru-313-GO.txt",0.0000000001)</f>
        <v>1E-10</v>
      </c>
      <c r="BF150" t="s">
        <v>5</v>
      </c>
      <c r="BG150" t="s">
        <v>5</v>
      </c>
      <c r="BH150" t="s">
        <v>5</v>
      </c>
      <c r="BI150" s="2" t="str">
        <f>HYPERLINK("http://exon.niaid.nih.gov/transcriptome/T_rubida/S2/links/CDD/Triru-313-CDD.txt","Nup88")</f>
        <v>Nup88</v>
      </c>
      <c r="BJ150" t="str">
        <f>HYPERLINK("http://www.ncbi.nlm.nih.gov/Structure/cdd/cddsrv.cgi?uid=pfam10168&amp;version=v4.0","1.9")</f>
        <v>1.9</v>
      </c>
      <c r="BK150" t="s">
        <v>498</v>
      </c>
      <c r="BL150" s="2" t="str">
        <f>HYPERLINK("http://exon.niaid.nih.gov/transcriptome/T_rubida/S2/links/KOG/Triru-313-KOG.txt","Exocyst complex, subunit SEC15")</f>
        <v>Exocyst complex, subunit SEC15</v>
      </c>
      <c r="BM150" t="str">
        <f>HYPERLINK("http://www.ncbi.nlm.nih.gov/COG/grace/shokog.cgi?KOG2176","0.002")</f>
        <v>0.002</v>
      </c>
      <c r="BN150" t="s">
        <v>164</v>
      </c>
      <c r="BO150" s="2" t="str">
        <f>HYPERLINK("http://exon.niaid.nih.gov/transcriptome/T_rubida/S2/links/PFAM/Triru-313-PFAM.txt","Nup88")</f>
        <v>Nup88</v>
      </c>
      <c r="BP150" t="str">
        <f>HYPERLINK("http://pfam.sanger.ac.uk/family?acc=PF10168","0.40")</f>
        <v>0.40</v>
      </c>
      <c r="BQ150" s="2" t="str">
        <f>HYPERLINK("http://exon.niaid.nih.gov/transcriptome/T_rubida/S2/links/SMART/Triru-313-SMART.txt","Tubulin")</f>
        <v>Tubulin</v>
      </c>
      <c r="BR150" t="str">
        <f>HYPERLINK("http://smart.embl-heidelberg.de/smart/do_annotation.pl?DOMAIN=Tubulin&amp;BLAST=DUMMY","0.77")</f>
        <v>0.77</v>
      </c>
      <c r="BS150" s="17">
        <f>HYPERLINK("http://exon.niaid.nih.gov/transcriptome/T_rubida/S2/links/cluster/Triru-pep-ext25-50-Sim-CLU1.txt", 1)</f>
        <v>1</v>
      </c>
      <c r="BT150" s="1">
        <f>HYPERLINK("http://exon.niaid.nih.gov/transcriptome/T_rubida/S2/links/cluster/Triru-pep-ext25-50-Sim-CLTL1.txt", 359)</f>
        <v>359</v>
      </c>
      <c r="BU150" s="17">
        <f>HYPERLINK("http://exon.niaid.nih.gov/transcriptome/T_rubida/S2/links/cluster/Triru-pep-ext30-50-Sim-CLU1.txt", 1)</f>
        <v>1</v>
      </c>
      <c r="BV150" s="1">
        <f>HYPERLINK("http://exon.niaid.nih.gov/transcriptome/T_rubida/S2/links/cluster/Triru-pep-ext30-50-Sim-CLTL1.txt", 225)</f>
        <v>225</v>
      </c>
      <c r="BW150" s="17">
        <v>175</v>
      </c>
      <c r="BX150" s="1">
        <v>1</v>
      </c>
      <c r="BY150" s="17">
        <v>186</v>
      </c>
      <c r="BZ150" s="1">
        <v>1</v>
      </c>
      <c r="CA150" s="17">
        <v>192</v>
      </c>
      <c r="CB150" s="1">
        <v>1</v>
      </c>
      <c r="CC150" s="17">
        <v>197</v>
      </c>
      <c r="CD150" s="1">
        <v>1</v>
      </c>
      <c r="CE150" s="17">
        <v>203</v>
      </c>
      <c r="CF150" s="1">
        <v>1</v>
      </c>
      <c r="CG150" s="17">
        <v>205</v>
      </c>
      <c r="CH150" s="1">
        <v>1</v>
      </c>
      <c r="CI150" s="17">
        <v>214</v>
      </c>
      <c r="CJ150" s="1">
        <v>1</v>
      </c>
      <c r="CK150" s="17">
        <v>219</v>
      </c>
      <c r="CL150" s="1">
        <v>1</v>
      </c>
      <c r="CM150" s="17">
        <v>226</v>
      </c>
      <c r="CN150" s="1">
        <v>1</v>
      </c>
      <c r="CO150" s="17">
        <v>237</v>
      </c>
      <c r="CP150" s="1">
        <v>1</v>
      </c>
      <c r="CQ150" s="17">
        <v>247</v>
      </c>
      <c r="CR150" s="1">
        <v>1</v>
      </c>
      <c r="CS150" s="17">
        <v>256</v>
      </c>
      <c r="CT150" s="1">
        <v>1</v>
      </c>
      <c r="CU150" s="17">
        <v>267</v>
      </c>
      <c r="CV150" s="1">
        <v>1</v>
      </c>
    </row>
    <row r="151" spans="1:100">
      <c r="A151" t="str">
        <f>HYPERLINK("http://exon.niaid.nih.gov/transcriptome/T_rubida/S2/links/pep/Triru-325-pep.txt","Triru-325")</f>
        <v>Triru-325</v>
      </c>
      <c r="B151">
        <v>285</v>
      </c>
      <c r="C151" s="1" t="s">
        <v>6</v>
      </c>
      <c r="D151" s="1" t="s">
        <v>3</v>
      </c>
      <c r="E151" t="str">
        <f>HYPERLINK("http://exon.niaid.nih.gov/transcriptome/T_rubida/S2/links/cds/Triru-325-cds.txt","Triru-325")</f>
        <v>Triru-325</v>
      </c>
      <c r="F151">
        <v>858</v>
      </c>
      <c r="G151" s="2" t="s">
        <v>1627</v>
      </c>
      <c r="H151" s="1">
        <v>1</v>
      </c>
      <c r="I151" s="3" t="s">
        <v>1280</v>
      </c>
      <c r="J151" s="17" t="str">
        <f>HYPERLINK("http://exon.niaid.nih.gov/transcriptome/T_rubida/S2/links/Sigp/Triru-325-SigP.txt","CYT")</f>
        <v>CYT</v>
      </c>
      <c r="K151" t="s">
        <v>5</v>
      </c>
      <c r="L151" s="1">
        <v>32.921999999999997</v>
      </c>
      <c r="M151" s="1">
        <v>6.87</v>
      </c>
      <c r="P151" s="1">
        <v>6.0999999999999999E-2</v>
      </c>
      <c r="Q151" s="1">
        <v>7.0999999999999994E-2</v>
      </c>
      <c r="R151" s="1">
        <v>0.94199999999999995</v>
      </c>
      <c r="S151" s="17" t="s">
        <v>1346</v>
      </c>
      <c r="T151">
        <v>1</v>
      </c>
      <c r="U151" t="s">
        <v>1348</v>
      </c>
      <c r="V151" s="17">
        <v>0</v>
      </c>
      <c r="W151" t="s">
        <v>5</v>
      </c>
      <c r="X151" t="s">
        <v>5</v>
      </c>
      <c r="Y151" t="s">
        <v>5</v>
      </c>
      <c r="Z151" t="s">
        <v>5</v>
      </c>
      <c r="AA151" t="s">
        <v>5</v>
      </c>
      <c r="AB151" s="17" t="str">
        <f>HYPERLINK("http://exon.niaid.nih.gov/transcriptome/T_rubida/S2/links/netoglyc/TRIRU-325-netoglyc.txt","0")</f>
        <v>0</v>
      </c>
      <c r="AC151">
        <v>8.8000000000000007</v>
      </c>
      <c r="AD151">
        <v>2.1</v>
      </c>
      <c r="AE151">
        <v>2.1</v>
      </c>
      <c r="AF151" s="17" t="s">
        <v>5</v>
      </c>
      <c r="AG151" s="2" t="str">
        <f>HYPERLINK("http://exon.niaid.nih.gov/transcriptome/T_rubida/S2/links/NR/Triru-325-NR.txt","Upf1-like")</f>
        <v>Upf1-like</v>
      </c>
      <c r="AH151" t="str">
        <f>HYPERLINK("http://www.ncbi.nlm.nih.gov/sutils/blink.cgi?pid=291222943","1E-004")</f>
        <v>1E-004</v>
      </c>
      <c r="AI151" t="str">
        <f>HYPERLINK("http://www.ncbi.nlm.nih.gov/protein/291222943","gi|291222943")</f>
        <v>gi|291222943</v>
      </c>
      <c r="AJ151">
        <v>51.6</v>
      </c>
      <c r="AK151">
        <v>141</v>
      </c>
      <c r="AL151">
        <v>2873</v>
      </c>
      <c r="AM151">
        <v>24</v>
      </c>
      <c r="AN151">
        <v>5</v>
      </c>
      <c r="AO151" t="s">
        <v>455</v>
      </c>
      <c r="AP151" s="2" t="str">
        <f>HYPERLINK("http://exon.niaid.nih.gov/transcriptome/T_rubida/S2/links/SWISSP/Triru-325-SWISSP.txt","Uncharacterized protein C16orf7 homolog")</f>
        <v>Uncharacterized protein C16orf7 homolog</v>
      </c>
      <c r="AQ151" t="str">
        <f>HYPERLINK("http://www.uniprot.org/uniprot/Q8C190","0.025")</f>
        <v>0.025</v>
      </c>
      <c r="AR151" t="s">
        <v>698</v>
      </c>
      <c r="AS151">
        <v>39.700000000000003</v>
      </c>
      <c r="AT151">
        <v>328</v>
      </c>
      <c r="AU151">
        <v>649</v>
      </c>
      <c r="AV151">
        <v>22</v>
      </c>
      <c r="AW151">
        <v>51</v>
      </c>
      <c r="AX151">
        <v>111</v>
      </c>
      <c r="AY151">
        <v>14</v>
      </c>
      <c r="AZ151">
        <v>155</v>
      </c>
      <c r="BA151">
        <v>7</v>
      </c>
      <c r="BB151">
        <v>2</v>
      </c>
      <c r="BC151" t="s">
        <v>75</v>
      </c>
      <c r="BD151" s="2" t="s">
        <v>5</v>
      </c>
      <c r="BE151" t="s">
        <v>5</v>
      </c>
      <c r="BF151" t="s">
        <v>5</v>
      </c>
      <c r="BG151" t="s">
        <v>5</v>
      </c>
      <c r="BH151" t="s">
        <v>5</v>
      </c>
      <c r="BI151" s="2" t="str">
        <f>HYPERLINK("http://exon.niaid.nih.gov/transcriptome/T_rubida/S2/links/CDD/Triru-325-CDD.txt","MopB_DMSOR-BSOR")</f>
        <v>MopB_DMSOR-BSOR</v>
      </c>
      <c r="BJ151" t="str">
        <f>HYPERLINK("http://www.ncbi.nlm.nih.gov/Structure/cdd/cddsrv.cgi?uid=cd02769&amp;version=v4.0","1.4")</f>
        <v>1.4</v>
      </c>
      <c r="BK151" t="s">
        <v>699</v>
      </c>
      <c r="BL151" s="2" t="str">
        <f>HYPERLINK("http://exon.niaid.nih.gov/transcriptome/T_rubida/S2/links/KOG/Triru-325-KOG.txt","Replication factor C, subunit RFC1 (large subunit)")</f>
        <v>Replication factor C, subunit RFC1 (large subunit)</v>
      </c>
      <c r="BM151" t="str">
        <f>HYPERLINK("http://www.ncbi.nlm.nih.gov/COG/grace/shokog.cgi?KOG1968","0.81")</f>
        <v>0.81</v>
      </c>
      <c r="BN151" t="s">
        <v>188</v>
      </c>
      <c r="BO151" s="2" t="str">
        <f>HYPERLINK("http://exon.niaid.nih.gov/transcriptome/T_rubida/S2/links/PFAM/Triru-325-PFAM.txt","PV-1")</f>
        <v>PV-1</v>
      </c>
      <c r="BP151" t="str">
        <f>HYPERLINK("http://pfam.sanger.ac.uk/family?acc=PF06637","0.39")</f>
        <v>0.39</v>
      </c>
      <c r="BQ151" s="2" t="str">
        <f>HYPERLINK("http://exon.niaid.nih.gov/transcriptome/T_rubida/S2/links/SMART/Triru-325-SMART.txt","CRF")</f>
        <v>CRF</v>
      </c>
      <c r="BR151" t="str">
        <f>HYPERLINK("http://smart.embl-heidelberg.de/smart/do_annotation.pl?DOMAIN=CRF&amp;BLAST=DUMMY","1.8")</f>
        <v>1.8</v>
      </c>
      <c r="BS151" s="17">
        <v>95</v>
      </c>
      <c r="BT151" s="1">
        <v>1</v>
      </c>
      <c r="BU151" s="17">
        <v>149</v>
      </c>
      <c r="BV151" s="1">
        <v>1</v>
      </c>
      <c r="BW151" s="17">
        <v>181</v>
      </c>
      <c r="BX151" s="1">
        <v>1</v>
      </c>
      <c r="BY151" s="17">
        <v>193</v>
      </c>
      <c r="BZ151" s="1">
        <v>1</v>
      </c>
      <c r="CA151" s="17">
        <v>199</v>
      </c>
      <c r="CB151" s="1">
        <v>1</v>
      </c>
      <c r="CC151" s="17">
        <v>204</v>
      </c>
      <c r="CD151" s="1">
        <v>1</v>
      </c>
      <c r="CE151" s="17">
        <v>210</v>
      </c>
      <c r="CF151" s="1">
        <v>1</v>
      </c>
      <c r="CG151" s="17">
        <v>212</v>
      </c>
      <c r="CH151" s="1">
        <v>1</v>
      </c>
      <c r="CI151" s="17">
        <v>222</v>
      </c>
      <c r="CJ151" s="1">
        <v>1</v>
      </c>
      <c r="CK151" s="17">
        <v>227</v>
      </c>
      <c r="CL151" s="1">
        <v>1</v>
      </c>
      <c r="CM151" s="17">
        <v>234</v>
      </c>
      <c r="CN151" s="1">
        <v>1</v>
      </c>
      <c r="CO151" s="17">
        <v>245</v>
      </c>
      <c r="CP151" s="1">
        <v>1</v>
      </c>
      <c r="CQ151" s="17">
        <v>255</v>
      </c>
      <c r="CR151" s="1">
        <v>1</v>
      </c>
      <c r="CS151" s="17">
        <v>265</v>
      </c>
      <c r="CT151" s="1">
        <v>1</v>
      </c>
      <c r="CU151" s="17">
        <v>276</v>
      </c>
      <c r="CV151" s="1">
        <v>1</v>
      </c>
    </row>
    <row r="152" spans="1:100" s="4" customFormat="1">
      <c r="A152" s="16" t="s">
        <v>1306</v>
      </c>
      <c r="I152" s="5"/>
      <c r="P152" s="4" t="s">
        <v>5</v>
      </c>
      <c r="Q152" s="4" t="s">
        <v>5</v>
      </c>
      <c r="R152" s="4" t="s">
        <v>5</v>
      </c>
      <c r="S152" s="4" t="s">
        <v>5</v>
      </c>
      <c r="T152" s="4" t="s">
        <v>5</v>
      </c>
      <c r="U152" s="4" t="s">
        <v>5</v>
      </c>
      <c r="V152" s="4" t="s">
        <v>5</v>
      </c>
      <c r="W152" s="4" t="s">
        <v>5</v>
      </c>
      <c r="X152" s="4" t="s">
        <v>5</v>
      </c>
      <c r="Y152" s="4" t="s">
        <v>5</v>
      </c>
      <c r="Z152" s="4" t="s">
        <v>5</v>
      </c>
      <c r="AA152" s="4" t="s">
        <v>5</v>
      </c>
      <c r="AB152" s="4" t="s">
        <v>5</v>
      </c>
      <c r="AC152" s="4" t="s">
        <v>5</v>
      </c>
      <c r="AD152" s="4" t="s">
        <v>5</v>
      </c>
      <c r="AE152" s="4" t="s">
        <v>5</v>
      </c>
      <c r="AF152" s="4" t="s">
        <v>5</v>
      </c>
    </row>
    <row r="153" spans="1:100">
      <c r="A153" t="str">
        <f>HYPERLINK("http://exon.niaid.nih.gov/transcriptome/T_rubida/S2/links/pep/Triru-120-pep.txt","Triru-120")</f>
        <v>Triru-120</v>
      </c>
      <c r="B153">
        <v>220</v>
      </c>
      <c r="C153" s="1" t="s">
        <v>9</v>
      </c>
      <c r="D153" s="1" t="s">
        <v>3</v>
      </c>
      <c r="E153" t="str">
        <f>HYPERLINK("http://exon.niaid.nih.gov/transcriptome/T_rubida/S2/links/cds/Triru-120-cds.txt","Triru-120")</f>
        <v>Triru-120</v>
      </c>
      <c r="F153">
        <v>663</v>
      </c>
      <c r="G153" s="2" t="s">
        <v>1628</v>
      </c>
      <c r="H153" s="1">
        <v>3</v>
      </c>
      <c r="I153" s="3" t="s">
        <v>1267</v>
      </c>
      <c r="J153" s="17" t="str">
        <f>HYPERLINK("http://exon.niaid.nih.gov/transcriptome/T_rubida/S2/links/Sigp/Triru-120-SigP.txt","CYT")</f>
        <v>CYT</v>
      </c>
      <c r="K153" t="s">
        <v>5</v>
      </c>
      <c r="L153" s="1">
        <v>25.106000000000002</v>
      </c>
      <c r="M153" s="1">
        <v>4.92</v>
      </c>
      <c r="P153" s="1">
        <v>0.13700000000000001</v>
      </c>
      <c r="Q153" s="1">
        <v>2.1999999999999999E-2</v>
      </c>
      <c r="R153" s="1">
        <v>0.93700000000000006</v>
      </c>
      <c r="S153" s="17" t="s">
        <v>1346</v>
      </c>
      <c r="T153">
        <v>2</v>
      </c>
      <c r="U153" t="s">
        <v>1425</v>
      </c>
      <c r="V153" s="17">
        <v>0</v>
      </c>
      <c r="W153" t="s">
        <v>5</v>
      </c>
      <c r="X153" t="s">
        <v>5</v>
      </c>
      <c r="Y153" t="s">
        <v>5</v>
      </c>
      <c r="Z153" t="s">
        <v>5</v>
      </c>
      <c r="AA153" t="s">
        <v>5</v>
      </c>
      <c r="AB153" s="17" t="str">
        <f>HYPERLINK("http://exon.niaid.nih.gov/transcriptome/T_rubida/S2/links/netoglyc/TRIRU-120-netoglyc.txt","0")</f>
        <v>0</v>
      </c>
      <c r="AC153">
        <v>12.7</v>
      </c>
      <c r="AD153">
        <v>4.5</v>
      </c>
      <c r="AE153">
        <v>2.2999999999999998</v>
      </c>
      <c r="AF153" s="17" t="s">
        <v>5</v>
      </c>
      <c r="AG153" s="2" t="str">
        <f>HYPERLINK("http://exon.niaid.nih.gov/transcriptome/T_rubida/S2/links/NR/Triru-120-NR.txt","multifunctional chaperone")</f>
        <v>multifunctional chaperone</v>
      </c>
      <c r="AH153" t="str">
        <f>HYPERLINK("http://www.ncbi.nlm.nih.gov/sutils/blink.cgi?pid=263173438","1E-120")</f>
        <v>1E-120</v>
      </c>
      <c r="AI153" t="str">
        <f>HYPERLINK("http://www.ncbi.nlm.nih.gov/protein/263173438","gi|263173438")</f>
        <v>gi|263173438</v>
      </c>
      <c r="AJ153">
        <v>434</v>
      </c>
      <c r="AK153">
        <v>219</v>
      </c>
      <c r="AL153">
        <v>247</v>
      </c>
      <c r="AM153">
        <v>99</v>
      </c>
      <c r="AN153">
        <v>89</v>
      </c>
      <c r="AO153" t="s">
        <v>239</v>
      </c>
      <c r="AP153" s="2" t="str">
        <f>HYPERLINK("http://exon.niaid.nih.gov/transcriptome/T_rubida/S2/links/SWISSP/Triru-120-SWISSP.txt","14-3-3 protein zeta")</f>
        <v>14-3-3 protein zeta</v>
      </c>
      <c r="AQ153" t="str">
        <f>HYPERLINK("http://www.uniprot.org/uniprot/Q1HR36","1E-114")</f>
        <v>1E-114</v>
      </c>
      <c r="AR153" t="s">
        <v>868</v>
      </c>
      <c r="AS153">
        <v>411</v>
      </c>
      <c r="AT153">
        <v>219</v>
      </c>
      <c r="AU153">
        <v>248</v>
      </c>
      <c r="AV153">
        <v>93</v>
      </c>
      <c r="AW153">
        <v>89</v>
      </c>
      <c r="AX153">
        <v>15</v>
      </c>
      <c r="AY153">
        <v>0</v>
      </c>
      <c r="AZ153">
        <v>29</v>
      </c>
      <c r="BA153">
        <v>1</v>
      </c>
      <c r="BB153">
        <v>1</v>
      </c>
      <c r="BC153" t="s">
        <v>191</v>
      </c>
      <c r="BD153" s="2" t="s">
        <v>869</v>
      </c>
      <c r="BE153">
        <f>HYPERLINK("http://exon.niaid.nih.gov/transcriptome/T_rubida/S2/links/GO/Triru-120-GO.txt",0)</f>
        <v>0</v>
      </c>
      <c r="BF153" t="s">
        <v>870</v>
      </c>
      <c r="BG153" t="s">
        <v>702</v>
      </c>
      <c r="BH153" t="s">
        <v>871</v>
      </c>
      <c r="BI153" s="2" t="str">
        <f>HYPERLINK("http://exon.niaid.nih.gov/transcriptome/T_rubida/S2/links/CDD/Triru-120-CDD.txt","14-3-3")</f>
        <v>14-3-3</v>
      </c>
      <c r="BJ153" t="str">
        <f>HYPERLINK("http://www.ncbi.nlm.nih.gov/Structure/cdd/cddsrv.cgi?uid=pfam00244&amp;version=v4.0","1E-108")</f>
        <v>1E-108</v>
      </c>
      <c r="BK153" t="s">
        <v>872</v>
      </c>
      <c r="BL153" s="2" t="str">
        <f>HYPERLINK("http://exon.niaid.nih.gov/transcriptome/T_rubida/S2/links/KOG/Triru-120-KOG.txt","Multifunctional chaperone (14-3-3 family)")</f>
        <v>Multifunctional chaperone (14-3-3 family)</v>
      </c>
      <c r="BM153" t="str">
        <f>HYPERLINK("http://www.ncbi.nlm.nih.gov/COG/grace/shokog.cgi?KOG0841","4E-088")</f>
        <v>4E-088</v>
      </c>
      <c r="BN153" t="s">
        <v>72</v>
      </c>
      <c r="BO153" s="2" t="str">
        <f>HYPERLINK("http://exon.niaid.nih.gov/transcriptome/T_rubida/S2/links/PFAM/Triru-120-PFAM.txt","14-3-3")</f>
        <v>14-3-3</v>
      </c>
      <c r="BP153" t="str">
        <f>HYPERLINK("http://pfam.sanger.ac.uk/family?acc=PF00244","1E-109")</f>
        <v>1E-109</v>
      </c>
      <c r="BQ153" s="2" t="str">
        <f>HYPERLINK("http://exon.niaid.nih.gov/transcriptome/T_rubida/S2/links/SMART/Triru-120-SMART.txt","14_3_3")</f>
        <v>14_3_3</v>
      </c>
      <c r="BR153" t="str">
        <f>HYPERLINK("http://smart.embl-heidelberg.de/smart/do_annotation.pl?DOMAIN=14_3_3&amp;BLAST=DUMMY","1E-085")</f>
        <v>1E-085</v>
      </c>
      <c r="BS153" s="17">
        <v>48</v>
      </c>
      <c r="BT153" s="1">
        <v>1</v>
      </c>
      <c r="BU153" s="17">
        <v>66</v>
      </c>
      <c r="BV153" s="1">
        <v>1</v>
      </c>
      <c r="BW153" s="17">
        <v>72</v>
      </c>
      <c r="BX153" s="1">
        <v>1</v>
      </c>
      <c r="BY153" s="17">
        <v>72</v>
      </c>
      <c r="BZ153" s="1">
        <v>1</v>
      </c>
      <c r="CA153" s="17">
        <v>70</v>
      </c>
      <c r="CB153" s="1">
        <v>1</v>
      </c>
      <c r="CC153" s="17">
        <v>69</v>
      </c>
      <c r="CD153" s="1">
        <v>1</v>
      </c>
      <c r="CE153" s="17">
        <v>63</v>
      </c>
      <c r="CF153" s="1">
        <v>1</v>
      </c>
      <c r="CG153" s="17">
        <v>63</v>
      </c>
      <c r="CH153" s="1">
        <v>1</v>
      </c>
      <c r="CI153" s="17">
        <v>69</v>
      </c>
      <c r="CJ153" s="1">
        <v>1</v>
      </c>
      <c r="CK153" s="17">
        <v>73</v>
      </c>
      <c r="CL153" s="1">
        <v>1</v>
      </c>
      <c r="CM153" s="17">
        <v>77</v>
      </c>
      <c r="CN153" s="1">
        <v>1</v>
      </c>
      <c r="CO153" s="17">
        <v>85</v>
      </c>
      <c r="CP153" s="1">
        <v>1</v>
      </c>
      <c r="CQ153" s="17">
        <v>95</v>
      </c>
      <c r="CR153" s="1">
        <v>1</v>
      </c>
      <c r="CS153" s="17">
        <v>100</v>
      </c>
      <c r="CT153" s="1">
        <v>1</v>
      </c>
      <c r="CU153" s="17">
        <v>111</v>
      </c>
      <c r="CV153" s="1">
        <v>1</v>
      </c>
    </row>
    <row r="154" spans="1:100">
      <c r="A154" t="str">
        <f>HYPERLINK("http://exon.niaid.nih.gov/transcriptome/T_rubida/S2/links/pep/Triru-346-pep.txt","Triru-346")</f>
        <v>Triru-346</v>
      </c>
      <c r="B154">
        <v>175</v>
      </c>
      <c r="C154" s="1" t="s">
        <v>6</v>
      </c>
      <c r="D154" s="1" t="s">
        <v>3</v>
      </c>
      <c r="E154" t="str">
        <f>HYPERLINK("http://exon.niaid.nih.gov/transcriptome/T_rubida/S2/links/cds/Triru-346-cds.txt","Triru-346")</f>
        <v>Triru-346</v>
      </c>
      <c r="F154">
        <v>528</v>
      </c>
      <c r="G154" s="2" t="s">
        <v>1629</v>
      </c>
      <c r="H154" s="1">
        <v>1</v>
      </c>
      <c r="I154" s="3" t="s">
        <v>1267</v>
      </c>
      <c r="J154" s="17" t="str">
        <f>HYPERLINK("http://exon.niaid.nih.gov/transcriptome/T_rubida/S2/links/Sigp/Triru-346-SigP.txt","CYT")</f>
        <v>CYT</v>
      </c>
      <c r="K154" t="s">
        <v>5</v>
      </c>
      <c r="L154" s="1">
        <v>19.863</v>
      </c>
      <c r="M154" s="1">
        <v>4.8499999999999996</v>
      </c>
      <c r="P154" s="1">
        <v>0.16900000000000001</v>
      </c>
      <c r="Q154" s="1">
        <v>0.113</v>
      </c>
      <c r="R154" s="1">
        <v>0.73399999999999999</v>
      </c>
      <c r="S154" s="17" t="s">
        <v>1346</v>
      </c>
      <c r="T154">
        <v>3</v>
      </c>
      <c r="U154" t="s">
        <v>1348</v>
      </c>
      <c r="V154" s="17">
        <v>0</v>
      </c>
      <c r="W154" t="s">
        <v>5</v>
      </c>
      <c r="X154" t="s">
        <v>5</v>
      </c>
      <c r="Y154" t="s">
        <v>5</v>
      </c>
      <c r="Z154" t="s">
        <v>5</v>
      </c>
      <c r="AA154" t="s">
        <v>5</v>
      </c>
      <c r="AB154" s="17" t="str">
        <f>HYPERLINK("http://exon.niaid.nih.gov/transcriptome/T_rubida/S2/links/netoglyc/TRIRU-346-netoglyc.txt","0")</f>
        <v>0</v>
      </c>
      <c r="AC154">
        <v>8</v>
      </c>
      <c r="AD154">
        <v>8</v>
      </c>
      <c r="AE154">
        <v>4.5999999999999996</v>
      </c>
      <c r="AF154" s="17" t="s">
        <v>5</v>
      </c>
      <c r="AG154" s="2" t="str">
        <f>HYPERLINK("http://exon.niaid.nih.gov/transcriptome/T_rubida/S2/links/NR/Triru-346-NR.txt","similar to AGAP012407-PA")</f>
        <v>similar to AGAP012407-PA</v>
      </c>
      <c r="AH154" t="str">
        <f>HYPERLINK("http://www.ncbi.nlm.nih.gov/sutils/blink.cgi?pid=189235323","2E-057")</f>
        <v>2E-057</v>
      </c>
      <c r="AI154" t="str">
        <f>HYPERLINK("http://www.ncbi.nlm.nih.gov/protein/189235323","gi|189235323")</f>
        <v>gi|189235323</v>
      </c>
      <c r="AJ154">
        <v>225</v>
      </c>
      <c r="AK154">
        <v>469</v>
      </c>
      <c r="AL154">
        <v>814</v>
      </c>
      <c r="AM154">
        <v>65</v>
      </c>
      <c r="AN154">
        <v>58</v>
      </c>
      <c r="AO154" t="s">
        <v>671</v>
      </c>
      <c r="AP154" s="2" t="str">
        <f>HYPERLINK("http://exon.niaid.nih.gov/transcriptome/T_rubida/S2/links/SWISSP/Triru-346-SWISSP.txt","Protein disulfide-isomerase")</f>
        <v>Protein disulfide-isomerase</v>
      </c>
      <c r="AQ154" t="str">
        <f>HYPERLINK("http://www.uniprot.org/uniprot/P54399","4E-054")</f>
        <v>4E-054</v>
      </c>
      <c r="AR154" t="s">
        <v>672</v>
      </c>
      <c r="AS154">
        <v>210</v>
      </c>
      <c r="AT154">
        <v>467</v>
      </c>
      <c r="AU154">
        <v>496</v>
      </c>
      <c r="AV154">
        <v>60</v>
      </c>
      <c r="AW154">
        <v>94</v>
      </c>
      <c r="AX154">
        <v>64</v>
      </c>
      <c r="AY154">
        <v>4</v>
      </c>
      <c r="AZ154">
        <v>29</v>
      </c>
      <c r="BA154">
        <v>14</v>
      </c>
      <c r="BB154">
        <v>2</v>
      </c>
      <c r="BC154" t="s">
        <v>150</v>
      </c>
      <c r="BD154" s="2" t="s">
        <v>673</v>
      </c>
      <c r="BE154">
        <f>HYPERLINK("http://exon.niaid.nih.gov/transcriptome/T_rubida/S2/links/GO/Triru-346-GO.txt",3E-54)</f>
        <v>3.0000000000000001E-54</v>
      </c>
      <c r="BF154" t="s">
        <v>1927</v>
      </c>
      <c r="BG154" t="s">
        <v>77</v>
      </c>
      <c r="BH154" t="s">
        <v>78</v>
      </c>
      <c r="BI154" s="2" t="str">
        <f>HYPERLINK("http://exon.niaid.nih.gov/transcriptome/T_rubida/S2/links/CDD/Triru-346-CDD.txt","ER_PDI_fam")</f>
        <v>ER_PDI_fam</v>
      </c>
      <c r="BJ154" t="str">
        <f>HYPERLINK("http://www.ncbi.nlm.nih.gov/Structure/cdd/cddsrv.cgi?uid=TIGR01130&amp;version=v4.0","5E-048")</f>
        <v>5E-048</v>
      </c>
      <c r="BK154" t="s">
        <v>674</v>
      </c>
      <c r="BL154" s="2" t="str">
        <f>HYPERLINK("http://exon.niaid.nih.gov/transcriptome/T_rubida/S2/links/KOG/Triru-346-KOG.txt","Protein disulfide isomerase (prolyl 4-hydroxylase beta subunit)")</f>
        <v>Protein disulfide isomerase (prolyl 4-hydroxylase beta subunit)</v>
      </c>
      <c r="BM154" t="str">
        <f>HYPERLINK("http://www.ncbi.nlm.nih.gov/COG/grace/shokog.cgi?KOG0190","4E-046")</f>
        <v>4E-046</v>
      </c>
      <c r="BN154" t="s">
        <v>72</v>
      </c>
      <c r="BO154" s="2" t="str">
        <f>HYPERLINK("http://exon.niaid.nih.gov/transcriptome/T_rubida/S2/links/PFAM/Triru-346-PFAM.txt","Thioredoxin")</f>
        <v>Thioredoxin</v>
      </c>
      <c r="BP154" t="str">
        <f>HYPERLINK("http://pfam.sanger.ac.uk/family?acc=PF00085","1E-028")</f>
        <v>1E-028</v>
      </c>
      <c r="BQ154" s="2" t="str">
        <f>HYPERLINK("http://exon.niaid.nih.gov/transcriptome/T_rubida/S2/links/SMART/Triru-346-SMART.txt","BAR")</f>
        <v>BAR</v>
      </c>
      <c r="BR154" t="str">
        <f>HYPERLINK("http://smart.embl-heidelberg.de/smart/do_annotation.pl?DOMAIN=BAR&amp;BLAST=DUMMY","0.008")</f>
        <v>0.008</v>
      </c>
      <c r="BS154" s="17">
        <v>104</v>
      </c>
      <c r="BT154" s="1">
        <v>1</v>
      </c>
      <c r="BU154" s="17">
        <v>161</v>
      </c>
      <c r="BV154" s="1">
        <v>1</v>
      </c>
      <c r="BW154" s="17">
        <v>195</v>
      </c>
      <c r="BX154" s="1">
        <v>1</v>
      </c>
      <c r="BY154" s="17">
        <v>207</v>
      </c>
      <c r="BZ154" s="1">
        <v>1</v>
      </c>
      <c r="CA154" s="17">
        <v>214</v>
      </c>
      <c r="CB154" s="1">
        <v>1</v>
      </c>
      <c r="CC154" s="17">
        <v>219</v>
      </c>
      <c r="CD154" s="1">
        <v>1</v>
      </c>
      <c r="CE154" s="17">
        <v>225</v>
      </c>
      <c r="CF154" s="1">
        <v>1</v>
      </c>
      <c r="CG154" s="17">
        <v>227</v>
      </c>
      <c r="CH154" s="1">
        <v>1</v>
      </c>
      <c r="CI154" s="17">
        <v>237</v>
      </c>
      <c r="CJ154" s="1">
        <v>1</v>
      </c>
      <c r="CK154" s="17">
        <v>242</v>
      </c>
      <c r="CL154" s="1">
        <v>1</v>
      </c>
      <c r="CM154" s="17">
        <v>250</v>
      </c>
      <c r="CN154" s="1">
        <v>1</v>
      </c>
      <c r="CO154" s="17">
        <v>261</v>
      </c>
      <c r="CP154" s="1">
        <v>1</v>
      </c>
      <c r="CQ154" s="17">
        <v>271</v>
      </c>
      <c r="CR154" s="1">
        <v>1</v>
      </c>
      <c r="CS154" s="17">
        <v>281</v>
      </c>
      <c r="CT154" s="1">
        <v>1</v>
      </c>
      <c r="CU154" s="17">
        <v>292</v>
      </c>
      <c r="CV154" s="1">
        <v>1</v>
      </c>
    </row>
    <row r="155" spans="1:100">
      <c r="A155" t="str">
        <f>HYPERLINK("http://exon.niaid.nih.gov/transcriptome/T_rubida/S2/links/pep/Triru-487-pep.txt","Triru-487")</f>
        <v>Triru-487</v>
      </c>
      <c r="B155">
        <v>112</v>
      </c>
      <c r="C155" s="1" t="s">
        <v>4</v>
      </c>
      <c r="D155" s="1" t="s">
        <v>3</v>
      </c>
      <c r="E155" t="str">
        <f>HYPERLINK("http://exon.niaid.nih.gov/transcriptome/T_rubida/S2/links/cds/Triru-487-cds.txt","Triru-487")</f>
        <v>Triru-487</v>
      </c>
      <c r="F155">
        <v>339</v>
      </c>
      <c r="G155" s="2" t="s">
        <v>1630</v>
      </c>
      <c r="H155" s="1">
        <v>1</v>
      </c>
      <c r="I155" s="3" t="s">
        <v>1267</v>
      </c>
      <c r="J155" s="17" t="str">
        <f>HYPERLINK("http://exon.niaid.nih.gov/transcriptome/T_rubida/S2/links/Sigp/Triru-487-SigP.txt","CYT")</f>
        <v>CYT</v>
      </c>
      <c r="K155" t="s">
        <v>5</v>
      </c>
      <c r="L155" s="1">
        <v>11.845000000000001</v>
      </c>
      <c r="M155" s="1">
        <v>5.09</v>
      </c>
      <c r="P155" s="1">
        <v>0.158</v>
      </c>
      <c r="Q155" s="1">
        <v>6.6000000000000003E-2</v>
      </c>
      <c r="R155" s="1">
        <v>0.85299999999999998</v>
      </c>
      <c r="S155" s="17" t="s">
        <v>1346</v>
      </c>
      <c r="T155">
        <v>2</v>
      </c>
      <c r="U155" t="s">
        <v>1350</v>
      </c>
      <c r="V155" s="17">
        <v>0</v>
      </c>
      <c r="W155" t="s">
        <v>5</v>
      </c>
      <c r="X155" t="s">
        <v>5</v>
      </c>
      <c r="Y155" t="s">
        <v>5</v>
      </c>
      <c r="Z155" t="s">
        <v>5</v>
      </c>
      <c r="AA155" t="s">
        <v>5</v>
      </c>
      <c r="AB155" s="17" t="str">
        <f>HYPERLINK("http://exon.niaid.nih.gov/transcriptome/T_rubida/S2/links/netoglyc/TRIRU-487-netoglyc.txt","12")</f>
        <v>12</v>
      </c>
      <c r="AC155">
        <v>21.4</v>
      </c>
      <c r="AD155">
        <v>9.8000000000000007</v>
      </c>
      <c r="AE155">
        <v>5.4</v>
      </c>
      <c r="AF155" s="17" t="s">
        <v>5</v>
      </c>
      <c r="AG155" s="2" t="str">
        <f>HYPERLINK("http://exon.niaid.nih.gov/transcriptome/T_rubida/S2/links/NR/Triru-487-NR.txt","ubiquilin-1, putative")</f>
        <v>ubiquilin-1, putative</v>
      </c>
      <c r="AH155" t="str">
        <f>HYPERLINK("http://www.ncbi.nlm.nih.gov/sutils/blink.cgi?pid=242013092","4E-022")</f>
        <v>4E-022</v>
      </c>
      <c r="AI155" t="str">
        <f>HYPERLINK("http://www.ncbi.nlm.nih.gov/protein/242013092","gi|242013092")</f>
        <v>gi|242013092</v>
      </c>
      <c r="AJ155">
        <v>107</v>
      </c>
      <c r="AK155">
        <v>265</v>
      </c>
      <c r="AL155">
        <v>524</v>
      </c>
      <c r="AM155">
        <v>54</v>
      </c>
      <c r="AN155">
        <v>51</v>
      </c>
      <c r="AO155" t="s">
        <v>54</v>
      </c>
      <c r="AP155" s="2" t="str">
        <f>HYPERLINK("http://exon.niaid.nih.gov/transcriptome/T_rubida/S2/links/SWISSP/Triru-487-SWISSP.txt","Ubiquilin-2")</f>
        <v>Ubiquilin-2</v>
      </c>
      <c r="AQ155" t="str">
        <f>HYPERLINK("http://www.uniprot.org/uniprot/Q9UHD9","7E-016")</f>
        <v>7E-016</v>
      </c>
      <c r="AR155" t="s">
        <v>207</v>
      </c>
      <c r="AS155">
        <v>82.4</v>
      </c>
      <c r="AT155">
        <v>92</v>
      </c>
      <c r="AU155">
        <v>624</v>
      </c>
      <c r="AV155">
        <v>48</v>
      </c>
      <c r="AW155">
        <v>15</v>
      </c>
      <c r="AX155">
        <v>54</v>
      </c>
      <c r="AY155">
        <v>12</v>
      </c>
      <c r="AZ155">
        <v>529</v>
      </c>
      <c r="BA155">
        <v>3</v>
      </c>
      <c r="BB155">
        <v>1</v>
      </c>
      <c r="BC155" t="s">
        <v>208</v>
      </c>
      <c r="BD155" s="2" t="s">
        <v>209</v>
      </c>
      <c r="BE155">
        <f>HYPERLINK("http://exon.niaid.nih.gov/transcriptome/T_rubida/S2/links/GO/Triru-487-GO.txt",0.00000000000000006)</f>
        <v>6.0000000000000001E-17</v>
      </c>
      <c r="BF155" t="s">
        <v>210</v>
      </c>
      <c r="BG155" t="s">
        <v>153</v>
      </c>
      <c r="BH155" t="s">
        <v>174</v>
      </c>
      <c r="BI155" s="2" t="str">
        <f>HYPERLINK("http://exon.niaid.nih.gov/transcriptome/T_rubida/S2/links/CDD/Triru-487-CDD.txt","UBA")</f>
        <v>UBA</v>
      </c>
      <c r="BJ155" t="str">
        <f>HYPERLINK("http://www.ncbi.nlm.nih.gov/Structure/cdd/cddsrv.cgi?uid=smart00165&amp;version=v4.0","9E-006")</f>
        <v>9E-006</v>
      </c>
      <c r="BK155" t="s">
        <v>211</v>
      </c>
      <c r="BL155" s="2" t="str">
        <f>HYPERLINK("http://exon.niaid.nih.gov/transcriptome/T_rubida/S2/links/KOG/Triru-487-KOG.txt","Ubiquitin-like protein")</f>
        <v>Ubiquitin-like protein</v>
      </c>
      <c r="BM155" t="str">
        <f>HYPERLINK("http://www.ncbi.nlm.nih.gov/COG/grace/shokog.cgi?KOG0010","4E-012")</f>
        <v>4E-012</v>
      </c>
      <c r="BN155" t="s">
        <v>212</v>
      </c>
      <c r="BO155" s="2" t="str">
        <f>HYPERLINK("http://exon.niaid.nih.gov/transcriptome/T_rubida/S2/links/PFAM/Triru-487-PFAM.txt","UBA")</f>
        <v>UBA</v>
      </c>
      <c r="BP155" t="str">
        <f>HYPERLINK("http://pfam.sanger.ac.uk/family?acc=PF00627","1E-005")</f>
        <v>1E-005</v>
      </c>
      <c r="BQ155" s="2" t="str">
        <f>HYPERLINK("http://exon.niaid.nih.gov/transcriptome/T_rubida/S2/links/SMART/Triru-487-SMART.txt","UBA")</f>
        <v>UBA</v>
      </c>
      <c r="BR155" t="str">
        <f>HYPERLINK("http://smart.embl-heidelberg.de/smart/do_annotation.pl?DOMAIN=UBA&amp;BLAST=DUMMY","1E-007")</f>
        <v>1E-007</v>
      </c>
      <c r="BS155" s="17">
        <v>146</v>
      </c>
      <c r="BT155" s="1">
        <v>1</v>
      </c>
      <c r="BU155" s="17">
        <v>219</v>
      </c>
      <c r="BV155" s="1">
        <v>1</v>
      </c>
      <c r="BW155" s="17">
        <v>283</v>
      </c>
      <c r="BX155" s="1">
        <v>1</v>
      </c>
      <c r="BY155" s="17">
        <v>305</v>
      </c>
      <c r="BZ155" s="1">
        <v>1</v>
      </c>
      <c r="CA155" s="17">
        <v>315</v>
      </c>
      <c r="CB155" s="1">
        <v>1</v>
      </c>
      <c r="CC155" s="17">
        <v>326</v>
      </c>
      <c r="CD155" s="1">
        <v>1</v>
      </c>
      <c r="CE155" s="17">
        <v>338</v>
      </c>
      <c r="CF155" s="1">
        <v>1</v>
      </c>
      <c r="CG155" s="17">
        <v>344</v>
      </c>
      <c r="CH155" s="1">
        <v>1</v>
      </c>
      <c r="CI155" s="17">
        <v>355</v>
      </c>
      <c r="CJ155" s="1">
        <v>1</v>
      </c>
      <c r="CK155" s="17">
        <v>361</v>
      </c>
      <c r="CL155" s="1">
        <v>1</v>
      </c>
      <c r="CM155" s="17">
        <v>369</v>
      </c>
      <c r="CN155" s="1">
        <v>1</v>
      </c>
      <c r="CO155" s="17">
        <v>381</v>
      </c>
      <c r="CP155" s="1">
        <v>1</v>
      </c>
      <c r="CQ155" s="17">
        <v>391</v>
      </c>
      <c r="CR155" s="1">
        <v>1</v>
      </c>
      <c r="CS155" s="17">
        <v>404</v>
      </c>
      <c r="CT155" s="1">
        <v>1</v>
      </c>
      <c r="CU155" s="17">
        <v>415</v>
      </c>
      <c r="CV155" s="1">
        <v>1</v>
      </c>
    </row>
    <row r="156" spans="1:100">
      <c r="A156" t="str">
        <f>HYPERLINK("http://exon.niaid.nih.gov/transcriptome/T_rubida/S2/links/pep/Triru-501-pep.txt","Triru-501")</f>
        <v>Triru-501</v>
      </c>
      <c r="B156">
        <v>80</v>
      </c>
      <c r="C156" s="1" t="s">
        <v>4</v>
      </c>
      <c r="D156" s="1" t="s">
        <v>3</v>
      </c>
      <c r="E156" t="str">
        <f>HYPERLINK("http://exon.niaid.nih.gov/transcriptome/T_rubida/S2/links/cds/Triru-501-cds.txt","Triru-501")</f>
        <v>Triru-501</v>
      </c>
      <c r="F156">
        <v>243</v>
      </c>
      <c r="G156" s="2" t="s">
        <v>1631</v>
      </c>
      <c r="H156" s="1">
        <v>1</v>
      </c>
      <c r="I156" s="3" t="s">
        <v>1267</v>
      </c>
      <c r="J156" s="17" t="str">
        <f>HYPERLINK("http://exon.niaid.nih.gov/transcriptome/T_rubida/S2/links/Sigp/Triru-501-SigP.txt","CYT")</f>
        <v>CYT</v>
      </c>
      <c r="K156" t="s">
        <v>5</v>
      </c>
      <c r="L156" s="1">
        <v>9.218</v>
      </c>
      <c r="M156" s="1">
        <v>4.9000000000000004</v>
      </c>
      <c r="P156" s="1">
        <v>4.5999999999999999E-2</v>
      </c>
      <c r="Q156" s="1">
        <v>0.155</v>
      </c>
      <c r="R156" s="1">
        <v>0.875</v>
      </c>
      <c r="S156" s="17" t="s">
        <v>1346</v>
      </c>
      <c r="T156">
        <v>2</v>
      </c>
      <c r="U156" t="s">
        <v>1403</v>
      </c>
      <c r="V156" s="17">
        <v>0</v>
      </c>
      <c r="W156" t="s">
        <v>5</v>
      </c>
      <c r="X156" t="s">
        <v>5</v>
      </c>
      <c r="Y156" t="s">
        <v>5</v>
      </c>
      <c r="Z156" t="s">
        <v>5</v>
      </c>
      <c r="AA156" t="s">
        <v>5</v>
      </c>
      <c r="AB156" s="17" t="str">
        <f>HYPERLINK("http://exon.niaid.nih.gov/transcriptome/T_rubida/S2/links/netoglyc/TRIRU-501-netoglyc.txt","0")</f>
        <v>0</v>
      </c>
      <c r="AC156">
        <v>7.5</v>
      </c>
      <c r="AD156">
        <v>5</v>
      </c>
      <c r="AE156">
        <v>3.8</v>
      </c>
      <c r="AF156" s="17" t="s">
        <v>1426</v>
      </c>
      <c r="AG156" s="2" t="str">
        <f>HYPERLINK("http://exon.niaid.nih.gov/transcriptome/T_rubida/S2/links/NR/Triru-501-NR.txt","glutathione S-transferase sigma 5")</f>
        <v>glutathione S-transferase sigma 5</v>
      </c>
      <c r="AH156" t="str">
        <f>HYPERLINK("http://www.ncbi.nlm.nih.gov/sutils/blink.cgi?pid=329564877","4E-011")</f>
        <v>4E-011</v>
      </c>
      <c r="AI156" t="str">
        <f>HYPERLINK("http://www.ncbi.nlm.nih.gov/protein/329564877","gi|329564877")</f>
        <v>gi|329564877</v>
      </c>
      <c r="AJ156">
        <v>71.2</v>
      </c>
      <c r="AK156">
        <v>69</v>
      </c>
      <c r="AL156">
        <v>202</v>
      </c>
      <c r="AM156">
        <v>45</v>
      </c>
      <c r="AN156">
        <v>35</v>
      </c>
      <c r="AO156" t="s">
        <v>169</v>
      </c>
      <c r="AP156" s="2" t="str">
        <f>HYPERLINK("http://exon.niaid.nih.gov/transcriptome/T_rubida/S2/links/SWISSP/Triru-501-SWISSP.txt","Glutathione S-transferase")</f>
        <v>Glutathione S-transferase</v>
      </c>
      <c r="AQ156" t="str">
        <f>HYPERLINK("http://www.uniprot.org/uniprot/O18598","2E-011")</f>
        <v>2E-011</v>
      </c>
      <c r="AR156" t="s">
        <v>170</v>
      </c>
      <c r="AS156">
        <v>67.8</v>
      </c>
      <c r="AT156">
        <v>61</v>
      </c>
      <c r="AU156">
        <v>204</v>
      </c>
      <c r="AV156">
        <v>46</v>
      </c>
      <c r="AW156">
        <v>30</v>
      </c>
      <c r="AX156">
        <v>33</v>
      </c>
      <c r="AY156">
        <v>0</v>
      </c>
      <c r="AZ156">
        <v>40</v>
      </c>
      <c r="BA156">
        <v>3</v>
      </c>
      <c r="BB156">
        <v>1</v>
      </c>
      <c r="BC156" t="s">
        <v>171</v>
      </c>
      <c r="BD156" s="2" t="s">
        <v>172</v>
      </c>
      <c r="BE156">
        <f>HYPERLINK("http://exon.niaid.nih.gov/transcriptome/T_rubida/S2/links/GO/Triru-501-GO.txt",0.00000000005)</f>
        <v>5.0000000000000002E-11</v>
      </c>
      <c r="BF156" t="s">
        <v>173</v>
      </c>
      <c r="BG156" t="s">
        <v>153</v>
      </c>
      <c r="BH156" t="s">
        <v>174</v>
      </c>
      <c r="BI156" s="2" t="str">
        <f>HYPERLINK("http://exon.niaid.nih.gov/transcriptome/T_rubida/S2/links/CDD/Triru-501-CDD.txt","GST_N_Sigma_lik")</f>
        <v>GST_N_Sigma_lik</v>
      </c>
      <c r="BJ156" t="str">
        <f>HYPERLINK("http://www.ncbi.nlm.nih.gov/Structure/cdd/cddsrv.cgi?uid=cd03039&amp;version=v4.0","8E-007")</f>
        <v>8E-007</v>
      </c>
      <c r="BK156" t="s">
        <v>175</v>
      </c>
      <c r="BL156" s="2" t="str">
        <f>HYPERLINK("http://exon.niaid.nih.gov/transcriptome/T_rubida/S2/links/KOG/Triru-501-KOG.txt","Glutathione S-transferase")</f>
        <v>Glutathione S-transferase</v>
      </c>
      <c r="BM156" t="str">
        <f>HYPERLINK("http://www.ncbi.nlm.nih.gov/COG/grace/shokog.cgi?KOG1695","3E-014")</f>
        <v>3E-014</v>
      </c>
      <c r="BN156" t="s">
        <v>72</v>
      </c>
      <c r="BO156" s="2" t="str">
        <f>HYPERLINK("http://exon.niaid.nih.gov/transcriptome/T_rubida/S2/links/PFAM/Triru-501-PFAM.txt","GST_N")</f>
        <v>GST_N</v>
      </c>
      <c r="BP156" t="str">
        <f>HYPERLINK("http://pfam.sanger.ac.uk/family?acc=PF02798","2E-007")</f>
        <v>2E-007</v>
      </c>
      <c r="BQ156" s="2" t="str">
        <f>HYPERLINK("http://exon.niaid.nih.gov/transcriptome/T_rubida/S2/links/SMART/Triru-501-SMART.txt","HELICc2")</f>
        <v>HELICc2</v>
      </c>
      <c r="BR156" t="str">
        <f>HYPERLINK("http://smart.embl-heidelberg.de/smart/do_annotation.pl?DOMAIN=HELICc2&amp;BLAST=DUMMY","1.1")</f>
        <v>1.1</v>
      </c>
      <c r="BS156" s="17">
        <v>151</v>
      </c>
      <c r="BT156" s="1">
        <v>1</v>
      </c>
      <c r="BU156" s="17">
        <v>226</v>
      </c>
      <c r="BV156" s="1">
        <v>1</v>
      </c>
      <c r="BW156" s="17">
        <v>290</v>
      </c>
      <c r="BX156" s="1">
        <v>1</v>
      </c>
      <c r="BY156" s="17">
        <v>316</v>
      </c>
      <c r="BZ156" s="1">
        <v>1</v>
      </c>
      <c r="CA156" s="17">
        <v>326</v>
      </c>
      <c r="CB156" s="1">
        <v>1</v>
      </c>
      <c r="CC156" s="17">
        <v>338</v>
      </c>
      <c r="CD156" s="1">
        <v>1</v>
      </c>
      <c r="CE156" s="17">
        <v>350</v>
      </c>
      <c r="CF156" s="1">
        <v>1</v>
      </c>
      <c r="CG156" s="17">
        <v>356</v>
      </c>
      <c r="CH156" s="1">
        <v>1</v>
      </c>
      <c r="CI156" s="17">
        <v>367</v>
      </c>
      <c r="CJ156" s="1">
        <v>1</v>
      </c>
      <c r="CK156" s="17">
        <v>373</v>
      </c>
      <c r="CL156" s="1">
        <v>1</v>
      </c>
      <c r="CM156" s="17">
        <v>381</v>
      </c>
      <c r="CN156" s="1">
        <v>1</v>
      </c>
      <c r="CO156" s="17">
        <v>393</v>
      </c>
      <c r="CP156" s="1">
        <v>1</v>
      </c>
      <c r="CQ156" s="17">
        <v>403</v>
      </c>
      <c r="CR156" s="1">
        <v>1</v>
      </c>
      <c r="CS156" s="17">
        <v>416</v>
      </c>
      <c r="CT156" s="1">
        <v>1</v>
      </c>
      <c r="CU156" s="17">
        <v>427</v>
      </c>
      <c r="CV156" s="1">
        <v>1</v>
      </c>
    </row>
    <row r="157" spans="1:100">
      <c r="A157" t="str">
        <f>HYPERLINK("http://exon.niaid.nih.gov/transcriptome/T_rubida/S2/links/pep/Triru-568-pep.txt","Triru-568")</f>
        <v>Triru-568</v>
      </c>
      <c r="B157">
        <v>31</v>
      </c>
      <c r="C157" s="1" t="s">
        <v>4</v>
      </c>
      <c r="D157" s="1" t="s">
        <v>3</v>
      </c>
      <c r="E157" t="str">
        <f>HYPERLINK("http://exon.niaid.nih.gov/transcriptome/T_rubida/S2/links/cds/Triru-568-cds.txt","Triru-568")</f>
        <v>Triru-568</v>
      </c>
      <c r="F157">
        <v>96</v>
      </c>
      <c r="G157" s="2" t="s">
        <v>1632</v>
      </c>
      <c r="H157" s="1">
        <v>1</v>
      </c>
      <c r="I157" s="3" t="s">
        <v>1267</v>
      </c>
      <c r="J157" s="17" t="str">
        <f>HYPERLINK("http://exon.niaid.nih.gov/transcriptome/T_rubida/S2/links/Sigp/Triru-568-SigP.txt","CYT")</f>
        <v>CYT</v>
      </c>
      <c r="K157" t="s">
        <v>5</v>
      </c>
      <c r="L157" s="1">
        <v>3.3610000000000002</v>
      </c>
      <c r="M157" s="1">
        <v>5.0599999999999996</v>
      </c>
      <c r="P157" s="1">
        <v>9.7000000000000003E-2</v>
      </c>
      <c r="Q157" s="1">
        <v>0.11899999999999999</v>
      </c>
      <c r="R157" s="1">
        <v>0.76500000000000001</v>
      </c>
      <c r="S157" s="17" t="s">
        <v>1346</v>
      </c>
      <c r="T157">
        <v>2</v>
      </c>
      <c r="U157" t="s">
        <v>1348</v>
      </c>
      <c r="V157" s="17">
        <v>0</v>
      </c>
      <c r="W157" t="s">
        <v>5</v>
      </c>
      <c r="X157" t="s">
        <v>5</v>
      </c>
      <c r="Y157" t="s">
        <v>5</v>
      </c>
      <c r="Z157" t="s">
        <v>5</v>
      </c>
      <c r="AA157" t="s">
        <v>5</v>
      </c>
      <c r="AB157" s="17" t="str">
        <f>HYPERLINK("http://exon.niaid.nih.gov/transcriptome/T_rubida/S2/links/netoglyc/TRIRU-568-netoglyc.txt","1")</f>
        <v>1</v>
      </c>
      <c r="AC157">
        <v>9.6999999999999993</v>
      </c>
      <c r="AD157">
        <v>6.5</v>
      </c>
      <c r="AE157">
        <v>9.6999999999999993</v>
      </c>
      <c r="AF157" s="17" t="s">
        <v>5</v>
      </c>
      <c r="AG157" s="2" t="str">
        <f>HYPERLINK("http://exon.niaid.nih.gov/transcriptome/T_rubida/S2/links/NR/Triru-568-NR.txt","FK506-binding protein")</f>
        <v>FK506-binding protein</v>
      </c>
      <c r="AH157" t="str">
        <f>HYPERLINK("http://www.ncbi.nlm.nih.gov/sutils/blink.cgi?pid=435471","1E-004")</f>
        <v>1E-004</v>
      </c>
      <c r="AI157" t="str">
        <f>HYPERLINK("http://www.ncbi.nlm.nih.gov/protein/435471","gi|435471")</f>
        <v>gi|435471</v>
      </c>
      <c r="AJ157">
        <v>50.1</v>
      </c>
      <c r="AK157">
        <v>29</v>
      </c>
      <c r="AL157">
        <v>134</v>
      </c>
      <c r="AM157">
        <v>76</v>
      </c>
      <c r="AN157">
        <v>22</v>
      </c>
      <c r="AO157" t="s">
        <v>73</v>
      </c>
      <c r="AP157" s="2" t="str">
        <f>HYPERLINK("http://exon.niaid.nih.gov/transcriptome/T_rubida/S2/links/SWISSP/Triru-568-SWISSP.txt","Peptidyl-prolyl cis-trans isomerase FKBP2")</f>
        <v>Peptidyl-prolyl cis-trans isomerase FKBP2</v>
      </c>
      <c r="AQ157" t="str">
        <f>HYPERLINK("http://www.uniprot.org/uniprot/P45878","9E-006")</f>
        <v>9E-006</v>
      </c>
      <c r="AR157" t="s">
        <v>74</v>
      </c>
      <c r="AS157">
        <v>48.9</v>
      </c>
      <c r="AT157">
        <v>29</v>
      </c>
      <c r="AU157">
        <v>140</v>
      </c>
      <c r="AV157">
        <v>70</v>
      </c>
      <c r="AW157">
        <v>21</v>
      </c>
      <c r="AX157">
        <v>9</v>
      </c>
      <c r="AY157">
        <v>0</v>
      </c>
      <c r="AZ157">
        <v>111</v>
      </c>
      <c r="BA157">
        <v>2</v>
      </c>
      <c r="BB157">
        <v>1</v>
      </c>
      <c r="BC157" t="s">
        <v>75</v>
      </c>
      <c r="BD157" s="2" t="s">
        <v>76</v>
      </c>
      <c r="BE157">
        <f>HYPERLINK("http://exon.niaid.nih.gov/transcriptome/T_rubida/S2/links/GO/Triru-568-GO.txt",0.000006)</f>
        <v>6.0000000000000002E-6</v>
      </c>
      <c r="BF157" t="s">
        <v>1928</v>
      </c>
      <c r="BG157" t="s">
        <v>77</v>
      </c>
      <c r="BH157" t="s">
        <v>78</v>
      </c>
      <c r="BI157" s="2" t="str">
        <f>HYPERLINK("http://exon.niaid.nih.gov/transcriptome/T_rubida/S2/links/CDD/Triru-568-CDD.txt","FKBP_C")</f>
        <v>FKBP_C</v>
      </c>
      <c r="BJ157" t="str">
        <f>HYPERLINK("http://www.ncbi.nlm.nih.gov/Structure/cdd/cddsrv.cgi?uid=pfam00254&amp;version=v4.0","0.003")</f>
        <v>0.003</v>
      </c>
      <c r="BK157" t="s">
        <v>79</v>
      </c>
      <c r="BL157" s="2" t="str">
        <f>HYPERLINK("http://exon.niaid.nih.gov/transcriptome/T_rubida/S2/links/KOG/Triru-568-KOG.txt","FKBP-type peptidyl-prolyl cis-trans isomerase")</f>
        <v>FKBP-type peptidyl-prolyl cis-trans isomerase</v>
      </c>
      <c r="BM157" t="str">
        <f>HYPERLINK("http://www.ncbi.nlm.nih.gov/COG/grace/shokog.cgi?KOG0549","5E-006")</f>
        <v>5E-006</v>
      </c>
      <c r="BN157" t="s">
        <v>72</v>
      </c>
      <c r="BO157" s="2" t="str">
        <f>HYPERLINK("http://exon.niaid.nih.gov/transcriptome/T_rubida/S2/links/PFAM/Triru-568-PFAM.txt","FKBP_C")</f>
        <v>FKBP_C</v>
      </c>
      <c r="BP157" t="str">
        <f>HYPERLINK("http://pfam.sanger.ac.uk/family?acc=PF00254","6E-004")</f>
        <v>6E-004</v>
      </c>
      <c r="BQ157" s="2" t="str">
        <f>HYPERLINK("http://exon.niaid.nih.gov/transcriptome/T_rubida/S2/links/SMART/Triru-568-SMART.txt","G2F")</f>
        <v>G2F</v>
      </c>
      <c r="BR157" t="str">
        <f>HYPERLINK("http://smart.embl-heidelberg.de/smart/do_annotation.pl?DOMAIN=G2F&amp;BLAST=DUMMY","2.5")</f>
        <v>2.5</v>
      </c>
      <c r="BS157" s="17">
        <f>HYPERLINK("http://exon.niaid.nih.gov/transcriptome/T_rubida/S2/links/cluster/Triru-pep-ext25-50-Sim-CLU1.txt", 1)</f>
        <v>1</v>
      </c>
      <c r="BT157" s="1">
        <f>HYPERLINK("http://exon.niaid.nih.gov/transcriptome/T_rubida/S2/links/cluster/Triru-pep-ext25-50-Sim-CLTL1.txt", 359)</f>
        <v>359</v>
      </c>
      <c r="BU157" s="17">
        <v>257</v>
      </c>
      <c r="BV157" s="1">
        <v>1</v>
      </c>
      <c r="BW157" s="17">
        <v>329</v>
      </c>
      <c r="BX157" s="1">
        <v>1</v>
      </c>
      <c r="BY157" s="17">
        <v>361</v>
      </c>
      <c r="BZ157" s="1">
        <v>1</v>
      </c>
      <c r="CA157" s="17">
        <v>375</v>
      </c>
      <c r="CB157" s="1">
        <v>1</v>
      </c>
      <c r="CC157" s="17">
        <v>388</v>
      </c>
      <c r="CD157" s="1">
        <v>1</v>
      </c>
      <c r="CE157" s="17">
        <v>403</v>
      </c>
      <c r="CF157" s="1">
        <v>1</v>
      </c>
      <c r="CG157" s="17">
        <v>409</v>
      </c>
      <c r="CH157" s="1">
        <v>1</v>
      </c>
      <c r="CI157" s="17">
        <v>421</v>
      </c>
      <c r="CJ157" s="1">
        <v>1</v>
      </c>
      <c r="CK157" s="17">
        <v>427</v>
      </c>
      <c r="CL157" s="1">
        <v>1</v>
      </c>
      <c r="CM157" s="17">
        <v>438</v>
      </c>
      <c r="CN157" s="1">
        <v>1</v>
      </c>
      <c r="CO157" s="17">
        <v>450</v>
      </c>
      <c r="CP157" s="1">
        <v>1</v>
      </c>
      <c r="CQ157" s="17">
        <v>460</v>
      </c>
      <c r="CR157" s="1">
        <v>1</v>
      </c>
      <c r="CS157" s="17">
        <v>473</v>
      </c>
      <c r="CT157" s="1">
        <v>1</v>
      </c>
      <c r="CU157" s="17">
        <v>485</v>
      </c>
      <c r="CV157" s="1">
        <v>1</v>
      </c>
    </row>
    <row r="158" spans="1:100">
      <c r="A158" t="str">
        <f>HYPERLINK("http://exon.niaid.nih.gov/transcriptome/T_rubida/S2/links/pep/Triru-103-pep.txt","Triru-103")</f>
        <v>Triru-103</v>
      </c>
      <c r="B158">
        <v>29</v>
      </c>
      <c r="C158" s="1" t="s">
        <v>8</v>
      </c>
      <c r="D158" s="1" t="s">
        <v>3</v>
      </c>
      <c r="E158" t="str">
        <f>HYPERLINK("http://exon.niaid.nih.gov/transcriptome/T_rubida/S2/links/cds/Triru-103-cds.txt","Triru-103")</f>
        <v>Triru-103</v>
      </c>
      <c r="F158">
        <v>90</v>
      </c>
      <c r="G158" s="2" t="s">
        <v>1633</v>
      </c>
      <c r="H158" s="1">
        <v>5</v>
      </c>
      <c r="I158" s="3" t="s">
        <v>1267</v>
      </c>
      <c r="J158" s="17" t="str">
        <f>HYPERLINK("http://exon.niaid.nih.gov/transcriptome/T_rubida/S2/links/Sigp/Triru-103-SigP.txt","CYT")</f>
        <v>CYT</v>
      </c>
      <c r="K158" t="s">
        <v>5</v>
      </c>
      <c r="L158" s="1">
        <v>3.5590000000000002</v>
      </c>
      <c r="M158" s="1">
        <v>10</v>
      </c>
      <c r="P158" s="1">
        <v>0.24299999999999999</v>
      </c>
      <c r="Q158" s="1">
        <v>0.20599999999999999</v>
      </c>
      <c r="R158" s="1">
        <v>0.49399999999999999</v>
      </c>
      <c r="S158" s="17" t="s">
        <v>1346</v>
      </c>
      <c r="T158">
        <v>4</v>
      </c>
      <c r="U158" t="s">
        <v>1427</v>
      </c>
      <c r="V158" s="17">
        <v>0</v>
      </c>
      <c r="W158" t="s">
        <v>5</v>
      </c>
      <c r="X158" t="s">
        <v>5</v>
      </c>
      <c r="Y158" t="s">
        <v>5</v>
      </c>
      <c r="Z158" t="s">
        <v>5</v>
      </c>
      <c r="AA158" t="s">
        <v>5</v>
      </c>
      <c r="AB158" s="17" t="str">
        <f>HYPERLINK("http://exon.niaid.nih.gov/transcriptome/T_rubida/S2/links/netoglyc/TRIRU-103-netoglyc.txt","0")</f>
        <v>0</v>
      </c>
      <c r="AC158">
        <v>6.9</v>
      </c>
      <c r="AD158" t="s">
        <v>1417</v>
      </c>
      <c r="AE158">
        <v>3.4</v>
      </c>
      <c r="AF158" s="17" t="s">
        <v>5</v>
      </c>
      <c r="AG158" s="2" t="str">
        <f>HYPERLINK("http://exon.niaid.nih.gov/transcriptome/T_rubida/S2/links/NR/Triru-103-NR.txt","NADH dehydrogenase subunit 6")</f>
        <v>NADH dehydrogenase subunit 6</v>
      </c>
      <c r="AH158" t="str">
        <f>HYPERLINK("http://www.ncbi.nlm.nih.gov/sutils/blink.cgi?pid=301353327","51")</f>
        <v>51</v>
      </c>
      <c r="AI158" t="str">
        <f>HYPERLINK("http://www.ncbi.nlm.nih.gov/protein/301353327","gi|301353327")</f>
        <v>gi|301353327</v>
      </c>
      <c r="AJ158">
        <v>31.2</v>
      </c>
      <c r="AK158">
        <v>24</v>
      </c>
      <c r="AL158">
        <v>134</v>
      </c>
      <c r="AM158">
        <v>48</v>
      </c>
      <c r="AN158">
        <v>19</v>
      </c>
      <c r="AO158" t="s">
        <v>360</v>
      </c>
      <c r="AP158" s="2" t="str">
        <f>HYPERLINK("http://exon.niaid.nih.gov/transcriptome/T_rubida/S2/links/SWISSP/Triru-103-SWISSP.txt","NADH-ubiquinone oxidoreductase chain 2")</f>
        <v>NADH-ubiquinone oxidoreductase chain 2</v>
      </c>
      <c r="AQ158" t="str">
        <f>HYPERLINK("http://www.uniprot.org/uniprot/P15577","80")</f>
        <v>80</v>
      </c>
      <c r="AR158" t="s">
        <v>361</v>
      </c>
      <c r="AS158">
        <v>25.8</v>
      </c>
      <c r="AT158">
        <v>24</v>
      </c>
      <c r="AU158">
        <v>193</v>
      </c>
      <c r="AV158">
        <v>48</v>
      </c>
      <c r="AW158">
        <v>13</v>
      </c>
      <c r="AX158">
        <v>13</v>
      </c>
      <c r="AY158">
        <v>0</v>
      </c>
      <c r="AZ158">
        <v>108</v>
      </c>
      <c r="BA158">
        <v>1</v>
      </c>
      <c r="BB158">
        <v>1</v>
      </c>
      <c r="BC158" t="s">
        <v>161</v>
      </c>
      <c r="BD158" s="2" t="s">
        <v>5</v>
      </c>
      <c r="BE158" t="s">
        <v>5</v>
      </c>
      <c r="BF158" t="s">
        <v>5</v>
      </c>
      <c r="BG158" t="s">
        <v>5</v>
      </c>
      <c r="BH158" t="s">
        <v>5</v>
      </c>
      <c r="BI158" s="2" t="s">
        <v>5</v>
      </c>
      <c r="BJ158" t="s">
        <v>5</v>
      </c>
      <c r="BK158" t="s">
        <v>5</v>
      </c>
      <c r="BL158" s="2" t="s">
        <v>5</v>
      </c>
      <c r="BM158" t="s">
        <v>5</v>
      </c>
      <c r="BN158" t="s">
        <v>5</v>
      </c>
      <c r="BO158" s="2" t="s">
        <v>5</v>
      </c>
      <c r="BP158" t="s">
        <v>5</v>
      </c>
      <c r="BQ158" s="2" t="s">
        <v>5</v>
      </c>
      <c r="BR158" t="s">
        <v>5</v>
      </c>
      <c r="BS158" s="17">
        <f>HYPERLINK("http://exon.niaid.nih.gov/transcriptome/T_rubida/S2/links/cluster/Triru-pep-ext25-50-Sim-CLU1.txt", 1)</f>
        <v>1</v>
      </c>
      <c r="BT158" s="1">
        <f>HYPERLINK("http://exon.niaid.nih.gov/transcriptome/T_rubida/S2/links/cluster/Triru-pep-ext25-50-Sim-CLTL1.txt", 359)</f>
        <v>359</v>
      </c>
      <c r="BU158" s="17">
        <f>HYPERLINK("http://exon.niaid.nih.gov/transcriptome/T_rubida/S2/links/cluster/Triru-pep-ext30-50-Sim-CLU1.txt", 1)</f>
        <v>1</v>
      </c>
      <c r="BV158" s="1">
        <f>HYPERLINK("http://exon.niaid.nih.gov/transcriptome/T_rubida/S2/links/cluster/Triru-pep-ext30-50-Sim-CLTL1.txt", 225)</f>
        <v>225</v>
      </c>
      <c r="BW158" s="17">
        <f>HYPERLINK("http://exon.niaid.nih.gov/transcriptome/T_rubida/S2/links/cluster/Triru-pep-ext35-50-Sim-CLU1.txt", 1)</f>
        <v>1</v>
      </c>
      <c r="BX158" s="1">
        <f>HYPERLINK("http://exon.niaid.nih.gov/transcriptome/T_rubida/S2/links/cluster/Triru-pep-ext35-50-Sim-CLTL1.txt", 75)</f>
        <v>75</v>
      </c>
      <c r="BY158" s="17">
        <f>HYPERLINK("http://exon.niaid.nih.gov/transcriptome/T_rubida/S2/links/cluster/Triru-pep-ext40-50-Sim-CLU2.txt", 2)</f>
        <v>2</v>
      </c>
      <c r="BZ158" s="1">
        <f>HYPERLINK("http://exon.niaid.nih.gov/transcriptome/T_rubida/S2/links/cluster/Triru-pep-ext40-50-Sim-CLTL2.txt", 42)</f>
        <v>42</v>
      </c>
      <c r="CA158" s="17">
        <f>HYPERLINK("http://exon.niaid.nih.gov/transcriptome/T_rubida/S2/links/cluster/Triru-pep-ext45-50-Sim-CLU11.txt", 11)</f>
        <v>11</v>
      </c>
      <c r="CB158" s="1">
        <f>HYPERLINK("http://exon.niaid.nih.gov/transcriptome/T_rubida/S2/links/cluster/Triru-pep-ext45-50-Sim-CLTL11.txt", 2)</f>
        <v>2</v>
      </c>
      <c r="CC158" s="17">
        <v>55</v>
      </c>
      <c r="CD158" s="1">
        <v>1</v>
      </c>
      <c r="CE158" s="17">
        <v>48</v>
      </c>
      <c r="CF158" s="1">
        <v>1</v>
      </c>
      <c r="CG158" s="17">
        <v>48</v>
      </c>
      <c r="CH158" s="1">
        <v>1</v>
      </c>
      <c r="CI158" s="17">
        <v>54</v>
      </c>
      <c r="CJ158" s="1">
        <v>1</v>
      </c>
      <c r="CK158" s="17">
        <v>58</v>
      </c>
      <c r="CL158" s="1">
        <v>1</v>
      </c>
      <c r="CM158" s="17">
        <v>62</v>
      </c>
      <c r="CN158" s="1">
        <v>1</v>
      </c>
      <c r="CO158" s="17">
        <v>70</v>
      </c>
      <c r="CP158" s="1">
        <v>1</v>
      </c>
      <c r="CQ158" s="17">
        <v>80</v>
      </c>
      <c r="CR158" s="1">
        <v>1</v>
      </c>
      <c r="CS158" s="17">
        <v>85</v>
      </c>
      <c r="CT158" s="1">
        <v>1</v>
      </c>
      <c r="CU158" s="17">
        <v>96</v>
      </c>
      <c r="CV158" s="1">
        <v>1</v>
      </c>
    </row>
    <row r="159" spans="1:100">
      <c r="A159" t="str">
        <f>HYPERLINK("http://exon.niaid.nih.gov/transcriptome/T_rubida/S2/links/pep/Triru-333-pep.txt","Triru-333")</f>
        <v>Triru-333</v>
      </c>
      <c r="B159">
        <v>108</v>
      </c>
      <c r="C159" s="1" t="s">
        <v>10</v>
      </c>
      <c r="D159" s="1" t="s">
        <v>3</v>
      </c>
      <c r="E159" t="str">
        <f>HYPERLINK("http://exon.niaid.nih.gov/transcriptome/T_rubida/S2/links/cds/Triru-333-cds.txt","Triru-333")</f>
        <v>Triru-333</v>
      </c>
      <c r="F159">
        <v>327</v>
      </c>
      <c r="G159" s="2" t="s">
        <v>1634</v>
      </c>
      <c r="H159" s="1">
        <v>1</v>
      </c>
      <c r="I159" s="3" t="s">
        <v>1267</v>
      </c>
      <c r="J159" s="17" t="str">
        <f>HYPERLINK("http://exon.niaid.nih.gov/transcriptome/T_rubida/S2/links/Sigp/Triru-333-SigP.txt","CYT")</f>
        <v>CYT</v>
      </c>
      <c r="K159" t="s">
        <v>5</v>
      </c>
      <c r="L159" s="1">
        <v>12.345000000000001</v>
      </c>
      <c r="M159" s="1">
        <v>8.68</v>
      </c>
      <c r="P159" s="1">
        <v>5.2999999999999999E-2</v>
      </c>
      <c r="Q159" s="1">
        <v>0.12</v>
      </c>
      <c r="R159" s="1">
        <v>0.93</v>
      </c>
      <c r="S159" s="17" t="s">
        <v>1346</v>
      </c>
      <c r="T159">
        <v>1</v>
      </c>
      <c r="U159" t="s">
        <v>1350</v>
      </c>
      <c r="V159" s="17">
        <v>0</v>
      </c>
      <c r="W159" t="s">
        <v>5</v>
      </c>
      <c r="X159" t="s">
        <v>5</v>
      </c>
      <c r="Y159" t="s">
        <v>5</v>
      </c>
      <c r="Z159" t="s">
        <v>5</v>
      </c>
      <c r="AA159" t="s">
        <v>5</v>
      </c>
      <c r="AB159" s="17" t="str">
        <f>HYPERLINK("http://exon.niaid.nih.gov/transcriptome/T_rubida/S2/links/netoglyc/TRIRU-333-netoglyc.txt","0")</f>
        <v>0</v>
      </c>
      <c r="AC159">
        <v>15.7</v>
      </c>
      <c r="AD159">
        <v>7.4</v>
      </c>
      <c r="AE159">
        <v>7.4</v>
      </c>
      <c r="AF159" s="17" t="s">
        <v>5</v>
      </c>
      <c r="AG159" s="2" t="str">
        <f>HYPERLINK("http://exon.niaid.nih.gov/transcriptome/T_rubida/S2/links/NR/Triru-333-NR.txt","GL15031")</f>
        <v>GL15031</v>
      </c>
      <c r="AH159" t="str">
        <f>HYPERLINK("http://www.ncbi.nlm.nih.gov/sutils/blink.cgi?pid=195174566","9E-052")</f>
        <v>9E-052</v>
      </c>
      <c r="AI159" t="str">
        <f>HYPERLINK("http://www.ncbi.nlm.nih.gov/protein/195174566","gi|195174566")</f>
        <v>gi|195174566</v>
      </c>
      <c r="AJ159">
        <v>206</v>
      </c>
      <c r="AK159">
        <v>105</v>
      </c>
      <c r="AL159">
        <v>1083</v>
      </c>
      <c r="AM159">
        <v>92</v>
      </c>
      <c r="AN159">
        <v>10</v>
      </c>
      <c r="AO159" t="s">
        <v>342</v>
      </c>
      <c r="AP159" s="2" t="str">
        <f>HYPERLINK("http://exon.niaid.nih.gov/transcriptome/T_rubida/S2/links/SWISSP/Triru-333-SWISSP.txt","Ubiquitin-protein ligase E3B")</f>
        <v>Ubiquitin-protein ligase E3B</v>
      </c>
      <c r="AQ159" t="str">
        <f>HYPERLINK("http://www.uniprot.org/uniprot/Q9ES34","2E-046")</f>
        <v>2E-046</v>
      </c>
      <c r="AR159" t="s">
        <v>991</v>
      </c>
      <c r="AS159">
        <v>183</v>
      </c>
      <c r="AT159">
        <v>105</v>
      </c>
      <c r="AU159">
        <v>1070</v>
      </c>
      <c r="AV159">
        <v>81</v>
      </c>
      <c r="AW159">
        <v>10</v>
      </c>
      <c r="AX159">
        <v>20</v>
      </c>
      <c r="AY159">
        <v>0</v>
      </c>
      <c r="AZ159">
        <v>965</v>
      </c>
      <c r="BA159">
        <v>3</v>
      </c>
      <c r="BB159">
        <v>1</v>
      </c>
      <c r="BC159" t="s">
        <v>75</v>
      </c>
      <c r="BD159" s="2" t="s">
        <v>992</v>
      </c>
      <c r="BE159">
        <f>HYPERLINK("http://exon.niaid.nih.gov/transcriptome/T_rubida/S2/links/GO/Triru-333-GO.txt",4E-52)</f>
        <v>4E-52</v>
      </c>
      <c r="BF159" t="s">
        <v>1929</v>
      </c>
      <c r="BG159" t="s">
        <v>77</v>
      </c>
      <c r="BH159" t="s">
        <v>745</v>
      </c>
      <c r="BI159" s="2" t="str">
        <f>HYPERLINK("http://exon.niaid.nih.gov/transcriptome/T_rubida/S2/links/CDD/Triru-333-CDD.txt","HECTc")</f>
        <v>HECTc</v>
      </c>
      <c r="BJ159" t="str">
        <f>HYPERLINK("http://www.ncbi.nlm.nih.gov/Structure/cdd/cddsrv.cgi?uid=cd00078&amp;version=v4.0","2E-024")</f>
        <v>2E-024</v>
      </c>
      <c r="BK159" t="s">
        <v>993</v>
      </c>
      <c r="BL159" s="2" t="str">
        <f>HYPERLINK("http://exon.niaid.nih.gov/transcriptome/T_rubida/S2/links/KOG/Triru-333-KOG.txt","E3 ubiquitin protein ligase")</f>
        <v>E3 ubiquitin protein ligase</v>
      </c>
      <c r="BM159" t="str">
        <f>HYPERLINK("http://www.ncbi.nlm.nih.gov/COG/grace/shokog.cgi?KOG4427","1E-055")</f>
        <v>1E-055</v>
      </c>
      <c r="BN159" t="s">
        <v>72</v>
      </c>
      <c r="BO159" s="2" t="str">
        <f>HYPERLINK("http://exon.niaid.nih.gov/transcriptome/T_rubida/S2/links/PFAM/Triru-333-PFAM.txt","HECT")</f>
        <v>HECT</v>
      </c>
      <c r="BP159" t="str">
        <f>HYPERLINK("http://pfam.sanger.ac.uk/family?acc=PF00632","1E-021")</f>
        <v>1E-021</v>
      </c>
      <c r="BQ159" s="2" t="str">
        <f>HYPERLINK("http://exon.niaid.nih.gov/transcriptome/T_rubida/S2/links/SMART/Triru-333-SMART.txt","HECTc")</f>
        <v>HECTc</v>
      </c>
      <c r="BR159" t="str">
        <f>HYPERLINK("http://smart.embl-heidelberg.de/smart/do_annotation.pl?DOMAIN=HECTc&amp;BLAST=DUMMY","9E-024")</f>
        <v>9E-024</v>
      </c>
      <c r="BS159" s="17">
        <v>97</v>
      </c>
      <c r="BT159" s="1">
        <v>1</v>
      </c>
      <c r="BU159" s="17">
        <v>154</v>
      </c>
      <c r="BV159" s="1">
        <v>1</v>
      </c>
      <c r="BW159" s="17">
        <v>187</v>
      </c>
      <c r="BX159" s="1">
        <v>1</v>
      </c>
      <c r="BY159" s="17">
        <v>199</v>
      </c>
      <c r="BZ159" s="1">
        <v>1</v>
      </c>
      <c r="CA159" s="17">
        <v>205</v>
      </c>
      <c r="CB159" s="1">
        <v>1</v>
      </c>
      <c r="CC159" s="17">
        <v>210</v>
      </c>
      <c r="CD159" s="1">
        <v>1</v>
      </c>
      <c r="CE159" s="17">
        <v>216</v>
      </c>
      <c r="CF159" s="1">
        <v>1</v>
      </c>
      <c r="CG159" s="17">
        <v>218</v>
      </c>
      <c r="CH159" s="1">
        <v>1</v>
      </c>
      <c r="CI159" s="17">
        <v>228</v>
      </c>
      <c r="CJ159" s="1">
        <v>1</v>
      </c>
      <c r="CK159" s="17">
        <v>233</v>
      </c>
      <c r="CL159" s="1">
        <v>1</v>
      </c>
      <c r="CM159" s="17">
        <v>240</v>
      </c>
      <c r="CN159" s="1">
        <v>1</v>
      </c>
      <c r="CO159" s="17">
        <v>251</v>
      </c>
      <c r="CP159" s="1">
        <v>1</v>
      </c>
      <c r="CQ159" s="17">
        <v>261</v>
      </c>
      <c r="CR159" s="1">
        <v>1</v>
      </c>
      <c r="CS159" s="17">
        <v>271</v>
      </c>
      <c r="CT159" s="1">
        <v>1</v>
      </c>
      <c r="CU159" s="17">
        <v>282</v>
      </c>
      <c r="CV159" s="1">
        <v>1</v>
      </c>
    </row>
    <row r="160" spans="1:100">
      <c r="A160" t="str">
        <f>HYPERLINK("http://exon.niaid.nih.gov/transcriptome/T_rubida/S2/links/pep/Triru-409-pep.txt","Triru-409")</f>
        <v>Triru-409</v>
      </c>
      <c r="B160">
        <v>60</v>
      </c>
      <c r="C160" s="1" t="s">
        <v>14</v>
      </c>
      <c r="D160" s="1" t="s">
        <v>3</v>
      </c>
      <c r="E160" t="str">
        <f>HYPERLINK("http://exon.niaid.nih.gov/transcriptome/T_rubida/S2/links/cds/Triru-409-cds.txt","Triru-409")</f>
        <v>Triru-409</v>
      </c>
      <c r="F160">
        <v>183</v>
      </c>
      <c r="G160" s="2" t="s">
        <v>1635</v>
      </c>
      <c r="H160" s="1">
        <v>1</v>
      </c>
      <c r="I160" s="3" t="s">
        <v>1267</v>
      </c>
      <c r="J160" s="17" t="str">
        <f>HYPERLINK("http://exon.niaid.nih.gov/transcriptome/T_rubida/S2/links/Sigp/Triru-409-SigP.txt","CYT")</f>
        <v>CYT</v>
      </c>
      <c r="K160" t="s">
        <v>5</v>
      </c>
      <c r="L160" s="1">
        <v>6.9029999999999996</v>
      </c>
      <c r="M160" s="1">
        <v>10</v>
      </c>
      <c r="P160" s="1">
        <v>0.41199999999999998</v>
      </c>
      <c r="Q160" s="1">
        <v>0.23100000000000001</v>
      </c>
      <c r="R160" s="1">
        <v>0.20799999999999999</v>
      </c>
      <c r="S160" s="17" t="s">
        <v>9</v>
      </c>
      <c r="T160">
        <v>5</v>
      </c>
      <c r="U160" t="s">
        <v>1428</v>
      </c>
      <c r="V160" s="17">
        <v>0</v>
      </c>
      <c r="W160" t="s">
        <v>5</v>
      </c>
      <c r="X160" t="s">
        <v>5</v>
      </c>
      <c r="Y160" t="s">
        <v>5</v>
      </c>
      <c r="Z160" t="s">
        <v>5</v>
      </c>
      <c r="AA160" t="s">
        <v>5</v>
      </c>
      <c r="AB160" s="17" t="str">
        <f>HYPERLINK("http://exon.niaid.nih.gov/transcriptome/T_rubida/S2/links/netoglyc/TRIRU-409-netoglyc.txt","4")</f>
        <v>4</v>
      </c>
      <c r="AC160">
        <v>26.7</v>
      </c>
      <c r="AD160">
        <v>3.3</v>
      </c>
      <c r="AE160">
        <v>3.3</v>
      </c>
      <c r="AF160" s="17" t="s">
        <v>5</v>
      </c>
      <c r="AG160" s="2" t="str">
        <f>HYPERLINK("http://exon.niaid.nih.gov/transcriptome/T_rubida/S2/links/NR/Triru-409-NR.txt","predicted protein")</f>
        <v>predicted protein</v>
      </c>
      <c r="AH160" t="str">
        <f>HYPERLINK("http://www.ncbi.nlm.nih.gov/sutils/blink.cgi?pid=224144141","7.8")</f>
        <v>7.8</v>
      </c>
      <c r="AI160" t="str">
        <f>HYPERLINK("http://www.ncbi.nlm.nih.gov/protein/224144141","gi|224144141")</f>
        <v>gi|224144141</v>
      </c>
      <c r="AJ160">
        <v>33.9</v>
      </c>
      <c r="AK160">
        <v>61</v>
      </c>
      <c r="AL160">
        <v>1116</v>
      </c>
      <c r="AM160">
        <v>32</v>
      </c>
      <c r="AN160">
        <v>6</v>
      </c>
      <c r="AO160" t="s">
        <v>373</v>
      </c>
      <c r="AP160" s="2" t="str">
        <f>HYPERLINK("http://exon.niaid.nih.gov/transcriptome/T_rubida/S2/links/SWISSP/Triru-409-SWISSP.txt","Probable serine/threonine-protein kinase DDB_G0271682")</f>
        <v>Probable serine/threonine-protein kinase DDB_G0271682</v>
      </c>
      <c r="AQ160" t="str">
        <f>HYPERLINK("http://www.uniprot.org/uniprot/Q86HG9","7.2")</f>
        <v>7.2</v>
      </c>
      <c r="AR160" t="s">
        <v>741</v>
      </c>
      <c r="AS160">
        <v>29.3</v>
      </c>
      <c r="AT160">
        <v>60</v>
      </c>
      <c r="AU160">
        <v>1024</v>
      </c>
      <c r="AV160">
        <v>26</v>
      </c>
      <c r="AW160">
        <v>6</v>
      </c>
      <c r="AX160">
        <v>45</v>
      </c>
      <c r="AY160">
        <v>3</v>
      </c>
      <c r="AZ160">
        <v>445</v>
      </c>
      <c r="BA160">
        <v>3</v>
      </c>
      <c r="BB160">
        <v>1</v>
      </c>
      <c r="BC160" t="s">
        <v>99</v>
      </c>
      <c r="BD160" s="2" t="s">
        <v>5</v>
      </c>
      <c r="BE160" t="s">
        <v>5</v>
      </c>
      <c r="BF160" t="s">
        <v>5</v>
      </c>
      <c r="BG160" t="s">
        <v>5</v>
      </c>
      <c r="BH160" t="s">
        <v>5</v>
      </c>
      <c r="BI160" s="2" t="str">
        <f>HYPERLINK("http://exon.niaid.nih.gov/transcriptome/T_rubida/S2/links/CDD/Triru-409-CDD.txt","PRK14510")</f>
        <v>PRK14510</v>
      </c>
      <c r="BJ160" t="str">
        <f>HYPERLINK("http://www.ncbi.nlm.nih.gov/Structure/cdd/cddsrv.cgi?uid=PRK14510&amp;version=v4.0","1.4")</f>
        <v>1.4</v>
      </c>
      <c r="BK160" t="s">
        <v>742</v>
      </c>
      <c r="BL160" s="2" t="str">
        <f>HYPERLINK("http://exon.niaid.nih.gov/transcriptome/T_rubida/S2/links/KOG/Triru-409-KOG.txt","Uncharacterized conserved protein")</f>
        <v>Uncharacterized conserved protein</v>
      </c>
      <c r="BM160" t="str">
        <f>HYPERLINK("http://www.ncbi.nlm.nih.gov/COG/grace/shokog.cgi?KOG4422","6.4")</f>
        <v>6.4</v>
      </c>
      <c r="BN160" t="s">
        <v>264</v>
      </c>
      <c r="BO160" s="2" t="str">
        <f>HYPERLINK("http://exon.niaid.nih.gov/transcriptome/T_rubida/S2/links/PFAM/Triru-409-PFAM.txt","Baculo_ODV-E27")</f>
        <v>Baculo_ODV-E27</v>
      </c>
      <c r="BP160" t="str">
        <f>HYPERLINK("http://pfam.sanger.ac.uk/family?acc=PF05314","1.0")</f>
        <v>1.0</v>
      </c>
      <c r="BQ160" s="2" t="str">
        <f>HYPERLINK("http://exon.niaid.nih.gov/transcriptome/T_rubida/S2/links/SMART/Triru-409-SMART.txt","SEC63")</f>
        <v>SEC63</v>
      </c>
      <c r="BR160" t="str">
        <f>HYPERLINK("http://smart.embl-heidelberg.de/smart/do_annotation.pl?DOMAIN=SEC63&amp;BLAST=DUMMY","4.1")</f>
        <v>4.1</v>
      </c>
      <c r="BS160" s="17">
        <f>HYPERLINK("http://exon.niaid.nih.gov/transcriptome/T_rubida/S2/links/cluster/Triru-pep-ext25-50-Sim-CLU1.txt", 1)</f>
        <v>1</v>
      </c>
      <c r="BT160" s="1">
        <f>HYPERLINK("http://exon.niaid.nih.gov/transcriptome/T_rubida/S2/links/cluster/Triru-pep-ext25-50-Sim-CLTL1.txt", 359)</f>
        <v>359</v>
      </c>
      <c r="BU160" s="17">
        <f>HYPERLINK("http://exon.niaid.nih.gov/transcriptome/T_rubida/S2/links/cluster/Triru-pep-ext30-50-Sim-CLU33.txt", 33)</f>
        <v>33</v>
      </c>
      <c r="BV160" s="1">
        <f>HYPERLINK("http://exon.niaid.nih.gov/transcriptome/T_rubida/S2/links/cluster/Triru-pep-ext30-50-Sim-CLTL33.txt", 2)</f>
        <v>2</v>
      </c>
      <c r="BW160" s="17">
        <v>234</v>
      </c>
      <c r="BX160" s="1">
        <v>1</v>
      </c>
      <c r="BY160" s="17">
        <v>252</v>
      </c>
      <c r="BZ160" s="1">
        <v>1</v>
      </c>
      <c r="CA160" s="17">
        <v>260</v>
      </c>
      <c r="CB160" s="1">
        <v>1</v>
      </c>
      <c r="CC160" s="17">
        <v>267</v>
      </c>
      <c r="CD160" s="1">
        <v>1</v>
      </c>
      <c r="CE160" s="17">
        <v>274</v>
      </c>
      <c r="CF160" s="1">
        <v>1</v>
      </c>
      <c r="CG160" s="17">
        <v>277</v>
      </c>
      <c r="CH160" s="1">
        <v>1</v>
      </c>
      <c r="CI160" s="17">
        <v>287</v>
      </c>
      <c r="CJ160" s="1">
        <v>1</v>
      </c>
      <c r="CK160" s="17">
        <v>293</v>
      </c>
      <c r="CL160" s="1">
        <v>1</v>
      </c>
      <c r="CM160" s="17">
        <v>301</v>
      </c>
      <c r="CN160" s="1">
        <v>1</v>
      </c>
      <c r="CO160" s="17">
        <v>313</v>
      </c>
      <c r="CP160" s="1">
        <v>1</v>
      </c>
      <c r="CQ160" s="17">
        <v>323</v>
      </c>
      <c r="CR160" s="1">
        <v>1</v>
      </c>
      <c r="CS160" s="17">
        <v>335</v>
      </c>
      <c r="CT160" s="1">
        <v>1</v>
      </c>
      <c r="CU160" s="17">
        <v>346</v>
      </c>
      <c r="CV160" s="1">
        <v>1</v>
      </c>
    </row>
    <row r="161" spans="1:100">
      <c r="A161" t="str">
        <f>HYPERLINK("http://exon.niaid.nih.gov/transcriptome/T_rubida/S2/links/pep/Triru-461-pep.txt","Triru-461")</f>
        <v>Triru-461</v>
      </c>
      <c r="B161">
        <v>177</v>
      </c>
      <c r="C161" s="1" t="s">
        <v>17</v>
      </c>
      <c r="D161" s="1" t="s">
        <v>3</v>
      </c>
      <c r="E161" t="str">
        <f>HYPERLINK("http://exon.niaid.nih.gov/transcriptome/T_rubida/S2/links/cds/Triru-461-cds.txt","Triru-461")</f>
        <v>Triru-461</v>
      </c>
      <c r="F161">
        <v>534</v>
      </c>
      <c r="G161" s="2" t="s">
        <v>1636</v>
      </c>
      <c r="H161" s="1">
        <v>1</v>
      </c>
      <c r="I161" s="3" t="s">
        <v>1287</v>
      </c>
      <c r="J161" s="17" t="str">
        <f>HYPERLINK("http://exon.niaid.nih.gov/transcriptome/T_rubida/S2/links/Sigp/Triru-461-SigP.txt","CYT")</f>
        <v>CYT</v>
      </c>
      <c r="K161" t="s">
        <v>5</v>
      </c>
      <c r="L161" s="1">
        <v>18.972999999999999</v>
      </c>
      <c r="M161" s="1">
        <v>6.47</v>
      </c>
      <c r="P161" s="1">
        <v>0.39600000000000002</v>
      </c>
      <c r="Q161" s="1">
        <v>0.05</v>
      </c>
      <c r="R161" s="1">
        <v>0.49099999999999999</v>
      </c>
      <c r="S161" s="17" t="s">
        <v>1346</v>
      </c>
      <c r="T161">
        <v>5</v>
      </c>
      <c r="U161" t="s">
        <v>1429</v>
      </c>
      <c r="V161" s="17">
        <v>0</v>
      </c>
      <c r="W161" t="s">
        <v>5</v>
      </c>
      <c r="X161" t="s">
        <v>5</v>
      </c>
      <c r="Y161" t="s">
        <v>5</v>
      </c>
      <c r="Z161" t="s">
        <v>5</v>
      </c>
      <c r="AA161" t="s">
        <v>5</v>
      </c>
      <c r="AB161" s="17" t="str">
        <f>HYPERLINK("http://exon.niaid.nih.gov/transcriptome/T_rubida/S2/links/netoglyc/TRIRU-461-netoglyc.txt","1")</f>
        <v>1</v>
      </c>
      <c r="AC161">
        <v>9</v>
      </c>
      <c r="AD161">
        <v>9.6</v>
      </c>
      <c r="AE161">
        <v>3.4</v>
      </c>
      <c r="AF161" s="17" t="s">
        <v>5</v>
      </c>
      <c r="AG161" s="2" t="str">
        <f>HYPERLINK("http://exon.niaid.nih.gov/transcriptome/T_rubida/S2/links/NR/Triru-461-NR.txt","hypothetical protein")</f>
        <v>hypothetical protein</v>
      </c>
      <c r="AH161" t="str">
        <f>HYPERLINK("http://www.ncbi.nlm.nih.gov/sutils/blink.cgi?pid=156545944","4E-060")</f>
        <v>4E-060</v>
      </c>
      <c r="AI161" t="str">
        <f>HYPERLINK("http://www.ncbi.nlm.nih.gov/protein/156545944","gi|156545944")</f>
        <v>gi|156545944</v>
      </c>
      <c r="AJ161">
        <v>234</v>
      </c>
      <c r="AK161">
        <v>174</v>
      </c>
      <c r="AL161">
        <v>526</v>
      </c>
      <c r="AM161">
        <v>63</v>
      </c>
      <c r="AN161">
        <v>33</v>
      </c>
      <c r="AO161" t="s">
        <v>288</v>
      </c>
      <c r="AP161" s="2" t="str">
        <f>HYPERLINK("http://exon.niaid.nih.gov/transcriptome/T_rubida/S2/links/SWISSP/Triru-461-SWISSP.txt","Putative aminopeptidase W07G4.4")</f>
        <v>Putative aminopeptidase W07G4.4</v>
      </c>
      <c r="AQ161" t="str">
        <f>HYPERLINK("http://www.uniprot.org/uniprot/Q27245","2E-035")</f>
        <v>2E-035</v>
      </c>
      <c r="AR161" t="s">
        <v>588</v>
      </c>
      <c r="AS161">
        <v>148</v>
      </c>
      <c r="AT161">
        <v>174</v>
      </c>
      <c r="AU161">
        <v>522</v>
      </c>
      <c r="AV161">
        <v>43</v>
      </c>
      <c r="AW161">
        <v>34</v>
      </c>
      <c r="AX161">
        <v>99</v>
      </c>
      <c r="AY161">
        <v>1</v>
      </c>
      <c r="AZ161">
        <v>345</v>
      </c>
      <c r="BA161">
        <v>2</v>
      </c>
      <c r="BB161">
        <v>1</v>
      </c>
      <c r="BC161" t="s">
        <v>315</v>
      </c>
      <c r="BD161" s="2" t="s">
        <v>589</v>
      </c>
      <c r="BE161">
        <f>HYPERLINK("http://exon.niaid.nih.gov/transcriptome/T_rubida/S2/links/GO/Triru-461-GO.txt",1E-57)</f>
        <v>9.9999999999999995E-58</v>
      </c>
      <c r="BF161" t="s">
        <v>1930</v>
      </c>
      <c r="BG161" t="s">
        <v>77</v>
      </c>
      <c r="BH161" t="s">
        <v>590</v>
      </c>
      <c r="BI161" s="2" t="str">
        <f>HYPERLINK("http://exon.niaid.nih.gov/transcriptome/T_rubida/S2/links/CDD/Triru-461-CDD.txt","Peptidase_M17")</f>
        <v>Peptidase_M17</v>
      </c>
      <c r="BJ161" t="str">
        <f>HYPERLINK("http://www.ncbi.nlm.nih.gov/Structure/cdd/cddsrv.cgi?uid=cd00433&amp;version=v4.0","6E-025")</f>
        <v>6E-025</v>
      </c>
      <c r="BK161" t="s">
        <v>1166</v>
      </c>
      <c r="BL161" s="2" t="str">
        <f>HYPERLINK("http://exon.niaid.nih.gov/transcriptome/T_rubida/S2/links/KOG/Triru-461-KOG.txt","Predicted aminopeptidase of the M17 family")</f>
        <v>Predicted aminopeptidase of the M17 family</v>
      </c>
      <c r="BM161" t="str">
        <f>HYPERLINK("http://www.ncbi.nlm.nih.gov/COG/grace/shokog.cgi?KOG2597","5E-024")</f>
        <v>5E-024</v>
      </c>
      <c r="BN161" t="s">
        <v>96</v>
      </c>
      <c r="BO161" s="2" t="str">
        <f>HYPERLINK("http://exon.niaid.nih.gov/transcriptome/T_rubida/S2/links/PFAM/Triru-461-PFAM.txt","Peptidase_M17")</f>
        <v>Peptidase_M17</v>
      </c>
      <c r="BP161" t="str">
        <f>HYPERLINK("http://pfam.sanger.ac.uk/family?acc=PF00883","6E-012")</f>
        <v>6E-012</v>
      </c>
      <c r="BQ161" s="2" t="str">
        <f>HYPERLINK("http://exon.niaid.nih.gov/transcriptome/T_rubida/S2/links/SMART/Triru-461-SMART.txt","CASc")</f>
        <v>CASc</v>
      </c>
      <c r="BR161" t="str">
        <f>HYPERLINK("http://smart.embl-heidelberg.de/smart/do_annotation.pl?DOMAIN=CASc&amp;BLAST=DUMMY","0.91")</f>
        <v>0.91</v>
      </c>
      <c r="BS161" s="17">
        <f>HYPERLINK("http://exon.niaid.nih.gov/transcriptome/T_rubida/S2/links/cluster/Triru-pep-ext25-50-Sim-CLU28.txt", 28)</f>
        <v>28</v>
      </c>
      <c r="BT161" s="1">
        <f>HYPERLINK("http://exon.niaid.nih.gov/transcriptome/T_rubida/S2/links/cluster/Triru-pep-ext25-50-Sim-CLTL28.txt", 2)</f>
        <v>2</v>
      </c>
      <c r="BU161" s="17">
        <f>HYPERLINK("http://exon.niaid.nih.gov/transcriptome/T_rubida/S2/links/cluster/Triru-pep-ext30-50-Sim-CLU40.txt", 40)</f>
        <v>40</v>
      </c>
      <c r="BV161" s="1">
        <f>HYPERLINK("http://exon.niaid.nih.gov/transcriptome/T_rubida/S2/links/cluster/Triru-pep-ext30-50-Sim-CLTL40.txt", 2)</f>
        <v>2</v>
      </c>
      <c r="BW161" s="17">
        <f>HYPERLINK("http://exon.niaid.nih.gov/transcriptome/T_rubida/S2/links/cluster/Triru-pep-ext35-50-Sim-CLU39.txt", 39)</f>
        <v>39</v>
      </c>
      <c r="BX161" s="1">
        <f>HYPERLINK("http://exon.niaid.nih.gov/transcriptome/T_rubida/S2/links/cluster/Triru-pep-ext35-50-Sim-CLTL39.txt", 2)</f>
        <v>2</v>
      </c>
      <c r="BY161" s="17">
        <f>HYPERLINK("http://exon.niaid.nih.gov/transcriptome/T_rubida/S2/links/cluster/Triru-pep-ext40-50-Sim-CLU36.txt", 36)</f>
        <v>36</v>
      </c>
      <c r="BZ161" s="1">
        <f>HYPERLINK("http://exon.niaid.nih.gov/transcriptome/T_rubida/S2/links/cluster/Triru-pep-ext40-50-Sim-CLTL36.txt", 2)</f>
        <v>2</v>
      </c>
      <c r="CA161" s="17">
        <f>HYPERLINK("http://exon.niaid.nih.gov/transcriptome/T_rubida/S2/links/cluster/Triru-pep-ext45-50-Sim-CLU31.txt", 31)</f>
        <v>31</v>
      </c>
      <c r="CB161" s="1">
        <f>HYPERLINK("http://exon.niaid.nih.gov/transcriptome/T_rubida/S2/links/cluster/Triru-pep-ext45-50-Sim-CLTL31.txt", 2)</f>
        <v>2</v>
      </c>
      <c r="CC161" s="17">
        <f>HYPERLINK("http://exon.niaid.nih.gov/transcriptome/T_rubida/S2/links/cluster/Triru-pep-ext50-50-Sim-CLU29.txt", 29)</f>
        <v>29</v>
      </c>
      <c r="CD161" s="1">
        <f>HYPERLINK("http://exon.niaid.nih.gov/transcriptome/T_rubida/S2/links/cluster/Triru-pep-ext50-50-Sim-CLTL29.txt", 2)</f>
        <v>2</v>
      </c>
      <c r="CE161" s="17">
        <f>HYPERLINK("http://exon.niaid.nih.gov/transcriptome/T_rubida/S2/links/cluster/Triru-pep-ext55-50-Sim-CLU23.txt", 23)</f>
        <v>23</v>
      </c>
      <c r="CF161" s="1">
        <f>HYPERLINK("http://exon.niaid.nih.gov/transcriptome/T_rubida/S2/links/cluster/Triru-pep-ext55-50-Sim-CLTL23.txt", 2)</f>
        <v>2</v>
      </c>
      <c r="CG161" s="17">
        <v>322</v>
      </c>
      <c r="CH161" s="1">
        <v>1</v>
      </c>
      <c r="CI161" s="17">
        <v>332</v>
      </c>
      <c r="CJ161" s="1">
        <v>1</v>
      </c>
      <c r="CK161" s="17">
        <v>338</v>
      </c>
      <c r="CL161" s="1">
        <v>1</v>
      </c>
      <c r="CM161" s="17">
        <v>346</v>
      </c>
      <c r="CN161" s="1">
        <v>1</v>
      </c>
      <c r="CO161" s="17">
        <v>358</v>
      </c>
      <c r="CP161" s="1">
        <v>1</v>
      </c>
      <c r="CQ161" s="17">
        <v>368</v>
      </c>
      <c r="CR161" s="1">
        <v>1</v>
      </c>
      <c r="CS161" s="17">
        <v>381</v>
      </c>
      <c r="CT161" s="1">
        <v>1</v>
      </c>
      <c r="CU161" s="17">
        <v>392</v>
      </c>
      <c r="CV161" s="1">
        <v>1</v>
      </c>
    </row>
    <row r="162" spans="1:100">
      <c r="A162" t="str">
        <f>HYPERLINK("http://exon.niaid.nih.gov/transcriptome/T_rubida/S2/links/pep/Triru-434-pep.txt","Triru-434")</f>
        <v>Triru-434</v>
      </c>
      <c r="B162">
        <v>101</v>
      </c>
      <c r="C162" s="1" t="s">
        <v>6</v>
      </c>
      <c r="D162" s="1" t="s">
        <v>3</v>
      </c>
      <c r="E162" t="str">
        <f>HYPERLINK("http://exon.niaid.nih.gov/transcriptome/T_rubida/S2/links/cds/Triru-434-cds.txt","Triru-434")</f>
        <v>Triru-434</v>
      </c>
      <c r="F162">
        <v>306</v>
      </c>
      <c r="G162" s="2" t="s">
        <v>1636</v>
      </c>
      <c r="H162" s="1">
        <v>1</v>
      </c>
      <c r="I162" s="3" t="s">
        <v>1287</v>
      </c>
      <c r="J162" s="17" t="str">
        <f>HYPERLINK("http://exon.niaid.nih.gov/transcriptome/T_rubida/S2/links/Sigp/Triru-434-SigP.txt","CYT")</f>
        <v>CYT</v>
      </c>
      <c r="K162" t="s">
        <v>5</v>
      </c>
      <c r="L162" s="1">
        <v>10.81</v>
      </c>
      <c r="M162" s="1">
        <v>5.18</v>
      </c>
      <c r="P162" s="1">
        <v>5.8999999999999997E-2</v>
      </c>
      <c r="Q162" s="1">
        <v>7.1999999999999995E-2</v>
      </c>
      <c r="R162" s="1">
        <v>0.94099999999999995</v>
      </c>
      <c r="S162" s="17" t="s">
        <v>1346</v>
      </c>
      <c r="T162">
        <v>1</v>
      </c>
      <c r="U162" t="s">
        <v>1350</v>
      </c>
      <c r="V162" s="17">
        <v>0</v>
      </c>
      <c r="W162" t="s">
        <v>5</v>
      </c>
      <c r="X162" t="s">
        <v>5</v>
      </c>
      <c r="Y162" t="s">
        <v>5</v>
      </c>
      <c r="Z162" t="s">
        <v>5</v>
      </c>
      <c r="AA162" t="s">
        <v>5</v>
      </c>
      <c r="AB162" s="17" t="str">
        <f>HYPERLINK("http://exon.niaid.nih.gov/transcriptome/T_rubida/S2/links/netoglyc/TRIRU-434-netoglyc.txt","1")</f>
        <v>1</v>
      </c>
      <c r="AC162">
        <v>8.9</v>
      </c>
      <c r="AD162">
        <v>8.9</v>
      </c>
      <c r="AE162">
        <v>4</v>
      </c>
      <c r="AF162" s="17" t="s">
        <v>5</v>
      </c>
      <c r="AG162" s="2" t="str">
        <f>HYPERLINK("http://exon.niaid.nih.gov/transcriptome/T_rubida/S2/links/NR/Triru-434-NR.txt","hypothetical protein")</f>
        <v>hypothetical protein</v>
      </c>
      <c r="AH162" t="str">
        <f>HYPERLINK("http://www.ncbi.nlm.nih.gov/sutils/blink.cgi?pid=156545944","7E-030")</f>
        <v>7E-030</v>
      </c>
      <c r="AI162" t="str">
        <f>HYPERLINK("http://www.ncbi.nlm.nih.gov/protein/156545944","gi|156545944")</f>
        <v>gi|156545944</v>
      </c>
      <c r="AJ162">
        <v>133</v>
      </c>
      <c r="AK162">
        <v>99</v>
      </c>
      <c r="AL162">
        <v>526</v>
      </c>
      <c r="AM162">
        <v>62</v>
      </c>
      <c r="AN162">
        <v>19</v>
      </c>
      <c r="AO162" t="s">
        <v>288</v>
      </c>
      <c r="AP162" s="2" t="str">
        <f>HYPERLINK("http://exon.niaid.nih.gov/transcriptome/T_rubida/S2/links/SWISSP/Triru-434-SWISSP.txt","Putative aminopeptidase W07G4.4")</f>
        <v>Putative aminopeptidase W07G4.4</v>
      </c>
      <c r="AQ162" t="str">
        <f>HYPERLINK("http://www.uniprot.org/uniprot/Q27245","5E-015")</f>
        <v>5E-015</v>
      </c>
      <c r="AR162" t="s">
        <v>588</v>
      </c>
      <c r="AS162">
        <v>79.7</v>
      </c>
      <c r="AT162">
        <v>100</v>
      </c>
      <c r="AU162">
        <v>522</v>
      </c>
      <c r="AV162">
        <v>38</v>
      </c>
      <c r="AW162">
        <v>19</v>
      </c>
      <c r="AX162">
        <v>62</v>
      </c>
      <c r="AY162">
        <v>0</v>
      </c>
      <c r="AZ162">
        <v>419</v>
      </c>
      <c r="BA162">
        <v>1</v>
      </c>
      <c r="BB162">
        <v>1</v>
      </c>
      <c r="BC162" t="s">
        <v>315</v>
      </c>
      <c r="BD162" s="2" t="s">
        <v>589</v>
      </c>
      <c r="BE162">
        <f>HYPERLINK("http://exon.niaid.nih.gov/transcriptome/T_rubida/S2/links/GO/Triru-434-GO.txt",9E-29)</f>
        <v>8.9999999999999996E-29</v>
      </c>
      <c r="BF162" t="s">
        <v>1930</v>
      </c>
      <c r="BG162" t="s">
        <v>77</v>
      </c>
      <c r="BH162" t="s">
        <v>590</v>
      </c>
      <c r="BI162" s="2" t="str">
        <f>HYPERLINK("http://exon.niaid.nih.gov/transcriptome/T_rubida/S2/links/CDD/Triru-434-CDD.txt","Peptidase_M17")</f>
        <v>Peptidase_M17</v>
      </c>
      <c r="BJ162" t="str">
        <f>HYPERLINK("http://www.ncbi.nlm.nih.gov/Structure/cdd/cddsrv.cgi?uid=cd00433&amp;version=v4.0","2E-005")</f>
        <v>2E-005</v>
      </c>
      <c r="BK162" t="s">
        <v>591</v>
      </c>
      <c r="BL162" s="2" t="str">
        <f>HYPERLINK("http://exon.niaid.nih.gov/transcriptome/T_rubida/S2/links/KOG/Triru-434-KOG.txt","Predicted aminopeptidase of the M17 family")</f>
        <v>Predicted aminopeptidase of the M17 family</v>
      </c>
      <c r="BM162" t="str">
        <f>HYPERLINK("http://www.ncbi.nlm.nih.gov/COG/grace/shokog.cgi?KOG2597","6E-006")</f>
        <v>6E-006</v>
      </c>
      <c r="BN162" t="s">
        <v>96</v>
      </c>
      <c r="BO162" s="2" t="str">
        <f>HYPERLINK("http://exon.niaid.nih.gov/transcriptome/T_rubida/S2/links/PFAM/Triru-434-PFAM.txt","Peptidase_M17")</f>
        <v>Peptidase_M17</v>
      </c>
      <c r="BP162" t="str">
        <f>HYPERLINK("http://pfam.sanger.ac.uk/family?acc=PF00883","0.12")</f>
        <v>0.12</v>
      </c>
      <c r="BQ162" s="2" t="str">
        <f>HYPERLINK("http://exon.niaid.nih.gov/transcriptome/T_rubida/S2/links/SMART/Triru-434-SMART.txt","CASc")</f>
        <v>CASc</v>
      </c>
      <c r="BR162" t="str">
        <f>HYPERLINK("http://smart.embl-heidelberg.de/smart/do_annotation.pl?DOMAIN=CASc&amp;BLAST=DUMMY","0.44")</f>
        <v>0.44</v>
      </c>
      <c r="BS162" s="17">
        <f>HYPERLINK("http://exon.niaid.nih.gov/transcriptome/T_rubida/S2/links/cluster/Triru-pep-ext25-50-Sim-CLU28.txt", 28)</f>
        <v>28</v>
      </c>
      <c r="BT162" s="1">
        <f>HYPERLINK("http://exon.niaid.nih.gov/transcriptome/T_rubida/S2/links/cluster/Triru-pep-ext25-50-Sim-CLTL28.txt", 2)</f>
        <v>2</v>
      </c>
      <c r="BU162" s="17">
        <f>HYPERLINK("http://exon.niaid.nih.gov/transcriptome/T_rubida/S2/links/cluster/Triru-pep-ext30-50-Sim-CLU40.txt", 40)</f>
        <v>40</v>
      </c>
      <c r="BV162" s="1">
        <f>HYPERLINK("http://exon.niaid.nih.gov/transcriptome/T_rubida/S2/links/cluster/Triru-pep-ext30-50-Sim-CLTL40.txt", 2)</f>
        <v>2</v>
      </c>
      <c r="BW162" s="17">
        <f>HYPERLINK("http://exon.niaid.nih.gov/transcriptome/T_rubida/S2/links/cluster/Triru-pep-ext35-50-Sim-CLU39.txt", 39)</f>
        <v>39</v>
      </c>
      <c r="BX162" s="1">
        <f>HYPERLINK("http://exon.niaid.nih.gov/transcriptome/T_rubida/S2/links/cluster/Triru-pep-ext35-50-Sim-CLTL39.txt", 2)</f>
        <v>2</v>
      </c>
      <c r="BY162" s="17">
        <f>HYPERLINK("http://exon.niaid.nih.gov/transcriptome/T_rubida/S2/links/cluster/Triru-pep-ext40-50-Sim-CLU36.txt", 36)</f>
        <v>36</v>
      </c>
      <c r="BZ162" s="1">
        <f>HYPERLINK("http://exon.niaid.nih.gov/transcriptome/T_rubida/S2/links/cluster/Triru-pep-ext40-50-Sim-CLTL36.txt", 2)</f>
        <v>2</v>
      </c>
      <c r="CA162" s="17">
        <f>HYPERLINK("http://exon.niaid.nih.gov/transcriptome/T_rubida/S2/links/cluster/Triru-pep-ext45-50-Sim-CLU31.txt", 31)</f>
        <v>31</v>
      </c>
      <c r="CB162" s="1">
        <f>HYPERLINK("http://exon.niaid.nih.gov/transcriptome/T_rubida/S2/links/cluster/Triru-pep-ext45-50-Sim-CLTL31.txt", 2)</f>
        <v>2</v>
      </c>
      <c r="CC162" s="17">
        <f>HYPERLINK("http://exon.niaid.nih.gov/transcriptome/T_rubida/S2/links/cluster/Triru-pep-ext50-50-Sim-CLU29.txt", 29)</f>
        <v>29</v>
      </c>
      <c r="CD162" s="1">
        <f>HYPERLINK("http://exon.niaid.nih.gov/transcriptome/T_rubida/S2/links/cluster/Triru-pep-ext50-50-Sim-CLTL29.txt", 2)</f>
        <v>2</v>
      </c>
      <c r="CE162" s="17">
        <f>HYPERLINK("http://exon.niaid.nih.gov/transcriptome/T_rubida/S2/links/cluster/Triru-pep-ext55-50-Sim-CLU23.txt", 23)</f>
        <v>23</v>
      </c>
      <c r="CF162" s="1">
        <f>HYPERLINK("http://exon.niaid.nih.gov/transcriptome/T_rubida/S2/links/cluster/Triru-pep-ext55-50-Sim-CLTL23.txt", 2)</f>
        <v>2</v>
      </c>
      <c r="CG162" s="17">
        <v>300</v>
      </c>
      <c r="CH162" s="1">
        <v>1</v>
      </c>
      <c r="CI162" s="17">
        <v>310</v>
      </c>
      <c r="CJ162" s="1">
        <v>1</v>
      </c>
      <c r="CK162" s="17">
        <v>316</v>
      </c>
      <c r="CL162" s="1">
        <v>1</v>
      </c>
      <c r="CM162" s="17">
        <v>324</v>
      </c>
      <c r="CN162" s="1">
        <v>1</v>
      </c>
      <c r="CO162" s="17">
        <v>336</v>
      </c>
      <c r="CP162" s="1">
        <v>1</v>
      </c>
      <c r="CQ162" s="17">
        <v>346</v>
      </c>
      <c r="CR162" s="1">
        <v>1</v>
      </c>
      <c r="CS162" s="17">
        <v>358</v>
      </c>
      <c r="CT162" s="1">
        <v>1</v>
      </c>
      <c r="CU162" s="17">
        <v>369</v>
      </c>
      <c r="CV162" s="1">
        <v>1</v>
      </c>
    </row>
    <row r="163" spans="1:100">
      <c r="A163" t="str">
        <f>HYPERLINK("http://exon.niaid.nih.gov/transcriptome/T_rubida/S2/links/pep/Triru-391-pep.txt","Triru-391")</f>
        <v>Triru-391</v>
      </c>
      <c r="B163">
        <v>222</v>
      </c>
      <c r="C163" s="1" t="s">
        <v>6</v>
      </c>
      <c r="D163" s="1" t="s">
        <v>3</v>
      </c>
      <c r="E163" t="str">
        <f>HYPERLINK("http://exon.niaid.nih.gov/transcriptome/T_rubida/S2/links/cds/Triru-391-cds.txt","Triru-391")</f>
        <v>Triru-391</v>
      </c>
      <c r="F163">
        <v>669</v>
      </c>
      <c r="G163" s="2" t="s">
        <v>1637</v>
      </c>
      <c r="H163" s="1">
        <v>1</v>
      </c>
      <c r="I163" s="3" t="s">
        <v>1288</v>
      </c>
      <c r="J163" s="17" t="str">
        <f>HYPERLINK("http://exon.niaid.nih.gov/transcriptome/T_rubida/S2/links/Sigp/Triru-391-SigP.txt","BL")</f>
        <v>BL</v>
      </c>
      <c r="K163">
        <f>-1-0</f>
        <v>-1</v>
      </c>
      <c r="L163" s="1">
        <v>24.439</v>
      </c>
      <c r="M163" s="1">
        <v>7</v>
      </c>
      <c r="P163" s="1">
        <v>0.29699999999999999</v>
      </c>
      <c r="Q163" s="1">
        <v>0.26200000000000001</v>
      </c>
      <c r="R163" s="1">
        <v>0.23899999999999999</v>
      </c>
      <c r="S163" s="17" t="s">
        <v>9</v>
      </c>
      <c r="T163">
        <v>5</v>
      </c>
      <c r="U163" t="s">
        <v>1430</v>
      </c>
      <c r="V163" s="17">
        <v>0</v>
      </c>
      <c r="W163" t="s">
        <v>5</v>
      </c>
      <c r="X163" t="s">
        <v>5</v>
      </c>
      <c r="Y163" t="s">
        <v>5</v>
      </c>
      <c r="Z163" t="s">
        <v>5</v>
      </c>
      <c r="AA163" t="s">
        <v>5</v>
      </c>
      <c r="AB163" s="17" t="str">
        <f>HYPERLINK("http://exon.niaid.nih.gov/transcriptome/T_rubida/S2/links/netoglyc/TRIRU-391-netoglyc.txt","0")</f>
        <v>0</v>
      </c>
      <c r="AC163">
        <v>14.4</v>
      </c>
      <c r="AD163">
        <v>6.8</v>
      </c>
      <c r="AE163">
        <v>3.6</v>
      </c>
      <c r="AF163" s="17" t="s">
        <v>5</v>
      </c>
      <c r="AG163" s="2" t="str">
        <f>HYPERLINK("http://exon.niaid.nih.gov/transcriptome/T_rubida/S2/links/NR/Triru-391-NR.txt","proteasome subunit alpha type 6")</f>
        <v>proteasome subunit alpha type 6</v>
      </c>
      <c r="AH163" t="str">
        <f>HYPERLINK("http://www.ncbi.nlm.nih.gov/sutils/blink.cgi?pid=307095114","1E-112")</f>
        <v>1E-112</v>
      </c>
      <c r="AI163" t="str">
        <f>HYPERLINK("http://www.ncbi.nlm.nih.gov/protein/307095114","gi|307095114")</f>
        <v>gi|307095114</v>
      </c>
      <c r="AJ163">
        <v>407</v>
      </c>
      <c r="AK163">
        <v>211</v>
      </c>
      <c r="AL163">
        <v>246</v>
      </c>
      <c r="AM163">
        <v>96</v>
      </c>
      <c r="AN163">
        <v>86</v>
      </c>
      <c r="AO163" t="s">
        <v>120</v>
      </c>
      <c r="AP163" s="2" t="str">
        <f>HYPERLINK("http://exon.niaid.nih.gov/transcriptome/T_rubida/S2/links/SWISSP/Triru-391-SWISSP.txt","Proteasome subunit alpha type-6")</f>
        <v>Proteasome subunit alpha type-6</v>
      </c>
      <c r="AQ163" t="str">
        <f>HYPERLINK("http://www.uniprot.org/uniprot/P60901","6E-084")</f>
        <v>6E-084</v>
      </c>
      <c r="AR163" t="s">
        <v>689</v>
      </c>
      <c r="AS163">
        <v>310</v>
      </c>
      <c r="AT163">
        <v>216</v>
      </c>
      <c r="AU163">
        <v>246</v>
      </c>
      <c r="AV163">
        <v>67</v>
      </c>
      <c r="AW163">
        <v>88</v>
      </c>
      <c r="AX163">
        <v>71</v>
      </c>
      <c r="AY163">
        <v>1</v>
      </c>
      <c r="AZ163">
        <v>30</v>
      </c>
      <c r="BA163">
        <v>5</v>
      </c>
      <c r="BB163">
        <v>1</v>
      </c>
      <c r="BC163" t="s">
        <v>130</v>
      </c>
      <c r="BD163" s="2" t="s">
        <v>690</v>
      </c>
      <c r="BE163">
        <f>HYPERLINK("http://exon.niaid.nih.gov/transcriptome/T_rubida/S2/links/GO/Triru-391-GO.txt",2E-84)</f>
        <v>2.0000000000000001E-84</v>
      </c>
      <c r="BF163" t="s">
        <v>1931</v>
      </c>
      <c r="BG163" t="s">
        <v>77</v>
      </c>
      <c r="BH163" t="s">
        <v>590</v>
      </c>
      <c r="BI163" s="2" t="str">
        <f>HYPERLINK("http://exon.niaid.nih.gov/transcriptome/T_rubida/S2/links/CDD/Triru-391-CDD.txt","proteasome_alph")</f>
        <v>proteasome_alph</v>
      </c>
      <c r="BJ163" t="str">
        <f>HYPERLINK("http://www.ncbi.nlm.nih.gov/Structure/cdd/cddsrv.cgi?uid=cd03754&amp;version=v4.0","3E-085")</f>
        <v>3E-085</v>
      </c>
      <c r="BK163" t="s">
        <v>691</v>
      </c>
      <c r="BL163" s="2" t="str">
        <f>HYPERLINK("http://exon.niaid.nih.gov/transcriptome/T_rubida/S2/links/KOG/Triru-391-KOG.txt","20S proteasome, regulatory subunit alpha type PSMA6/SCL1")</f>
        <v>20S proteasome, regulatory subunit alpha type PSMA6/SCL1</v>
      </c>
      <c r="BM163" t="str">
        <f>HYPERLINK("http://www.ncbi.nlm.nih.gov/COG/grace/shokog.cgi?KOG0182","1E-085")</f>
        <v>1E-085</v>
      </c>
      <c r="BN163" t="s">
        <v>72</v>
      </c>
      <c r="BO163" s="2" t="str">
        <f>HYPERLINK("http://exon.niaid.nih.gov/transcriptome/T_rubida/S2/links/PFAM/Triru-391-PFAM.txt","Proteasome")</f>
        <v>Proteasome</v>
      </c>
      <c r="BP163" t="str">
        <f>HYPERLINK("http://pfam.sanger.ac.uk/family?acc=PF00227","1E-040")</f>
        <v>1E-040</v>
      </c>
      <c r="BQ163" s="2" t="str">
        <f>HYPERLINK("http://exon.niaid.nih.gov/transcriptome/T_rubida/S2/links/SMART/Triru-391-SMART.txt","HSA")</f>
        <v>HSA</v>
      </c>
      <c r="BR163" t="str">
        <f>HYPERLINK("http://smart.embl-heidelberg.de/smart/do_annotation.pl?DOMAIN=HSA&amp;BLAST=DUMMY","0.018")</f>
        <v>0.018</v>
      </c>
      <c r="BS163" s="17">
        <v>118</v>
      </c>
      <c r="BT163" s="1">
        <v>1</v>
      </c>
      <c r="BU163" s="17">
        <v>181</v>
      </c>
      <c r="BV163" s="1">
        <v>1</v>
      </c>
      <c r="BW163" s="17">
        <v>224</v>
      </c>
      <c r="BX163" s="1">
        <v>1</v>
      </c>
      <c r="BY163" s="17">
        <v>240</v>
      </c>
      <c r="BZ163" s="1">
        <v>1</v>
      </c>
      <c r="CA163" s="17">
        <v>247</v>
      </c>
      <c r="CB163" s="1">
        <v>1</v>
      </c>
      <c r="CC163" s="17">
        <v>252</v>
      </c>
      <c r="CD163" s="1">
        <v>1</v>
      </c>
      <c r="CE163" s="17">
        <v>259</v>
      </c>
      <c r="CF163" s="1">
        <v>1</v>
      </c>
      <c r="CG163" s="17">
        <v>262</v>
      </c>
      <c r="CH163" s="1">
        <v>1</v>
      </c>
      <c r="CI163" s="17">
        <v>272</v>
      </c>
      <c r="CJ163" s="1">
        <v>1</v>
      </c>
      <c r="CK163" s="17">
        <v>277</v>
      </c>
      <c r="CL163" s="1">
        <v>1</v>
      </c>
      <c r="CM163" s="17">
        <v>285</v>
      </c>
      <c r="CN163" s="1">
        <v>1</v>
      </c>
      <c r="CO163" s="17">
        <v>297</v>
      </c>
      <c r="CP163" s="1">
        <v>1</v>
      </c>
      <c r="CQ163" s="17">
        <v>307</v>
      </c>
      <c r="CR163" s="1">
        <v>1</v>
      </c>
      <c r="CS163" s="17">
        <v>319</v>
      </c>
      <c r="CT163" s="1">
        <v>1</v>
      </c>
      <c r="CU163" s="17">
        <v>330</v>
      </c>
      <c r="CV163" s="1">
        <v>1</v>
      </c>
    </row>
    <row r="164" spans="1:100">
      <c r="A164" t="str">
        <f>HYPERLINK("http://exon.niaid.nih.gov/transcriptome/T_rubida/S2/links/pep/Triru-526-pep.txt","Triru-526")</f>
        <v>Triru-526</v>
      </c>
      <c r="B164">
        <v>258</v>
      </c>
      <c r="C164" s="1" t="s">
        <v>9</v>
      </c>
      <c r="D164" s="1" t="s">
        <v>3</v>
      </c>
      <c r="E164" t="str">
        <f>HYPERLINK("http://exon.niaid.nih.gov/transcriptome/T_rubida/S2/links/cds/Triru-526-cds.txt","Triru-526")</f>
        <v>Triru-526</v>
      </c>
      <c r="F164">
        <v>777</v>
      </c>
      <c r="G164" s="2" t="s">
        <v>1638</v>
      </c>
      <c r="H164" s="1">
        <v>1</v>
      </c>
      <c r="I164" s="3" t="s">
        <v>1288</v>
      </c>
      <c r="J164" s="17" t="str">
        <f>HYPERLINK("http://exon.niaid.nih.gov/transcriptome/T_rubida/S2/links/Sigp/Triru-526-SigP.txt","CYT")</f>
        <v>CYT</v>
      </c>
      <c r="K164" t="s">
        <v>5</v>
      </c>
      <c r="L164" s="1">
        <v>28.771000000000001</v>
      </c>
      <c r="M164" s="1">
        <v>5.42</v>
      </c>
      <c r="P164" s="1">
        <v>7.6999999999999999E-2</v>
      </c>
      <c r="Q164" s="1">
        <v>8.3000000000000004E-2</v>
      </c>
      <c r="R164" s="1">
        <v>0.90500000000000003</v>
      </c>
      <c r="S164" s="17" t="s">
        <v>1346</v>
      </c>
      <c r="T164">
        <v>1</v>
      </c>
      <c r="U164" t="s">
        <v>1431</v>
      </c>
      <c r="V164" s="17">
        <v>0</v>
      </c>
      <c r="W164" t="s">
        <v>5</v>
      </c>
      <c r="X164" t="s">
        <v>5</v>
      </c>
      <c r="Y164" t="s">
        <v>5</v>
      </c>
      <c r="Z164" t="s">
        <v>5</v>
      </c>
      <c r="AA164" t="s">
        <v>5</v>
      </c>
      <c r="AB164" s="17" t="str">
        <f>HYPERLINK("http://exon.niaid.nih.gov/transcriptome/T_rubida/S2/links/netoglyc/TRIRU-526-netoglyc.txt","0")</f>
        <v>0</v>
      </c>
      <c r="AC164">
        <v>13.6</v>
      </c>
      <c r="AD164">
        <v>8.1</v>
      </c>
      <c r="AE164">
        <v>2.7</v>
      </c>
      <c r="AF164" s="17" t="s">
        <v>5</v>
      </c>
      <c r="AG164" s="2" t="str">
        <f>HYPERLINK("http://exon.niaid.nih.gov/transcriptome/T_rubida/S2/links/NR/Triru-526-NR.txt","proteasome subunit beta type-4-like")</f>
        <v>proteasome subunit beta type-4-like</v>
      </c>
      <c r="AH164" t="str">
        <f>HYPERLINK("http://www.ncbi.nlm.nih.gov/sutils/blink.cgi?pid=327286564","6E-059")</f>
        <v>6E-059</v>
      </c>
      <c r="AI164" t="str">
        <f>HYPERLINK("http://www.ncbi.nlm.nih.gov/protein/327286564","gi|327286564")</f>
        <v>gi|327286564</v>
      </c>
      <c r="AJ164">
        <v>231</v>
      </c>
      <c r="AK164">
        <v>216</v>
      </c>
      <c r="AL164">
        <v>271</v>
      </c>
      <c r="AM164">
        <v>50</v>
      </c>
      <c r="AN164">
        <v>80</v>
      </c>
      <c r="AO164" t="s">
        <v>875</v>
      </c>
      <c r="AP164" s="2" t="str">
        <f>HYPERLINK("http://exon.niaid.nih.gov/transcriptome/T_rubida/S2/links/SWISSP/Triru-526-SWISSP.txt","Proteasome subunit beta type-4")</f>
        <v>Proteasome subunit beta type-4</v>
      </c>
      <c r="AQ164" t="str">
        <f>HYPERLINK("http://www.uniprot.org/uniprot/P99026","7E-059")</f>
        <v>7E-059</v>
      </c>
      <c r="AR164" t="s">
        <v>876</v>
      </c>
      <c r="AS164">
        <v>227</v>
      </c>
      <c r="AT164">
        <v>219</v>
      </c>
      <c r="AU164">
        <v>264</v>
      </c>
      <c r="AV164">
        <v>49</v>
      </c>
      <c r="AW164">
        <v>83</v>
      </c>
      <c r="AX164">
        <v>111</v>
      </c>
      <c r="AY164">
        <v>1</v>
      </c>
      <c r="AZ164">
        <v>45</v>
      </c>
      <c r="BA164">
        <v>38</v>
      </c>
      <c r="BB164">
        <v>1</v>
      </c>
      <c r="BC164" t="s">
        <v>75</v>
      </c>
      <c r="BD164" s="2" t="s">
        <v>877</v>
      </c>
      <c r="BE164">
        <f>HYPERLINK("http://exon.niaid.nih.gov/transcriptome/T_rubida/S2/links/GO/Triru-526-GO.txt",3E-59)</f>
        <v>3.0000000000000001E-59</v>
      </c>
      <c r="BF164" t="s">
        <v>1931</v>
      </c>
      <c r="BG164" t="s">
        <v>77</v>
      </c>
      <c r="BH164" t="s">
        <v>590</v>
      </c>
      <c r="BI164" s="2" t="str">
        <f>HYPERLINK("http://exon.niaid.nih.gov/transcriptome/T_rubida/S2/links/CDD/Triru-526-CDD.txt","proteasome_beta")</f>
        <v>proteasome_beta</v>
      </c>
      <c r="BJ164" t="str">
        <f>HYPERLINK("http://www.ncbi.nlm.nih.gov/Structure/cdd/cddsrv.cgi?uid=cd03760&amp;version=v4.0","4E-067")</f>
        <v>4E-067</v>
      </c>
      <c r="BK164" t="s">
        <v>878</v>
      </c>
      <c r="BL164" s="2" t="str">
        <f>HYPERLINK("http://exon.niaid.nih.gov/transcriptome/T_rubida/S2/links/KOG/Triru-526-KOG.txt","20S proteasome, regulatory subunit beta type PSMB4/PRE4")</f>
        <v>20S proteasome, regulatory subunit beta type PSMB4/PRE4</v>
      </c>
      <c r="BM164" t="str">
        <f>HYPERLINK("http://www.ncbi.nlm.nih.gov/COG/grace/shokog.cgi?KOG0185","2E-067")</f>
        <v>2E-067</v>
      </c>
      <c r="BN164" t="s">
        <v>72</v>
      </c>
      <c r="BO164" s="2" t="str">
        <f>HYPERLINK("http://exon.niaid.nih.gov/transcriptome/T_rubida/S2/links/PFAM/Triru-526-PFAM.txt","Proteasome")</f>
        <v>Proteasome</v>
      </c>
      <c r="BP164" t="str">
        <f>HYPERLINK("http://pfam.sanger.ac.uk/family?acc=PF00227","6E-020")</f>
        <v>6E-020</v>
      </c>
      <c r="BQ164" s="2" t="str">
        <f>HYPERLINK("http://exon.niaid.nih.gov/transcriptome/T_rubida/S2/links/SMART/Triru-526-SMART.txt","HECTc")</f>
        <v>HECTc</v>
      </c>
      <c r="BR164" t="str">
        <f>HYPERLINK("http://smart.embl-heidelberg.de/smart/do_annotation.pl?DOMAIN=HECTc&amp;BLAST=DUMMY","5.0")</f>
        <v>5.0</v>
      </c>
      <c r="BS164" s="17">
        <v>162</v>
      </c>
      <c r="BT164" s="1">
        <v>1</v>
      </c>
      <c r="BU164" s="17">
        <v>240</v>
      </c>
      <c r="BV164" s="1">
        <v>1</v>
      </c>
      <c r="BW164" s="17">
        <v>306</v>
      </c>
      <c r="BX164" s="1">
        <v>1</v>
      </c>
      <c r="BY164" s="17">
        <v>333</v>
      </c>
      <c r="BZ164" s="1">
        <v>1</v>
      </c>
      <c r="CA164" s="17">
        <v>345</v>
      </c>
      <c r="CB164" s="1">
        <v>1</v>
      </c>
      <c r="CC164" s="17">
        <v>357</v>
      </c>
      <c r="CD164" s="1">
        <v>1</v>
      </c>
      <c r="CE164" s="17">
        <v>371</v>
      </c>
      <c r="CF164" s="1">
        <v>1</v>
      </c>
      <c r="CG164" s="17">
        <v>377</v>
      </c>
      <c r="CH164" s="1">
        <v>1</v>
      </c>
      <c r="CI164" s="17">
        <v>389</v>
      </c>
      <c r="CJ164" s="1">
        <v>1</v>
      </c>
      <c r="CK164" s="17">
        <v>395</v>
      </c>
      <c r="CL164" s="1">
        <v>1</v>
      </c>
      <c r="CM164" s="17">
        <v>404</v>
      </c>
      <c r="CN164" s="1">
        <v>1</v>
      </c>
      <c r="CO164" s="17">
        <v>416</v>
      </c>
      <c r="CP164" s="1">
        <v>1</v>
      </c>
      <c r="CQ164" s="17">
        <v>426</v>
      </c>
      <c r="CR164" s="1">
        <v>1</v>
      </c>
      <c r="CS164" s="17">
        <v>439</v>
      </c>
      <c r="CT164" s="1">
        <v>1</v>
      </c>
      <c r="CU164" s="17">
        <v>450</v>
      </c>
      <c r="CV164" s="1">
        <v>1</v>
      </c>
    </row>
    <row r="165" spans="1:100">
      <c r="A165" t="str">
        <f>HYPERLINK("http://exon.niaid.nih.gov/transcriptome/T_rubida/S2/links/pep/Triru-572-pep.txt","Triru-572")</f>
        <v>Triru-572</v>
      </c>
      <c r="B165">
        <v>139</v>
      </c>
      <c r="C165" s="1" t="s">
        <v>6</v>
      </c>
      <c r="D165" s="1" t="s">
        <v>3</v>
      </c>
      <c r="E165" t="str">
        <f>HYPERLINK("http://exon.niaid.nih.gov/transcriptome/T_rubida/S2/links/cds/Triru-572-cds.txt","Triru-572")</f>
        <v>Triru-572</v>
      </c>
      <c r="F165">
        <v>420</v>
      </c>
      <c r="G165" s="2" t="s">
        <v>1639</v>
      </c>
      <c r="H165" s="1">
        <v>1</v>
      </c>
      <c r="I165" s="3" t="s">
        <v>1288</v>
      </c>
      <c r="J165" s="17" t="str">
        <f>HYPERLINK("http://exon.niaid.nih.gov/transcriptome/T_rubida/S2/links/Sigp/Triru-572-SigP.txt","CYT")</f>
        <v>CYT</v>
      </c>
      <c r="K165" t="s">
        <v>5</v>
      </c>
      <c r="L165" s="1">
        <v>15.866</v>
      </c>
      <c r="M165" s="1">
        <v>5.71</v>
      </c>
      <c r="P165" s="1">
        <v>5.6000000000000001E-2</v>
      </c>
      <c r="Q165" s="1">
        <v>8.7999999999999995E-2</v>
      </c>
      <c r="R165" s="1">
        <v>0.92200000000000004</v>
      </c>
      <c r="S165" s="17" t="s">
        <v>1346</v>
      </c>
      <c r="T165">
        <v>1</v>
      </c>
      <c r="U165" t="s">
        <v>1350</v>
      </c>
      <c r="V165" s="17">
        <v>0</v>
      </c>
      <c r="W165" t="s">
        <v>5</v>
      </c>
      <c r="X165" t="s">
        <v>5</v>
      </c>
      <c r="Y165" t="s">
        <v>5</v>
      </c>
      <c r="Z165" t="s">
        <v>5</v>
      </c>
      <c r="AA165" t="s">
        <v>5</v>
      </c>
      <c r="AB165" s="17" t="str">
        <f>HYPERLINK("http://exon.niaid.nih.gov/transcriptome/T_rubida/S2/links/netoglyc/TRIRU-572-netoglyc.txt","0")</f>
        <v>0</v>
      </c>
      <c r="AC165">
        <v>5.8</v>
      </c>
      <c r="AD165">
        <v>8.6</v>
      </c>
      <c r="AE165">
        <v>8.6</v>
      </c>
      <c r="AF165" s="17" t="s">
        <v>5</v>
      </c>
      <c r="AG165" s="2" t="str">
        <f>HYPERLINK("http://exon.niaid.nih.gov/transcriptome/T_rubida/S2/links/NR/Triru-572-NR.txt","NEDD8-conjugating enzyme Ubc12")</f>
        <v>NEDD8-conjugating enzyme Ubc12</v>
      </c>
      <c r="AH165" t="str">
        <f>HYPERLINK("http://www.ncbi.nlm.nih.gov/sutils/blink.cgi?pid=307214126","2E-071")</f>
        <v>2E-071</v>
      </c>
      <c r="AI165" t="str">
        <f>HYPERLINK("http://www.ncbi.nlm.nih.gov/protein/307214126","gi|307214126")</f>
        <v>gi|307214126</v>
      </c>
      <c r="AJ165">
        <v>271</v>
      </c>
      <c r="AK165">
        <v>135</v>
      </c>
      <c r="AL165">
        <v>181</v>
      </c>
      <c r="AM165">
        <v>90</v>
      </c>
      <c r="AN165">
        <v>75</v>
      </c>
      <c r="AO165" t="s">
        <v>230</v>
      </c>
      <c r="AP165" s="2" t="str">
        <f>HYPERLINK("http://exon.niaid.nih.gov/transcriptome/T_rubida/S2/links/SWISSP/Triru-572-SWISSP.txt","NEDD8-conjugating enzyme Ubc12")</f>
        <v>NEDD8-conjugating enzyme Ubc12</v>
      </c>
      <c r="AQ165" t="str">
        <f>HYPERLINK("http://www.uniprot.org/uniprot/Q6P8D9","6E-068")</f>
        <v>6E-068</v>
      </c>
      <c r="AR165" t="s">
        <v>641</v>
      </c>
      <c r="AS165">
        <v>255</v>
      </c>
      <c r="AT165">
        <v>133</v>
      </c>
      <c r="AU165">
        <v>183</v>
      </c>
      <c r="AV165">
        <v>85</v>
      </c>
      <c r="AW165">
        <v>73</v>
      </c>
      <c r="AX165">
        <v>19</v>
      </c>
      <c r="AY165">
        <v>0</v>
      </c>
      <c r="AZ165">
        <v>50</v>
      </c>
      <c r="BA165">
        <v>6</v>
      </c>
      <c r="BB165">
        <v>1</v>
      </c>
      <c r="BC165" t="s">
        <v>357</v>
      </c>
      <c r="BD165" s="2" t="s">
        <v>642</v>
      </c>
      <c r="BE165">
        <f>HYPERLINK("http://exon.niaid.nih.gov/transcriptome/T_rubida/S2/links/GO/Triru-572-GO.txt",5E-68)</f>
        <v>4.9999999999999997E-68</v>
      </c>
      <c r="BF165" t="s">
        <v>268</v>
      </c>
      <c r="BG165" t="s">
        <v>153</v>
      </c>
      <c r="BH165" t="s">
        <v>269</v>
      </c>
      <c r="BI165" s="2" t="str">
        <f>HYPERLINK("http://exon.niaid.nih.gov/transcriptome/T_rubida/S2/links/CDD/Triru-572-CDD.txt","UQ_con")</f>
        <v>UQ_con</v>
      </c>
      <c r="BJ165" t="str">
        <f>HYPERLINK("http://www.ncbi.nlm.nih.gov/Structure/cdd/cddsrv.cgi?uid=pfam00179&amp;version=v4.0","3E-040")</f>
        <v>3E-040</v>
      </c>
      <c r="BK165" t="s">
        <v>643</v>
      </c>
      <c r="BL165" s="2" t="str">
        <f>HYPERLINK("http://exon.niaid.nih.gov/transcriptome/T_rubida/S2/links/KOG/Triru-572-KOG.txt","Ubiquitin-protein ligase")</f>
        <v>Ubiquitin-protein ligase</v>
      </c>
      <c r="BM165" t="str">
        <f>HYPERLINK("http://www.ncbi.nlm.nih.gov/COG/grace/shokog.cgi?KOG0420","3E-057")</f>
        <v>3E-057</v>
      </c>
      <c r="BN165" t="s">
        <v>72</v>
      </c>
      <c r="BO165" s="2" t="str">
        <f>HYPERLINK("http://exon.niaid.nih.gov/transcriptome/T_rubida/S2/links/PFAM/Triru-572-PFAM.txt","UQ_con")</f>
        <v>UQ_con</v>
      </c>
      <c r="BP165" t="str">
        <f>HYPERLINK("http://pfam.sanger.ac.uk/family?acc=PF00179","7E-041")</f>
        <v>7E-041</v>
      </c>
      <c r="BQ165" s="2" t="str">
        <f>HYPERLINK("http://exon.niaid.nih.gov/transcriptome/T_rubida/S2/links/SMART/Triru-572-SMART.txt","UBCc")</f>
        <v>UBCc</v>
      </c>
      <c r="BR165" t="str">
        <f>HYPERLINK("http://smart.embl-heidelberg.de/smart/do_annotation.pl?DOMAIN=UBCc&amp;BLAST=DUMMY","4E-031")</f>
        <v>4E-031</v>
      </c>
      <c r="BS165" s="17">
        <f>HYPERLINK("http://exon.niaid.nih.gov/transcriptome/T_rubida/S2/links/cluster/Triru-pep-ext25-50-Sim-CLU1.txt", 1)</f>
        <v>1</v>
      </c>
      <c r="BT165" s="1">
        <f>HYPERLINK("http://exon.niaid.nih.gov/transcriptome/T_rubida/S2/links/cluster/Triru-pep-ext25-50-Sim-CLTL1.txt", 359)</f>
        <v>359</v>
      </c>
      <c r="BU165" s="17">
        <v>260</v>
      </c>
      <c r="BV165" s="1">
        <v>1</v>
      </c>
      <c r="BW165" s="17">
        <v>333</v>
      </c>
      <c r="BX165" s="1">
        <v>1</v>
      </c>
      <c r="BY165" s="17">
        <v>365</v>
      </c>
      <c r="BZ165" s="1">
        <v>1</v>
      </c>
      <c r="CA165" s="17">
        <v>379</v>
      </c>
      <c r="CB165" s="1">
        <v>1</v>
      </c>
      <c r="CC165" s="17">
        <v>392</v>
      </c>
      <c r="CD165" s="1">
        <v>1</v>
      </c>
      <c r="CE165" s="17">
        <v>407</v>
      </c>
      <c r="CF165" s="1">
        <v>1</v>
      </c>
      <c r="CG165" s="17">
        <v>413</v>
      </c>
      <c r="CH165" s="1">
        <v>1</v>
      </c>
      <c r="CI165" s="17">
        <v>425</v>
      </c>
      <c r="CJ165" s="1">
        <v>1</v>
      </c>
      <c r="CK165" s="17">
        <v>431</v>
      </c>
      <c r="CL165" s="1">
        <v>1</v>
      </c>
      <c r="CM165" s="17">
        <v>442</v>
      </c>
      <c r="CN165" s="1">
        <v>1</v>
      </c>
      <c r="CO165" s="17">
        <v>454</v>
      </c>
      <c r="CP165" s="1">
        <v>1</v>
      </c>
      <c r="CQ165" s="17">
        <v>464</v>
      </c>
      <c r="CR165" s="1">
        <v>1</v>
      </c>
      <c r="CS165" s="17">
        <v>477</v>
      </c>
      <c r="CT165" s="1">
        <v>1</v>
      </c>
      <c r="CU165" s="17">
        <v>489</v>
      </c>
      <c r="CV165" s="1">
        <v>1</v>
      </c>
    </row>
    <row r="166" spans="1:100">
      <c r="A166" t="str">
        <f>HYPERLINK("http://exon.niaid.nih.gov/transcriptome/T_rubida/S2/links/pep/Triru-318-pep.txt","Triru-318")</f>
        <v>Triru-318</v>
      </c>
      <c r="B166">
        <v>105</v>
      </c>
      <c r="C166" s="1" t="s">
        <v>21</v>
      </c>
      <c r="D166" s="1" t="s">
        <v>3</v>
      </c>
      <c r="E166" t="str">
        <f>HYPERLINK("http://exon.niaid.nih.gov/transcriptome/T_rubida/S2/links/cds/Triru-318-cds.txt","Triru-318")</f>
        <v>Triru-318</v>
      </c>
      <c r="F166">
        <v>318</v>
      </c>
      <c r="G166" s="2" t="s">
        <v>1638</v>
      </c>
      <c r="H166" s="1">
        <v>1</v>
      </c>
      <c r="I166" s="3" t="s">
        <v>1288</v>
      </c>
      <c r="J166" s="17" t="str">
        <f>HYPERLINK("http://exon.niaid.nih.gov/transcriptome/T_rubida/S2/links/Sigp/Triru-318-SigP.txt","CYT")</f>
        <v>CYT</v>
      </c>
      <c r="K166" t="s">
        <v>5</v>
      </c>
      <c r="L166" s="1">
        <v>11.032</v>
      </c>
      <c r="M166" s="1">
        <v>4.82</v>
      </c>
      <c r="P166" s="1">
        <v>6.9000000000000006E-2</v>
      </c>
      <c r="Q166" s="1">
        <v>7.2999999999999995E-2</v>
      </c>
      <c r="R166" s="1">
        <v>0.91800000000000004</v>
      </c>
      <c r="S166" s="17" t="s">
        <v>1346</v>
      </c>
      <c r="T166">
        <v>1</v>
      </c>
      <c r="U166" t="s">
        <v>1347</v>
      </c>
      <c r="V166" s="17">
        <v>0</v>
      </c>
      <c r="W166" t="s">
        <v>5</v>
      </c>
      <c r="X166" t="s">
        <v>5</v>
      </c>
      <c r="Y166" t="s">
        <v>5</v>
      </c>
      <c r="Z166" t="s">
        <v>5</v>
      </c>
      <c r="AA166" t="s">
        <v>5</v>
      </c>
      <c r="AB166" s="17" t="str">
        <f>HYPERLINK("http://exon.niaid.nih.gov/transcriptome/T_rubida/S2/links/netoglyc/TRIRU-318-netoglyc.txt","0")</f>
        <v>0</v>
      </c>
      <c r="AC166">
        <v>13.3</v>
      </c>
      <c r="AD166">
        <v>10.5</v>
      </c>
      <c r="AE166">
        <v>2.9</v>
      </c>
      <c r="AF166" s="17" t="s">
        <v>5</v>
      </c>
      <c r="AG166" s="2" t="str">
        <f>HYPERLINK("http://exon.niaid.nih.gov/transcriptome/T_rubida/S2/links/NR/Triru-318-NR.txt","proteasome subunit beta type-4-like")</f>
        <v>proteasome subunit beta type-4-like</v>
      </c>
      <c r="AH166" t="str">
        <f>HYPERLINK("http://www.ncbi.nlm.nih.gov/sutils/blink.cgi?pid=327286564","5E-018")</f>
        <v>5E-018</v>
      </c>
      <c r="AI166" t="str">
        <f>HYPERLINK("http://www.ncbi.nlm.nih.gov/protein/327286564","gi|327286564")</f>
        <v>gi|327286564</v>
      </c>
      <c r="AJ166">
        <v>94.4</v>
      </c>
      <c r="AK166">
        <v>102</v>
      </c>
      <c r="AL166">
        <v>271</v>
      </c>
      <c r="AM166">
        <v>42</v>
      </c>
      <c r="AN166">
        <v>38</v>
      </c>
      <c r="AO166" t="s">
        <v>875</v>
      </c>
      <c r="AP166" s="2" t="str">
        <f>HYPERLINK("http://exon.niaid.nih.gov/transcriptome/T_rubida/S2/links/SWISSP/Triru-318-SWISSP.txt","Proteasome subunit beta type-4")</f>
        <v>Proteasome subunit beta type-4</v>
      </c>
      <c r="AQ166" t="str">
        <f>HYPERLINK("http://www.uniprot.org/uniprot/P34067","2E-018")</f>
        <v>2E-018</v>
      </c>
      <c r="AR166" t="s">
        <v>1241</v>
      </c>
      <c r="AS166">
        <v>90.9</v>
      </c>
      <c r="AT166">
        <v>102</v>
      </c>
      <c r="AU166">
        <v>263</v>
      </c>
      <c r="AV166">
        <v>43</v>
      </c>
      <c r="AW166">
        <v>39</v>
      </c>
      <c r="AX166">
        <v>59</v>
      </c>
      <c r="AY166">
        <v>1</v>
      </c>
      <c r="AZ166">
        <v>161</v>
      </c>
      <c r="BA166">
        <v>2</v>
      </c>
      <c r="BB166">
        <v>1</v>
      </c>
      <c r="BC166" t="s">
        <v>130</v>
      </c>
      <c r="BD166" s="2" t="s">
        <v>1242</v>
      </c>
      <c r="BE166">
        <f>HYPERLINK("http://exon.niaid.nih.gov/transcriptome/T_rubida/S2/links/GO/Triru-318-GO.txt",0.000000000000000001)</f>
        <v>1.0000000000000001E-18</v>
      </c>
      <c r="BF166" t="s">
        <v>1243</v>
      </c>
      <c r="BG166" t="s">
        <v>153</v>
      </c>
      <c r="BH166" t="s">
        <v>1244</v>
      </c>
      <c r="BI166" s="2" t="str">
        <f>HYPERLINK("http://exon.niaid.nih.gov/transcriptome/T_rubida/S2/links/CDD/Triru-318-CDD.txt","proteasome_beta")</f>
        <v>proteasome_beta</v>
      </c>
      <c r="BJ166" t="str">
        <f>HYPERLINK("http://www.ncbi.nlm.nih.gov/Structure/cdd/cddsrv.cgi?uid=cd03760&amp;version=v4.0","7E-023")</f>
        <v>7E-023</v>
      </c>
      <c r="BK166" t="s">
        <v>1245</v>
      </c>
      <c r="BL166" s="2" t="str">
        <f>HYPERLINK("http://exon.niaid.nih.gov/transcriptome/T_rubida/S2/links/KOG/Triru-318-KOG.txt","20S proteasome, regulatory subunit beta type PSMB4/PRE4")</f>
        <v>20S proteasome, regulatory subunit beta type PSMB4/PRE4</v>
      </c>
      <c r="BM166" t="str">
        <f>HYPERLINK("http://www.ncbi.nlm.nih.gov/COG/grace/shokog.cgi?KOG0185","5E-025")</f>
        <v>5E-025</v>
      </c>
      <c r="BN166" t="s">
        <v>72</v>
      </c>
      <c r="BO166" s="2" t="str">
        <f>HYPERLINK("http://exon.niaid.nih.gov/transcriptome/T_rubida/S2/links/PFAM/Triru-318-PFAM.txt","Proteasome")</f>
        <v>Proteasome</v>
      </c>
      <c r="BP166" t="str">
        <f>HYPERLINK("http://pfam.sanger.ac.uk/family?acc=PF00227","0.002")</f>
        <v>0.002</v>
      </c>
      <c r="BQ166" s="2" t="str">
        <f>HYPERLINK("http://exon.niaid.nih.gov/transcriptome/T_rubida/S2/links/SMART/Triru-318-SMART.txt","SEC14")</f>
        <v>SEC14</v>
      </c>
      <c r="BR166" t="str">
        <f>HYPERLINK("http://smart.embl-heidelberg.de/smart/do_annotation.pl?DOMAIN=SEC14&amp;BLAST=DUMMY","1.1")</f>
        <v>1.1</v>
      </c>
      <c r="BS166" s="17">
        <v>94</v>
      </c>
      <c r="BT166" s="1">
        <v>1</v>
      </c>
      <c r="BU166" s="17">
        <v>148</v>
      </c>
      <c r="BV166" s="1">
        <v>1</v>
      </c>
      <c r="BW166" s="17">
        <v>180</v>
      </c>
      <c r="BX166" s="1">
        <v>1</v>
      </c>
      <c r="BY166" s="17">
        <v>191</v>
      </c>
      <c r="BZ166" s="1">
        <v>1</v>
      </c>
      <c r="CA166" s="17">
        <v>197</v>
      </c>
      <c r="CB166" s="1">
        <v>1</v>
      </c>
      <c r="CC166" s="17">
        <v>202</v>
      </c>
      <c r="CD166" s="1">
        <v>1</v>
      </c>
      <c r="CE166" s="17">
        <v>208</v>
      </c>
      <c r="CF166" s="1">
        <v>1</v>
      </c>
      <c r="CG166" s="17">
        <v>210</v>
      </c>
      <c r="CH166" s="1">
        <v>1</v>
      </c>
      <c r="CI166" s="17">
        <v>219</v>
      </c>
      <c r="CJ166" s="1">
        <v>1</v>
      </c>
      <c r="CK166" s="17">
        <v>224</v>
      </c>
      <c r="CL166" s="1">
        <v>1</v>
      </c>
      <c r="CM166" s="17">
        <v>231</v>
      </c>
      <c r="CN166" s="1">
        <v>1</v>
      </c>
      <c r="CO166" s="17">
        <v>242</v>
      </c>
      <c r="CP166" s="1">
        <v>1</v>
      </c>
      <c r="CQ166" s="17">
        <v>252</v>
      </c>
      <c r="CR166" s="1">
        <v>1</v>
      </c>
      <c r="CS166" s="17">
        <v>261</v>
      </c>
      <c r="CT166" s="1">
        <v>1</v>
      </c>
      <c r="CU166" s="17">
        <v>272</v>
      </c>
      <c r="CV166" s="1">
        <v>1</v>
      </c>
    </row>
    <row r="167" spans="1:100">
      <c r="A167" t="str">
        <f>HYPERLINK("http://exon.niaid.nih.gov/transcriptome/T_rubida/S2/links/pep/Triru-584-pep.txt","Triru-584")</f>
        <v>Triru-584</v>
      </c>
      <c r="B167">
        <v>104</v>
      </c>
      <c r="C167" s="1" t="s">
        <v>17</v>
      </c>
      <c r="D167" s="1" t="s">
        <v>3</v>
      </c>
      <c r="E167" t="str">
        <f>HYPERLINK("http://exon.niaid.nih.gov/transcriptome/T_rubida/S2/links/cds/Triru-584-cds.txt","Triru-584")</f>
        <v>Triru-584</v>
      </c>
      <c r="F167">
        <v>315</v>
      </c>
      <c r="G167" s="2" t="s">
        <v>1640</v>
      </c>
      <c r="H167" s="1">
        <v>1</v>
      </c>
      <c r="I167" s="3" t="s">
        <v>1288</v>
      </c>
      <c r="J167" s="17" t="str">
        <f>HYPERLINK("http://exon.niaid.nih.gov/transcriptome/T_rubida/S2/links/Sigp/Triru-584-SigP.txt","CYT")</f>
        <v>CYT</v>
      </c>
      <c r="K167" t="s">
        <v>5</v>
      </c>
      <c r="L167" s="1">
        <v>12.096</v>
      </c>
      <c r="M167" s="1">
        <v>8.09</v>
      </c>
      <c r="P167" s="1">
        <v>6.5000000000000002E-2</v>
      </c>
      <c r="Q167" s="1">
        <v>0.13</v>
      </c>
      <c r="R167" s="1">
        <v>0.88800000000000001</v>
      </c>
      <c r="S167" s="17" t="s">
        <v>1346</v>
      </c>
      <c r="T167">
        <v>2</v>
      </c>
      <c r="U167" t="s">
        <v>1432</v>
      </c>
      <c r="V167" s="17">
        <v>0</v>
      </c>
      <c r="W167" t="s">
        <v>5</v>
      </c>
      <c r="X167" t="s">
        <v>5</v>
      </c>
      <c r="Y167" t="s">
        <v>5</v>
      </c>
      <c r="Z167" t="s">
        <v>5</v>
      </c>
      <c r="AA167" t="s">
        <v>5</v>
      </c>
      <c r="AB167" s="17" t="str">
        <f>HYPERLINK("http://exon.niaid.nih.gov/transcriptome/T_rubida/S2/links/netoglyc/TRIRU-584-netoglyc.txt","1")</f>
        <v>1</v>
      </c>
      <c r="AC167">
        <v>4.8</v>
      </c>
      <c r="AD167">
        <v>2.9</v>
      </c>
      <c r="AE167">
        <v>4.8</v>
      </c>
      <c r="AF167" s="17" t="s">
        <v>5</v>
      </c>
      <c r="AG167" s="2" t="str">
        <f>HYPERLINK("http://exon.niaid.nih.gov/transcriptome/T_rubida/S2/links/NR/Triru-584-NR.txt","26S proteasome non-ATPase regulatory subunit 7")</f>
        <v>26S proteasome non-ATPase regulatory subunit 7</v>
      </c>
      <c r="AH167" t="str">
        <f>HYPERLINK("http://www.ncbi.nlm.nih.gov/sutils/blink.cgi?pid=307192237","2E-035")</f>
        <v>2E-035</v>
      </c>
      <c r="AI167" t="str">
        <f>HYPERLINK("http://www.ncbi.nlm.nih.gov/protein/307192237","gi|307192237")</f>
        <v>gi|307192237</v>
      </c>
      <c r="AJ167">
        <v>152</v>
      </c>
      <c r="AK167">
        <v>105</v>
      </c>
      <c r="AL167">
        <v>318</v>
      </c>
      <c r="AM167">
        <v>74</v>
      </c>
      <c r="AN167">
        <v>33</v>
      </c>
      <c r="AO167" t="s">
        <v>230</v>
      </c>
      <c r="AP167" s="2" t="str">
        <f>HYPERLINK("http://exon.niaid.nih.gov/transcriptome/T_rubida/S2/links/SWISSP/Triru-584-SWISSP.txt","26S proteasome non-ATPase regulatory subunit 7")</f>
        <v>26S proteasome non-ATPase regulatory subunit 7</v>
      </c>
      <c r="AQ167" t="str">
        <f>HYPERLINK("http://www.uniprot.org/uniprot/P51665","2E-032")</f>
        <v>2E-032</v>
      </c>
      <c r="AR167" t="s">
        <v>1120</v>
      </c>
      <c r="AS167">
        <v>137</v>
      </c>
      <c r="AT167">
        <v>111</v>
      </c>
      <c r="AU167">
        <v>324</v>
      </c>
      <c r="AV167">
        <v>59</v>
      </c>
      <c r="AW167">
        <v>35</v>
      </c>
      <c r="AX167">
        <v>45</v>
      </c>
      <c r="AY167">
        <v>9</v>
      </c>
      <c r="AZ167">
        <v>207</v>
      </c>
      <c r="BA167">
        <v>2</v>
      </c>
      <c r="BB167">
        <v>1</v>
      </c>
      <c r="BC167" t="s">
        <v>208</v>
      </c>
      <c r="BD167" s="2" t="s">
        <v>1121</v>
      </c>
      <c r="BE167">
        <f>HYPERLINK("http://exon.niaid.nih.gov/transcriptome/T_rubida/S2/links/GO/Triru-584-GO.txt",1E-32)</f>
        <v>1.0000000000000001E-32</v>
      </c>
      <c r="BF167" t="s">
        <v>173</v>
      </c>
      <c r="BG167" t="s">
        <v>153</v>
      </c>
      <c r="BH167" t="s">
        <v>174</v>
      </c>
      <c r="BI167" s="2" t="str">
        <f>HYPERLINK("http://exon.niaid.nih.gov/transcriptome/T_rubida/S2/links/CDD/Triru-584-CDD.txt","MPN_RPN7_8")</f>
        <v>MPN_RPN7_8</v>
      </c>
      <c r="BJ167" t="str">
        <f>HYPERLINK("http://www.ncbi.nlm.nih.gov/Structure/cdd/cddsrv.cgi?uid=cd08062&amp;version=v4.0","2E-033")</f>
        <v>2E-033</v>
      </c>
      <c r="BK167" t="s">
        <v>1122</v>
      </c>
      <c r="BL167" s="2" t="str">
        <f>HYPERLINK("http://exon.niaid.nih.gov/transcriptome/T_rubida/S2/links/KOG/Triru-584-KOG.txt","26S proteasome regulatory complex, subunit RPN8/PSMD7")</f>
        <v>26S proteasome regulatory complex, subunit RPN8/PSMD7</v>
      </c>
      <c r="BM167" t="str">
        <f>HYPERLINK("http://www.ncbi.nlm.nih.gov/COG/grace/shokog.cgi?KOG1556","1E-029")</f>
        <v>1E-029</v>
      </c>
      <c r="BN167" t="s">
        <v>72</v>
      </c>
      <c r="BO167" s="2" t="str">
        <f>HYPERLINK("http://exon.niaid.nih.gov/transcriptome/T_rubida/S2/links/PFAM/Triru-584-PFAM.txt","Ribosomal_60s")</f>
        <v>Ribosomal_60s</v>
      </c>
      <c r="BP167" t="str">
        <f>HYPERLINK("http://pfam.sanger.ac.uk/family?acc=PF00428","0.38")</f>
        <v>0.38</v>
      </c>
      <c r="BQ167" s="2" t="str">
        <f>HYPERLINK("http://exon.niaid.nih.gov/transcriptome/T_rubida/S2/links/SMART/Triru-584-SMART.txt","SHR3_chaperone")</f>
        <v>SHR3_chaperone</v>
      </c>
      <c r="BR167" t="str">
        <f>HYPERLINK("http://smart.embl-heidelberg.de/smart/do_annotation.pl?DOMAIN=SHR3_chaperone&amp;BLAST=DUMMY","0.038")</f>
        <v>0.038</v>
      </c>
      <c r="BS167" s="17">
        <v>173</v>
      </c>
      <c r="BT167" s="1">
        <v>1</v>
      </c>
      <c r="BU167" s="17">
        <v>266</v>
      </c>
      <c r="BV167" s="1">
        <v>1</v>
      </c>
      <c r="BW167" s="17">
        <v>340</v>
      </c>
      <c r="BX167" s="1">
        <v>1</v>
      </c>
      <c r="BY167" s="17">
        <v>373</v>
      </c>
      <c r="BZ167" s="1">
        <v>1</v>
      </c>
      <c r="CA167" s="17">
        <v>388</v>
      </c>
      <c r="CB167" s="1">
        <v>1</v>
      </c>
      <c r="CC167" s="17">
        <v>402</v>
      </c>
      <c r="CD167" s="1">
        <v>1</v>
      </c>
      <c r="CE167" s="17">
        <v>417</v>
      </c>
      <c r="CF167" s="1">
        <v>1</v>
      </c>
      <c r="CG167" s="17">
        <v>424</v>
      </c>
      <c r="CH167" s="1">
        <v>1</v>
      </c>
      <c r="CI167" s="17">
        <v>436</v>
      </c>
      <c r="CJ167" s="1">
        <v>1</v>
      </c>
      <c r="CK167" s="17">
        <v>442</v>
      </c>
      <c r="CL167" s="1">
        <v>1</v>
      </c>
      <c r="CM167" s="17">
        <v>453</v>
      </c>
      <c r="CN167" s="1">
        <v>1</v>
      </c>
      <c r="CO167" s="17">
        <v>465</v>
      </c>
      <c r="CP167" s="1">
        <v>1</v>
      </c>
      <c r="CQ167" s="17">
        <v>475</v>
      </c>
      <c r="CR167" s="1">
        <v>1</v>
      </c>
      <c r="CS167" s="17">
        <v>488</v>
      </c>
      <c r="CT167" s="1">
        <v>1</v>
      </c>
      <c r="CU167" s="17">
        <v>500</v>
      </c>
      <c r="CV167" s="1">
        <v>1</v>
      </c>
    </row>
    <row r="168" spans="1:100">
      <c r="A168" t="str">
        <f>HYPERLINK("http://exon.niaid.nih.gov/transcriptome/T_rubida/S2/links/pep/Triru-463-pep.txt","Triru-463")</f>
        <v>Triru-463</v>
      </c>
      <c r="B168">
        <v>53</v>
      </c>
      <c r="C168" s="1" t="s">
        <v>15</v>
      </c>
      <c r="D168" s="1" t="s">
        <v>3</v>
      </c>
      <c r="E168" t="str">
        <f>HYPERLINK("http://exon.niaid.nih.gov/transcriptome/T_rubida/S2/links/cds/Triru-463-cds.txt","Triru-463")</f>
        <v>Triru-463</v>
      </c>
      <c r="F168">
        <v>162</v>
      </c>
      <c r="G168" s="2" t="s">
        <v>1641</v>
      </c>
      <c r="H168" s="1">
        <v>1</v>
      </c>
      <c r="I168" s="3" t="s">
        <v>1288</v>
      </c>
      <c r="J168" s="17" t="str">
        <f>HYPERLINK("http://exon.niaid.nih.gov/transcriptome/T_rubida/S2/links/Sigp/Triru-463-SigP.txt","CYT")</f>
        <v>CYT</v>
      </c>
      <c r="K168" t="s">
        <v>5</v>
      </c>
      <c r="L168" s="1">
        <v>5.5979999999999999</v>
      </c>
      <c r="M168" s="1">
        <v>5.17</v>
      </c>
      <c r="P168" s="1">
        <v>6.8000000000000005E-2</v>
      </c>
      <c r="Q168" s="1">
        <v>0.252</v>
      </c>
      <c r="R168" s="1">
        <v>0.78100000000000003</v>
      </c>
      <c r="S168" s="17" t="s">
        <v>1346</v>
      </c>
      <c r="T168">
        <v>3</v>
      </c>
      <c r="U168" t="s">
        <v>1433</v>
      </c>
      <c r="V168" s="17">
        <v>0</v>
      </c>
      <c r="W168" t="s">
        <v>5</v>
      </c>
      <c r="X168" t="s">
        <v>5</v>
      </c>
      <c r="Y168" t="s">
        <v>5</v>
      </c>
      <c r="Z168" t="s">
        <v>5</v>
      </c>
      <c r="AA168" t="s">
        <v>5</v>
      </c>
      <c r="AB168" s="17" t="str">
        <f>HYPERLINK("http://exon.niaid.nih.gov/transcriptome/T_rubida/S2/links/netoglyc/TRIRU-463-netoglyc.txt","1")</f>
        <v>1</v>
      </c>
      <c r="AC168">
        <v>11.3</v>
      </c>
      <c r="AD168">
        <v>5.7</v>
      </c>
      <c r="AE168">
        <v>3.8</v>
      </c>
      <c r="AF168" s="17" t="s">
        <v>5</v>
      </c>
      <c r="AG168" s="2" t="str">
        <f>HYPERLINK("http://exon.niaid.nih.gov/transcriptome/T_rubida/S2/links/NR/Triru-463-NR.txt","hypothetical protein AND_02632")</f>
        <v>hypothetical protein AND_02632</v>
      </c>
      <c r="AH168" t="str">
        <f>HYPERLINK("http://www.ncbi.nlm.nih.gov/sutils/blink.cgi?pid=312384064","2E-009")</f>
        <v>2E-009</v>
      </c>
      <c r="AI168" t="str">
        <f>HYPERLINK("http://www.ncbi.nlm.nih.gov/protein/312384064","gi|312384064")</f>
        <v>gi|312384064</v>
      </c>
      <c r="AJ168">
        <v>65.5</v>
      </c>
      <c r="AK168">
        <v>44</v>
      </c>
      <c r="AL168">
        <v>438</v>
      </c>
      <c r="AM168">
        <v>71</v>
      </c>
      <c r="AN168">
        <v>10</v>
      </c>
      <c r="AO168" t="s">
        <v>499</v>
      </c>
      <c r="AP168" s="2" t="str">
        <f>HYPERLINK("http://exon.niaid.nih.gov/transcriptome/T_rubida/S2/links/SWISSP/Triru-463-SWISSP.txt","26S protease regulatory subunit 4")</f>
        <v>26S protease regulatory subunit 4</v>
      </c>
      <c r="AQ168" t="str">
        <f>HYPERLINK("http://www.uniprot.org/uniprot/P48601","9E-011")</f>
        <v>9E-011</v>
      </c>
      <c r="AR168" t="s">
        <v>771</v>
      </c>
      <c r="AS168">
        <v>65.5</v>
      </c>
      <c r="AT168">
        <v>44</v>
      </c>
      <c r="AU168">
        <v>439</v>
      </c>
      <c r="AV168">
        <v>71</v>
      </c>
      <c r="AW168">
        <v>10</v>
      </c>
      <c r="AX168">
        <v>13</v>
      </c>
      <c r="AY168">
        <v>0</v>
      </c>
      <c r="AZ168">
        <v>391</v>
      </c>
      <c r="BA168">
        <v>9</v>
      </c>
      <c r="BB168">
        <v>1</v>
      </c>
      <c r="BC168" t="s">
        <v>150</v>
      </c>
      <c r="BD168" s="2" t="s">
        <v>772</v>
      </c>
      <c r="BE168">
        <f>HYPERLINK("http://exon.niaid.nih.gov/transcriptome/T_rubida/S2/links/GO/Triru-463-GO.txt",0.00000000006)</f>
        <v>6E-11</v>
      </c>
      <c r="BF168" t="s">
        <v>1932</v>
      </c>
      <c r="BG168" t="s">
        <v>77</v>
      </c>
      <c r="BH168" t="s">
        <v>590</v>
      </c>
      <c r="BI168" s="2" t="str">
        <f>HYPERLINK("http://exon.niaid.nih.gov/transcriptome/T_rubida/S2/links/CDD/Triru-463-CDD.txt","PTZ00361")</f>
        <v>PTZ00361</v>
      </c>
      <c r="BJ168" t="str">
        <f>HYPERLINK("http://www.ncbi.nlm.nih.gov/Structure/cdd/cddsrv.cgi?uid=PTZ00361&amp;version=v4.0","7E-011")</f>
        <v>7E-011</v>
      </c>
      <c r="BK168" t="s">
        <v>773</v>
      </c>
      <c r="BL168" s="2" t="str">
        <f>HYPERLINK("http://exon.niaid.nih.gov/transcriptome/T_rubida/S2/links/KOG/Triru-463-KOG.txt","26S proteasome regulatory complex, ATPase RPT2")</f>
        <v>26S proteasome regulatory complex, ATPase RPT2</v>
      </c>
      <c r="BM168" t="str">
        <f>HYPERLINK("http://www.ncbi.nlm.nih.gov/COG/grace/shokog.cgi?KOG0726","3E-012")</f>
        <v>3E-012</v>
      </c>
      <c r="BN168" t="s">
        <v>72</v>
      </c>
      <c r="BO168" s="2" t="s">
        <v>5</v>
      </c>
      <c r="BP168" t="s">
        <v>5</v>
      </c>
      <c r="BQ168" s="2" t="str">
        <f>HYPERLINK("http://exon.niaid.nih.gov/transcriptome/T_rubida/S2/links/SMART/Triru-463-SMART.txt","RHO")</f>
        <v>RHO</v>
      </c>
      <c r="BR168" t="str">
        <f>HYPERLINK("http://smart.embl-heidelberg.de/smart/do_annotation.pl?DOMAIN=RHO&amp;BLAST=DUMMY","3.9")</f>
        <v>3.9</v>
      </c>
      <c r="BS168" s="17">
        <v>142</v>
      </c>
      <c r="BT168" s="1">
        <v>1</v>
      </c>
      <c r="BU168" s="17">
        <v>209</v>
      </c>
      <c r="BV168" s="1">
        <v>1</v>
      </c>
      <c r="BW168" s="17">
        <v>267</v>
      </c>
      <c r="BX168" s="1">
        <v>1</v>
      </c>
      <c r="BY168" s="17">
        <v>288</v>
      </c>
      <c r="BZ168" s="1">
        <v>1</v>
      </c>
      <c r="CA168" s="17">
        <v>298</v>
      </c>
      <c r="CB168" s="1">
        <v>1</v>
      </c>
      <c r="CC168" s="17">
        <v>308</v>
      </c>
      <c r="CD168" s="1">
        <v>1</v>
      </c>
      <c r="CE168" s="17">
        <v>319</v>
      </c>
      <c r="CF168" s="1">
        <v>1</v>
      </c>
      <c r="CG168" s="17">
        <v>324</v>
      </c>
      <c r="CH168" s="1">
        <v>1</v>
      </c>
      <c r="CI168" s="17">
        <v>334</v>
      </c>
      <c r="CJ168" s="1">
        <v>1</v>
      </c>
      <c r="CK168" s="17">
        <v>340</v>
      </c>
      <c r="CL168" s="1">
        <v>1</v>
      </c>
      <c r="CM168" s="17">
        <v>348</v>
      </c>
      <c r="CN168" s="1">
        <v>1</v>
      </c>
      <c r="CO168" s="17">
        <v>360</v>
      </c>
      <c r="CP168" s="1">
        <v>1</v>
      </c>
      <c r="CQ168" s="17">
        <v>370</v>
      </c>
      <c r="CR168" s="1">
        <v>1</v>
      </c>
      <c r="CS168" s="17">
        <v>383</v>
      </c>
      <c r="CT168" s="1">
        <v>1</v>
      </c>
      <c r="CU168" s="17">
        <v>394</v>
      </c>
      <c r="CV168" s="1">
        <v>1</v>
      </c>
    </row>
    <row r="169" spans="1:100">
      <c r="A169" t="str">
        <f>HYPERLINK("http://exon.niaid.nih.gov/transcriptome/T_rubida/S2/links/pep/Triru-573-pep.txt","Triru-573")</f>
        <v>Triru-573</v>
      </c>
      <c r="B169">
        <v>106</v>
      </c>
      <c r="C169" s="1" t="s">
        <v>6</v>
      </c>
      <c r="D169" s="1" t="s">
        <v>3</v>
      </c>
      <c r="E169" t="str">
        <f>HYPERLINK("http://exon.niaid.nih.gov/transcriptome/T_rubida/S2/links/cds/Triru-573-cds.txt","Triru-573")</f>
        <v>Triru-573</v>
      </c>
      <c r="F169">
        <v>321</v>
      </c>
      <c r="G169" s="2" t="s">
        <v>1642</v>
      </c>
      <c r="H169" s="1">
        <v>1</v>
      </c>
      <c r="I169" s="3" t="s">
        <v>1288</v>
      </c>
      <c r="J169" s="17" t="str">
        <f>HYPERLINK("http://exon.niaid.nih.gov/transcriptome/T_rubida/S2/links/Sigp/Triru-573-SigP.txt","CYT")</f>
        <v>CYT</v>
      </c>
      <c r="K169" t="s">
        <v>5</v>
      </c>
      <c r="L169" s="1">
        <v>11.702</v>
      </c>
      <c r="M169" s="1">
        <v>4.54</v>
      </c>
      <c r="P169" s="1">
        <v>4.7E-2</v>
      </c>
      <c r="Q169" s="1">
        <v>7.4999999999999997E-2</v>
      </c>
      <c r="R169" s="1">
        <v>0.95399999999999996</v>
      </c>
      <c r="S169" s="17" t="s">
        <v>1346</v>
      </c>
      <c r="T169">
        <v>1</v>
      </c>
      <c r="U169" t="s">
        <v>1347</v>
      </c>
      <c r="V169" s="17">
        <v>0</v>
      </c>
      <c r="W169" t="s">
        <v>5</v>
      </c>
      <c r="X169" t="s">
        <v>5</v>
      </c>
      <c r="Y169" t="s">
        <v>5</v>
      </c>
      <c r="Z169" t="s">
        <v>5</v>
      </c>
      <c r="AA169" t="s">
        <v>5</v>
      </c>
      <c r="AB169" s="17" t="str">
        <f>HYPERLINK("http://exon.niaid.nih.gov/transcriptome/T_rubida/S2/links/netoglyc/TRIRU-573-netoglyc.txt","1")</f>
        <v>1</v>
      </c>
      <c r="AC169">
        <v>7.5</v>
      </c>
      <c r="AD169">
        <v>9.4</v>
      </c>
      <c r="AE169">
        <v>8.5</v>
      </c>
      <c r="AF169" s="17" t="s">
        <v>5</v>
      </c>
      <c r="AG169" s="2" t="str">
        <f>HYPERLINK("http://exon.niaid.nih.gov/transcriptome/T_rubida/S2/links/NR/Triru-573-NR.txt","26S proteasome non-ATPase regulatory subunit 1-like isoform 1")</f>
        <v>26S proteasome non-ATPase regulatory subunit 1-like isoform 1</v>
      </c>
      <c r="AH169" t="str">
        <f>HYPERLINK("http://www.ncbi.nlm.nih.gov/sutils/blink.cgi?pid=328714367","8E-032")</f>
        <v>8E-032</v>
      </c>
      <c r="AI169" t="str">
        <f>HYPERLINK("http://www.ncbi.nlm.nih.gov/protein/328714367","gi|328714367")</f>
        <v>gi|328714367</v>
      </c>
      <c r="AJ169">
        <v>140</v>
      </c>
      <c r="AK169">
        <v>94</v>
      </c>
      <c r="AL169">
        <v>979</v>
      </c>
      <c r="AM169">
        <v>69</v>
      </c>
      <c r="AN169">
        <v>10</v>
      </c>
      <c r="AO169" t="s">
        <v>89</v>
      </c>
      <c r="AP169" s="2" t="str">
        <f>HYPERLINK("http://exon.niaid.nih.gov/transcriptome/T_rubida/S2/links/SWISSP/Triru-573-SWISSP.txt","26S proteasome non-ATPase regulatory subunit 1")</f>
        <v>26S proteasome non-ATPase regulatory subunit 1</v>
      </c>
      <c r="AQ169" t="str">
        <f>HYPERLINK("http://www.uniprot.org/uniprot/Q9V3P6","8E-028")</f>
        <v>8E-028</v>
      </c>
      <c r="AR169" t="s">
        <v>603</v>
      </c>
      <c r="AS169">
        <v>122</v>
      </c>
      <c r="AT169">
        <v>94</v>
      </c>
      <c r="AU169">
        <v>1020</v>
      </c>
      <c r="AV169">
        <v>58</v>
      </c>
      <c r="AW169">
        <v>9</v>
      </c>
      <c r="AX169">
        <v>40</v>
      </c>
      <c r="AY169">
        <v>1</v>
      </c>
      <c r="AZ169">
        <v>926</v>
      </c>
      <c r="BA169">
        <v>11</v>
      </c>
      <c r="BB169">
        <v>1</v>
      </c>
      <c r="BC169" t="s">
        <v>150</v>
      </c>
      <c r="BD169" s="2" t="s">
        <v>604</v>
      </c>
      <c r="BE169">
        <f>HYPERLINK("http://exon.niaid.nih.gov/transcriptome/T_rubida/S2/links/GO/Triru-573-GO.txt",6E-28)</f>
        <v>6.0000000000000001E-28</v>
      </c>
      <c r="BF169" t="s">
        <v>1933</v>
      </c>
      <c r="BG169" t="s">
        <v>77</v>
      </c>
      <c r="BH169" t="s">
        <v>590</v>
      </c>
      <c r="BI169" s="2" t="str">
        <f>HYPERLINK("http://exon.niaid.nih.gov/transcriptome/T_rubida/S2/links/CDD/Triru-573-CDD.txt","RPN2")</f>
        <v>RPN2</v>
      </c>
      <c r="BJ169" t="str">
        <f>HYPERLINK("http://www.ncbi.nlm.nih.gov/Structure/cdd/cddsrv.cgi?uid=COG5116&amp;version=v4.0","3E-004")</f>
        <v>3E-004</v>
      </c>
      <c r="BK169" t="s">
        <v>605</v>
      </c>
      <c r="BL169" s="2" t="str">
        <f>HYPERLINK("http://exon.niaid.nih.gov/transcriptome/T_rubida/S2/links/KOG/Triru-573-KOG.txt","26S proteasome regulatory complex, subunit RPN2/PSMD1")</f>
        <v>26S proteasome regulatory complex, subunit RPN2/PSMD1</v>
      </c>
      <c r="BM169" t="str">
        <f>HYPERLINK("http://www.ncbi.nlm.nih.gov/COG/grace/shokog.cgi?KOG2062","7E-021")</f>
        <v>7E-021</v>
      </c>
      <c r="BN169" t="s">
        <v>72</v>
      </c>
      <c r="BO169" s="2" t="str">
        <f>HYPERLINK("http://exon.niaid.nih.gov/transcriptome/T_rubida/S2/links/PFAM/Triru-573-PFAM.txt","Pox_E6")</f>
        <v>Pox_E6</v>
      </c>
      <c r="BP169" t="str">
        <f>HYPERLINK("http://pfam.sanger.ac.uk/family?acc=PF04656","0.22")</f>
        <v>0.22</v>
      </c>
      <c r="BQ169" s="2" t="str">
        <f>HYPERLINK("http://exon.niaid.nih.gov/transcriptome/T_rubida/S2/links/SMART/Triru-573-SMART.txt","PreSET")</f>
        <v>PreSET</v>
      </c>
      <c r="BR169" t="str">
        <f>HYPERLINK("http://smart.embl-heidelberg.de/smart/do_annotation.pl?DOMAIN=PreSET&amp;BLAST=DUMMY","1.6")</f>
        <v>1.6</v>
      </c>
      <c r="BS169" s="17">
        <f>HYPERLINK("http://exon.niaid.nih.gov/transcriptome/T_rubida/S2/links/cluster/Triru-pep-ext25-50-Sim-CLU31.txt", 31)</f>
        <v>31</v>
      </c>
      <c r="BT169" s="1">
        <f>HYPERLINK("http://exon.niaid.nih.gov/transcriptome/T_rubida/S2/links/cluster/Triru-pep-ext25-50-Sim-CLTL31.txt", 2)</f>
        <v>2</v>
      </c>
      <c r="BU169" s="17">
        <f>HYPERLINK("http://exon.niaid.nih.gov/transcriptome/T_rubida/S2/links/cluster/Triru-pep-ext30-50-Sim-CLU43.txt", 43)</f>
        <v>43</v>
      </c>
      <c r="BV169" s="1">
        <f>HYPERLINK("http://exon.niaid.nih.gov/transcriptome/T_rubida/S2/links/cluster/Triru-pep-ext30-50-Sim-CLTL43.txt", 2)</f>
        <v>2</v>
      </c>
      <c r="BW169" s="17">
        <f>HYPERLINK("http://exon.niaid.nih.gov/transcriptome/T_rubida/S2/links/cluster/Triru-pep-ext35-50-Sim-CLU42.txt", 42)</f>
        <v>42</v>
      </c>
      <c r="BX169" s="1">
        <f>HYPERLINK("http://exon.niaid.nih.gov/transcriptome/T_rubida/S2/links/cluster/Triru-pep-ext35-50-Sim-CLTL42.txt", 2)</f>
        <v>2</v>
      </c>
      <c r="BY169" s="17">
        <v>366</v>
      </c>
      <c r="BZ169" s="1">
        <v>1</v>
      </c>
      <c r="CA169" s="17">
        <v>380</v>
      </c>
      <c r="CB169" s="1">
        <v>1</v>
      </c>
      <c r="CC169" s="17">
        <v>393</v>
      </c>
      <c r="CD169" s="1">
        <v>1</v>
      </c>
      <c r="CE169" s="17">
        <v>408</v>
      </c>
      <c r="CF169" s="1">
        <v>1</v>
      </c>
      <c r="CG169" s="17">
        <v>414</v>
      </c>
      <c r="CH169" s="1">
        <v>1</v>
      </c>
      <c r="CI169" s="17">
        <v>426</v>
      </c>
      <c r="CJ169" s="1">
        <v>1</v>
      </c>
      <c r="CK169" s="17">
        <v>432</v>
      </c>
      <c r="CL169" s="1">
        <v>1</v>
      </c>
      <c r="CM169" s="17">
        <v>443</v>
      </c>
      <c r="CN169" s="1">
        <v>1</v>
      </c>
      <c r="CO169" s="17">
        <v>455</v>
      </c>
      <c r="CP169" s="1">
        <v>1</v>
      </c>
      <c r="CQ169" s="17">
        <v>465</v>
      </c>
      <c r="CR169" s="1">
        <v>1</v>
      </c>
      <c r="CS169" s="17">
        <v>478</v>
      </c>
      <c r="CT169" s="1">
        <v>1</v>
      </c>
      <c r="CU169" s="17">
        <v>490</v>
      </c>
      <c r="CV169" s="1">
        <v>1</v>
      </c>
    </row>
    <row r="170" spans="1:100" s="4" customFormat="1">
      <c r="A170" s="16" t="s">
        <v>1307</v>
      </c>
      <c r="I170" s="5"/>
      <c r="P170" s="4" t="s">
        <v>5</v>
      </c>
      <c r="Q170" s="4" t="s">
        <v>5</v>
      </c>
      <c r="R170" s="4" t="s">
        <v>5</v>
      </c>
      <c r="S170" s="4" t="s">
        <v>5</v>
      </c>
      <c r="T170" s="4" t="s">
        <v>5</v>
      </c>
      <c r="U170" s="4" t="s">
        <v>5</v>
      </c>
      <c r="V170" s="4" t="s">
        <v>5</v>
      </c>
      <c r="W170" s="4" t="s">
        <v>5</v>
      </c>
      <c r="X170" s="4" t="s">
        <v>5</v>
      </c>
      <c r="Y170" s="4" t="s">
        <v>5</v>
      </c>
      <c r="Z170" s="4" t="s">
        <v>5</v>
      </c>
      <c r="AA170" s="4" t="s">
        <v>5</v>
      </c>
      <c r="AB170" s="4" t="s">
        <v>5</v>
      </c>
      <c r="AC170" s="4" t="s">
        <v>5</v>
      </c>
      <c r="AD170" s="4" t="s">
        <v>5</v>
      </c>
      <c r="AE170" s="4" t="s">
        <v>5</v>
      </c>
      <c r="AF170" s="4" t="s">
        <v>5</v>
      </c>
    </row>
    <row r="171" spans="1:100">
      <c r="A171" t="str">
        <f>HYPERLINK("http://exon.niaid.nih.gov/transcriptome/T_rubida/S2/links/pep/Triru-446-pep.txt","Triru-446")</f>
        <v>Triru-446</v>
      </c>
      <c r="B171">
        <v>104</v>
      </c>
      <c r="C171" s="1" t="s">
        <v>9</v>
      </c>
      <c r="D171" s="1" t="s">
        <v>3</v>
      </c>
      <c r="E171" t="str">
        <f>HYPERLINK("http://exon.niaid.nih.gov/transcriptome/T_rubida/S2/links/cds/Triru-446-cds.txt","Triru-446")</f>
        <v>Triru-446</v>
      </c>
      <c r="F171">
        <v>315</v>
      </c>
      <c r="G171" s="2" t="s">
        <v>1643</v>
      </c>
      <c r="H171" s="1">
        <v>1</v>
      </c>
      <c r="I171" s="3" t="s">
        <v>1268</v>
      </c>
      <c r="J171" s="17" t="str">
        <f>HYPERLINK("http://exon.niaid.nih.gov/transcriptome/T_rubida/S2/links/Sigp/Triru-446-SigP.txt","CYT")</f>
        <v>CYT</v>
      </c>
      <c r="K171" t="s">
        <v>5</v>
      </c>
      <c r="L171" s="1">
        <v>12.521000000000001</v>
      </c>
      <c r="M171" s="1">
        <v>10.81</v>
      </c>
      <c r="P171" s="1">
        <v>0.376</v>
      </c>
      <c r="Q171" s="1">
        <v>4.1000000000000002E-2</v>
      </c>
      <c r="R171" s="1">
        <v>0.76300000000000001</v>
      </c>
      <c r="S171" s="17" t="s">
        <v>1346</v>
      </c>
      <c r="T171">
        <v>4</v>
      </c>
      <c r="U171" t="s">
        <v>1382</v>
      </c>
      <c r="V171" s="17">
        <v>0</v>
      </c>
      <c r="W171" t="s">
        <v>5</v>
      </c>
      <c r="X171" t="s">
        <v>5</v>
      </c>
      <c r="Y171" t="s">
        <v>5</v>
      </c>
      <c r="Z171" t="s">
        <v>5</v>
      </c>
      <c r="AA171" t="s">
        <v>5</v>
      </c>
      <c r="AB171" s="17" t="str">
        <f>HYPERLINK("http://exon.niaid.nih.gov/transcriptome/T_rubida/S2/links/netoglyc/TRIRU-446-netoglyc.txt","0")</f>
        <v>0</v>
      </c>
      <c r="AC171">
        <v>6.7</v>
      </c>
      <c r="AD171">
        <v>6.7</v>
      </c>
      <c r="AE171">
        <v>2.9</v>
      </c>
      <c r="AF171" s="17" t="s">
        <v>5</v>
      </c>
      <c r="AG171" s="2" t="str">
        <f>HYPERLINK("http://exon.niaid.nih.gov/transcriptome/T_rubida/S2/links/NR/Triru-446-NR.txt","ribosomal protein L44e")</f>
        <v>ribosomal protein L44e</v>
      </c>
      <c r="AH171" t="str">
        <f>HYPERLINK("http://www.ncbi.nlm.nih.gov/sutils/blink.cgi?pid=70909939","9E-055")</f>
        <v>9E-055</v>
      </c>
      <c r="AI171" t="str">
        <f>HYPERLINK("http://www.ncbi.nlm.nih.gov/protein/70909939","gi|70909939")</f>
        <v>gi|70909939</v>
      </c>
      <c r="AJ171">
        <v>216</v>
      </c>
      <c r="AK171">
        <v>103</v>
      </c>
      <c r="AL171">
        <v>104</v>
      </c>
      <c r="AM171">
        <v>96</v>
      </c>
      <c r="AN171">
        <v>100</v>
      </c>
      <c r="AO171" t="s">
        <v>822</v>
      </c>
      <c r="AP171" s="2" t="str">
        <f>HYPERLINK("http://exon.niaid.nih.gov/transcriptome/T_rubida/S2/links/SWISSP/Triru-446-SWISSP.txt","60S ribosomal protein L44")</f>
        <v>60S ribosomal protein L44</v>
      </c>
      <c r="AQ171" t="str">
        <f>HYPERLINK("http://www.uniprot.org/uniprot/Q9NB33","1E-052")</f>
        <v>1E-052</v>
      </c>
      <c r="AR171" t="s">
        <v>823</v>
      </c>
      <c r="AS171">
        <v>204</v>
      </c>
      <c r="AT171">
        <v>103</v>
      </c>
      <c r="AU171">
        <v>104</v>
      </c>
      <c r="AV171">
        <v>90</v>
      </c>
      <c r="AW171">
        <v>100</v>
      </c>
      <c r="AX171">
        <v>10</v>
      </c>
      <c r="AY171">
        <v>0</v>
      </c>
      <c r="AZ171">
        <v>1</v>
      </c>
      <c r="BA171">
        <v>1</v>
      </c>
      <c r="BB171">
        <v>1</v>
      </c>
      <c r="BC171" t="s">
        <v>824</v>
      </c>
      <c r="BD171" s="2" t="s">
        <v>825</v>
      </c>
      <c r="BE171">
        <f>HYPERLINK("http://exon.niaid.nih.gov/transcriptome/T_rubida/S2/links/GO/Triru-446-GO.txt",5E-54)</f>
        <v>5.0000000000000002E-54</v>
      </c>
      <c r="BF171" t="s">
        <v>138</v>
      </c>
      <c r="BG171" t="s">
        <v>139</v>
      </c>
      <c r="BH171" t="s">
        <v>140</v>
      </c>
      <c r="BI171" s="2" t="str">
        <f>HYPERLINK("http://exon.niaid.nih.gov/transcriptome/T_rubida/S2/links/CDD/Triru-446-CDD.txt","PTZ00157")</f>
        <v>PTZ00157</v>
      </c>
      <c r="BJ171" t="str">
        <f>HYPERLINK("http://www.ncbi.nlm.nih.gov/Structure/cdd/cddsrv.cgi?uid=PTZ00157&amp;version=v4.0","8E-023")</f>
        <v>8E-023</v>
      </c>
      <c r="BK171" t="s">
        <v>826</v>
      </c>
      <c r="BL171" s="2" t="str">
        <f>HYPERLINK("http://exon.niaid.nih.gov/transcriptome/T_rubida/S2/links/KOG/Triru-446-KOG.txt","60S ribosomal protein L44")</f>
        <v>60S ribosomal protein L44</v>
      </c>
      <c r="BM171" t="str">
        <f>HYPERLINK("http://www.ncbi.nlm.nih.gov/COG/grace/shokog.cgi?KOG3464","2E-026")</f>
        <v>2E-026</v>
      </c>
      <c r="BN171" t="s">
        <v>84</v>
      </c>
      <c r="BO171" s="2" t="str">
        <f>HYPERLINK("http://exon.niaid.nih.gov/transcriptome/T_rubida/S2/links/PFAM/Triru-446-PFAM.txt","Ribosomal_L44")</f>
        <v>Ribosomal_L44</v>
      </c>
      <c r="BP171" t="str">
        <f>HYPERLINK("http://pfam.sanger.ac.uk/family?acc=PF00935","4E-021")</f>
        <v>4E-021</v>
      </c>
      <c r="BQ171" s="2" t="str">
        <f>HYPERLINK("http://exon.niaid.nih.gov/transcriptome/T_rubida/S2/links/SMART/Triru-446-SMART.txt","DM7")</f>
        <v>DM7</v>
      </c>
      <c r="BR171" t="str">
        <f>HYPERLINK("http://smart.embl-heidelberg.de/smart/do_annotation.pl?DOMAIN=DM7&amp;BLAST=DUMMY","0.39")</f>
        <v>0.39</v>
      </c>
      <c r="BS171" s="17">
        <f>HYPERLINK("http://exon.niaid.nih.gov/transcriptome/T_rubida/S2/links/cluster/Triru-pep-ext25-50-Sim-CLU1.txt", 1)</f>
        <v>1</v>
      </c>
      <c r="BT171" s="1">
        <f>HYPERLINK("http://exon.niaid.nih.gov/transcriptome/T_rubida/S2/links/cluster/Triru-pep-ext25-50-Sim-CLTL1.txt", 359)</f>
        <v>359</v>
      </c>
      <c r="BU171" s="17">
        <f>HYPERLINK("http://exon.niaid.nih.gov/transcriptome/T_rubida/S2/links/cluster/Triru-pep-ext30-50-Sim-CLU1.txt", 1)</f>
        <v>1</v>
      </c>
      <c r="BV171" s="1">
        <f>HYPERLINK("http://exon.niaid.nih.gov/transcriptome/T_rubida/S2/links/cluster/Triru-pep-ext30-50-Sim-CLTL1.txt", 225)</f>
        <v>225</v>
      </c>
      <c r="BW171" s="17">
        <v>261</v>
      </c>
      <c r="BX171" s="1">
        <v>1</v>
      </c>
      <c r="BY171" s="17">
        <v>281</v>
      </c>
      <c r="BZ171" s="1">
        <v>1</v>
      </c>
      <c r="CA171" s="17">
        <v>290</v>
      </c>
      <c r="CB171" s="1">
        <v>1</v>
      </c>
      <c r="CC171" s="17">
        <v>298</v>
      </c>
      <c r="CD171" s="1">
        <v>1</v>
      </c>
      <c r="CE171" s="17">
        <v>308</v>
      </c>
      <c r="CF171" s="1">
        <v>1</v>
      </c>
      <c r="CG171" s="17">
        <v>312</v>
      </c>
      <c r="CH171" s="1">
        <v>1</v>
      </c>
      <c r="CI171" s="17">
        <v>322</v>
      </c>
      <c r="CJ171" s="1">
        <v>1</v>
      </c>
      <c r="CK171" s="17">
        <v>328</v>
      </c>
      <c r="CL171" s="1">
        <v>1</v>
      </c>
      <c r="CM171" s="17">
        <v>336</v>
      </c>
      <c r="CN171" s="1">
        <v>1</v>
      </c>
      <c r="CO171" s="17">
        <v>348</v>
      </c>
      <c r="CP171" s="1">
        <v>1</v>
      </c>
      <c r="CQ171" s="17">
        <v>358</v>
      </c>
      <c r="CR171" s="1">
        <v>1</v>
      </c>
      <c r="CS171" s="17">
        <v>370</v>
      </c>
      <c r="CT171" s="1">
        <v>1</v>
      </c>
      <c r="CU171" s="17">
        <v>381</v>
      </c>
      <c r="CV171" s="1">
        <v>1</v>
      </c>
    </row>
    <row r="172" spans="1:100">
      <c r="A172" t="str">
        <f>HYPERLINK("http://exon.niaid.nih.gov/transcriptome/T_rubida/S2/links/pep/Triru-126-pep.txt","Triru-126")</f>
        <v>Triru-126</v>
      </c>
      <c r="B172">
        <v>138</v>
      </c>
      <c r="C172" s="1" t="s">
        <v>9</v>
      </c>
      <c r="D172" s="1" t="s">
        <v>3</v>
      </c>
      <c r="E172" t="str">
        <f>HYPERLINK("http://exon.niaid.nih.gov/transcriptome/T_rubida/S2/links/cds/Triru-126-cds.txt","Triru-126")</f>
        <v>Triru-126</v>
      </c>
      <c r="F172">
        <v>417</v>
      </c>
      <c r="G172" s="2" t="s">
        <v>1644</v>
      </c>
      <c r="H172" s="1">
        <v>3</v>
      </c>
      <c r="I172" s="3" t="s">
        <v>1268</v>
      </c>
      <c r="J172" s="17" t="str">
        <f>HYPERLINK("http://exon.niaid.nih.gov/transcriptome/T_rubida/S2/links/Sigp/Triru-126-SigP.txt","CYT")</f>
        <v>CYT</v>
      </c>
      <c r="K172" t="s">
        <v>5</v>
      </c>
      <c r="L172" s="1">
        <v>15.987</v>
      </c>
      <c r="M172" s="1">
        <v>11.64</v>
      </c>
      <c r="P172" s="1">
        <v>0.50800000000000001</v>
      </c>
      <c r="Q172" s="1">
        <v>2.8000000000000001E-2</v>
      </c>
      <c r="R172" s="1">
        <v>0.621</v>
      </c>
      <c r="S172" s="17" t="s">
        <v>1346</v>
      </c>
      <c r="T172">
        <v>5</v>
      </c>
      <c r="U172" t="s">
        <v>1348</v>
      </c>
      <c r="V172" s="17">
        <v>0</v>
      </c>
      <c r="W172" t="s">
        <v>5</v>
      </c>
      <c r="X172" t="s">
        <v>5</v>
      </c>
      <c r="Y172" t="s">
        <v>5</v>
      </c>
      <c r="Z172" t="s">
        <v>5</v>
      </c>
      <c r="AA172" t="s">
        <v>5</v>
      </c>
      <c r="AB172" s="17" t="str">
        <f>HYPERLINK("http://exon.niaid.nih.gov/transcriptome/T_rubida/S2/links/netoglyc/TRIRU-126-netoglyc.txt","0")</f>
        <v>0</v>
      </c>
      <c r="AC172">
        <v>15.9</v>
      </c>
      <c r="AD172">
        <v>2.9</v>
      </c>
      <c r="AE172">
        <v>3.6</v>
      </c>
      <c r="AF172" s="17" t="s">
        <v>1434</v>
      </c>
      <c r="AG172" s="2" t="str">
        <f>HYPERLINK("http://exon.niaid.nih.gov/transcriptome/T_rubida/S2/links/NR/Triru-126-NR.txt","ribosomal protein L28")</f>
        <v>ribosomal protein L28</v>
      </c>
      <c r="AH172" t="str">
        <f>HYPERLINK("http://www.ncbi.nlm.nih.gov/sutils/blink.cgi?pid=111379895","2E-072")</f>
        <v>2E-072</v>
      </c>
      <c r="AI172" t="str">
        <f>HYPERLINK("http://www.ncbi.nlm.nih.gov/protein/111379895","gi|111379895")</f>
        <v>gi|111379895</v>
      </c>
      <c r="AJ172">
        <v>275</v>
      </c>
      <c r="AK172">
        <v>137</v>
      </c>
      <c r="AL172">
        <v>138</v>
      </c>
      <c r="AM172">
        <v>98</v>
      </c>
      <c r="AN172">
        <v>100</v>
      </c>
      <c r="AO172" t="s">
        <v>236</v>
      </c>
      <c r="AP172" s="2" t="str">
        <f>HYPERLINK("http://exon.niaid.nih.gov/transcriptome/T_rubida/S2/links/SWISSP/Triru-126-SWISSP.txt","60S ribosomal protein L28")</f>
        <v>60S ribosomal protein L28</v>
      </c>
      <c r="AQ172" t="str">
        <f>HYPERLINK("http://www.uniprot.org/uniprot/Q962T2","9E-035")</f>
        <v>9E-035</v>
      </c>
      <c r="AR172" t="s">
        <v>827</v>
      </c>
      <c r="AS172">
        <v>145</v>
      </c>
      <c r="AT172">
        <v>131</v>
      </c>
      <c r="AU172">
        <v>139</v>
      </c>
      <c r="AV172">
        <v>53</v>
      </c>
      <c r="AW172">
        <v>95</v>
      </c>
      <c r="AX172">
        <v>63</v>
      </c>
      <c r="AY172">
        <v>3</v>
      </c>
      <c r="AZ172">
        <v>1</v>
      </c>
      <c r="BA172">
        <v>1</v>
      </c>
      <c r="BB172">
        <v>1</v>
      </c>
      <c r="BC172" t="s">
        <v>82</v>
      </c>
      <c r="BD172" s="2" t="s">
        <v>828</v>
      </c>
      <c r="BE172">
        <f>HYPERLINK("http://exon.niaid.nih.gov/transcriptome/T_rubida/S2/links/GO/Triru-126-GO.txt",1E-31)</f>
        <v>1.0000000000000001E-31</v>
      </c>
      <c r="BF172" t="s">
        <v>138</v>
      </c>
      <c r="BG172" t="s">
        <v>139</v>
      </c>
      <c r="BH172" t="s">
        <v>140</v>
      </c>
      <c r="BI172" s="2" t="str">
        <f>HYPERLINK("http://exon.niaid.nih.gov/transcriptome/T_rubida/S2/links/CDD/Triru-126-CDD.txt","Ribosomal_L28e")</f>
        <v>Ribosomal_L28e</v>
      </c>
      <c r="BJ172" t="str">
        <f>HYPERLINK("http://www.ncbi.nlm.nih.gov/Structure/cdd/cddsrv.cgi?uid=pfam01778&amp;version=v4.0","3E-021")</f>
        <v>3E-021</v>
      </c>
      <c r="BK172" t="s">
        <v>829</v>
      </c>
      <c r="BL172" s="2" t="str">
        <f>HYPERLINK("http://exon.niaid.nih.gov/transcriptome/T_rubida/S2/links/KOG/Triru-126-KOG.txt","60S ribosomal protein L28")</f>
        <v>60S ribosomal protein L28</v>
      </c>
      <c r="BM172" t="str">
        <f>HYPERLINK("http://www.ncbi.nlm.nih.gov/COG/grace/shokog.cgi?KOG3412","4E-023")</f>
        <v>4E-023</v>
      </c>
      <c r="BN172" t="s">
        <v>84</v>
      </c>
      <c r="BO172" s="2" t="str">
        <f>HYPERLINK("http://exon.niaid.nih.gov/transcriptome/T_rubida/S2/links/PFAM/Triru-126-PFAM.txt","Ribosomal_L28e")</f>
        <v>Ribosomal_L28e</v>
      </c>
      <c r="BP172" t="str">
        <f>HYPERLINK("http://pfam.sanger.ac.uk/family?acc=PF01778","6E-022")</f>
        <v>6E-022</v>
      </c>
      <c r="BQ172" s="2" t="str">
        <f>HYPERLINK("http://exon.niaid.nih.gov/transcriptome/T_rubida/S2/links/SMART/Triru-126-SMART.txt","Adenylsucc_synt")</f>
        <v>Adenylsucc_synt</v>
      </c>
      <c r="BR172" t="str">
        <f>HYPERLINK("http://smart.embl-heidelberg.de/smart/do_annotation.pl?DOMAIN=Adenylsucc_synt&amp;BLAST=DUMMY","0.11")</f>
        <v>0.11</v>
      </c>
      <c r="BS172" s="17">
        <v>51</v>
      </c>
      <c r="BT172" s="1">
        <v>1</v>
      </c>
      <c r="BU172" s="17">
        <v>71</v>
      </c>
      <c r="BV172" s="1">
        <v>1</v>
      </c>
      <c r="BW172" s="17">
        <v>77</v>
      </c>
      <c r="BX172" s="1">
        <v>1</v>
      </c>
      <c r="BY172" s="17">
        <v>77</v>
      </c>
      <c r="BZ172" s="1">
        <v>1</v>
      </c>
      <c r="CA172" s="17">
        <v>75</v>
      </c>
      <c r="CB172" s="1">
        <v>1</v>
      </c>
      <c r="CC172" s="17">
        <v>74</v>
      </c>
      <c r="CD172" s="1">
        <v>1</v>
      </c>
      <c r="CE172" s="17">
        <v>68</v>
      </c>
      <c r="CF172" s="1">
        <v>1</v>
      </c>
      <c r="CG172" s="17">
        <v>68</v>
      </c>
      <c r="CH172" s="1">
        <v>1</v>
      </c>
      <c r="CI172" s="17">
        <v>74</v>
      </c>
      <c r="CJ172" s="1">
        <v>1</v>
      </c>
      <c r="CK172" s="17">
        <v>78</v>
      </c>
      <c r="CL172" s="1">
        <v>1</v>
      </c>
      <c r="CM172" s="17">
        <v>82</v>
      </c>
      <c r="CN172" s="1">
        <v>1</v>
      </c>
      <c r="CO172" s="17">
        <v>90</v>
      </c>
      <c r="CP172" s="1">
        <v>1</v>
      </c>
      <c r="CQ172" s="17">
        <v>100</v>
      </c>
      <c r="CR172" s="1">
        <v>1</v>
      </c>
      <c r="CS172" s="17">
        <v>105</v>
      </c>
      <c r="CT172" s="1">
        <v>1</v>
      </c>
      <c r="CU172" s="17">
        <v>116</v>
      </c>
      <c r="CV172" s="1">
        <v>1</v>
      </c>
    </row>
    <row r="173" spans="1:100">
      <c r="A173" t="str">
        <f>HYPERLINK("http://exon.niaid.nih.gov/transcriptome/T_rubida/S2/links/pep/Triru-124-pep.txt","Triru-124")</f>
        <v>Triru-124</v>
      </c>
      <c r="B173">
        <v>149</v>
      </c>
      <c r="C173" s="1" t="s">
        <v>9</v>
      </c>
      <c r="D173" s="1" t="s">
        <v>3</v>
      </c>
      <c r="E173" t="str">
        <f>HYPERLINK("http://exon.niaid.nih.gov/transcriptome/T_rubida/S2/links/cds/Triru-124-cds.txt","Triru-124")</f>
        <v>Triru-124</v>
      </c>
      <c r="F173">
        <v>450</v>
      </c>
      <c r="G173" s="2" t="s">
        <v>1645</v>
      </c>
      <c r="H173" s="1">
        <v>3</v>
      </c>
      <c r="I173" s="3" t="s">
        <v>1268</v>
      </c>
      <c r="J173" s="17" t="str">
        <f>HYPERLINK("http://exon.niaid.nih.gov/transcriptome/T_rubida/S2/links/Sigp/Triru-124-SigP.txt","CYT")</f>
        <v>CYT</v>
      </c>
      <c r="K173" t="s">
        <v>5</v>
      </c>
      <c r="L173" s="1">
        <v>17.349</v>
      </c>
      <c r="M173" s="1">
        <v>10.87</v>
      </c>
      <c r="P173" s="1">
        <v>0.75900000000000001</v>
      </c>
      <c r="Q173" s="1">
        <v>1.6E-2</v>
      </c>
      <c r="R173" s="1">
        <v>0.41399999999999998</v>
      </c>
      <c r="S173" s="17" t="s">
        <v>9</v>
      </c>
      <c r="T173">
        <v>4</v>
      </c>
      <c r="U173" t="s">
        <v>1348</v>
      </c>
      <c r="V173" s="17">
        <v>0</v>
      </c>
      <c r="W173" t="s">
        <v>5</v>
      </c>
      <c r="X173" t="s">
        <v>5</v>
      </c>
      <c r="Y173" t="s">
        <v>5</v>
      </c>
      <c r="Z173" t="s">
        <v>5</v>
      </c>
      <c r="AA173" t="s">
        <v>5</v>
      </c>
      <c r="AB173" s="17" t="str">
        <f>HYPERLINK("http://exon.niaid.nih.gov/transcriptome/T_rubida/S2/links/netoglyc/TRIRU-124-netoglyc.txt","5")</f>
        <v>5</v>
      </c>
      <c r="AC173">
        <v>11.4</v>
      </c>
      <c r="AD173">
        <v>5.4</v>
      </c>
      <c r="AE173">
        <v>2.7</v>
      </c>
      <c r="AF173" s="17" t="s">
        <v>5</v>
      </c>
      <c r="AG173" s="2" t="str">
        <f>HYPERLINK("http://exon.niaid.nih.gov/transcriptome/T_rubida/S2/links/NR/Triru-124-NR.txt","60S ribosomal protein L26")</f>
        <v>60S ribosomal protein L26</v>
      </c>
      <c r="AH173" t="str">
        <f>HYPERLINK("http://www.ncbi.nlm.nih.gov/sutils/blink.cgi?pid=149689146","2E-077")</f>
        <v>2E-077</v>
      </c>
      <c r="AI173" t="str">
        <f>HYPERLINK("http://www.ncbi.nlm.nih.gov/protein/149689146","gi|149689146")</f>
        <v>gi|149689146</v>
      </c>
      <c r="AJ173">
        <v>291</v>
      </c>
      <c r="AK173">
        <v>148</v>
      </c>
      <c r="AL173">
        <v>149</v>
      </c>
      <c r="AM173">
        <v>99</v>
      </c>
      <c r="AN173">
        <v>100</v>
      </c>
      <c r="AO173" t="s">
        <v>80</v>
      </c>
      <c r="AP173" s="2" t="str">
        <f>HYPERLINK("http://exon.niaid.nih.gov/transcriptome/T_rubida/S2/links/SWISSP/Triru-124-SWISSP.txt","60S ribosomal protein L26")</f>
        <v>60S ribosomal protein L26</v>
      </c>
      <c r="AQ173" t="str">
        <f>HYPERLINK("http://www.uniprot.org/uniprot/P61255","2E-059")</f>
        <v>2E-059</v>
      </c>
      <c r="AR173" t="s">
        <v>835</v>
      </c>
      <c r="AS173">
        <v>227</v>
      </c>
      <c r="AT173">
        <v>138</v>
      </c>
      <c r="AU173">
        <v>145</v>
      </c>
      <c r="AV173">
        <v>78</v>
      </c>
      <c r="AW173">
        <v>96</v>
      </c>
      <c r="AX173">
        <v>31</v>
      </c>
      <c r="AY173">
        <v>2</v>
      </c>
      <c r="AZ173">
        <v>1</v>
      </c>
      <c r="BA173">
        <v>1</v>
      </c>
      <c r="BB173">
        <v>1</v>
      </c>
      <c r="BC173" t="s">
        <v>75</v>
      </c>
      <c r="BD173" s="2" t="s">
        <v>836</v>
      </c>
      <c r="BE173">
        <f>HYPERLINK("http://exon.niaid.nih.gov/transcriptome/T_rubida/S2/links/GO/Triru-124-GO.txt",3E-63)</f>
        <v>2.9999999999999998E-63</v>
      </c>
      <c r="BF173" t="s">
        <v>138</v>
      </c>
      <c r="BG173" t="s">
        <v>139</v>
      </c>
      <c r="BH173" t="s">
        <v>140</v>
      </c>
      <c r="BI173" s="2" t="str">
        <f>HYPERLINK("http://exon.niaid.nih.gov/transcriptome/T_rubida/S2/links/CDD/Triru-124-CDD.txt","PTZ00194")</f>
        <v>PTZ00194</v>
      </c>
      <c r="BJ173" t="str">
        <f>HYPERLINK("http://www.ncbi.nlm.nih.gov/Structure/cdd/cddsrv.cgi?uid=PTZ00194&amp;version=v4.0","6E-044")</f>
        <v>6E-044</v>
      </c>
      <c r="BK173" t="s">
        <v>837</v>
      </c>
      <c r="BL173" s="2" t="str">
        <f>HYPERLINK("http://exon.niaid.nih.gov/transcriptome/T_rubida/S2/links/KOG/Triru-124-KOG.txt","60S ribosomal protein L26")</f>
        <v>60S ribosomal protein L26</v>
      </c>
      <c r="BM173" t="str">
        <f>HYPERLINK("http://www.ncbi.nlm.nih.gov/COG/grace/shokog.cgi?KOG3401","2E-044")</f>
        <v>2E-044</v>
      </c>
      <c r="BN173" t="s">
        <v>84</v>
      </c>
      <c r="BO173" s="2" t="str">
        <f>HYPERLINK("http://exon.niaid.nih.gov/transcriptome/T_rubida/S2/links/PFAM/Triru-124-PFAM.txt","KOW")</f>
        <v>KOW</v>
      </c>
      <c r="BP173" t="str">
        <f>HYPERLINK("http://pfam.sanger.ac.uk/family?acc=PF00467","0.005")</f>
        <v>0.005</v>
      </c>
      <c r="BQ173" s="2" t="str">
        <f>HYPERLINK("http://exon.niaid.nih.gov/transcriptome/T_rubida/S2/links/SMART/Triru-124-SMART.txt","KOW")</f>
        <v>KOW</v>
      </c>
      <c r="BR173" t="str">
        <f>HYPERLINK("http://smart.embl-heidelberg.de/smart/do_annotation.pl?DOMAIN=KOW&amp;BLAST=DUMMY","0.006")</f>
        <v>0.006</v>
      </c>
      <c r="BS173" s="17">
        <f>HYPERLINK("http://exon.niaid.nih.gov/transcriptome/T_rubida/S2/links/cluster/Triru-pep-ext25-50-Sim-CLU14.txt", 14)</f>
        <v>14</v>
      </c>
      <c r="BT173" s="1">
        <f>HYPERLINK("http://exon.niaid.nih.gov/transcriptome/T_rubida/S2/links/cluster/Triru-pep-ext25-50-Sim-CLTL14.txt", 2)</f>
        <v>2</v>
      </c>
      <c r="BU173" s="17">
        <v>69</v>
      </c>
      <c r="BV173" s="1">
        <v>1</v>
      </c>
      <c r="BW173" s="17">
        <v>75</v>
      </c>
      <c r="BX173" s="1">
        <v>1</v>
      </c>
      <c r="BY173" s="17">
        <v>75</v>
      </c>
      <c r="BZ173" s="1">
        <v>1</v>
      </c>
      <c r="CA173" s="17">
        <v>73</v>
      </c>
      <c r="CB173" s="1">
        <v>1</v>
      </c>
      <c r="CC173" s="17">
        <v>72</v>
      </c>
      <c r="CD173" s="1">
        <v>1</v>
      </c>
      <c r="CE173" s="17">
        <v>66</v>
      </c>
      <c r="CF173" s="1">
        <v>1</v>
      </c>
      <c r="CG173" s="17">
        <v>66</v>
      </c>
      <c r="CH173" s="1">
        <v>1</v>
      </c>
      <c r="CI173" s="17">
        <v>72</v>
      </c>
      <c r="CJ173" s="1">
        <v>1</v>
      </c>
      <c r="CK173" s="17">
        <v>76</v>
      </c>
      <c r="CL173" s="1">
        <v>1</v>
      </c>
      <c r="CM173" s="17">
        <v>80</v>
      </c>
      <c r="CN173" s="1">
        <v>1</v>
      </c>
      <c r="CO173" s="17">
        <v>88</v>
      </c>
      <c r="CP173" s="1">
        <v>1</v>
      </c>
      <c r="CQ173" s="17">
        <v>98</v>
      </c>
      <c r="CR173" s="1">
        <v>1</v>
      </c>
      <c r="CS173" s="17">
        <v>103</v>
      </c>
      <c r="CT173" s="1">
        <v>1</v>
      </c>
      <c r="CU173" s="17">
        <v>114</v>
      </c>
      <c r="CV173" s="1">
        <v>1</v>
      </c>
    </row>
    <row r="174" spans="1:100">
      <c r="A174" t="str">
        <f>HYPERLINK("http://exon.niaid.nih.gov/transcriptome/T_rubida/S2/links/pep/Triru-94-pep.txt","Triru-94")</f>
        <v>Triru-94</v>
      </c>
      <c r="B174">
        <v>156</v>
      </c>
      <c r="C174" s="1" t="s">
        <v>9</v>
      </c>
      <c r="D174" s="1" t="s">
        <v>3</v>
      </c>
      <c r="E174" t="str">
        <f>HYPERLINK("http://exon.niaid.nih.gov/transcriptome/T_rubida/S2/links/cds/Triru-94-cds.txt","Triru-94")</f>
        <v>Triru-94</v>
      </c>
      <c r="F174">
        <v>471</v>
      </c>
      <c r="G174" s="2" t="s">
        <v>1646</v>
      </c>
      <c r="H174" s="1">
        <v>7</v>
      </c>
      <c r="I174" s="3" t="s">
        <v>1268</v>
      </c>
      <c r="J174" s="17" t="str">
        <f>HYPERLINK("http://exon.niaid.nih.gov/transcriptome/T_rubida/S2/links/Sigp/Triru-94-SigP.txt","CYT")</f>
        <v>CYT</v>
      </c>
      <c r="K174" t="s">
        <v>5</v>
      </c>
      <c r="L174" s="1">
        <v>17.994</v>
      </c>
      <c r="M174" s="1">
        <v>9.75</v>
      </c>
      <c r="P174" s="1">
        <v>7.1999999999999995E-2</v>
      </c>
      <c r="Q174" s="1">
        <v>0.128</v>
      </c>
      <c r="R174" s="1">
        <v>0.86</v>
      </c>
      <c r="S174" s="17" t="s">
        <v>1346</v>
      </c>
      <c r="T174">
        <v>2</v>
      </c>
      <c r="U174" t="s">
        <v>1348</v>
      </c>
      <c r="V174" s="17">
        <v>0</v>
      </c>
      <c r="W174" t="s">
        <v>5</v>
      </c>
      <c r="X174" t="s">
        <v>5</v>
      </c>
      <c r="Y174" t="s">
        <v>5</v>
      </c>
      <c r="Z174" t="s">
        <v>5</v>
      </c>
      <c r="AA174" t="s">
        <v>5</v>
      </c>
      <c r="AB174" s="17" t="str">
        <f>HYPERLINK("http://exon.niaid.nih.gov/transcriptome/T_rubida/S2/links/netoglyc/TRIRU-94-netoglyc.txt","0")</f>
        <v>0</v>
      </c>
      <c r="AC174">
        <v>10.9</v>
      </c>
      <c r="AD174">
        <v>5.8</v>
      </c>
      <c r="AE174">
        <v>3.2</v>
      </c>
      <c r="AF174" s="17" t="s">
        <v>5</v>
      </c>
      <c r="AG174" s="2" t="str">
        <f>HYPERLINK("http://exon.niaid.nih.gov/transcriptome/T_rubida/S2/links/NR/Triru-94-NR.txt","putative ubiquitin/ribosomal protein S27Ae fusion protein")</f>
        <v>putative ubiquitin/ribosomal protein S27Ae fusion protein</v>
      </c>
      <c r="AH174" t="str">
        <f>HYPERLINK("http://www.ncbi.nlm.nih.gov/sutils/blink.cgi?pid=90819968","4E-081")</f>
        <v>4E-081</v>
      </c>
      <c r="AI174" t="str">
        <f>HYPERLINK("http://www.ncbi.nlm.nih.gov/protein/90819968","gi|90819968")</f>
        <v>gi|90819968</v>
      </c>
      <c r="AJ174">
        <v>303</v>
      </c>
      <c r="AK174">
        <v>155</v>
      </c>
      <c r="AL174">
        <v>156</v>
      </c>
      <c r="AM174">
        <v>95</v>
      </c>
      <c r="AN174">
        <v>100</v>
      </c>
      <c r="AO174" t="s">
        <v>427</v>
      </c>
      <c r="AP174" s="2" t="str">
        <f>HYPERLINK("http://exon.niaid.nih.gov/transcriptome/T_rubida/S2/links/SWISSP/Triru-94-SWISSP.txt","Ubiquitin-40S ribosomal protein S27a")</f>
        <v>Ubiquitin-40S ribosomal protein S27a</v>
      </c>
      <c r="AQ174" t="str">
        <f>HYPERLINK("http://www.uniprot.org/uniprot/P15357","2E-078")</f>
        <v>2E-078</v>
      </c>
      <c r="AR174" t="s">
        <v>838</v>
      </c>
      <c r="AS174">
        <v>290</v>
      </c>
      <c r="AT174">
        <v>155</v>
      </c>
      <c r="AU174">
        <v>156</v>
      </c>
      <c r="AV174">
        <v>91</v>
      </c>
      <c r="AW174">
        <v>100</v>
      </c>
      <c r="AX174">
        <v>14</v>
      </c>
      <c r="AY174">
        <v>0</v>
      </c>
      <c r="AZ174">
        <v>1</v>
      </c>
      <c r="BA174">
        <v>1</v>
      </c>
      <c r="BB174">
        <v>1</v>
      </c>
      <c r="BC174" t="s">
        <v>150</v>
      </c>
      <c r="BD174" s="2" t="s">
        <v>839</v>
      </c>
      <c r="BE174">
        <f>HYPERLINK("http://exon.niaid.nih.gov/transcriptome/T_rubida/S2/links/GO/Triru-94-GO.txt",5E-76)</f>
        <v>4.9999999999999998E-76</v>
      </c>
      <c r="BF174" t="s">
        <v>138</v>
      </c>
      <c r="BG174" t="s">
        <v>139</v>
      </c>
      <c r="BH174" t="s">
        <v>140</v>
      </c>
      <c r="BI174" s="2" t="str">
        <f>HYPERLINK("http://exon.niaid.nih.gov/transcriptome/T_rubida/S2/links/CDD/Triru-94-CDD.txt","Ubiquitin")</f>
        <v>Ubiquitin</v>
      </c>
      <c r="BJ174" t="str">
        <f>HYPERLINK("http://www.ncbi.nlm.nih.gov/Structure/cdd/cddsrv.cgi?uid=cd01803&amp;version=v4.0","1E-038")</f>
        <v>1E-038</v>
      </c>
      <c r="BK174" t="s">
        <v>840</v>
      </c>
      <c r="BL174" s="2" t="str">
        <f>HYPERLINK("http://exon.niaid.nih.gov/transcriptome/T_rubida/S2/links/KOG/Triru-94-KOG.txt","Ubiquitin/40S ribosomal protein S27a fusion")</f>
        <v>Ubiquitin/40S ribosomal protein S27a fusion</v>
      </c>
      <c r="BM174" t="str">
        <f>HYPERLINK("http://www.ncbi.nlm.nih.gov/COG/grace/shokog.cgi?KOG0004","4E-059")</f>
        <v>4E-059</v>
      </c>
      <c r="BN174" t="s">
        <v>84</v>
      </c>
      <c r="BO174" s="2" t="str">
        <f>HYPERLINK("http://exon.niaid.nih.gov/transcriptome/T_rubida/S2/links/PFAM/Triru-94-PFAM.txt","ubiquitin")</f>
        <v>ubiquitin</v>
      </c>
      <c r="BP174" t="str">
        <f>HYPERLINK("http://pfam.sanger.ac.uk/family?acc=PF00240","4E-025")</f>
        <v>4E-025</v>
      </c>
      <c r="BQ174" s="2" t="str">
        <f>HYPERLINK("http://exon.niaid.nih.gov/transcriptome/T_rubida/S2/links/SMART/Triru-94-SMART.txt","UBQ")</f>
        <v>UBQ</v>
      </c>
      <c r="BR174" t="str">
        <f>HYPERLINK("http://smart.embl-heidelberg.de/smart/do_annotation.pl?DOMAIN=UBQ&amp;BLAST=DUMMY","4E-021")</f>
        <v>4E-021</v>
      </c>
      <c r="BS174" s="17">
        <f>HYPERLINK("http://exon.niaid.nih.gov/transcriptome/T_rubida/S2/links/cluster/Triru-pep-ext25-50-Sim-CLU9.txt", 9)</f>
        <v>9</v>
      </c>
      <c r="BT174" s="1">
        <f>HYPERLINK("http://exon.niaid.nih.gov/transcriptome/T_rubida/S2/links/cluster/Triru-pep-ext25-50-Sim-CLTL9.txt", 2)</f>
        <v>2</v>
      </c>
      <c r="BU174" s="17">
        <f>HYPERLINK("http://exon.niaid.nih.gov/transcriptome/T_rubida/S2/links/cluster/Triru-pep-ext30-50-Sim-CLU15.txt", 15)</f>
        <v>15</v>
      </c>
      <c r="BV174" s="1">
        <f>HYPERLINK("http://exon.niaid.nih.gov/transcriptome/T_rubida/S2/links/cluster/Triru-pep-ext30-50-Sim-CLTL15.txt", 2)</f>
        <v>2</v>
      </c>
      <c r="BW174" s="17">
        <f>HYPERLINK("http://exon.niaid.nih.gov/transcriptome/T_rubida/S2/links/cluster/Triru-pep-ext35-50-Sim-CLU12.txt", 12)</f>
        <v>12</v>
      </c>
      <c r="BX174" s="1">
        <f>HYPERLINK("http://exon.niaid.nih.gov/transcriptome/T_rubida/S2/links/cluster/Triru-pep-ext35-50-Sim-CLTL12.txt", 2)</f>
        <v>2</v>
      </c>
      <c r="BY174" s="17">
        <v>55</v>
      </c>
      <c r="BZ174" s="1">
        <v>1</v>
      </c>
      <c r="CA174" s="17">
        <v>52</v>
      </c>
      <c r="CB174" s="1">
        <v>1</v>
      </c>
      <c r="CC174" s="17">
        <v>50</v>
      </c>
      <c r="CD174" s="1">
        <v>1</v>
      </c>
      <c r="CE174" s="17">
        <v>43</v>
      </c>
      <c r="CF174" s="1">
        <v>1</v>
      </c>
      <c r="CG174" s="17">
        <v>43</v>
      </c>
      <c r="CH174" s="1">
        <v>1</v>
      </c>
      <c r="CI174" s="17">
        <v>46</v>
      </c>
      <c r="CJ174" s="1">
        <v>1</v>
      </c>
      <c r="CK174" s="17">
        <v>50</v>
      </c>
      <c r="CL174" s="1">
        <v>1</v>
      </c>
      <c r="CM174" s="17">
        <v>54</v>
      </c>
      <c r="CN174" s="1">
        <v>1</v>
      </c>
      <c r="CO174" s="17">
        <v>62</v>
      </c>
      <c r="CP174" s="1">
        <v>1</v>
      </c>
      <c r="CQ174" s="17">
        <v>72</v>
      </c>
      <c r="CR174" s="1">
        <v>1</v>
      </c>
      <c r="CS174" s="17">
        <v>77</v>
      </c>
      <c r="CT174" s="1">
        <v>1</v>
      </c>
      <c r="CU174" s="17">
        <v>88</v>
      </c>
      <c r="CV174" s="1">
        <v>1</v>
      </c>
    </row>
    <row r="175" spans="1:100">
      <c r="A175" t="str">
        <f>HYPERLINK("http://exon.niaid.nih.gov/transcriptome/T_rubida/S2/links/pep/Triru-165-pep.txt","Triru-165")</f>
        <v>Triru-165</v>
      </c>
      <c r="B175">
        <v>193</v>
      </c>
      <c r="C175" s="1" t="s">
        <v>9</v>
      </c>
      <c r="D175" s="1" t="s">
        <v>3</v>
      </c>
      <c r="E175" t="str">
        <f>HYPERLINK("http://exon.niaid.nih.gov/transcriptome/T_rubida/S2/links/cds/Triru-165-cds.txt","Triru-165")</f>
        <v>Triru-165</v>
      </c>
      <c r="F175">
        <v>582</v>
      </c>
      <c r="G175" s="2" t="s">
        <v>1647</v>
      </c>
      <c r="H175" s="1">
        <v>1</v>
      </c>
      <c r="I175" s="3" t="s">
        <v>1268</v>
      </c>
      <c r="J175" s="17" t="str">
        <f>HYPERLINK("http://exon.niaid.nih.gov/transcriptome/T_rubida/S2/links/Sigp/Triru-165-SigP.txt","CYT")</f>
        <v>CYT</v>
      </c>
      <c r="K175" t="s">
        <v>5</v>
      </c>
      <c r="L175" s="1">
        <v>22.545999999999999</v>
      </c>
      <c r="M175" s="1">
        <v>10.68</v>
      </c>
      <c r="P175" s="1">
        <v>0.495</v>
      </c>
      <c r="Q175" s="1">
        <v>5.0999999999999997E-2</v>
      </c>
      <c r="R175" s="1">
        <v>0.51400000000000001</v>
      </c>
      <c r="S175" s="17" t="s">
        <v>1346</v>
      </c>
      <c r="T175">
        <v>5</v>
      </c>
      <c r="U175" t="s">
        <v>1348</v>
      </c>
      <c r="V175" s="17">
        <v>0</v>
      </c>
      <c r="W175" t="s">
        <v>5</v>
      </c>
      <c r="X175" t="s">
        <v>5</v>
      </c>
      <c r="Y175" t="s">
        <v>5</v>
      </c>
      <c r="Z175" t="s">
        <v>5</v>
      </c>
      <c r="AA175" t="s">
        <v>5</v>
      </c>
      <c r="AB175" s="17" t="str">
        <f>HYPERLINK("http://exon.niaid.nih.gov/transcriptome/T_rubida/S2/links/netoglyc/TRIRU-165-netoglyc.txt","0")</f>
        <v>0</v>
      </c>
      <c r="AC175">
        <v>8.3000000000000007</v>
      </c>
      <c r="AD175">
        <v>6.2</v>
      </c>
      <c r="AE175">
        <v>3.1</v>
      </c>
      <c r="AF175" s="17" t="s">
        <v>1435</v>
      </c>
      <c r="AG175" s="2" t="str">
        <f>HYPERLINK("http://exon.niaid.nih.gov/transcriptome/T_rubida/S2/links/NR/Triru-165-NR.txt","similar to S9e ribosomal protein")</f>
        <v>similar to S9e ribosomal protein</v>
      </c>
      <c r="AH175" t="str">
        <f>HYPERLINK("http://www.ncbi.nlm.nih.gov/sutils/blink.cgi?pid=156536971","2E-097")</f>
        <v>2E-097</v>
      </c>
      <c r="AI175" t="str">
        <f>HYPERLINK("http://www.ncbi.nlm.nih.gov/protein/156536971","gi|156536971")</f>
        <v>gi|156536971</v>
      </c>
      <c r="AJ175">
        <v>358</v>
      </c>
      <c r="AK175">
        <v>192</v>
      </c>
      <c r="AL175">
        <v>193</v>
      </c>
      <c r="AM175">
        <v>94</v>
      </c>
      <c r="AN175">
        <v>100</v>
      </c>
      <c r="AO175" t="s">
        <v>288</v>
      </c>
      <c r="AP175" s="2" t="str">
        <f>HYPERLINK("http://exon.niaid.nih.gov/transcriptome/T_rubida/S2/links/SWISSP/Triru-165-SWISSP.txt","40S ribosomal protein S9")</f>
        <v>40S ribosomal protein S9</v>
      </c>
      <c r="AQ175" t="str">
        <f>HYPERLINK("http://www.uniprot.org/uniprot/P55935","1E-093")</f>
        <v>1E-093</v>
      </c>
      <c r="AR175" t="s">
        <v>854</v>
      </c>
      <c r="AS175">
        <v>342</v>
      </c>
      <c r="AT175">
        <v>194</v>
      </c>
      <c r="AU175">
        <v>195</v>
      </c>
      <c r="AV175">
        <v>90</v>
      </c>
      <c r="AW175">
        <v>100</v>
      </c>
      <c r="AX175">
        <v>19</v>
      </c>
      <c r="AY175">
        <v>2</v>
      </c>
      <c r="AZ175">
        <v>1</v>
      </c>
      <c r="BA175">
        <v>1</v>
      </c>
      <c r="BB175">
        <v>1</v>
      </c>
      <c r="BC175" t="s">
        <v>150</v>
      </c>
      <c r="BD175" s="2" t="s">
        <v>855</v>
      </c>
      <c r="BE175">
        <f>HYPERLINK("http://exon.niaid.nih.gov/transcriptome/T_rubida/S2/links/GO/Triru-165-GO.txt",9E-94)</f>
        <v>9.0000000000000004E-94</v>
      </c>
      <c r="BF175" t="s">
        <v>138</v>
      </c>
      <c r="BG175" t="s">
        <v>139</v>
      </c>
      <c r="BH175" t="s">
        <v>140</v>
      </c>
      <c r="BI175" s="2" t="str">
        <f>HYPERLINK("http://exon.niaid.nih.gov/transcriptome/T_rubida/S2/links/CDD/Triru-165-CDD.txt","PTZ00155")</f>
        <v>PTZ00155</v>
      </c>
      <c r="BJ175" t="str">
        <f>HYPERLINK("http://www.ncbi.nlm.nih.gov/Structure/cdd/cddsrv.cgi?uid=PTZ00155&amp;version=v4.0","4E-082")</f>
        <v>4E-082</v>
      </c>
      <c r="BK175" t="s">
        <v>856</v>
      </c>
      <c r="BL175" s="2" t="str">
        <f>HYPERLINK("http://exon.niaid.nih.gov/transcriptome/T_rubida/S2/links/KOG/Triru-165-KOG.txt","Ribosomal protein S4")</f>
        <v>Ribosomal protein S4</v>
      </c>
      <c r="BM175" t="str">
        <f>HYPERLINK("http://www.ncbi.nlm.nih.gov/COG/grace/shokog.cgi?KOG3301","1E-064")</f>
        <v>1E-064</v>
      </c>
      <c r="BN175" t="s">
        <v>84</v>
      </c>
      <c r="BO175" s="2" t="str">
        <f>HYPERLINK("http://exon.niaid.nih.gov/transcriptome/T_rubida/S2/links/PFAM/Triru-165-PFAM.txt","Ribosomal_S4")</f>
        <v>Ribosomal_S4</v>
      </c>
      <c r="BP175" t="str">
        <f>HYPERLINK("http://pfam.sanger.ac.uk/family?acc=PF00163","4E-019")</f>
        <v>4E-019</v>
      </c>
      <c r="BQ175" s="2" t="str">
        <f>HYPERLINK("http://exon.niaid.nih.gov/transcriptome/T_rubida/S2/links/SMART/Triru-165-SMART.txt","S4")</f>
        <v>S4</v>
      </c>
      <c r="BR175" t="str">
        <f>HYPERLINK("http://smart.embl-heidelberg.de/smart/do_annotation.pl?DOMAIN=S4&amp;BLAST=DUMMY","2E-006")</f>
        <v>2E-006</v>
      </c>
      <c r="BS175" s="17">
        <v>64</v>
      </c>
      <c r="BT175" s="1">
        <v>1</v>
      </c>
      <c r="BU175" s="17">
        <v>89</v>
      </c>
      <c r="BV175" s="1">
        <v>1</v>
      </c>
      <c r="BW175" s="17">
        <v>100</v>
      </c>
      <c r="BX175" s="1">
        <v>1</v>
      </c>
      <c r="BY175" s="17">
        <v>104</v>
      </c>
      <c r="BZ175" s="1">
        <v>1</v>
      </c>
      <c r="CA175" s="17">
        <v>102</v>
      </c>
      <c r="CB175" s="1">
        <v>1</v>
      </c>
      <c r="CC175" s="17">
        <v>101</v>
      </c>
      <c r="CD175" s="1">
        <v>1</v>
      </c>
      <c r="CE175" s="17">
        <v>96</v>
      </c>
      <c r="CF175" s="1">
        <v>1</v>
      </c>
      <c r="CG175" s="17">
        <v>97</v>
      </c>
      <c r="CH175" s="1">
        <v>1</v>
      </c>
      <c r="CI175" s="17">
        <v>103</v>
      </c>
      <c r="CJ175" s="1">
        <v>1</v>
      </c>
      <c r="CK175" s="17">
        <v>107</v>
      </c>
      <c r="CL175" s="1">
        <v>1</v>
      </c>
      <c r="CM175" s="17">
        <v>112</v>
      </c>
      <c r="CN175" s="1">
        <v>1</v>
      </c>
      <c r="CO175" s="17">
        <v>121</v>
      </c>
      <c r="CP175" s="1">
        <v>1</v>
      </c>
      <c r="CQ175" s="17">
        <v>131</v>
      </c>
      <c r="CR175" s="1">
        <v>1</v>
      </c>
      <c r="CS175" s="17">
        <v>136</v>
      </c>
      <c r="CT175" s="1">
        <v>1</v>
      </c>
      <c r="CU175" s="17">
        <v>147</v>
      </c>
      <c r="CV175" s="1">
        <v>1</v>
      </c>
    </row>
    <row r="176" spans="1:100">
      <c r="A176" t="str">
        <f>HYPERLINK("http://exon.niaid.nih.gov/transcriptome/T_rubida/S2/links/pep/Triru-110-pep.txt","Triru-110")</f>
        <v>Triru-110</v>
      </c>
      <c r="B176">
        <v>124</v>
      </c>
      <c r="C176" s="1" t="s">
        <v>4</v>
      </c>
      <c r="D176" s="1" t="s">
        <v>3</v>
      </c>
      <c r="E176" t="str">
        <f>HYPERLINK("http://exon.niaid.nih.gov/transcriptome/T_rubida/S2/links/cds/Triru-110-cds.txt","Triru-110")</f>
        <v>Triru-110</v>
      </c>
      <c r="F176">
        <v>375</v>
      </c>
      <c r="G176" s="2" t="s">
        <v>1648</v>
      </c>
      <c r="H176" s="1">
        <v>4</v>
      </c>
      <c r="I176" s="3" t="s">
        <v>1268</v>
      </c>
      <c r="J176" s="17" t="str">
        <f>HYPERLINK("http://exon.niaid.nih.gov/transcriptome/T_rubida/S2/links/Sigp/Triru-110-SigP.txt","CYT")</f>
        <v>CYT</v>
      </c>
      <c r="K176" t="s">
        <v>5</v>
      </c>
      <c r="L176" s="1">
        <v>13.994999999999999</v>
      </c>
      <c r="M176" s="1">
        <v>10.01</v>
      </c>
      <c r="P176" s="1">
        <v>0.315</v>
      </c>
      <c r="Q176" s="1">
        <v>4.5999999999999999E-2</v>
      </c>
      <c r="R176" s="1">
        <v>0.70499999999999996</v>
      </c>
      <c r="S176" s="17" t="s">
        <v>1346</v>
      </c>
      <c r="T176">
        <v>4</v>
      </c>
      <c r="U176" t="s">
        <v>1436</v>
      </c>
      <c r="V176" s="17">
        <v>0</v>
      </c>
      <c r="W176" t="s">
        <v>5</v>
      </c>
      <c r="X176" t="s">
        <v>5</v>
      </c>
      <c r="Y176" t="s">
        <v>5</v>
      </c>
      <c r="Z176" t="s">
        <v>5</v>
      </c>
      <c r="AA176" t="s">
        <v>5</v>
      </c>
      <c r="AB176" s="17" t="str">
        <f>HYPERLINK("http://exon.niaid.nih.gov/transcriptome/T_rubida/S2/links/netoglyc/TRIRU-110-netoglyc.txt","0")</f>
        <v>0</v>
      </c>
      <c r="AC176">
        <v>8.9</v>
      </c>
      <c r="AD176">
        <v>10.5</v>
      </c>
      <c r="AE176">
        <v>3.2</v>
      </c>
      <c r="AF176" s="17" t="s">
        <v>1437</v>
      </c>
      <c r="AG176" s="2" t="str">
        <f>HYPERLINK("http://exon.niaid.nih.gov/transcriptome/T_rubida/S2/links/NR/Triru-110-NR.txt","40S ribosomal protein S15/S22")</f>
        <v>40S ribosomal protein S15/S22</v>
      </c>
      <c r="AH176" t="str">
        <f>HYPERLINK("http://www.ncbi.nlm.nih.gov/sutils/blink.cgi?pid=149689024","1E-064")</f>
        <v>1E-064</v>
      </c>
      <c r="AI176" t="str">
        <f>HYPERLINK("http://www.ncbi.nlm.nih.gov/protein/149689024","gi|149689024")</f>
        <v>gi|149689024</v>
      </c>
      <c r="AJ176">
        <v>249</v>
      </c>
      <c r="AK176">
        <v>121</v>
      </c>
      <c r="AL176">
        <v>130</v>
      </c>
      <c r="AM176">
        <v>100</v>
      </c>
      <c r="AN176">
        <v>94</v>
      </c>
      <c r="AO176" t="s">
        <v>80</v>
      </c>
      <c r="AP176" s="2" t="str">
        <f>HYPERLINK("http://exon.niaid.nih.gov/transcriptome/T_rubida/S2/links/SWISSP/Triru-110-SWISSP.txt","40S ribosomal protein S15a")</f>
        <v>40S ribosomal protein S15a</v>
      </c>
      <c r="AQ176" t="str">
        <f>HYPERLINK("http://www.uniprot.org/uniprot/Q6XIM8","1E-062")</f>
        <v>1E-062</v>
      </c>
      <c r="AR176" t="s">
        <v>227</v>
      </c>
      <c r="AS176">
        <v>238</v>
      </c>
      <c r="AT176">
        <v>121</v>
      </c>
      <c r="AU176">
        <v>130</v>
      </c>
      <c r="AV176">
        <v>95</v>
      </c>
      <c r="AW176">
        <v>94</v>
      </c>
      <c r="AX176">
        <v>6</v>
      </c>
      <c r="AY176">
        <v>0</v>
      </c>
      <c r="AZ176">
        <v>9</v>
      </c>
      <c r="BA176">
        <v>3</v>
      </c>
      <c r="BB176">
        <v>1</v>
      </c>
      <c r="BC176" t="s">
        <v>67</v>
      </c>
      <c r="BD176" s="2" t="s">
        <v>228</v>
      </c>
      <c r="BE176">
        <f>HYPERLINK("http://exon.niaid.nih.gov/transcriptome/T_rubida/S2/links/GO/Triru-110-GO.txt",7E-63)</f>
        <v>7.0000000000000001E-63</v>
      </c>
      <c r="BF176" t="s">
        <v>138</v>
      </c>
      <c r="BG176" t="s">
        <v>139</v>
      </c>
      <c r="BH176" t="s">
        <v>140</v>
      </c>
      <c r="BI176" s="2" t="str">
        <f>HYPERLINK("http://exon.niaid.nih.gov/transcriptome/T_rubida/S2/links/CDD/Triru-110-CDD.txt","PTZ00158")</f>
        <v>PTZ00158</v>
      </c>
      <c r="BJ176" t="str">
        <f>HYPERLINK("http://www.ncbi.nlm.nih.gov/Structure/cdd/cddsrv.cgi?uid=PTZ00158&amp;version=v4.0","9E-067")</f>
        <v>9E-067</v>
      </c>
      <c r="BK176" t="s">
        <v>229</v>
      </c>
      <c r="BL176" s="2" t="str">
        <f>HYPERLINK("http://exon.niaid.nih.gov/transcriptome/T_rubida/S2/links/KOG/Triru-110-KOG.txt","40S ribosomal protein S15/S22")</f>
        <v>40S ribosomal protein S15/S22</v>
      </c>
      <c r="BM176" t="str">
        <f>HYPERLINK("http://www.ncbi.nlm.nih.gov/COG/grace/shokog.cgi?KOG1754","2E-059")</f>
        <v>2E-059</v>
      </c>
      <c r="BN176" t="s">
        <v>84</v>
      </c>
      <c r="BO176" s="2" t="str">
        <f>HYPERLINK("http://exon.niaid.nih.gov/transcriptome/T_rubida/S2/links/PFAM/Triru-110-PFAM.txt","Ribosomal_S8")</f>
        <v>Ribosomal_S8</v>
      </c>
      <c r="BP176" t="str">
        <f>HYPERLINK("http://pfam.sanger.ac.uk/family?acc=PF00410","5E-028")</f>
        <v>5E-028</v>
      </c>
      <c r="BQ176" s="2" t="str">
        <f>HYPERLINK("http://exon.niaid.nih.gov/transcriptome/T_rubida/S2/links/SMART/Triru-110-SMART.txt","G2F")</f>
        <v>G2F</v>
      </c>
      <c r="BR176" t="str">
        <f>HYPERLINK("http://smart.embl-heidelberg.de/smart/do_annotation.pl?DOMAIN=G2F&amp;BLAST=DUMMY","3.0")</f>
        <v>3.0</v>
      </c>
      <c r="BS176" s="17">
        <v>44</v>
      </c>
      <c r="BT176" s="1">
        <v>1</v>
      </c>
      <c r="BU176" s="17">
        <v>61</v>
      </c>
      <c r="BV176" s="1">
        <v>1</v>
      </c>
      <c r="BW176" s="17">
        <v>65</v>
      </c>
      <c r="BX176" s="1">
        <v>1</v>
      </c>
      <c r="BY176" s="17">
        <v>63</v>
      </c>
      <c r="BZ176" s="1">
        <v>1</v>
      </c>
      <c r="CA176" s="17">
        <v>61</v>
      </c>
      <c r="CB176" s="1">
        <v>1</v>
      </c>
      <c r="CC176" s="17">
        <v>60</v>
      </c>
      <c r="CD176" s="1">
        <v>1</v>
      </c>
      <c r="CE176" s="17">
        <v>53</v>
      </c>
      <c r="CF176" s="1">
        <v>1</v>
      </c>
      <c r="CG176" s="17">
        <v>53</v>
      </c>
      <c r="CH176" s="1">
        <v>1</v>
      </c>
      <c r="CI176" s="17">
        <v>59</v>
      </c>
      <c r="CJ176" s="1">
        <v>1</v>
      </c>
      <c r="CK176" s="17">
        <v>63</v>
      </c>
      <c r="CL176" s="1">
        <v>1</v>
      </c>
      <c r="CM176" s="17">
        <v>67</v>
      </c>
      <c r="CN176" s="1">
        <v>1</v>
      </c>
      <c r="CO176" s="17">
        <v>75</v>
      </c>
      <c r="CP176" s="1">
        <v>1</v>
      </c>
      <c r="CQ176" s="17">
        <v>85</v>
      </c>
      <c r="CR176" s="1">
        <v>1</v>
      </c>
      <c r="CS176" s="17">
        <v>90</v>
      </c>
      <c r="CT176" s="1">
        <v>1</v>
      </c>
      <c r="CU176" s="17">
        <v>101</v>
      </c>
      <c r="CV176" s="1">
        <v>1</v>
      </c>
    </row>
    <row r="177" spans="1:100">
      <c r="A177" t="str">
        <f>HYPERLINK("http://exon.niaid.nih.gov/transcriptome/T_rubida/S2/links/pep/Triru-396-pep.txt","Triru-396")</f>
        <v>Triru-396</v>
      </c>
      <c r="B177">
        <v>120</v>
      </c>
      <c r="C177" s="1" t="s">
        <v>6</v>
      </c>
      <c r="D177" s="1" t="s">
        <v>3</v>
      </c>
      <c r="E177" t="str">
        <f>HYPERLINK("http://exon.niaid.nih.gov/transcriptome/T_rubida/S2/links/cds/Triru-396-cds.txt","Triru-396")</f>
        <v>Triru-396</v>
      </c>
      <c r="F177">
        <v>363</v>
      </c>
      <c r="G177" s="2" t="s">
        <v>1649</v>
      </c>
      <c r="H177" s="1">
        <v>1</v>
      </c>
      <c r="I177" s="3" t="s">
        <v>1268</v>
      </c>
      <c r="J177" s="17" t="str">
        <f>HYPERLINK("http://exon.niaid.nih.gov/transcriptome/T_rubida/S2/links/Sigp/Triru-396-SigP.txt","CYT")</f>
        <v>CYT</v>
      </c>
      <c r="K177" t="s">
        <v>5</v>
      </c>
      <c r="L177" s="1">
        <v>13.795</v>
      </c>
      <c r="M177" s="1">
        <v>9.82</v>
      </c>
      <c r="P177" s="1">
        <v>6.3E-2</v>
      </c>
      <c r="Q177" s="1">
        <v>5.6000000000000001E-2</v>
      </c>
      <c r="R177" s="1">
        <v>0.95199999999999996</v>
      </c>
      <c r="S177" s="17" t="s">
        <v>1346</v>
      </c>
      <c r="T177">
        <v>1</v>
      </c>
      <c r="U177" t="s">
        <v>1348</v>
      </c>
      <c r="V177" s="17">
        <v>0</v>
      </c>
      <c r="W177" t="s">
        <v>5</v>
      </c>
      <c r="X177" t="s">
        <v>5</v>
      </c>
      <c r="Y177" t="s">
        <v>5</v>
      </c>
      <c r="Z177" t="s">
        <v>5</v>
      </c>
      <c r="AA177" t="s">
        <v>5</v>
      </c>
      <c r="AB177" s="17" t="str">
        <f>HYPERLINK("http://exon.niaid.nih.gov/transcriptome/T_rubida/S2/links/netoglyc/TRIRU-396-netoglyc.txt","0")</f>
        <v>0</v>
      </c>
      <c r="AC177">
        <v>7.5</v>
      </c>
      <c r="AD177">
        <v>6.7</v>
      </c>
      <c r="AE177">
        <v>5.8</v>
      </c>
      <c r="AF177" s="17" t="s">
        <v>5</v>
      </c>
      <c r="AG177" s="2" t="str">
        <f>HYPERLINK("http://exon.niaid.nih.gov/transcriptome/T_rubida/S2/links/NR/Triru-396-NR.txt","ribosomal protein L40")</f>
        <v>ribosomal protein L40</v>
      </c>
      <c r="AH177" t="str">
        <f>HYPERLINK("http://www.ncbi.nlm.nih.gov/sutils/blink.cgi?pid=17136570","1E-060")</f>
        <v>1E-060</v>
      </c>
      <c r="AI177" t="str">
        <f>HYPERLINK("http://www.ncbi.nlm.nih.gov/protein/17136570","gi|17136570")</f>
        <v>gi|17136570</v>
      </c>
      <c r="AJ177">
        <v>236</v>
      </c>
      <c r="AK177">
        <v>118</v>
      </c>
      <c r="AL177">
        <v>128</v>
      </c>
      <c r="AM177">
        <v>93</v>
      </c>
      <c r="AN177">
        <v>93</v>
      </c>
      <c r="AO177" t="s">
        <v>499</v>
      </c>
      <c r="AP177" s="2" t="str">
        <f>HYPERLINK("http://exon.niaid.nih.gov/transcriptome/T_rubida/S2/links/SWISSP/Triru-396-SWISSP.txt","Ubiquitin-60S ribosomal protein L40")</f>
        <v>Ubiquitin-60S ribosomal protein L40</v>
      </c>
      <c r="AQ177" t="str">
        <f>HYPERLINK("http://www.uniprot.org/uniprot/P18101","4E-062")</f>
        <v>4E-062</v>
      </c>
      <c r="AR177" t="s">
        <v>615</v>
      </c>
      <c r="AS177">
        <v>236</v>
      </c>
      <c r="AT177">
        <v>118</v>
      </c>
      <c r="AU177">
        <v>128</v>
      </c>
      <c r="AV177">
        <v>93</v>
      </c>
      <c r="AW177">
        <v>93</v>
      </c>
      <c r="AX177">
        <v>8</v>
      </c>
      <c r="AY177">
        <v>0</v>
      </c>
      <c r="AZ177">
        <v>10</v>
      </c>
      <c r="BA177">
        <v>2</v>
      </c>
      <c r="BB177">
        <v>1</v>
      </c>
      <c r="BC177" t="s">
        <v>150</v>
      </c>
      <c r="BD177" s="2" t="s">
        <v>616</v>
      </c>
      <c r="BE177">
        <f>HYPERLINK("http://exon.niaid.nih.gov/transcriptome/T_rubida/S2/links/GO/Triru-396-GO.txt",3E-62)</f>
        <v>3.0000000000000001E-62</v>
      </c>
      <c r="BF177" t="s">
        <v>138</v>
      </c>
      <c r="BG177" t="s">
        <v>139</v>
      </c>
      <c r="BH177" t="s">
        <v>140</v>
      </c>
      <c r="BI177" s="2" t="str">
        <f>HYPERLINK("http://exon.niaid.nih.gov/transcriptome/T_rubida/S2/links/CDD/Triru-396-CDD.txt","Ubiquitin")</f>
        <v>Ubiquitin</v>
      </c>
      <c r="BJ177" t="str">
        <f>HYPERLINK("http://www.ncbi.nlm.nih.gov/Structure/cdd/cddsrv.cgi?uid=cd01803&amp;version=v4.0","3E-032")</f>
        <v>3E-032</v>
      </c>
      <c r="BK177" t="s">
        <v>617</v>
      </c>
      <c r="BL177" s="2" t="str">
        <f>HYPERLINK("http://exon.niaid.nih.gov/transcriptome/T_rubida/S2/links/KOG/Triru-396-KOG.txt","Ubiquitin/60s ribosomal protein L40 fusion")</f>
        <v>Ubiquitin/60s ribosomal protein L40 fusion</v>
      </c>
      <c r="BM177" t="str">
        <f>HYPERLINK("http://www.ncbi.nlm.nih.gov/COG/grace/shokog.cgi?KOG0003","7E-050")</f>
        <v>7E-050</v>
      </c>
      <c r="BN177" t="s">
        <v>84</v>
      </c>
      <c r="BO177" s="2" t="str">
        <f>HYPERLINK("http://exon.niaid.nih.gov/transcriptome/T_rubida/S2/links/PFAM/Triru-396-PFAM.txt","ubiquitin")</f>
        <v>ubiquitin</v>
      </c>
      <c r="BP177" t="str">
        <f>HYPERLINK("http://pfam.sanger.ac.uk/family?acc=PF00240","4E-024")</f>
        <v>4E-024</v>
      </c>
      <c r="BQ177" s="2" t="str">
        <f>HYPERLINK("http://exon.niaid.nih.gov/transcriptome/T_rubida/S2/links/SMART/Triru-396-SMART.txt","UBQ")</f>
        <v>UBQ</v>
      </c>
      <c r="BR177" t="str">
        <f>HYPERLINK("http://smart.embl-heidelberg.de/smart/do_annotation.pl?DOMAIN=UBQ&amp;BLAST=DUMMY","2E-019")</f>
        <v>2E-019</v>
      </c>
      <c r="BS177" s="17">
        <f>HYPERLINK("http://exon.niaid.nih.gov/transcriptome/T_rubida/S2/links/cluster/Triru-pep-ext25-50-Sim-CLU9.txt", 9)</f>
        <v>9</v>
      </c>
      <c r="BT177" s="1">
        <f>HYPERLINK("http://exon.niaid.nih.gov/transcriptome/T_rubida/S2/links/cluster/Triru-pep-ext25-50-Sim-CLTL9.txt", 2)</f>
        <v>2</v>
      </c>
      <c r="BU177" s="17">
        <f>HYPERLINK("http://exon.niaid.nih.gov/transcriptome/T_rubida/S2/links/cluster/Triru-pep-ext30-50-Sim-CLU15.txt", 15)</f>
        <v>15</v>
      </c>
      <c r="BV177" s="1">
        <f>HYPERLINK("http://exon.niaid.nih.gov/transcriptome/T_rubida/S2/links/cluster/Triru-pep-ext30-50-Sim-CLTL15.txt", 2)</f>
        <v>2</v>
      </c>
      <c r="BW177" s="17">
        <f>HYPERLINK("http://exon.niaid.nih.gov/transcriptome/T_rubida/S2/links/cluster/Triru-pep-ext35-50-Sim-CLU12.txt", 12)</f>
        <v>12</v>
      </c>
      <c r="BX177" s="1">
        <f>HYPERLINK("http://exon.niaid.nih.gov/transcriptome/T_rubida/S2/links/cluster/Triru-pep-ext35-50-Sim-CLTL12.txt", 2)</f>
        <v>2</v>
      </c>
      <c r="BY177" s="17">
        <v>245</v>
      </c>
      <c r="BZ177" s="1">
        <v>1</v>
      </c>
      <c r="CA177" s="17">
        <v>252</v>
      </c>
      <c r="CB177" s="1">
        <v>1</v>
      </c>
      <c r="CC177" s="17">
        <v>257</v>
      </c>
      <c r="CD177" s="1">
        <v>1</v>
      </c>
      <c r="CE177" s="17">
        <v>264</v>
      </c>
      <c r="CF177" s="1">
        <v>1</v>
      </c>
      <c r="CG177" s="17">
        <v>267</v>
      </c>
      <c r="CH177" s="1">
        <v>1</v>
      </c>
      <c r="CI177" s="17">
        <v>277</v>
      </c>
      <c r="CJ177" s="1">
        <v>1</v>
      </c>
      <c r="CK177" s="17">
        <v>282</v>
      </c>
      <c r="CL177" s="1">
        <v>1</v>
      </c>
      <c r="CM177" s="17">
        <v>290</v>
      </c>
      <c r="CN177" s="1">
        <v>1</v>
      </c>
      <c r="CO177" s="17">
        <v>302</v>
      </c>
      <c r="CP177" s="1">
        <v>1</v>
      </c>
      <c r="CQ177" s="17">
        <v>312</v>
      </c>
      <c r="CR177" s="1">
        <v>1</v>
      </c>
      <c r="CS177" s="17">
        <v>324</v>
      </c>
      <c r="CT177" s="1">
        <v>1</v>
      </c>
      <c r="CU177" s="17">
        <v>335</v>
      </c>
      <c r="CV177" s="1">
        <v>1</v>
      </c>
    </row>
    <row r="178" spans="1:100">
      <c r="A178" t="str">
        <f>HYPERLINK("http://exon.niaid.nih.gov/transcriptome/T_rubida/S2/links/pep/Triru-129-pep.txt","Triru-129")</f>
        <v>Triru-129</v>
      </c>
      <c r="B178">
        <v>58</v>
      </c>
      <c r="C178" s="1" t="s">
        <v>9</v>
      </c>
      <c r="D178" s="1" t="s">
        <v>3</v>
      </c>
      <c r="E178" t="str">
        <f>HYPERLINK("http://exon.niaid.nih.gov/transcriptome/T_rubida/S2/links/cds/Triru-129-cds.txt","Triru-129")</f>
        <v>Triru-129</v>
      </c>
      <c r="F178">
        <v>177</v>
      </c>
      <c r="G178" s="2" t="s">
        <v>1650</v>
      </c>
      <c r="H178" s="1">
        <v>3</v>
      </c>
      <c r="I178" s="3" t="s">
        <v>1268</v>
      </c>
      <c r="J178" s="17" t="str">
        <f>HYPERLINK("http://exon.niaid.nih.gov/transcriptome/T_rubida/S2/links/Sigp/Triru-129-SigP.txt","ANC")</f>
        <v>ANC</v>
      </c>
      <c r="K178" t="s">
        <v>5</v>
      </c>
      <c r="L178" s="1">
        <v>6.4290000000000003</v>
      </c>
      <c r="M178" s="1">
        <v>9.9</v>
      </c>
      <c r="P178" s="1">
        <v>0.24199999999999999</v>
      </c>
      <c r="Q178" s="1">
        <v>0.214</v>
      </c>
      <c r="R178" s="1">
        <v>0.52200000000000002</v>
      </c>
      <c r="S178" s="17" t="s">
        <v>1346</v>
      </c>
      <c r="T178">
        <v>4</v>
      </c>
      <c r="U178" t="s">
        <v>1438</v>
      </c>
      <c r="V178" s="17" t="str">
        <f>HYPERLINK("http://exon.niaid.nih.gov/transcriptome/T_rubida/S2/links/tmhmm/TRIRU-129-tmhmm.txt","1")</f>
        <v>1</v>
      </c>
      <c r="W178">
        <v>37.9</v>
      </c>
      <c r="X178">
        <v>10.3</v>
      </c>
      <c r="Y178">
        <v>51.7</v>
      </c>
      <c r="Z178" t="s">
        <v>5</v>
      </c>
      <c r="AA178">
        <v>6</v>
      </c>
      <c r="AB178" s="17" t="str">
        <f>HYPERLINK("http://exon.niaid.nih.gov/transcriptome/T_rubida/S2/links/netoglyc/TRIRU-129-netoglyc.txt","0")</f>
        <v>0</v>
      </c>
      <c r="AC178">
        <v>10.3</v>
      </c>
      <c r="AD178">
        <v>5.2</v>
      </c>
      <c r="AE178">
        <v>5.2</v>
      </c>
      <c r="AF178" s="17" t="s">
        <v>5</v>
      </c>
      <c r="AG178" s="2" t="str">
        <f>HYPERLINK("http://exon.niaid.nih.gov/transcriptome/T_rubida/S2/links/NR/Triru-129-NR.txt","ribosome-associated membrane protein")</f>
        <v>ribosome-associated membrane protein</v>
      </c>
      <c r="AH178" t="str">
        <f>HYPERLINK("http://www.ncbi.nlm.nih.gov/sutils/blink.cgi?pid=125743134","2E-023")</f>
        <v>2E-023</v>
      </c>
      <c r="AI178" t="str">
        <f>HYPERLINK("http://www.ncbi.nlm.nih.gov/protein/125743134","gi|125743134")</f>
        <v>gi|125743134</v>
      </c>
      <c r="AJ178">
        <v>112</v>
      </c>
      <c r="AK178">
        <v>57</v>
      </c>
      <c r="AL178">
        <v>64</v>
      </c>
      <c r="AM178">
        <v>94</v>
      </c>
      <c r="AN178">
        <v>91</v>
      </c>
      <c r="AO178" t="s">
        <v>61</v>
      </c>
      <c r="AP178" s="2" t="str">
        <f>HYPERLINK("http://exon.niaid.nih.gov/transcriptome/T_rubida/S2/links/SWISSP/Triru-129-SWISSP.txt","Stress-associated endoplasmic reticulum protein 2")</f>
        <v>Stress-associated endoplasmic reticulum protein 2</v>
      </c>
      <c r="AQ178" t="str">
        <f>HYPERLINK("http://www.uniprot.org/uniprot/Q6TAW2","3E-019")</f>
        <v>3E-019</v>
      </c>
      <c r="AR178" t="s">
        <v>813</v>
      </c>
      <c r="AS178">
        <v>93.6</v>
      </c>
      <c r="AT178">
        <v>56</v>
      </c>
      <c r="AU178">
        <v>65</v>
      </c>
      <c r="AV178">
        <v>77</v>
      </c>
      <c r="AW178">
        <v>88</v>
      </c>
      <c r="AX178">
        <v>13</v>
      </c>
      <c r="AY178">
        <v>0</v>
      </c>
      <c r="AZ178">
        <v>7</v>
      </c>
      <c r="BA178">
        <v>1</v>
      </c>
      <c r="BB178">
        <v>1</v>
      </c>
      <c r="BC178" t="s">
        <v>75</v>
      </c>
      <c r="BD178" s="2" t="s">
        <v>814</v>
      </c>
      <c r="BE178">
        <f>HYPERLINK("http://exon.niaid.nih.gov/transcriptome/T_rubida/S2/links/GO/Triru-129-GO.txt",2E-20)</f>
        <v>1.9999999999999999E-20</v>
      </c>
      <c r="BF178" t="s">
        <v>105</v>
      </c>
      <c r="BG178" t="s">
        <v>105</v>
      </c>
      <c r="BI178" s="2" t="str">
        <f>HYPERLINK("http://exon.niaid.nih.gov/transcriptome/T_rubida/S2/links/CDD/Triru-129-CDD.txt","RAMP4")</f>
        <v>RAMP4</v>
      </c>
      <c r="BJ178" t="str">
        <f>HYPERLINK("http://www.ncbi.nlm.nih.gov/Structure/cdd/cddsrv.cgi?uid=pfam06624&amp;version=v4.0","1E-024")</f>
        <v>1E-024</v>
      </c>
      <c r="BK178" t="s">
        <v>815</v>
      </c>
      <c r="BL178" s="2" t="str">
        <f>HYPERLINK("http://exon.niaid.nih.gov/transcriptome/T_rubida/S2/links/KOG/Triru-129-KOG.txt","Predicted membrane protein")</f>
        <v>Predicted membrane protein</v>
      </c>
      <c r="BM178" t="str">
        <f>HYPERLINK("http://www.ncbi.nlm.nih.gov/COG/grace/shokog.cgi?KOG3491","1E-020")</f>
        <v>1E-020</v>
      </c>
      <c r="BN178" t="s">
        <v>264</v>
      </c>
      <c r="BO178" s="2" t="str">
        <f>HYPERLINK("http://exon.niaid.nih.gov/transcriptome/T_rubida/S2/links/PFAM/Triru-129-PFAM.txt","RAMP4")</f>
        <v>RAMP4</v>
      </c>
      <c r="BP178" t="str">
        <f>HYPERLINK("http://pfam.sanger.ac.uk/family?acc=PF06624","3E-025")</f>
        <v>3E-025</v>
      </c>
      <c r="BQ178" s="2" t="str">
        <f>HYPERLINK("http://exon.niaid.nih.gov/transcriptome/T_rubida/S2/links/SMART/Triru-129-SMART.txt","CBD_IV")</f>
        <v>CBD_IV</v>
      </c>
      <c r="BR178" t="str">
        <f>HYPERLINK("http://smart.embl-heidelberg.de/smart/do_annotation.pl?DOMAIN=CBD_IV&amp;BLAST=DUMMY","0.86")</f>
        <v>0.86</v>
      </c>
      <c r="BS178" s="17">
        <v>53</v>
      </c>
      <c r="BT178" s="1">
        <v>1</v>
      </c>
      <c r="BU178" s="17">
        <v>74</v>
      </c>
      <c r="BV178" s="1">
        <v>1</v>
      </c>
      <c r="BW178" s="17">
        <v>80</v>
      </c>
      <c r="BX178" s="1">
        <v>1</v>
      </c>
      <c r="BY178" s="17">
        <v>80</v>
      </c>
      <c r="BZ178" s="1">
        <v>1</v>
      </c>
      <c r="CA178" s="17">
        <v>78</v>
      </c>
      <c r="CB178" s="1">
        <v>1</v>
      </c>
      <c r="CC178" s="17">
        <v>77</v>
      </c>
      <c r="CD178" s="1">
        <v>1</v>
      </c>
      <c r="CE178" s="17">
        <v>71</v>
      </c>
      <c r="CF178" s="1">
        <v>1</v>
      </c>
      <c r="CG178" s="17">
        <v>71</v>
      </c>
      <c r="CH178" s="1">
        <v>1</v>
      </c>
      <c r="CI178" s="17">
        <v>77</v>
      </c>
      <c r="CJ178" s="1">
        <v>1</v>
      </c>
      <c r="CK178" s="17">
        <v>81</v>
      </c>
      <c r="CL178" s="1">
        <v>1</v>
      </c>
      <c r="CM178" s="17">
        <v>85</v>
      </c>
      <c r="CN178" s="1">
        <v>1</v>
      </c>
      <c r="CO178" s="17">
        <v>93</v>
      </c>
      <c r="CP178" s="1">
        <v>1</v>
      </c>
      <c r="CQ178" s="17">
        <v>103</v>
      </c>
      <c r="CR178" s="1">
        <v>1</v>
      </c>
      <c r="CS178" s="17">
        <v>108</v>
      </c>
      <c r="CT178" s="1">
        <v>1</v>
      </c>
      <c r="CU178" s="17">
        <v>119</v>
      </c>
      <c r="CV178" s="1">
        <v>1</v>
      </c>
    </row>
    <row r="179" spans="1:100">
      <c r="A179" t="str">
        <f>HYPERLINK("http://exon.niaid.nih.gov/transcriptome/T_rubida/S2/links/pep/Triru-418-pep.txt","Triru-418")</f>
        <v>Triru-418</v>
      </c>
      <c r="B179">
        <v>115</v>
      </c>
      <c r="C179" s="1" t="s">
        <v>10</v>
      </c>
      <c r="D179" s="1" t="s">
        <v>3</v>
      </c>
      <c r="E179" t="str">
        <f>HYPERLINK("http://exon.niaid.nih.gov/transcriptome/T_rubida/S2/links/cds/Triru-418-cds.txt","Triru-418")</f>
        <v>Triru-418</v>
      </c>
      <c r="F179">
        <v>348</v>
      </c>
      <c r="G179" s="2" t="s">
        <v>1651</v>
      </c>
      <c r="H179" s="1">
        <v>1</v>
      </c>
      <c r="I179" s="3" t="s">
        <v>1268</v>
      </c>
      <c r="J179" s="17" t="str">
        <f>HYPERLINK("http://exon.niaid.nih.gov/transcriptome/T_rubida/S2/links/Sigp/Triru-418-SigP.txt","CYT")</f>
        <v>CYT</v>
      </c>
      <c r="K179" t="s">
        <v>5</v>
      </c>
      <c r="L179" s="1">
        <v>13.404999999999999</v>
      </c>
      <c r="M179" s="1">
        <v>10.8</v>
      </c>
      <c r="P179" s="1">
        <v>0.188</v>
      </c>
      <c r="Q179" s="1">
        <v>3.1E-2</v>
      </c>
      <c r="R179" s="1">
        <v>0.88900000000000001</v>
      </c>
      <c r="S179" s="17" t="s">
        <v>1346</v>
      </c>
      <c r="T179">
        <v>2</v>
      </c>
      <c r="U179" t="s">
        <v>1348</v>
      </c>
      <c r="V179" s="17">
        <v>0</v>
      </c>
      <c r="W179" t="s">
        <v>5</v>
      </c>
      <c r="X179" t="s">
        <v>5</v>
      </c>
      <c r="Y179" t="s">
        <v>5</v>
      </c>
      <c r="Z179" t="s">
        <v>5</v>
      </c>
      <c r="AA179" t="s">
        <v>5</v>
      </c>
      <c r="AB179" s="17" t="str">
        <f>HYPERLINK("http://exon.niaid.nih.gov/transcriptome/T_rubida/S2/links/netoglyc/TRIRU-418-netoglyc.txt","0")</f>
        <v>0</v>
      </c>
      <c r="AC179">
        <v>9.6</v>
      </c>
      <c r="AD179">
        <v>4.3</v>
      </c>
      <c r="AE179">
        <v>5.2</v>
      </c>
      <c r="AF179" s="17" t="s">
        <v>5</v>
      </c>
      <c r="AG179" s="2" t="str">
        <f>HYPERLINK("http://exon.niaid.nih.gov/transcriptome/T_rubida/S2/links/NR/Triru-418-NR.txt","60S ribosomal protein L31")</f>
        <v>60S ribosomal protein L31</v>
      </c>
      <c r="AH179" t="str">
        <f>HYPERLINK("http://www.ncbi.nlm.nih.gov/sutils/blink.cgi?pid=307200206","4E-050")</f>
        <v>4E-050</v>
      </c>
      <c r="AI179" t="str">
        <f>HYPERLINK("http://www.ncbi.nlm.nih.gov/protein/307200206","gi|307200206")</f>
        <v>gi|307200206</v>
      </c>
      <c r="AJ179">
        <v>201</v>
      </c>
      <c r="AK179">
        <v>111</v>
      </c>
      <c r="AL179">
        <v>123</v>
      </c>
      <c r="AM179">
        <v>84</v>
      </c>
      <c r="AN179">
        <v>91</v>
      </c>
      <c r="AO179" t="s">
        <v>230</v>
      </c>
      <c r="AP179" s="2" t="str">
        <f>HYPERLINK("http://exon.niaid.nih.gov/transcriptome/T_rubida/S2/links/SWISSP/Triru-418-SWISSP.txt","60S ribosomal protein L31")</f>
        <v>60S ribosomal protein L31</v>
      </c>
      <c r="AQ179" t="str">
        <f>HYPERLINK("http://www.uniprot.org/uniprot/Q7KF90","2E-050")</f>
        <v>2E-050</v>
      </c>
      <c r="AR179" t="s">
        <v>503</v>
      </c>
      <c r="AS179">
        <v>197</v>
      </c>
      <c r="AT179">
        <v>111</v>
      </c>
      <c r="AU179">
        <v>124</v>
      </c>
      <c r="AV179">
        <v>83</v>
      </c>
      <c r="AW179">
        <v>90</v>
      </c>
      <c r="AX179">
        <v>19</v>
      </c>
      <c r="AY179">
        <v>0</v>
      </c>
      <c r="AZ179">
        <v>13</v>
      </c>
      <c r="BA179">
        <v>4</v>
      </c>
      <c r="BB179">
        <v>1</v>
      </c>
      <c r="BC179" t="s">
        <v>82</v>
      </c>
      <c r="BD179" s="2" t="s">
        <v>504</v>
      </c>
      <c r="BE179">
        <f>HYPERLINK("http://exon.niaid.nih.gov/transcriptome/T_rubida/S2/links/GO/Triru-418-GO.txt",1E-49)</f>
        <v>9.9999999999999994E-50</v>
      </c>
      <c r="BF179" t="s">
        <v>138</v>
      </c>
      <c r="BG179" t="s">
        <v>139</v>
      </c>
      <c r="BH179" t="s">
        <v>140</v>
      </c>
      <c r="BI179" s="2" t="str">
        <f>HYPERLINK("http://exon.niaid.nih.gov/transcriptome/T_rubida/S2/links/CDD/Triru-418-CDD.txt","Ribosomal_L31e")</f>
        <v>Ribosomal_L31e</v>
      </c>
      <c r="BJ179" t="str">
        <f>HYPERLINK("http://www.ncbi.nlm.nih.gov/Structure/cdd/cddsrv.cgi?uid=pfam01198&amp;version=v4.0","8E-033")</f>
        <v>8E-033</v>
      </c>
      <c r="BK179" t="s">
        <v>994</v>
      </c>
      <c r="BL179" s="2" t="str">
        <f>HYPERLINK("http://exon.niaid.nih.gov/transcriptome/T_rubida/S2/links/KOG/Triru-418-KOG.txt","60S ribosomal protein L31")</f>
        <v>60S ribosomal protein L31</v>
      </c>
      <c r="BM179" t="str">
        <f>HYPERLINK("http://www.ncbi.nlm.nih.gov/COG/grace/shokog.cgi?KOG0893","3E-037")</f>
        <v>3E-037</v>
      </c>
      <c r="BN179" t="s">
        <v>84</v>
      </c>
      <c r="BO179" s="2" t="str">
        <f>HYPERLINK("http://exon.niaid.nih.gov/transcriptome/T_rubida/S2/links/PFAM/Triru-418-PFAM.txt","Ribosomal_L31e")</f>
        <v>Ribosomal_L31e</v>
      </c>
      <c r="BP179" t="str">
        <f>HYPERLINK("http://pfam.sanger.ac.uk/family?acc=PF01198","2E-033")</f>
        <v>2E-033</v>
      </c>
      <c r="BQ179" s="2" t="str">
        <f>HYPERLINK("http://exon.niaid.nih.gov/transcriptome/T_rubida/S2/links/SMART/Triru-418-SMART.txt","PTPc")</f>
        <v>PTPc</v>
      </c>
      <c r="BR179" t="str">
        <f>HYPERLINK("http://smart.embl-heidelberg.de/smart/do_annotation.pl?DOMAIN=PTPc&amp;BLAST=DUMMY","1.9")</f>
        <v>1.9</v>
      </c>
      <c r="BS179" s="17">
        <f>HYPERLINK("http://exon.niaid.nih.gov/transcriptome/T_rubida/S2/links/cluster/Triru-pep-ext25-50-Sim-CLU27.txt", 27)</f>
        <v>27</v>
      </c>
      <c r="BT179" s="1">
        <f>HYPERLINK("http://exon.niaid.nih.gov/transcriptome/T_rubida/S2/links/cluster/Triru-pep-ext25-50-Sim-CLTL27.txt", 2)</f>
        <v>2</v>
      </c>
      <c r="BU179" s="17">
        <f>HYPERLINK("http://exon.niaid.nih.gov/transcriptome/T_rubida/S2/links/cluster/Triru-pep-ext30-50-Sim-CLU39.txt", 39)</f>
        <v>39</v>
      </c>
      <c r="BV179" s="1">
        <f>HYPERLINK("http://exon.niaid.nih.gov/transcriptome/T_rubida/S2/links/cluster/Triru-pep-ext30-50-Sim-CLTL39.txt", 2)</f>
        <v>2</v>
      </c>
      <c r="BW179" s="17">
        <f>HYPERLINK("http://exon.niaid.nih.gov/transcriptome/T_rubida/S2/links/cluster/Triru-pep-ext35-50-Sim-CLU38.txt", 38)</f>
        <v>38</v>
      </c>
      <c r="BX179" s="1">
        <f>HYPERLINK("http://exon.niaid.nih.gov/transcriptome/T_rubida/S2/links/cluster/Triru-pep-ext35-50-Sim-CLTL38.txt", 2)</f>
        <v>2</v>
      </c>
      <c r="BY179" s="17">
        <f>HYPERLINK("http://exon.niaid.nih.gov/transcriptome/T_rubida/S2/links/cluster/Triru-pep-ext40-50-Sim-CLU35.txt", 35)</f>
        <v>35</v>
      </c>
      <c r="BZ179" s="1">
        <f>HYPERLINK("http://exon.niaid.nih.gov/transcriptome/T_rubida/S2/links/cluster/Triru-pep-ext40-50-Sim-CLTL35.txt", 2)</f>
        <v>2</v>
      </c>
      <c r="CA179" s="17">
        <f>HYPERLINK("http://exon.niaid.nih.gov/transcriptome/T_rubida/S2/links/cluster/Triru-pep-ext45-50-Sim-CLU30.txt", 30)</f>
        <v>30</v>
      </c>
      <c r="CB179" s="1">
        <f>HYPERLINK("http://exon.niaid.nih.gov/transcriptome/T_rubida/S2/links/cluster/Triru-pep-ext45-50-Sim-CLTL30.txt", 2)</f>
        <v>2</v>
      </c>
      <c r="CC179" s="17">
        <f>HYPERLINK("http://exon.niaid.nih.gov/transcriptome/T_rubida/S2/links/cluster/Triru-pep-ext50-50-Sim-CLU28.txt", 28)</f>
        <v>28</v>
      </c>
      <c r="CD179" s="1">
        <f>HYPERLINK("http://exon.niaid.nih.gov/transcriptome/T_rubida/S2/links/cluster/Triru-pep-ext50-50-Sim-CLTL28.txt", 2)</f>
        <v>2</v>
      </c>
      <c r="CE179" s="17">
        <v>281</v>
      </c>
      <c r="CF179" s="1">
        <v>1</v>
      </c>
      <c r="CG179" s="17">
        <v>284</v>
      </c>
      <c r="CH179" s="1">
        <v>1</v>
      </c>
      <c r="CI179" s="17">
        <v>294</v>
      </c>
      <c r="CJ179" s="1">
        <v>1</v>
      </c>
      <c r="CK179" s="17">
        <v>300</v>
      </c>
      <c r="CL179" s="1">
        <v>1</v>
      </c>
      <c r="CM179" s="17">
        <v>308</v>
      </c>
      <c r="CN179" s="1">
        <v>1</v>
      </c>
      <c r="CO179" s="17">
        <v>320</v>
      </c>
      <c r="CP179" s="1">
        <v>1</v>
      </c>
      <c r="CQ179" s="17">
        <v>330</v>
      </c>
      <c r="CR179" s="1">
        <v>1</v>
      </c>
      <c r="CS179" s="17">
        <v>342</v>
      </c>
      <c r="CT179" s="1">
        <v>1</v>
      </c>
      <c r="CU179" s="17">
        <v>353</v>
      </c>
      <c r="CV179" s="1">
        <v>1</v>
      </c>
    </row>
    <row r="180" spans="1:100">
      <c r="A180" t="str">
        <f>HYPERLINK("http://exon.niaid.nih.gov/transcriptome/T_rubida/S2/links/pep/Triru-106-pep.txt","Triru-106")</f>
        <v>Triru-106</v>
      </c>
      <c r="B180">
        <v>119</v>
      </c>
      <c r="C180" s="1" t="s">
        <v>17</v>
      </c>
      <c r="D180" s="1" t="s">
        <v>3</v>
      </c>
      <c r="E180" t="str">
        <f>HYPERLINK("http://exon.niaid.nih.gov/transcriptome/T_rubida/S2/links/cds/Triru-106-cds.txt","Triru-106")</f>
        <v>Triru-106</v>
      </c>
      <c r="F180">
        <v>360</v>
      </c>
      <c r="G180" s="2" t="s">
        <v>1652</v>
      </c>
      <c r="H180" s="1">
        <v>4</v>
      </c>
      <c r="I180" s="3" t="s">
        <v>1268</v>
      </c>
      <c r="J180" s="17" t="str">
        <f>HYPERLINK("http://exon.niaid.nih.gov/transcriptome/T_rubida/S2/links/Sigp/Triru-106-SigP.txt","CYT")</f>
        <v>CYT</v>
      </c>
      <c r="K180" t="s">
        <v>5</v>
      </c>
      <c r="L180" s="1">
        <v>13.914</v>
      </c>
      <c r="M180" s="1">
        <v>10.71</v>
      </c>
      <c r="P180" s="1">
        <v>0.20799999999999999</v>
      </c>
      <c r="Q180" s="1">
        <v>4.3999999999999997E-2</v>
      </c>
      <c r="R180" s="1">
        <v>0.77800000000000002</v>
      </c>
      <c r="S180" s="17" t="s">
        <v>1346</v>
      </c>
      <c r="T180">
        <v>3</v>
      </c>
      <c r="U180" t="s">
        <v>1382</v>
      </c>
      <c r="V180" s="17">
        <v>0</v>
      </c>
      <c r="W180" t="s">
        <v>5</v>
      </c>
      <c r="X180" t="s">
        <v>5</v>
      </c>
      <c r="Y180" t="s">
        <v>5</v>
      </c>
      <c r="Z180" t="s">
        <v>5</v>
      </c>
      <c r="AA180" t="s">
        <v>5</v>
      </c>
      <c r="AB180" s="17" t="str">
        <f>HYPERLINK("http://exon.niaid.nih.gov/transcriptome/T_rubida/S2/links/netoglyc/TRIRU-106-netoglyc.txt","0")</f>
        <v>0</v>
      </c>
      <c r="AC180">
        <v>9.1999999999999993</v>
      </c>
      <c r="AD180">
        <v>8.4</v>
      </c>
      <c r="AE180">
        <v>1.7</v>
      </c>
      <c r="AF180" s="17" t="s">
        <v>1439</v>
      </c>
      <c r="AG180" s="2" t="str">
        <f>HYPERLINK("http://exon.niaid.nih.gov/transcriptome/T_rubida/S2/links/NR/Triru-106-NR.txt","S18e ribosomal protein")</f>
        <v>S18e ribosomal protein</v>
      </c>
      <c r="AH180" t="str">
        <f>HYPERLINK("http://www.ncbi.nlm.nih.gov/sutils/blink.cgi?pid=263173239","2E-058")</f>
        <v>2E-058</v>
      </c>
      <c r="AI180" t="str">
        <f>HYPERLINK("http://www.ncbi.nlm.nih.gov/protein/263173239","gi|263173239")</f>
        <v>gi|263173239</v>
      </c>
      <c r="AJ180">
        <v>228</v>
      </c>
      <c r="AK180">
        <v>118</v>
      </c>
      <c r="AL180">
        <v>131</v>
      </c>
      <c r="AM180">
        <v>92</v>
      </c>
      <c r="AN180">
        <v>91</v>
      </c>
      <c r="AO180" t="s">
        <v>239</v>
      </c>
      <c r="AP180" s="2" t="str">
        <f>HYPERLINK("http://exon.niaid.nih.gov/transcriptome/T_rubida/S2/links/SWISSP/Triru-106-SWISSP.txt","40S ribosomal protein S18")</f>
        <v>40S ribosomal protein S18</v>
      </c>
      <c r="AQ180" t="str">
        <f>HYPERLINK("http://www.uniprot.org/uniprot/Q962R1","3E-059")</f>
        <v>3E-059</v>
      </c>
      <c r="AR180" t="s">
        <v>1139</v>
      </c>
      <c r="AS180">
        <v>226</v>
      </c>
      <c r="AT180">
        <v>118</v>
      </c>
      <c r="AU180">
        <v>152</v>
      </c>
      <c r="AV180">
        <v>89</v>
      </c>
      <c r="AW180">
        <v>78</v>
      </c>
      <c r="AX180">
        <v>12</v>
      </c>
      <c r="AY180">
        <v>0</v>
      </c>
      <c r="AZ180">
        <v>34</v>
      </c>
      <c r="BA180">
        <v>1</v>
      </c>
      <c r="BB180">
        <v>1</v>
      </c>
      <c r="BC180" t="s">
        <v>82</v>
      </c>
      <c r="BD180" s="2" t="s">
        <v>1140</v>
      </c>
      <c r="BE180">
        <f>HYPERLINK("http://exon.niaid.nih.gov/transcriptome/T_rubida/S2/links/GO/Triru-106-GO.txt",3E-56)</f>
        <v>2.9999999999999999E-56</v>
      </c>
      <c r="BF180" t="s">
        <v>138</v>
      </c>
      <c r="BG180" t="s">
        <v>139</v>
      </c>
      <c r="BH180" t="s">
        <v>140</v>
      </c>
      <c r="BI180" s="2" t="str">
        <f>HYPERLINK("http://exon.niaid.nih.gov/transcriptome/T_rubida/S2/links/CDD/Triru-106-CDD.txt","PTZ00134")</f>
        <v>PTZ00134</v>
      </c>
      <c r="BJ180" t="str">
        <f>HYPERLINK("http://www.ncbi.nlm.nih.gov/Structure/cdd/cddsrv.cgi?uid=PTZ00134&amp;version=v4.0","3E-052")</f>
        <v>3E-052</v>
      </c>
      <c r="BK180" t="s">
        <v>1141</v>
      </c>
      <c r="BL180" s="2" t="str">
        <f>HYPERLINK("http://exon.niaid.nih.gov/transcriptome/T_rubida/S2/links/KOG/Triru-106-KOG.txt","Ribosomal protein S18")</f>
        <v>Ribosomal protein S18</v>
      </c>
      <c r="BM180" t="str">
        <f>HYPERLINK("http://www.ncbi.nlm.nih.gov/COG/grace/shokog.cgi?KOG3311","2E-040")</f>
        <v>2E-040</v>
      </c>
      <c r="BN180" t="s">
        <v>84</v>
      </c>
      <c r="BO180" s="2" t="str">
        <f>HYPERLINK("http://exon.niaid.nih.gov/transcriptome/T_rubida/S2/links/PFAM/Triru-106-PFAM.txt","Ribosomal_S13")</f>
        <v>Ribosomal_S13</v>
      </c>
      <c r="BP180" t="str">
        <f>HYPERLINK("http://pfam.sanger.ac.uk/family?acc=PF00416","8E-024")</f>
        <v>8E-024</v>
      </c>
      <c r="BQ180" s="2" t="str">
        <f>HYPERLINK("http://exon.niaid.nih.gov/transcriptome/T_rubida/S2/links/SMART/Triru-106-SMART.txt","IL4_13")</f>
        <v>IL4_13</v>
      </c>
      <c r="BR180" t="str">
        <f>HYPERLINK("http://smart.embl-heidelberg.de/smart/do_annotation.pl?DOMAIN=IL4_13&amp;BLAST=DUMMY","0.48")</f>
        <v>0.48</v>
      </c>
      <c r="BS180" s="17">
        <f>HYPERLINK("http://exon.niaid.nih.gov/transcriptome/T_rubida/S2/links/cluster/Triru-pep-ext25-50-Sim-CLU1.txt", 1)</f>
        <v>1</v>
      </c>
      <c r="BT180" s="1">
        <f>HYPERLINK("http://exon.niaid.nih.gov/transcriptome/T_rubida/S2/links/cluster/Triru-pep-ext25-50-Sim-CLTL1.txt", 359)</f>
        <v>359</v>
      </c>
      <c r="BU180" s="17">
        <v>59</v>
      </c>
      <c r="BV180" s="1">
        <v>1</v>
      </c>
      <c r="BW180" s="17">
        <v>62</v>
      </c>
      <c r="BX180" s="1">
        <v>1</v>
      </c>
      <c r="BY180" s="17">
        <v>60</v>
      </c>
      <c r="BZ180" s="1">
        <v>1</v>
      </c>
      <c r="CA180" s="17">
        <v>58</v>
      </c>
      <c r="CB180" s="1">
        <v>1</v>
      </c>
      <c r="CC180" s="17">
        <v>57</v>
      </c>
      <c r="CD180" s="1">
        <v>1</v>
      </c>
      <c r="CE180" s="17">
        <v>50</v>
      </c>
      <c r="CF180" s="1">
        <v>1</v>
      </c>
      <c r="CG180" s="17">
        <v>50</v>
      </c>
      <c r="CH180" s="1">
        <v>1</v>
      </c>
      <c r="CI180" s="17">
        <v>56</v>
      </c>
      <c r="CJ180" s="1">
        <v>1</v>
      </c>
      <c r="CK180" s="17">
        <v>60</v>
      </c>
      <c r="CL180" s="1">
        <v>1</v>
      </c>
      <c r="CM180" s="17">
        <v>64</v>
      </c>
      <c r="CN180" s="1">
        <v>1</v>
      </c>
      <c r="CO180" s="17">
        <v>72</v>
      </c>
      <c r="CP180" s="1">
        <v>1</v>
      </c>
      <c r="CQ180" s="17">
        <v>82</v>
      </c>
      <c r="CR180" s="1">
        <v>1</v>
      </c>
      <c r="CS180" s="17">
        <v>87</v>
      </c>
      <c r="CT180" s="1">
        <v>1</v>
      </c>
      <c r="CU180" s="17">
        <v>98</v>
      </c>
      <c r="CV180" s="1">
        <v>1</v>
      </c>
    </row>
    <row r="181" spans="1:100">
      <c r="A181" t="str">
        <f>HYPERLINK("http://exon.niaid.nih.gov/transcriptome/T_rubida/S2/links/pep/Triru-222-pep.txt","Triru-222")</f>
        <v>Triru-222</v>
      </c>
      <c r="B181">
        <v>41</v>
      </c>
      <c r="C181" s="1" t="s">
        <v>4</v>
      </c>
      <c r="D181" s="1" t="s">
        <v>3</v>
      </c>
      <c r="E181" t="str">
        <f>HYPERLINK("http://exon.niaid.nih.gov/transcriptome/T_rubida/S2/links/cds/Triru-222-cds.txt","Triru-222")</f>
        <v>Triru-222</v>
      </c>
      <c r="F181">
        <v>126</v>
      </c>
      <c r="G181" s="2" t="s">
        <v>1653</v>
      </c>
      <c r="H181" s="1">
        <v>1</v>
      </c>
      <c r="I181" s="3" t="s">
        <v>1268</v>
      </c>
      <c r="J181" s="17" t="str">
        <f>HYPERLINK("http://exon.niaid.nih.gov/transcriptome/T_rubida/S2/links/Sigp/Triru-222-SigP.txt","CYT")</f>
        <v>CYT</v>
      </c>
      <c r="K181" t="s">
        <v>5</v>
      </c>
      <c r="L181" s="1">
        <v>4.673</v>
      </c>
      <c r="M181" s="1">
        <v>8.5399999999999991</v>
      </c>
      <c r="P181" s="1">
        <v>0.15</v>
      </c>
      <c r="Q181" s="1">
        <v>3.5000000000000003E-2</v>
      </c>
      <c r="R181" s="1">
        <v>0.90100000000000002</v>
      </c>
      <c r="S181" s="17" t="s">
        <v>1346</v>
      </c>
      <c r="T181">
        <v>2</v>
      </c>
      <c r="U181" t="s">
        <v>1348</v>
      </c>
      <c r="V181" s="17">
        <v>0</v>
      </c>
      <c r="W181" t="s">
        <v>5</v>
      </c>
      <c r="X181" t="s">
        <v>5</v>
      </c>
      <c r="Y181" t="s">
        <v>5</v>
      </c>
      <c r="Z181" t="s">
        <v>5</v>
      </c>
      <c r="AA181" t="s">
        <v>5</v>
      </c>
      <c r="AB181" s="17" t="str">
        <f>HYPERLINK("http://exon.niaid.nih.gov/transcriptome/T_rubida/S2/links/netoglyc/TRIRU-222-netoglyc.txt","0")</f>
        <v>0</v>
      </c>
      <c r="AC181">
        <v>9.8000000000000007</v>
      </c>
      <c r="AD181">
        <v>12.2</v>
      </c>
      <c r="AE181" t="s">
        <v>1394</v>
      </c>
      <c r="AF181" s="17" t="s">
        <v>5</v>
      </c>
      <c r="AG181" s="2" t="str">
        <f>HYPERLINK("http://exon.niaid.nih.gov/transcriptome/T_rubida/S2/links/NR/Triru-222-NR.txt","polyubiquitin-like")</f>
        <v>polyubiquitin-like</v>
      </c>
      <c r="AH181" t="str">
        <f>HYPERLINK("http://www.ncbi.nlm.nih.gov/sutils/blink.cgi?pid=340374850","2E-013")</f>
        <v>2E-013</v>
      </c>
      <c r="AI181" t="str">
        <f>HYPERLINK("http://www.ncbi.nlm.nih.gov/protein/340374850","gi|340374850")</f>
        <v>gi|340374850</v>
      </c>
      <c r="AJ181">
        <v>79</v>
      </c>
      <c r="AK181">
        <v>342</v>
      </c>
      <c r="AL181">
        <v>381</v>
      </c>
      <c r="AM181">
        <v>97</v>
      </c>
      <c r="AN181">
        <v>90</v>
      </c>
      <c r="AO181" t="s">
        <v>101</v>
      </c>
      <c r="AP181" s="2" t="str">
        <f>HYPERLINK("http://exon.niaid.nih.gov/transcriptome/T_rubida/S2/links/SWISSP/Triru-222-SWISSP.txt","Polyubiquitin")</f>
        <v>Polyubiquitin</v>
      </c>
      <c r="AQ181" t="str">
        <f>HYPERLINK("http://www.uniprot.org/uniprot/P59669","8E-015")</f>
        <v>8E-015</v>
      </c>
      <c r="AR181" t="s">
        <v>102</v>
      </c>
      <c r="AS181">
        <v>79</v>
      </c>
      <c r="AT181">
        <v>418</v>
      </c>
      <c r="AU181">
        <v>457</v>
      </c>
      <c r="AV181">
        <v>97</v>
      </c>
      <c r="AW181">
        <v>92</v>
      </c>
      <c r="AX181">
        <v>1</v>
      </c>
      <c r="AY181">
        <v>0</v>
      </c>
      <c r="AZ181">
        <v>39</v>
      </c>
      <c r="BA181">
        <v>3</v>
      </c>
      <c r="BB181">
        <v>6</v>
      </c>
      <c r="BC181" t="s">
        <v>103</v>
      </c>
      <c r="BD181" s="2" t="s">
        <v>104</v>
      </c>
      <c r="BE181">
        <f>HYPERLINK("http://exon.niaid.nih.gov/transcriptome/T_rubida/S2/links/GO/Triru-222-GO.txt",0.000000000000006)</f>
        <v>5.9999999999999997E-15</v>
      </c>
      <c r="BF181" t="s">
        <v>105</v>
      </c>
      <c r="BG181" t="s">
        <v>105</v>
      </c>
      <c r="BI181" s="2" t="str">
        <f>HYPERLINK("http://exon.niaid.nih.gov/transcriptome/T_rubida/S2/links/CDD/Triru-222-CDD.txt","Ubiquitin")</f>
        <v>Ubiquitin</v>
      </c>
      <c r="BJ181" t="str">
        <f>HYPERLINK("http://www.ncbi.nlm.nih.gov/Structure/cdd/cddsrv.cgi?uid=cd01803&amp;version=v4.0","3E-016")</f>
        <v>3E-016</v>
      </c>
      <c r="BK181" t="s">
        <v>106</v>
      </c>
      <c r="BL181" s="2" t="str">
        <f>HYPERLINK("http://exon.niaid.nih.gov/transcriptome/T_rubida/S2/links/KOG/Triru-222-KOG.txt","Ubiquitin/40S ribosomal protein S27a fusion")</f>
        <v>Ubiquitin/40S ribosomal protein S27a fusion</v>
      </c>
      <c r="BM181" t="str">
        <f>HYPERLINK("http://www.ncbi.nlm.nih.gov/COG/grace/shokog.cgi?KOG0004","1E-015")</f>
        <v>1E-015</v>
      </c>
      <c r="BN181" t="s">
        <v>84</v>
      </c>
      <c r="BO181" s="2" t="str">
        <f>HYPERLINK("http://exon.niaid.nih.gov/transcriptome/T_rubida/S2/links/PFAM/Triru-222-PFAM.txt","ubiquitin")</f>
        <v>ubiquitin</v>
      </c>
      <c r="BP181" t="str">
        <f>HYPERLINK("http://pfam.sanger.ac.uk/family?acc=PF00240","9E-012")</f>
        <v>9E-012</v>
      </c>
      <c r="BQ181" s="2" t="str">
        <f>HYPERLINK("http://exon.niaid.nih.gov/transcriptome/T_rubida/S2/links/SMART/Triru-222-SMART.txt","UBQ")</f>
        <v>UBQ</v>
      </c>
      <c r="BR181" t="str">
        <f>HYPERLINK("http://smart.embl-heidelberg.de/smart/do_annotation.pl?DOMAIN=UBQ&amp;BLAST=DUMMY","3E-009")</f>
        <v>3E-009</v>
      </c>
      <c r="BS181" s="17">
        <v>75</v>
      </c>
      <c r="BT181" s="1">
        <v>1</v>
      </c>
      <c r="BU181" s="17">
        <v>108</v>
      </c>
      <c r="BV181" s="1">
        <v>1</v>
      </c>
      <c r="BW181" s="17">
        <v>125</v>
      </c>
      <c r="BX181" s="1">
        <v>1</v>
      </c>
      <c r="BY181" s="17">
        <v>130</v>
      </c>
      <c r="BZ181" s="1">
        <v>1</v>
      </c>
      <c r="CA181" s="17">
        <v>132</v>
      </c>
      <c r="CB181" s="1">
        <v>1</v>
      </c>
      <c r="CC181" s="17">
        <v>135</v>
      </c>
      <c r="CD181" s="1">
        <v>1</v>
      </c>
      <c r="CE181" s="17">
        <v>135</v>
      </c>
      <c r="CF181" s="1">
        <v>1</v>
      </c>
      <c r="CG181" s="17">
        <v>137</v>
      </c>
      <c r="CH181" s="1">
        <v>1</v>
      </c>
      <c r="CI181" s="17">
        <v>143</v>
      </c>
      <c r="CJ181" s="1">
        <v>1</v>
      </c>
      <c r="CK181" s="17">
        <v>148</v>
      </c>
      <c r="CL181" s="1">
        <v>1</v>
      </c>
      <c r="CM181" s="17">
        <v>154</v>
      </c>
      <c r="CN181" s="1">
        <v>1</v>
      </c>
      <c r="CO181" s="17">
        <v>164</v>
      </c>
      <c r="CP181" s="1">
        <v>1</v>
      </c>
      <c r="CQ181" s="17">
        <v>174</v>
      </c>
      <c r="CR181" s="1">
        <v>1</v>
      </c>
      <c r="CS181" s="17">
        <v>179</v>
      </c>
      <c r="CT181" s="1">
        <v>1</v>
      </c>
      <c r="CU181" s="17">
        <v>190</v>
      </c>
      <c r="CV181" s="1">
        <v>1</v>
      </c>
    </row>
    <row r="182" spans="1:100">
      <c r="A182" t="str">
        <f>HYPERLINK("http://exon.niaid.nih.gov/transcriptome/T_rubida/S2/links/pep/Triru-324-pep.txt","Triru-324")</f>
        <v>Triru-324</v>
      </c>
      <c r="B182">
        <v>105</v>
      </c>
      <c r="C182" s="1" t="s">
        <v>17</v>
      </c>
      <c r="D182" s="1" t="s">
        <v>3</v>
      </c>
      <c r="E182" t="str">
        <f>HYPERLINK("http://exon.niaid.nih.gov/transcriptome/T_rubida/S2/links/cds/Triru-324-cds.txt","Triru-324")</f>
        <v>Triru-324</v>
      </c>
      <c r="F182">
        <v>318</v>
      </c>
      <c r="G182" s="2" t="s">
        <v>1654</v>
      </c>
      <c r="H182" s="1">
        <v>1</v>
      </c>
      <c r="I182" s="3" t="s">
        <v>1268</v>
      </c>
      <c r="J182" s="17" t="str">
        <f>HYPERLINK("http://exon.niaid.nih.gov/transcriptome/T_rubida/S2/links/Sigp/Triru-324-SigP.txt","CYT")</f>
        <v>CYT</v>
      </c>
      <c r="K182" t="s">
        <v>5</v>
      </c>
      <c r="L182" s="1">
        <v>12.007999999999999</v>
      </c>
      <c r="M182" s="1">
        <v>10.29</v>
      </c>
      <c r="P182" s="1">
        <v>0.29699999999999999</v>
      </c>
      <c r="Q182" s="1">
        <v>7.0999999999999994E-2</v>
      </c>
      <c r="R182" s="1">
        <v>0.67300000000000004</v>
      </c>
      <c r="S182" s="17" t="s">
        <v>1346</v>
      </c>
      <c r="T182">
        <v>4</v>
      </c>
      <c r="U182" t="s">
        <v>1382</v>
      </c>
      <c r="V182" s="17">
        <v>0</v>
      </c>
      <c r="W182" t="s">
        <v>5</v>
      </c>
      <c r="X182" t="s">
        <v>5</v>
      </c>
      <c r="Y182" t="s">
        <v>5</v>
      </c>
      <c r="Z182" t="s">
        <v>5</v>
      </c>
      <c r="AA182" t="s">
        <v>5</v>
      </c>
      <c r="AB182" s="17" t="str">
        <f>HYPERLINK("http://exon.niaid.nih.gov/transcriptome/T_rubida/S2/links/netoglyc/TRIRU-324-netoglyc.txt","2")</f>
        <v>2</v>
      </c>
      <c r="AC182">
        <v>17.100000000000001</v>
      </c>
      <c r="AD182">
        <v>4.8</v>
      </c>
      <c r="AE182">
        <v>4.8</v>
      </c>
      <c r="AF182" s="17" t="s">
        <v>5</v>
      </c>
      <c r="AG182" s="2" t="str">
        <f>HYPERLINK("http://exon.niaid.nih.gov/transcriptome/T_rubida/S2/links/NR/Triru-324-NR.txt","ribosomal protein S20")</f>
        <v>ribosomal protein S20</v>
      </c>
      <c r="AH182" t="str">
        <f>HYPERLINK("http://www.ncbi.nlm.nih.gov/sutils/blink.cgi?pid=149898895","1E-050")</f>
        <v>1E-050</v>
      </c>
      <c r="AI182" t="str">
        <f>HYPERLINK("http://www.ncbi.nlm.nih.gov/protein/149898895","gi|149898895")</f>
        <v>gi|149898895</v>
      </c>
      <c r="AJ182">
        <v>202</v>
      </c>
      <c r="AK182">
        <v>102</v>
      </c>
      <c r="AL182">
        <v>117</v>
      </c>
      <c r="AM182">
        <v>99</v>
      </c>
      <c r="AN182">
        <v>88</v>
      </c>
      <c r="AO182" t="s">
        <v>80</v>
      </c>
      <c r="AP182" s="2" t="str">
        <f>HYPERLINK("http://exon.niaid.nih.gov/transcriptome/T_rubida/S2/links/SWISSP/Triru-324-SWISSP.txt","40S ribosomal protein S20")</f>
        <v>40S ribosomal protein S20</v>
      </c>
      <c r="AQ182" t="str">
        <f>HYPERLINK("http://www.uniprot.org/uniprot/P23403","2E-046")</f>
        <v>2E-046</v>
      </c>
      <c r="AR182" t="s">
        <v>1123</v>
      </c>
      <c r="AS182">
        <v>183</v>
      </c>
      <c r="AT182">
        <v>101</v>
      </c>
      <c r="AU182">
        <v>119</v>
      </c>
      <c r="AV182">
        <v>83</v>
      </c>
      <c r="AW182">
        <v>86</v>
      </c>
      <c r="AX182">
        <v>17</v>
      </c>
      <c r="AY182">
        <v>0</v>
      </c>
      <c r="AZ182">
        <v>17</v>
      </c>
      <c r="BA182">
        <v>4</v>
      </c>
      <c r="BB182">
        <v>1</v>
      </c>
      <c r="BC182" t="s">
        <v>109</v>
      </c>
      <c r="BD182" s="2" t="s">
        <v>1124</v>
      </c>
      <c r="BE182">
        <f>HYPERLINK("http://exon.niaid.nih.gov/transcriptome/T_rubida/S2/links/GO/Triru-324-GO.txt",2E-46)</f>
        <v>2E-46</v>
      </c>
      <c r="BF182" t="s">
        <v>138</v>
      </c>
      <c r="BG182" t="s">
        <v>139</v>
      </c>
      <c r="BH182" t="s">
        <v>140</v>
      </c>
      <c r="BI182" s="2" t="str">
        <f>HYPERLINK("http://exon.niaid.nih.gov/transcriptome/T_rubida/S2/links/CDD/Triru-324-CDD.txt","PTZ00039")</f>
        <v>PTZ00039</v>
      </c>
      <c r="BJ182" t="str">
        <f>HYPERLINK("http://www.ncbi.nlm.nih.gov/Structure/cdd/cddsrv.cgi?uid=PTZ00039&amp;version=v4.0","2E-041")</f>
        <v>2E-041</v>
      </c>
      <c r="BK182" t="s">
        <v>1125</v>
      </c>
      <c r="BL182" s="2" t="str">
        <f>HYPERLINK("http://exon.niaid.nih.gov/transcriptome/T_rubida/S2/links/KOG/Triru-324-KOG.txt","40S ribosomal protein S20")</f>
        <v>40S ribosomal protein S20</v>
      </c>
      <c r="BM182" t="str">
        <f>HYPERLINK("http://www.ncbi.nlm.nih.gov/COG/grace/shokog.cgi?KOG0900","5E-036")</f>
        <v>5E-036</v>
      </c>
      <c r="BN182" t="s">
        <v>84</v>
      </c>
      <c r="BO182" s="2" t="str">
        <f>HYPERLINK("http://exon.niaid.nih.gov/transcriptome/T_rubida/S2/links/PFAM/Triru-324-PFAM.txt","Ribosomal_S10")</f>
        <v>Ribosomal_S10</v>
      </c>
      <c r="BP182" t="str">
        <f>HYPERLINK("http://pfam.sanger.ac.uk/family?acc=PF00338","4E-026")</f>
        <v>4E-026</v>
      </c>
      <c r="BQ182" s="2" t="str">
        <f>HYPERLINK("http://exon.niaid.nih.gov/transcriptome/T_rubida/S2/links/SMART/Triru-324-SMART.txt","AXH")</f>
        <v>AXH</v>
      </c>
      <c r="BR182" t="str">
        <f>HYPERLINK("http://smart.embl-heidelberg.de/smart/do_annotation.pl?DOMAIN=AXH&amp;BLAST=DUMMY","0.093")</f>
        <v>0.093</v>
      </c>
      <c r="BS182" s="17">
        <f>HYPERLINK("http://exon.niaid.nih.gov/transcriptome/T_rubida/S2/links/cluster/Triru-pep-ext25-50-Sim-CLU22.txt", 22)</f>
        <v>22</v>
      </c>
      <c r="BT182" s="1">
        <f>HYPERLINK("http://exon.niaid.nih.gov/transcriptome/T_rubida/S2/links/cluster/Triru-pep-ext25-50-Sim-CLTL22.txt", 2)</f>
        <v>2</v>
      </c>
      <c r="BU182" s="17">
        <f>HYPERLINK("http://exon.niaid.nih.gov/transcriptome/T_rubida/S2/links/cluster/Triru-pep-ext30-50-Sim-CLU29.txt", 29)</f>
        <v>29</v>
      </c>
      <c r="BV182" s="1">
        <f>HYPERLINK("http://exon.niaid.nih.gov/transcriptome/T_rubida/S2/links/cluster/Triru-pep-ext30-50-Sim-CLTL29.txt", 2)</f>
        <v>2</v>
      </c>
      <c r="BW182" s="17">
        <f>HYPERLINK("http://exon.niaid.nih.gov/transcriptome/T_rubida/S2/links/cluster/Triru-pep-ext35-50-Sim-CLU31.txt", 31)</f>
        <v>31</v>
      </c>
      <c r="BX182" s="1">
        <f>HYPERLINK("http://exon.niaid.nih.gov/transcriptome/T_rubida/S2/links/cluster/Triru-pep-ext35-50-Sim-CLTL31.txt", 2)</f>
        <v>2</v>
      </c>
      <c r="BY182" s="17">
        <f>HYPERLINK("http://exon.niaid.nih.gov/transcriptome/T_rubida/S2/links/cluster/Triru-pep-ext40-50-Sim-CLU28.txt", 28)</f>
        <v>28</v>
      </c>
      <c r="BZ182" s="1">
        <f>HYPERLINK("http://exon.niaid.nih.gov/transcriptome/T_rubida/S2/links/cluster/Triru-pep-ext40-50-Sim-CLTL28.txt", 2)</f>
        <v>2</v>
      </c>
      <c r="CA182" s="17">
        <f>HYPERLINK("http://exon.niaid.nih.gov/transcriptome/T_rubida/S2/links/cluster/Triru-pep-ext45-50-Sim-CLU23.txt", 23)</f>
        <v>23</v>
      </c>
      <c r="CB182" s="1">
        <f>HYPERLINK("http://exon.niaid.nih.gov/transcriptome/T_rubida/S2/links/cluster/Triru-pep-ext45-50-Sim-CLTL23.txt", 2)</f>
        <v>2</v>
      </c>
      <c r="CC182" s="17">
        <f>HYPERLINK("http://exon.niaid.nih.gov/transcriptome/T_rubida/S2/links/cluster/Triru-pep-ext50-50-Sim-CLU22.txt", 22)</f>
        <v>22</v>
      </c>
      <c r="CD182" s="1">
        <f>HYPERLINK("http://exon.niaid.nih.gov/transcriptome/T_rubida/S2/links/cluster/Triru-pep-ext50-50-Sim-CLTL22.txt", 2)</f>
        <v>2</v>
      </c>
      <c r="CE182" s="17">
        <f>HYPERLINK("http://exon.niaid.nih.gov/transcriptome/T_rubida/S2/links/cluster/Triru-pep-ext55-50-Sim-CLU17.txt", 17)</f>
        <v>17</v>
      </c>
      <c r="CF182" s="1">
        <f>HYPERLINK("http://exon.niaid.nih.gov/transcriptome/T_rubida/S2/links/cluster/Triru-pep-ext55-50-Sim-CLTL17.txt", 2)</f>
        <v>2</v>
      </c>
      <c r="CG182" s="17">
        <f>HYPERLINK("http://exon.niaid.nih.gov/transcriptome/T_rubida/S2/links/cluster/Triru-pep-ext60-50-Sim-CLU18.txt", 18)</f>
        <v>18</v>
      </c>
      <c r="CH182" s="1">
        <f>HYPERLINK("http://exon.niaid.nih.gov/transcriptome/T_rubida/S2/links/cluster/Triru-pep-ext60-50-Sim-CLTL18.txt", 2)</f>
        <v>2</v>
      </c>
      <c r="CI182" s="17">
        <v>221</v>
      </c>
      <c r="CJ182" s="1">
        <v>1</v>
      </c>
      <c r="CK182" s="17">
        <v>226</v>
      </c>
      <c r="CL182" s="1">
        <v>1</v>
      </c>
      <c r="CM182" s="17">
        <v>233</v>
      </c>
      <c r="CN182" s="1">
        <v>1</v>
      </c>
      <c r="CO182" s="17">
        <v>244</v>
      </c>
      <c r="CP182" s="1">
        <v>1</v>
      </c>
      <c r="CQ182" s="17">
        <v>254</v>
      </c>
      <c r="CR182" s="1">
        <v>1</v>
      </c>
      <c r="CS182" s="17">
        <v>264</v>
      </c>
      <c r="CT182" s="1">
        <v>1</v>
      </c>
      <c r="CU182" s="17">
        <v>275</v>
      </c>
      <c r="CV182" s="1">
        <v>1</v>
      </c>
    </row>
    <row r="183" spans="1:100">
      <c r="A183" t="str">
        <f>HYPERLINK("http://exon.niaid.nih.gov/transcriptome/T_rubida/S2/links/pep/Triru-112-pep.txt","Triru-112")</f>
        <v>Triru-112</v>
      </c>
      <c r="B183">
        <v>273</v>
      </c>
      <c r="C183" s="1" t="s">
        <v>12</v>
      </c>
      <c r="D183" s="1" t="s">
        <v>3</v>
      </c>
      <c r="E183" t="str">
        <f>HYPERLINK("http://exon.niaid.nih.gov/transcriptome/T_rubida/S2/links/cds/Triru-112-cds.txt","Triru-112")</f>
        <v>Triru-112</v>
      </c>
      <c r="F183">
        <v>822</v>
      </c>
      <c r="G183" s="2" t="s">
        <v>1655</v>
      </c>
      <c r="H183" s="1">
        <v>3</v>
      </c>
      <c r="I183" s="3" t="s">
        <v>1268</v>
      </c>
      <c r="J183" s="17" t="str">
        <f>HYPERLINK("http://exon.niaid.nih.gov/transcriptome/T_rubida/S2/links/Sigp/Triru-112-SigP.txt","CYT")</f>
        <v>CYT</v>
      </c>
      <c r="K183" t="s">
        <v>5</v>
      </c>
      <c r="L183" s="1">
        <v>29.324999999999999</v>
      </c>
      <c r="M183" s="1">
        <v>10.119999999999999</v>
      </c>
      <c r="P183" s="1">
        <v>0.55800000000000005</v>
      </c>
      <c r="Q183" s="1">
        <v>2.5000000000000001E-2</v>
      </c>
      <c r="R183" s="1">
        <v>0.60499999999999998</v>
      </c>
      <c r="S183" s="17" t="s">
        <v>1346</v>
      </c>
      <c r="T183">
        <v>5</v>
      </c>
      <c r="U183" t="s">
        <v>1348</v>
      </c>
      <c r="V183" s="17">
        <v>0</v>
      </c>
      <c r="W183" t="s">
        <v>5</v>
      </c>
      <c r="X183" t="s">
        <v>5</v>
      </c>
      <c r="Y183" t="s">
        <v>5</v>
      </c>
      <c r="Z183" t="s">
        <v>5</v>
      </c>
      <c r="AA183" t="s">
        <v>5</v>
      </c>
      <c r="AB183" s="17" t="str">
        <f>HYPERLINK("http://exon.niaid.nih.gov/transcriptome/T_rubida/S2/links/netoglyc/TRIRU-112-netoglyc.txt","23")</f>
        <v>23</v>
      </c>
      <c r="AC183">
        <v>14.7</v>
      </c>
      <c r="AD183">
        <v>4.4000000000000004</v>
      </c>
      <c r="AE183">
        <v>7</v>
      </c>
      <c r="AF183" s="17" t="s">
        <v>5</v>
      </c>
      <c r="AG183" s="2" t="str">
        <f>HYPERLINK("http://exon.niaid.nih.gov/transcriptome/T_rubida/S2/links/NR/Triru-112-NR.txt","GE16569")</f>
        <v>GE16569</v>
      </c>
      <c r="AH183" t="str">
        <f>HYPERLINK("http://www.ncbi.nlm.nih.gov/sutils/blink.cgi?pid=195469567","3E-063")</f>
        <v>3E-063</v>
      </c>
      <c r="AI183" t="str">
        <f>HYPERLINK("http://www.ncbi.nlm.nih.gov/protein/195469567","gi|195469567")</f>
        <v>gi|195469567</v>
      </c>
      <c r="AJ183">
        <v>246</v>
      </c>
      <c r="AK183">
        <v>257</v>
      </c>
      <c r="AL183">
        <v>300</v>
      </c>
      <c r="AM183">
        <v>53</v>
      </c>
      <c r="AN183">
        <v>86</v>
      </c>
      <c r="AO183" t="s">
        <v>67</v>
      </c>
      <c r="AP183" s="2" t="str">
        <f>HYPERLINK("http://exon.niaid.nih.gov/transcriptome/T_rubida/S2/links/SWISSP/Triru-112-SWISSP.txt","60S ribosomal protein L22")</f>
        <v>60S ribosomal protein L22</v>
      </c>
      <c r="AQ183" t="str">
        <f>HYPERLINK("http://www.uniprot.org/uniprot/P50887","5E-064")</f>
        <v>5E-064</v>
      </c>
      <c r="AR183" t="s">
        <v>1163</v>
      </c>
      <c r="AS183">
        <v>244</v>
      </c>
      <c r="AT183">
        <v>257</v>
      </c>
      <c r="AU183">
        <v>299</v>
      </c>
      <c r="AV183">
        <v>52</v>
      </c>
      <c r="AW183">
        <v>86</v>
      </c>
      <c r="AX183">
        <v>122</v>
      </c>
      <c r="AY183">
        <v>9</v>
      </c>
      <c r="AZ183">
        <v>40</v>
      </c>
      <c r="BA183">
        <v>2</v>
      </c>
      <c r="BB183">
        <v>2</v>
      </c>
      <c r="BC183" t="s">
        <v>150</v>
      </c>
      <c r="BD183" s="2" t="s">
        <v>1164</v>
      </c>
      <c r="BE183">
        <f>HYPERLINK("http://exon.niaid.nih.gov/transcriptome/T_rubida/S2/links/GO/Triru-112-GO.txt",4E-64)</f>
        <v>3.9999999999999999E-64</v>
      </c>
      <c r="BF183" t="s">
        <v>138</v>
      </c>
      <c r="BG183" t="s">
        <v>139</v>
      </c>
      <c r="BH183" t="s">
        <v>140</v>
      </c>
      <c r="BI183" s="2" t="str">
        <f>HYPERLINK("http://exon.niaid.nih.gov/transcriptome/T_rubida/S2/links/CDD/Triru-112-CDD.txt","Ribosomal_L22e")</f>
        <v>Ribosomal_L22e</v>
      </c>
      <c r="BJ183" t="str">
        <f>HYPERLINK("http://www.ncbi.nlm.nih.gov/Structure/cdd/cddsrv.cgi?uid=pfam01776&amp;version=v4.0","4E-054")</f>
        <v>4E-054</v>
      </c>
      <c r="BK183" t="s">
        <v>1231</v>
      </c>
      <c r="BL183" s="2" t="str">
        <f>HYPERLINK("http://exon.niaid.nih.gov/transcriptome/T_rubida/S2/links/KOG/Triru-112-KOG.txt","60S ribosomal protein L22")</f>
        <v>60S ribosomal protein L22</v>
      </c>
      <c r="BM183" t="str">
        <f>HYPERLINK("http://www.ncbi.nlm.nih.gov/COG/grace/shokog.cgi?KOG3434","1E-043")</f>
        <v>1E-043</v>
      </c>
      <c r="BN183" t="s">
        <v>84</v>
      </c>
      <c r="BO183" s="2" t="str">
        <f>HYPERLINK("http://exon.niaid.nih.gov/transcriptome/T_rubida/S2/links/PFAM/Triru-112-PFAM.txt","Ribosomal_L22e")</f>
        <v>Ribosomal_L22e</v>
      </c>
      <c r="BP183" t="str">
        <f>HYPERLINK("http://pfam.sanger.ac.uk/family?acc=PF01776","8E-055")</f>
        <v>8E-055</v>
      </c>
      <c r="BQ183" s="2" t="str">
        <f>HYPERLINK("http://exon.niaid.nih.gov/transcriptome/T_rubida/S2/links/SMART/Triru-112-SMART.txt","CUB")</f>
        <v>CUB</v>
      </c>
      <c r="BR183" t="str">
        <f>HYPERLINK("http://smart.embl-heidelberg.de/smart/do_annotation.pl?DOMAIN=CUB&amp;BLAST=DUMMY","0.33")</f>
        <v>0.33</v>
      </c>
      <c r="BS183" s="17">
        <f>HYPERLINK("http://exon.niaid.nih.gov/transcriptome/T_rubida/S2/links/cluster/Triru-pep-ext25-50-Sim-CLU11.txt", 11)</f>
        <v>11</v>
      </c>
      <c r="BT183" s="1">
        <f>HYPERLINK("http://exon.niaid.nih.gov/transcriptome/T_rubida/S2/links/cluster/Triru-pep-ext25-50-Sim-CLTL11.txt", 2)</f>
        <v>2</v>
      </c>
      <c r="BU183" s="17">
        <f>HYPERLINK("http://exon.niaid.nih.gov/transcriptome/T_rubida/S2/links/cluster/Triru-pep-ext30-50-Sim-CLU17.txt", 17)</f>
        <v>17</v>
      </c>
      <c r="BV183" s="1">
        <f>HYPERLINK("http://exon.niaid.nih.gov/transcriptome/T_rubida/S2/links/cluster/Triru-pep-ext30-50-Sim-CLTL17.txt", 2)</f>
        <v>2</v>
      </c>
      <c r="BW183" s="17">
        <f>HYPERLINK("http://exon.niaid.nih.gov/transcriptome/T_rubida/S2/links/cluster/Triru-pep-ext35-50-Sim-CLU15.txt", 15)</f>
        <v>15</v>
      </c>
      <c r="BX183" s="1">
        <f>HYPERLINK("http://exon.niaid.nih.gov/transcriptome/T_rubida/S2/links/cluster/Triru-pep-ext35-50-Sim-CLTL15.txt", 2)</f>
        <v>2</v>
      </c>
      <c r="BY183" s="17">
        <v>65</v>
      </c>
      <c r="BZ183" s="1">
        <v>1</v>
      </c>
      <c r="CA183" s="17">
        <v>63</v>
      </c>
      <c r="CB183" s="1">
        <v>1</v>
      </c>
      <c r="CC183" s="17">
        <v>62</v>
      </c>
      <c r="CD183" s="1">
        <v>1</v>
      </c>
      <c r="CE183" s="17">
        <v>55</v>
      </c>
      <c r="CF183" s="1">
        <v>1</v>
      </c>
      <c r="CG183" s="17">
        <v>55</v>
      </c>
      <c r="CH183" s="1">
        <v>1</v>
      </c>
      <c r="CI183" s="17">
        <v>61</v>
      </c>
      <c r="CJ183" s="1">
        <v>1</v>
      </c>
      <c r="CK183" s="17">
        <v>65</v>
      </c>
      <c r="CL183" s="1">
        <v>1</v>
      </c>
      <c r="CM183" s="17">
        <v>69</v>
      </c>
      <c r="CN183" s="1">
        <v>1</v>
      </c>
      <c r="CO183" s="17">
        <v>77</v>
      </c>
      <c r="CP183" s="1">
        <v>1</v>
      </c>
      <c r="CQ183" s="17">
        <v>87</v>
      </c>
      <c r="CR183" s="1">
        <v>1</v>
      </c>
      <c r="CS183" s="17">
        <v>92</v>
      </c>
      <c r="CT183" s="1">
        <v>1</v>
      </c>
      <c r="CU183" s="17">
        <v>103</v>
      </c>
      <c r="CV183" s="1">
        <v>1</v>
      </c>
    </row>
    <row r="184" spans="1:100">
      <c r="A184" t="str">
        <f>HYPERLINK("http://exon.niaid.nih.gov/transcriptome/T_rubida/S2/links/pep/Triru-308-pep.txt","Triru-308")</f>
        <v>Triru-308</v>
      </c>
      <c r="B184">
        <v>76</v>
      </c>
      <c r="C184" s="1" t="s">
        <v>14</v>
      </c>
      <c r="D184" s="1" t="s">
        <v>3</v>
      </c>
      <c r="E184" t="str">
        <f>HYPERLINK("http://exon.niaid.nih.gov/transcriptome/T_rubida/S2/links/cds/Triru-308-cds.txt","Triru-308")</f>
        <v>Triru-308</v>
      </c>
      <c r="F184">
        <v>231</v>
      </c>
      <c r="G184" s="2" t="s">
        <v>1656</v>
      </c>
      <c r="H184" s="1">
        <v>1</v>
      </c>
      <c r="I184" s="3" t="s">
        <v>1268</v>
      </c>
      <c r="J184" s="17" t="str">
        <f>HYPERLINK("http://exon.niaid.nih.gov/transcriptome/T_rubida/S2/links/Sigp/Triru-308-SigP.txt","CYT")</f>
        <v>CYT</v>
      </c>
      <c r="K184" t="s">
        <v>5</v>
      </c>
      <c r="L184" s="1">
        <v>8.6829999999999998</v>
      </c>
      <c r="M184" s="1">
        <v>9.16</v>
      </c>
      <c r="P184" s="1">
        <v>3.3000000000000002E-2</v>
      </c>
      <c r="Q184" s="1">
        <v>0.17899999999999999</v>
      </c>
      <c r="R184" s="1">
        <v>0.91600000000000004</v>
      </c>
      <c r="S184" s="17" t="s">
        <v>1346</v>
      </c>
      <c r="T184">
        <v>2</v>
      </c>
      <c r="U184" t="s">
        <v>1440</v>
      </c>
      <c r="V184" s="17">
        <v>0</v>
      </c>
      <c r="W184" t="s">
        <v>5</v>
      </c>
      <c r="X184" t="s">
        <v>5</v>
      </c>
      <c r="Y184" t="s">
        <v>5</v>
      </c>
      <c r="Z184" t="s">
        <v>5</v>
      </c>
      <c r="AA184" t="s">
        <v>5</v>
      </c>
      <c r="AB184" s="17" t="str">
        <f>HYPERLINK("http://exon.niaid.nih.gov/transcriptome/T_rubida/S2/links/netoglyc/TRIRU-308-netoglyc.txt","1")</f>
        <v>1</v>
      </c>
      <c r="AC184">
        <v>15.8</v>
      </c>
      <c r="AD184">
        <v>1.3</v>
      </c>
      <c r="AE184">
        <v>3.9</v>
      </c>
      <c r="AF184" s="17" t="s">
        <v>5</v>
      </c>
      <c r="AG184" s="2" t="str">
        <f>HYPERLINK("http://exon.niaid.nih.gov/transcriptome/T_rubida/S2/links/NR/Triru-308-NR.txt","hypothetical protein")</f>
        <v>hypothetical protein</v>
      </c>
      <c r="AH184" t="str">
        <f>HYPERLINK("http://www.ncbi.nlm.nih.gov/sutils/blink.cgi?pid=145524136","2E-012")</f>
        <v>2E-012</v>
      </c>
      <c r="AI184" t="str">
        <f>HYPERLINK("http://www.ncbi.nlm.nih.gov/protein/145524136","gi|145524136")</f>
        <v>gi|145524136</v>
      </c>
      <c r="AJ184">
        <v>75.900000000000006</v>
      </c>
      <c r="AK184">
        <v>550</v>
      </c>
      <c r="AL184">
        <v>637</v>
      </c>
      <c r="AM184">
        <v>64</v>
      </c>
      <c r="AN184">
        <v>86</v>
      </c>
      <c r="AO184" t="s">
        <v>161</v>
      </c>
      <c r="AP184" s="2" t="str">
        <f>HYPERLINK("http://exon.niaid.nih.gov/transcriptome/T_rubida/S2/links/SWISSP/Triru-308-SWISSP.txt","Polyubiquitin-C")</f>
        <v>Polyubiquitin-C</v>
      </c>
      <c r="AQ184" t="str">
        <f>HYPERLINK("http://www.uniprot.org/uniprot/P0CG48","5E-012")</f>
        <v>5E-012</v>
      </c>
      <c r="AR184" t="s">
        <v>743</v>
      </c>
      <c r="AS184">
        <v>69.7</v>
      </c>
      <c r="AT184">
        <v>644</v>
      </c>
      <c r="AU184">
        <v>685</v>
      </c>
      <c r="AV184">
        <v>92</v>
      </c>
      <c r="AW184">
        <v>94</v>
      </c>
      <c r="AX184">
        <v>3</v>
      </c>
      <c r="AY184">
        <v>0</v>
      </c>
      <c r="AZ184">
        <v>1</v>
      </c>
      <c r="BA184">
        <v>4</v>
      </c>
      <c r="BB184">
        <v>9</v>
      </c>
      <c r="BC184" t="s">
        <v>208</v>
      </c>
      <c r="BD184" s="2" t="s">
        <v>744</v>
      </c>
      <c r="BE184">
        <f>HYPERLINK("http://exon.niaid.nih.gov/transcriptome/T_rubida/S2/links/GO/Triru-308-GO.txt",0.000000000003)</f>
        <v>3.0000000000000001E-12</v>
      </c>
      <c r="BF184" t="s">
        <v>1929</v>
      </c>
      <c r="BG184" t="s">
        <v>77</v>
      </c>
      <c r="BH184" t="s">
        <v>745</v>
      </c>
      <c r="BI184" s="2" t="str">
        <f>HYPERLINK("http://exon.niaid.nih.gov/transcriptome/T_rubida/S2/links/CDD/Triru-308-CDD.txt","Ubiquitin")</f>
        <v>Ubiquitin</v>
      </c>
      <c r="BJ184" t="str">
        <f>HYPERLINK("http://www.ncbi.nlm.nih.gov/Structure/cdd/cddsrv.cgi?uid=cd01803&amp;version=v4.0","2E-013")</f>
        <v>2E-013</v>
      </c>
      <c r="BK184" t="s">
        <v>746</v>
      </c>
      <c r="BL184" s="2" t="str">
        <f>HYPERLINK("http://exon.niaid.nih.gov/transcriptome/T_rubida/S2/links/KOG/Triru-308-KOG.txt","Ubiquitin/60s ribosomal protein L40 fusion")</f>
        <v>Ubiquitin/60s ribosomal protein L40 fusion</v>
      </c>
      <c r="BM184" t="str">
        <f>HYPERLINK("http://www.ncbi.nlm.nih.gov/COG/grace/shokog.cgi?KOG0003","3E-011")</f>
        <v>3E-011</v>
      </c>
      <c r="BN184" t="s">
        <v>84</v>
      </c>
      <c r="BO184" s="2" t="str">
        <f>HYPERLINK("http://exon.niaid.nih.gov/transcriptome/T_rubida/S2/links/PFAM/Triru-308-PFAM.txt","ubiquitin")</f>
        <v>ubiquitin</v>
      </c>
      <c r="BP184" t="str">
        <f>HYPERLINK("http://pfam.sanger.ac.uk/family?acc=PF00240","8E-007")</f>
        <v>8E-007</v>
      </c>
      <c r="BQ184" s="2" t="str">
        <f>HYPERLINK("http://exon.niaid.nih.gov/transcriptome/T_rubida/S2/links/SMART/Triru-308-SMART.txt","UBQ")</f>
        <v>UBQ</v>
      </c>
      <c r="BR184" t="str">
        <f>HYPERLINK("http://smart.embl-heidelberg.de/smart/do_annotation.pl?DOMAIN=UBQ&amp;BLAST=DUMMY","7E-007")</f>
        <v>7E-007</v>
      </c>
      <c r="BS184" s="17">
        <v>91</v>
      </c>
      <c r="BT184" s="1">
        <v>1</v>
      </c>
      <c r="BU184" s="17">
        <v>144</v>
      </c>
      <c r="BV184" s="1">
        <v>1</v>
      </c>
      <c r="BW184" s="17">
        <v>173</v>
      </c>
      <c r="BX184" s="1">
        <v>1</v>
      </c>
      <c r="BY184" s="17">
        <v>184</v>
      </c>
      <c r="BZ184" s="1">
        <v>1</v>
      </c>
      <c r="CA184" s="17">
        <v>189</v>
      </c>
      <c r="CB184" s="1">
        <v>1</v>
      </c>
      <c r="CC184" s="17">
        <v>194</v>
      </c>
      <c r="CD184" s="1">
        <v>1</v>
      </c>
      <c r="CE184" s="17">
        <v>200</v>
      </c>
      <c r="CF184" s="1">
        <v>1</v>
      </c>
      <c r="CG184" s="17">
        <v>202</v>
      </c>
      <c r="CH184" s="1">
        <v>1</v>
      </c>
      <c r="CI184" s="17">
        <v>211</v>
      </c>
      <c r="CJ184" s="1">
        <v>1</v>
      </c>
      <c r="CK184" s="17">
        <v>216</v>
      </c>
      <c r="CL184" s="1">
        <v>1</v>
      </c>
      <c r="CM184" s="17">
        <v>222</v>
      </c>
      <c r="CN184" s="1">
        <v>1</v>
      </c>
      <c r="CO184" s="17">
        <v>233</v>
      </c>
      <c r="CP184" s="1">
        <v>1</v>
      </c>
      <c r="CQ184" s="17">
        <v>243</v>
      </c>
      <c r="CR184" s="1">
        <v>1</v>
      </c>
      <c r="CS184" s="17">
        <v>252</v>
      </c>
      <c r="CT184" s="1">
        <v>1</v>
      </c>
      <c r="CU184" s="17">
        <v>263</v>
      </c>
      <c r="CV184" s="1">
        <v>1</v>
      </c>
    </row>
    <row r="185" spans="1:100">
      <c r="A185" t="str">
        <f>HYPERLINK("http://exon.niaid.nih.gov/transcriptome/T_rubida/S2/links/pep/Triru-100-pep.txt","Triru-100")</f>
        <v>Triru-100</v>
      </c>
      <c r="B185">
        <v>167</v>
      </c>
      <c r="C185" s="1" t="s">
        <v>4</v>
      </c>
      <c r="D185" s="1" t="s">
        <v>3</v>
      </c>
      <c r="E185" t="str">
        <f>HYPERLINK("http://exon.niaid.nih.gov/transcriptome/T_rubida/S2/links/cds/Triru-100-cds.txt","Triru-100")</f>
        <v>Triru-100</v>
      </c>
      <c r="F185">
        <v>504</v>
      </c>
      <c r="G185" s="2" t="s">
        <v>1657</v>
      </c>
      <c r="H185" s="1">
        <v>3</v>
      </c>
      <c r="I185" s="3" t="s">
        <v>1268</v>
      </c>
      <c r="J185" s="17" t="str">
        <f>HYPERLINK("http://exon.niaid.nih.gov/transcriptome/T_rubida/S2/links/Sigp/Triru-100-SigP.txt","CYT")</f>
        <v>CYT</v>
      </c>
      <c r="K185" t="s">
        <v>5</v>
      </c>
      <c r="L185" s="1">
        <v>19.332000000000001</v>
      </c>
      <c r="M185" s="1">
        <v>10.09</v>
      </c>
      <c r="P185" s="1">
        <v>7.0000000000000007E-2</v>
      </c>
      <c r="Q185" s="1">
        <v>4.4999999999999998E-2</v>
      </c>
      <c r="R185" s="1">
        <v>0.95099999999999996</v>
      </c>
      <c r="S185" s="17" t="s">
        <v>1346</v>
      </c>
      <c r="T185">
        <v>1</v>
      </c>
      <c r="U185" t="s">
        <v>1348</v>
      </c>
      <c r="V185" s="17">
        <v>0</v>
      </c>
      <c r="W185" t="s">
        <v>5</v>
      </c>
      <c r="X185" t="s">
        <v>5</v>
      </c>
      <c r="Y185" t="s">
        <v>5</v>
      </c>
      <c r="Z185" t="s">
        <v>5</v>
      </c>
      <c r="AA185" t="s">
        <v>5</v>
      </c>
      <c r="AB185" s="17" t="str">
        <f>HYPERLINK("http://exon.niaid.nih.gov/transcriptome/T_rubida/S2/links/netoglyc/TRIRU-100-netoglyc.txt","2")</f>
        <v>2</v>
      </c>
      <c r="AC185">
        <v>9.6</v>
      </c>
      <c r="AD185">
        <v>5.4</v>
      </c>
      <c r="AE185">
        <v>4.8</v>
      </c>
      <c r="AF185" s="17" t="s">
        <v>5</v>
      </c>
      <c r="AG185" s="2" t="str">
        <f>HYPERLINK("http://exon.niaid.nih.gov/transcriptome/T_rubida/S2/links/NR/Triru-100-NR.txt","40S ribosomal protein S7, putative")</f>
        <v>40S ribosomal protein S7, putative</v>
      </c>
      <c r="AH185" t="str">
        <f>HYPERLINK("http://www.ncbi.nlm.nih.gov/sutils/blink.cgi?pid=242014985","2E-076")</f>
        <v>2E-076</v>
      </c>
      <c r="AI185" t="str">
        <f>HYPERLINK("http://www.ncbi.nlm.nih.gov/protein/242014985","gi|242014985")</f>
        <v>gi|242014985</v>
      </c>
      <c r="AJ185">
        <v>288</v>
      </c>
      <c r="AK185">
        <v>164</v>
      </c>
      <c r="AL185">
        <v>195</v>
      </c>
      <c r="AM185">
        <v>85</v>
      </c>
      <c r="AN185">
        <v>85</v>
      </c>
      <c r="AO185" t="s">
        <v>54</v>
      </c>
      <c r="AP185" s="2" t="str">
        <f>HYPERLINK("http://exon.niaid.nih.gov/transcriptome/T_rubida/S2/links/SWISSP/Triru-100-SWISSP.txt","40S ribosomal protein S7")</f>
        <v>40S ribosomal protein S7</v>
      </c>
      <c r="AQ185" t="str">
        <f>HYPERLINK("http://www.uniprot.org/uniprot/Q962S0","1E-074")</f>
        <v>1E-074</v>
      </c>
      <c r="AR185" t="s">
        <v>258</v>
      </c>
      <c r="AS185">
        <v>278</v>
      </c>
      <c r="AT185">
        <v>164</v>
      </c>
      <c r="AU185">
        <v>190</v>
      </c>
      <c r="AV185">
        <v>84</v>
      </c>
      <c r="AW185">
        <v>87</v>
      </c>
      <c r="AX185">
        <v>26</v>
      </c>
      <c r="AY185">
        <v>0</v>
      </c>
      <c r="AZ185">
        <v>26</v>
      </c>
      <c r="BA185">
        <v>3</v>
      </c>
      <c r="BB185">
        <v>1</v>
      </c>
      <c r="BC185" t="s">
        <v>82</v>
      </c>
      <c r="BD185" s="2" t="s">
        <v>259</v>
      </c>
      <c r="BE185">
        <f>HYPERLINK("http://exon.niaid.nih.gov/transcriptome/T_rubida/S2/links/GO/Triru-100-GO.txt",1E-67)</f>
        <v>9.9999999999999994E-68</v>
      </c>
      <c r="BF185" t="s">
        <v>138</v>
      </c>
      <c r="BG185" t="s">
        <v>139</v>
      </c>
      <c r="BH185" t="s">
        <v>140</v>
      </c>
      <c r="BI185" s="2" t="str">
        <f>HYPERLINK("http://exon.niaid.nih.gov/transcriptome/T_rubida/S2/links/CDD/Triru-100-CDD.txt","Ribosomal_S7e")</f>
        <v>Ribosomal_S7e</v>
      </c>
      <c r="BJ185" t="str">
        <f>HYPERLINK("http://www.ncbi.nlm.nih.gov/Structure/cdd/cddsrv.cgi?uid=pfam01251&amp;version=v4.0","5E-070")</f>
        <v>5E-070</v>
      </c>
      <c r="BK185" t="s">
        <v>260</v>
      </c>
      <c r="BL185" s="2" t="str">
        <f>HYPERLINK("http://exon.niaid.nih.gov/transcriptome/T_rubida/S2/links/KOG/Triru-100-KOG.txt","40S ribosomal protein S7")</f>
        <v>40S ribosomal protein S7</v>
      </c>
      <c r="BM185" t="str">
        <f>HYPERLINK("http://www.ncbi.nlm.nih.gov/COG/grace/shokog.cgi?KOG3320","1E-058")</f>
        <v>1E-058</v>
      </c>
      <c r="BN185" t="s">
        <v>84</v>
      </c>
      <c r="BO185" s="2" t="str">
        <f>HYPERLINK("http://exon.niaid.nih.gov/transcriptome/T_rubida/S2/links/PFAM/Triru-100-PFAM.txt","Ribosomal_S7e")</f>
        <v>Ribosomal_S7e</v>
      </c>
      <c r="BP185" t="str">
        <f>HYPERLINK("http://pfam.sanger.ac.uk/family?acc=PF01251","9E-071")</f>
        <v>9E-071</v>
      </c>
      <c r="BQ185" s="2" t="str">
        <f>HYPERLINK("http://exon.niaid.nih.gov/transcriptome/T_rubida/S2/links/SMART/Triru-100-SMART.txt","VWD")</f>
        <v>VWD</v>
      </c>
      <c r="BR185" t="str">
        <f>HYPERLINK("http://smart.embl-heidelberg.de/smart/do_annotation.pl?DOMAIN=VWD&amp;BLAST=DUMMY","0.50")</f>
        <v>0.50</v>
      </c>
      <c r="BS185" s="17">
        <v>41</v>
      </c>
      <c r="BT185" s="1">
        <v>1</v>
      </c>
      <c r="BU185" s="17">
        <v>56</v>
      </c>
      <c r="BV185" s="1">
        <v>1</v>
      </c>
      <c r="BW185" s="17">
        <v>59</v>
      </c>
      <c r="BX185" s="1">
        <v>1</v>
      </c>
      <c r="BY185" s="17">
        <v>57</v>
      </c>
      <c r="BZ185" s="1">
        <v>1</v>
      </c>
      <c r="CA185" s="17">
        <v>55</v>
      </c>
      <c r="CB185" s="1">
        <v>1</v>
      </c>
      <c r="CC185" s="17">
        <v>53</v>
      </c>
      <c r="CD185" s="1">
        <v>1</v>
      </c>
      <c r="CE185" s="17">
        <v>46</v>
      </c>
      <c r="CF185" s="1">
        <v>1</v>
      </c>
      <c r="CG185" s="17">
        <v>46</v>
      </c>
      <c r="CH185" s="1">
        <v>1</v>
      </c>
      <c r="CI185" s="17">
        <v>52</v>
      </c>
      <c r="CJ185" s="1">
        <v>1</v>
      </c>
      <c r="CK185" s="17">
        <v>56</v>
      </c>
      <c r="CL185" s="1">
        <v>1</v>
      </c>
      <c r="CM185" s="17">
        <v>60</v>
      </c>
      <c r="CN185" s="1">
        <v>1</v>
      </c>
      <c r="CO185" s="17">
        <v>68</v>
      </c>
      <c r="CP185" s="1">
        <v>1</v>
      </c>
      <c r="CQ185" s="17">
        <v>78</v>
      </c>
      <c r="CR185" s="1">
        <v>1</v>
      </c>
      <c r="CS185" s="17">
        <v>83</v>
      </c>
      <c r="CT185" s="1">
        <v>1</v>
      </c>
      <c r="CU185" s="17">
        <v>94</v>
      </c>
      <c r="CV185" s="1">
        <v>1</v>
      </c>
    </row>
    <row r="186" spans="1:100">
      <c r="A186" t="str">
        <f>HYPERLINK("http://exon.niaid.nih.gov/transcriptome/T_rubida/S2/links/pep/Triru-547-pep.txt","Triru-547")</f>
        <v>Triru-547</v>
      </c>
      <c r="B186">
        <v>64</v>
      </c>
      <c r="C186" s="1" t="s">
        <v>11</v>
      </c>
      <c r="D186" s="1" t="s">
        <v>3</v>
      </c>
      <c r="E186" t="str">
        <f>HYPERLINK("http://exon.niaid.nih.gov/transcriptome/T_rubida/S2/links/cds/Triru-547-cds.txt","Triru-547")</f>
        <v>Triru-547</v>
      </c>
      <c r="F186">
        <v>195</v>
      </c>
      <c r="G186" s="2" t="s">
        <v>1658</v>
      </c>
      <c r="H186" s="1">
        <v>1</v>
      </c>
      <c r="I186" s="3" t="s">
        <v>1268</v>
      </c>
      <c r="J186" s="17" t="str">
        <f>HYPERLINK("http://exon.niaid.nih.gov/transcriptome/T_rubida/S2/links/Sigp/Triru-547-SigP.txt","CYT")</f>
        <v>CYT</v>
      </c>
      <c r="K186" t="s">
        <v>5</v>
      </c>
      <c r="L186" s="1">
        <v>6.9820000000000002</v>
      </c>
      <c r="M186" s="1">
        <v>11.29</v>
      </c>
      <c r="P186" s="1">
        <v>0.77800000000000002</v>
      </c>
      <c r="Q186" s="1">
        <v>1.7000000000000001E-2</v>
      </c>
      <c r="R186" s="1">
        <v>0.29899999999999999</v>
      </c>
      <c r="S186" s="17" t="s">
        <v>9</v>
      </c>
      <c r="T186">
        <v>3</v>
      </c>
      <c r="U186" t="s">
        <v>1379</v>
      </c>
      <c r="V186" s="17">
        <v>0</v>
      </c>
      <c r="W186" t="s">
        <v>5</v>
      </c>
      <c r="X186" t="s">
        <v>5</v>
      </c>
      <c r="Y186" t="s">
        <v>5</v>
      </c>
      <c r="Z186" t="s">
        <v>5</v>
      </c>
      <c r="AA186" t="s">
        <v>5</v>
      </c>
      <c r="AB186" s="17" t="str">
        <f>HYPERLINK("http://exon.niaid.nih.gov/transcriptome/T_rubida/S2/links/netoglyc/TRIRU-547-netoglyc.txt","0")</f>
        <v>0</v>
      </c>
      <c r="AC186">
        <v>9.4</v>
      </c>
      <c r="AD186">
        <v>12.5</v>
      </c>
      <c r="AE186">
        <v>4.7</v>
      </c>
      <c r="AF186" s="17" t="s">
        <v>5</v>
      </c>
      <c r="AG186" s="2" t="str">
        <f>HYPERLINK("http://exon.niaid.nih.gov/transcriptome/T_rubida/S2/links/NR/Triru-547-NR.txt","hypothetical protein TcasGA2_TC002334")</f>
        <v>hypothetical protein TcasGA2_TC002334</v>
      </c>
      <c r="AH186" t="str">
        <f>HYPERLINK("http://www.ncbi.nlm.nih.gov/sutils/blink.cgi?pid=270017112","6E-013")</f>
        <v>6E-013</v>
      </c>
      <c r="AI186" t="str">
        <f>HYPERLINK("http://www.ncbi.nlm.nih.gov/protein/270017112","gi|270017112")</f>
        <v>gi|270017112</v>
      </c>
      <c r="AJ186">
        <v>77.400000000000006</v>
      </c>
      <c r="AK186">
        <v>62</v>
      </c>
      <c r="AL186">
        <v>75</v>
      </c>
      <c r="AM186">
        <v>68</v>
      </c>
      <c r="AN186">
        <v>84</v>
      </c>
      <c r="AO186" t="s">
        <v>671</v>
      </c>
      <c r="AP186" s="2" t="str">
        <f>HYPERLINK("http://exon.niaid.nih.gov/transcriptome/T_rubida/S2/links/SWISSP/Triru-547-SWISSP.txt","AT-hook DNA-binding motif-containing protein 1")</f>
        <v>AT-hook DNA-binding motif-containing protein 1</v>
      </c>
      <c r="AQ186" t="str">
        <f>HYPERLINK("http://www.uniprot.org/uniprot/Q6PAL7","16")</f>
        <v>16</v>
      </c>
      <c r="AR186" t="s">
        <v>1261</v>
      </c>
      <c r="AS186">
        <v>28.1</v>
      </c>
      <c r="AT186">
        <v>32</v>
      </c>
      <c r="AU186">
        <v>1594</v>
      </c>
      <c r="AV186">
        <v>47</v>
      </c>
      <c r="AW186">
        <v>2</v>
      </c>
      <c r="AX186">
        <v>19</v>
      </c>
      <c r="AY186">
        <v>3</v>
      </c>
      <c r="AZ186">
        <v>1014</v>
      </c>
      <c r="BA186">
        <v>18</v>
      </c>
      <c r="BB186">
        <v>1</v>
      </c>
      <c r="BC186" t="s">
        <v>75</v>
      </c>
      <c r="BD186" s="2" t="s">
        <v>5</v>
      </c>
      <c r="BE186" t="s">
        <v>5</v>
      </c>
      <c r="BF186" t="s">
        <v>5</v>
      </c>
      <c r="BG186" t="s">
        <v>5</v>
      </c>
      <c r="BH186" t="s">
        <v>5</v>
      </c>
      <c r="BI186" s="2" t="str">
        <f>HYPERLINK("http://exon.niaid.nih.gov/transcriptome/T_rubida/S2/links/CDD/Triru-547-CDD.txt","G6PD_C")</f>
        <v>G6PD_C</v>
      </c>
      <c r="BJ186" t="str">
        <f>HYPERLINK("http://www.ncbi.nlm.nih.gov/Structure/cdd/cddsrv.cgi?uid=pfam02781&amp;version=v4.0","1.3")</f>
        <v>1.3</v>
      </c>
      <c r="BK186" t="s">
        <v>1262</v>
      </c>
      <c r="BL186" s="2" t="s">
        <v>5</v>
      </c>
      <c r="BM186" t="s">
        <v>5</v>
      </c>
      <c r="BN186" t="s">
        <v>5</v>
      </c>
      <c r="BO186" s="2" t="str">
        <f>HYPERLINK("http://exon.niaid.nih.gov/transcriptome/T_rubida/S2/links/PFAM/Triru-547-PFAM.txt","G6PD_C")</f>
        <v>G6PD_C</v>
      </c>
      <c r="BP186" t="str">
        <f>HYPERLINK("http://pfam.sanger.ac.uk/family?acc=PF02781","0.27")</f>
        <v>0.27</v>
      </c>
      <c r="BQ186" s="2" t="str">
        <f>HYPERLINK("http://exon.niaid.nih.gov/transcriptome/T_rubida/S2/links/SMART/Triru-547-SMART.txt","DWB")</f>
        <v>DWB</v>
      </c>
      <c r="BR186" t="str">
        <f>HYPERLINK("http://smart.embl-heidelberg.de/smart/do_annotation.pl?DOMAIN=DWB&amp;BLAST=DUMMY","0.21")</f>
        <v>0.21</v>
      </c>
      <c r="BS186" s="17">
        <f>HYPERLINK("http://exon.niaid.nih.gov/transcriptome/T_rubida/S2/links/cluster/Triru-pep-ext25-50-Sim-CLU8.txt", 8)</f>
        <v>8</v>
      </c>
      <c r="BT186" s="1">
        <f>HYPERLINK("http://exon.niaid.nih.gov/transcriptome/T_rubida/S2/links/cluster/Triru-pep-ext25-50-Sim-CLTL8.txt", 2)</f>
        <v>2</v>
      </c>
      <c r="BU186" s="17">
        <v>50</v>
      </c>
      <c r="BV186" s="1">
        <v>1</v>
      </c>
      <c r="BW186" s="17">
        <v>51</v>
      </c>
      <c r="BX186" s="1">
        <v>1</v>
      </c>
      <c r="BY186" s="17">
        <v>48</v>
      </c>
      <c r="BZ186" s="1">
        <v>1</v>
      </c>
      <c r="CA186" s="17">
        <v>45</v>
      </c>
      <c r="CB186" s="1">
        <v>1</v>
      </c>
      <c r="CC186" s="17">
        <v>43</v>
      </c>
      <c r="CD186" s="1">
        <v>1</v>
      </c>
      <c r="CE186" s="17">
        <v>36</v>
      </c>
      <c r="CF186" s="1">
        <v>1</v>
      </c>
      <c r="CG186" s="17">
        <v>35</v>
      </c>
      <c r="CH186" s="1">
        <v>1</v>
      </c>
      <c r="CI186" s="17">
        <v>33</v>
      </c>
      <c r="CJ186" s="1">
        <v>1</v>
      </c>
      <c r="CK186" s="17">
        <v>33</v>
      </c>
      <c r="CL186" s="1">
        <v>1</v>
      </c>
      <c r="CM186" s="17">
        <v>33</v>
      </c>
      <c r="CN186" s="1">
        <v>1</v>
      </c>
      <c r="CO186" s="17">
        <v>30</v>
      </c>
      <c r="CP186" s="1">
        <v>1</v>
      </c>
      <c r="CQ186" s="17">
        <v>30</v>
      </c>
      <c r="CR186" s="1">
        <v>1</v>
      </c>
      <c r="CS186" s="17">
        <v>27</v>
      </c>
      <c r="CT186" s="1">
        <v>1</v>
      </c>
      <c r="CU186" s="17">
        <v>23</v>
      </c>
      <c r="CV186" s="1">
        <v>1</v>
      </c>
    </row>
    <row r="187" spans="1:100">
      <c r="A187" t="str">
        <f>HYPERLINK("http://exon.niaid.nih.gov/transcriptome/T_rubida/S2/links/pep/Triru-107-pep.txt","Triru-107")</f>
        <v>Triru-107</v>
      </c>
      <c r="B187">
        <v>223</v>
      </c>
      <c r="C187" s="1" t="s">
        <v>6</v>
      </c>
      <c r="D187" s="1" t="s">
        <v>3</v>
      </c>
      <c r="E187" t="str">
        <f>HYPERLINK("http://exon.niaid.nih.gov/transcriptome/T_rubida/S2/links/cds/Triru-107-cds.txt","Triru-107")</f>
        <v>Triru-107</v>
      </c>
      <c r="F187">
        <v>672</v>
      </c>
      <c r="G187" s="2" t="s">
        <v>1659</v>
      </c>
      <c r="H187" s="1">
        <v>4</v>
      </c>
      <c r="I187" s="3" t="s">
        <v>1268</v>
      </c>
      <c r="J187" s="17" t="str">
        <f>HYPERLINK("http://exon.niaid.nih.gov/transcriptome/T_rubida/S2/links/Sigp/Triru-107-SigP.txt","CYT")</f>
        <v>CYT</v>
      </c>
      <c r="K187" t="s">
        <v>5</v>
      </c>
      <c r="L187" s="1">
        <v>25.381</v>
      </c>
      <c r="M187" s="1">
        <v>9.4499999999999993</v>
      </c>
      <c r="P187" s="1">
        <v>0.23400000000000001</v>
      </c>
      <c r="Q187" s="1">
        <v>5.7000000000000002E-2</v>
      </c>
      <c r="R187" s="1">
        <v>0.79300000000000004</v>
      </c>
      <c r="S187" s="17" t="s">
        <v>1346</v>
      </c>
      <c r="T187">
        <v>3</v>
      </c>
      <c r="U187" t="s">
        <v>1348</v>
      </c>
      <c r="V187" s="17">
        <v>0</v>
      </c>
      <c r="W187" t="s">
        <v>5</v>
      </c>
      <c r="X187" t="s">
        <v>5</v>
      </c>
      <c r="Y187" t="s">
        <v>5</v>
      </c>
      <c r="Z187" t="s">
        <v>5</v>
      </c>
      <c r="AA187" t="s">
        <v>5</v>
      </c>
      <c r="AB187" s="17" t="str">
        <f>HYPERLINK("http://exon.niaid.nih.gov/transcriptome/T_rubida/S2/links/netoglyc/TRIRU-107-netoglyc.txt","1")</f>
        <v>1</v>
      </c>
      <c r="AC187">
        <v>12.6</v>
      </c>
      <c r="AD187">
        <v>5.4</v>
      </c>
      <c r="AE187">
        <v>3.6</v>
      </c>
      <c r="AF187" s="17" t="s">
        <v>5</v>
      </c>
      <c r="AG187" s="2" t="str">
        <f>HYPERLINK("http://exon.niaid.nih.gov/transcriptome/T_rubida/S2/links/NR/Triru-107-NR.txt","40S ribosomal protein S3a")</f>
        <v>40S ribosomal protein S3a</v>
      </c>
      <c r="AH187" t="str">
        <f>HYPERLINK("http://www.ncbi.nlm.nih.gov/sutils/blink.cgi?pid=307095112","1E-119")</f>
        <v>1E-119</v>
      </c>
      <c r="AI187" t="str">
        <f>HYPERLINK("http://www.ncbi.nlm.nih.gov/protein/307095112","gi|307095112")</f>
        <v>gi|307095112</v>
      </c>
      <c r="AJ187">
        <v>430</v>
      </c>
      <c r="AK187">
        <v>216</v>
      </c>
      <c r="AL187">
        <v>262</v>
      </c>
      <c r="AM187">
        <v>100</v>
      </c>
      <c r="AN187">
        <v>83</v>
      </c>
      <c r="AO187" t="s">
        <v>120</v>
      </c>
      <c r="AP187" s="2" t="str">
        <f>HYPERLINK("http://exon.niaid.nih.gov/transcriptome/T_rubida/S2/links/SWISSP/Triru-107-SWISSP.txt","40S ribosomal protein S3a")</f>
        <v>40S ribosomal protein S3a</v>
      </c>
      <c r="AQ187" t="str">
        <f>HYPERLINK("http://www.uniprot.org/uniprot/A6YPJ8","1E-120")</f>
        <v>1E-120</v>
      </c>
      <c r="AR187" t="s">
        <v>692</v>
      </c>
      <c r="AS187">
        <v>430</v>
      </c>
      <c r="AT187">
        <v>216</v>
      </c>
      <c r="AU187">
        <v>262</v>
      </c>
      <c r="AV187">
        <v>100</v>
      </c>
      <c r="AW187">
        <v>83</v>
      </c>
      <c r="AX187">
        <v>0</v>
      </c>
      <c r="AY187">
        <v>0</v>
      </c>
      <c r="AZ187">
        <v>46</v>
      </c>
      <c r="BA187">
        <v>7</v>
      </c>
      <c r="BB187">
        <v>1</v>
      </c>
      <c r="BC187" t="s">
        <v>80</v>
      </c>
      <c r="BD187" s="2" t="s">
        <v>693</v>
      </c>
      <c r="BE187">
        <f>HYPERLINK("http://exon.niaid.nih.gov/transcriptome/T_rubida/S2/links/GO/Triru-107-GO.txt",8E-90)</f>
        <v>8E-90</v>
      </c>
      <c r="BF187" t="s">
        <v>138</v>
      </c>
      <c r="BG187" t="s">
        <v>139</v>
      </c>
      <c r="BH187" t="s">
        <v>140</v>
      </c>
      <c r="BI187" s="2" t="str">
        <f>HYPERLINK("http://exon.niaid.nih.gov/transcriptome/T_rubida/S2/links/CDD/Triru-107-CDD.txt","Ribosomal_S3Ae")</f>
        <v>Ribosomal_S3Ae</v>
      </c>
      <c r="BJ187" t="str">
        <f>HYPERLINK("http://www.ncbi.nlm.nih.gov/Structure/cdd/cddsrv.cgi?uid=pfam01015&amp;version=v4.0","1E-064")</f>
        <v>1E-064</v>
      </c>
      <c r="BK187" t="s">
        <v>694</v>
      </c>
      <c r="BL187" s="2" t="str">
        <f>HYPERLINK("http://exon.niaid.nih.gov/transcriptome/T_rubida/S2/links/KOG/Triru-107-KOG.txt","40S ribosomal protein S3A")</f>
        <v>40S ribosomal protein S3A</v>
      </c>
      <c r="BM187" t="str">
        <f>HYPERLINK("http://www.ncbi.nlm.nih.gov/COG/grace/shokog.cgi?KOG1628","1E-076")</f>
        <v>1E-076</v>
      </c>
      <c r="BN187" t="s">
        <v>84</v>
      </c>
      <c r="BO187" s="2" t="str">
        <f>HYPERLINK("http://exon.niaid.nih.gov/transcriptome/T_rubida/S2/links/PFAM/Triru-107-PFAM.txt","Ribosomal_S3Ae")</f>
        <v>Ribosomal_S3Ae</v>
      </c>
      <c r="BP187" t="str">
        <f>HYPERLINK("http://pfam.sanger.ac.uk/family?acc=PF01015","2E-065")</f>
        <v>2E-065</v>
      </c>
      <c r="BQ187" s="2" t="str">
        <f>HYPERLINK("http://exon.niaid.nih.gov/transcriptome/T_rubida/S2/links/SMART/Triru-107-SMART.txt","RL11")</f>
        <v>RL11</v>
      </c>
      <c r="BR187" t="str">
        <f>HYPERLINK("http://smart.embl-heidelberg.de/smart/do_annotation.pl?DOMAIN=RL11&amp;BLAST=DUMMY","2.6")</f>
        <v>2.6</v>
      </c>
      <c r="BS187" s="17">
        <v>43</v>
      </c>
      <c r="BT187" s="1">
        <v>1</v>
      </c>
      <c r="BU187" s="17">
        <v>60</v>
      </c>
      <c r="BV187" s="1">
        <v>1</v>
      </c>
      <c r="BW187" s="17">
        <v>63</v>
      </c>
      <c r="BX187" s="1">
        <v>1</v>
      </c>
      <c r="BY187" s="17">
        <v>61</v>
      </c>
      <c r="BZ187" s="1">
        <v>1</v>
      </c>
      <c r="CA187" s="17">
        <v>59</v>
      </c>
      <c r="CB187" s="1">
        <v>1</v>
      </c>
      <c r="CC187" s="17">
        <v>58</v>
      </c>
      <c r="CD187" s="1">
        <v>1</v>
      </c>
      <c r="CE187" s="17">
        <v>51</v>
      </c>
      <c r="CF187" s="1">
        <v>1</v>
      </c>
      <c r="CG187" s="17">
        <v>51</v>
      </c>
      <c r="CH187" s="1">
        <v>1</v>
      </c>
      <c r="CI187" s="17">
        <v>57</v>
      </c>
      <c r="CJ187" s="1">
        <v>1</v>
      </c>
      <c r="CK187" s="17">
        <v>61</v>
      </c>
      <c r="CL187" s="1">
        <v>1</v>
      </c>
      <c r="CM187" s="17">
        <v>65</v>
      </c>
      <c r="CN187" s="1">
        <v>1</v>
      </c>
      <c r="CO187" s="17">
        <v>73</v>
      </c>
      <c r="CP187" s="1">
        <v>1</v>
      </c>
      <c r="CQ187" s="17">
        <v>83</v>
      </c>
      <c r="CR187" s="1">
        <v>1</v>
      </c>
      <c r="CS187" s="17">
        <v>88</v>
      </c>
      <c r="CT187" s="1">
        <v>1</v>
      </c>
      <c r="CU187" s="17">
        <v>99</v>
      </c>
      <c r="CV187" s="1">
        <v>1</v>
      </c>
    </row>
    <row r="188" spans="1:100">
      <c r="A188" t="str">
        <f>HYPERLINK("http://exon.niaid.nih.gov/transcriptome/T_rubida/S2/links/pep/Triru-220-pep.txt","Triru-220")</f>
        <v>Triru-220</v>
      </c>
      <c r="B188">
        <v>88</v>
      </c>
      <c r="C188" s="1" t="s">
        <v>6</v>
      </c>
      <c r="D188" s="1" t="s">
        <v>3</v>
      </c>
      <c r="E188" t="str">
        <f>HYPERLINK("http://exon.niaid.nih.gov/transcriptome/T_rubida/S2/links/cds/Triru-220-cds.txt","Triru-220")</f>
        <v>Triru-220</v>
      </c>
      <c r="F188">
        <v>267</v>
      </c>
      <c r="G188" s="2" t="s">
        <v>1660</v>
      </c>
      <c r="H188" s="1">
        <v>1</v>
      </c>
      <c r="I188" s="3" t="s">
        <v>1268</v>
      </c>
      <c r="J188" s="17" t="str">
        <f>HYPERLINK("http://exon.niaid.nih.gov/transcriptome/T_rubida/S2/links/Sigp/Triru-220-SigP.txt","CYT")</f>
        <v>CYT</v>
      </c>
      <c r="K188" t="s">
        <v>5</v>
      </c>
      <c r="L188" s="1">
        <v>8.8140000000000001</v>
      </c>
      <c r="M188" s="1">
        <v>4.68</v>
      </c>
      <c r="P188" s="1">
        <v>6.3E-2</v>
      </c>
      <c r="Q188" s="1">
        <v>5.8999999999999997E-2</v>
      </c>
      <c r="R188" s="1">
        <v>0.94899999999999995</v>
      </c>
      <c r="S188" s="17" t="s">
        <v>1346</v>
      </c>
      <c r="T188">
        <v>1</v>
      </c>
      <c r="U188" t="s">
        <v>1441</v>
      </c>
      <c r="V188" s="17">
        <v>0</v>
      </c>
      <c r="W188" t="s">
        <v>5</v>
      </c>
      <c r="X188" t="s">
        <v>5</v>
      </c>
      <c r="Y188" t="s">
        <v>5</v>
      </c>
      <c r="Z188" t="s">
        <v>5</v>
      </c>
      <c r="AA188" t="s">
        <v>5</v>
      </c>
      <c r="AB188" s="17" t="str">
        <f>HYPERLINK("http://exon.niaid.nih.gov/transcriptome/T_rubida/S2/links/netoglyc/TRIRU-220-netoglyc.txt","2")</f>
        <v>2</v>
      </c>
      <c r="AC188">
        <v>9.1</v>
      </c>
      <c r="AD188">
        <v>11.4</v>
      </c>
      <c r="AE188">
        <v>4.5</v>
      </c>
      <c r="AF188" s="17" t="s">
        <v>5</v>
      </c>
      <c r="AG188" s="2" t="str">
        <f>HYPERLINK("http://exon.niaid.nih.gov/transcriptome/T_rubida/S2/links/NR/Triru-220-NR.txt","ribosomal protein P2")</f>
        <v>ribosomal protein P2</v>
      </c>
      <c r="AH188" t="str">
        <f>HYPERLINK("http://www.ncbi.nlm.nih.gov/sutils/blink.cgi?pid=307095098","2E-039")</f>
        <v>2E-039</v>
      </c>
      <c r="AI188" t="str">
        <f>HYPERLINK("http://www.ncbi.nlm.nih.gov/protein/307095098","gi|307095098")</f>
        <v>gi|307095098</v>
      </c>
      <c r="AJ188">
        <v>165</v>
      </c>
      <c r="AK188">
        <v>86</v>
      </c>
      <c r="AL188">
        <v>114</v>
      </c>
      <c r="AM188">
        <v>96</v>
      </c>
      <c r="AN188">
        <v>76</v>
      </c>
      <c r="AO188" t="s">
        <v>120</v>
      </c>
      <c r="AP188" s="2" t="str">
        <f>HYPERLINK("http://exon.niaid.nih.gov/transcriptome/T_rubida/S2/links/SWISSP/Triru-220-SWISSP.txt","60S acidic ribosomal protein P2")</f>
        <v>60S acidic ribosomal protein P2</v>
      </c>
      <c r="AQ188" t="str">
        <f>HYPERLINK("http://www.uniprot.org/uniprot/P42899","7E-027")</f>
        <v>7E-027</v>
      </c>
      <c r="AR188" t="s">
        <v>549</v>
      </c>
      <c r="AS188">
        <v>119</v>
      </c>
      <c r="AT188">
        <v>86</v>
      </c>
      <c r="AU188">
        <v>115</v>
      </c>
      <c r="AV188">
        <v>73</v>
      </c>
      <c r="AW188">
        <v>76</v>
      </c>
      <c r="AX188">
        <v>23</v>
      </c>
      <c r="AY188">
        <v>1</v>
      </c>
      <c r="AZ188">
        <v>29</v>
      </c>
      <c r="BA188">
        <v>3</v>
      </c>
      <c r="BB188">
        <v>1</v>
      </c>
      <c r="BC188" t="s">
        <v>95</v>
      </c>
      <c r="BD188" s="2" t="s">
        <v>550</v>
      </c>
      <c r="BE188">
        <f>HYPERLINK("http://exon.niaid.nih.gov/transcriptome/T_rubida/S2/links/GO/Triru-220-GO.txt",2E-27)</f>
        <v>2.0000000000000001E-27</v>
      </c>
      <c r="BF188" t="s">
        <v>138</v>
      </c>
      <c r="BG188" t="s">
        <v>139</v>
      </c>
      <c r="BH188" t="s">
        <v>140</v>
      </c>
      <c r="BI188" s="2" t="str">
        <f>HYPERLINK("http://exon.niaid.nih.gov/transcriptome/T_rubida/S2/links/CDD/Triru-220-CDD.txt","Ribosomal_P2")</f>
        <v>Ribosomal_P2</v>
      </c>
      <c r="BJ188" t="str">
        <f>HYPERLINK("http://www.ncbi.nlm.nih.gov/Structure/cdd/cddsrv.cgi?uid=cd05833&amp;version=v4.0","2E-016")</f>
        <v>2E-016</v>
      </c>
      <c r="BK188" t="s">
        <v>551</v>
      </c>
      <c r="BL188" s="2" t="str">
        <f>HYPERLINK("http://exon.niaid.nih.gov/transcriptome/T_rubida/S2/links/KOG/Triru-220-KOG.txt","60S acidic ribosomal protein P2")</f>
        <v>60S acidic ribosomal protein P2</v>
      </c>
      <c r="BM188" t="str">
        <f>HYPERLINK("http://www.ncbi.nlm.nih.gov/COG/grace/shokog.cgi?KOG3449","3E-015")</f>
        <v>3E-015</v>
      </c>
      <c r="BN188" t="s">
        <v>84</v>
      </c>
      <c r="BO188" s="2" t="str">
        <f>HYPERLINK("http://exon.niaid.nih.gov/transcriptome/T_rubida/S2/links/PFAM/Triru-220-PFAM.txt","Ribosomal_60s")</f>
        <v>Ribosomal_60s</v>
      </c>
      <c r="BP188" t="str">
        <f>HYPERLINK("http://pfam.sanger.ac.uk/family?acc=PF00428","4E-006")</f>
        <v>4E-006</v>
      </c>
      <c r="BQ188" s="2" t="str">
        <f>HYPERLINK("http://exon.niaid.nih.gov/transcriptome/T_rubida/S2/links/SMART/Triru-220-SMART.txt","IL7")</f>
        <v>IL7</v>
      </c>
      <c r="BR188" t="str">
        <f>HYPERLINK("http://smart.embl-heidelberg.de/smart/do_annotation.pl?DOMAIN=IL7&amp;BLAST=DUMMY","1.1")</f>
        <v>1.1</v>
      </c>
      <c r="BS188" s="17">
        <f>HYPERLINK("http://exon.niaid.nih.gov/transcriptome/T_rubida/S2/links/cluster/Triru-pep-ext25-50-Sim-CLU1.txt", 1)</f>
        <v>1</v>
      </c>
      <c r="BT188" s="1">
        <f>HYPERLINK("http://exon.niaid.nih.gov/transcriptome/T_rubida/S2/links/cluster/Triru-pep-ext25-50-Sim-CLTL1.txt", 359)</f>
        <v>359</v>
      </c>
      <c r="BU188" s="17">
        <f>HYPERLINK("http://exon.niaid.nih.gov/transcriptome/T_rubida/S2/links/cluster/Triru-pep-ext30-50-Sim-CLU8.txt", 8)</f>
        <v>8</v>
      </c>
      <c r="BV188" s="1">
        <f>HYPERLINK("http://exon.niaid.nih.gov/transcriptome/T_rubida/S2/links/cluster/Triru-pep-ext30-50-Sim-CLTL8.txt", 3)</f>
        <v>3</v>
      </c>
      <c r="BW188" s="17">
        <f>HYPERLINK("http://exon.niaid.nih.gov/transcriptome/T_rubida/S2/links/cluster/Triru-pep-ext35-50-Sim-CLU18.txt", 18)</f>
        <v>18</v>
      </c>
      <c r="BX188" s="1">
        <f>HYPERLINK("http://exon.niaid.nih.gov/transcriptome/T_rubida/S2/links/cluster/Triru-pep-ext35-50-Sim-CLTL18.txt", 2)</f>
        <v>2</v>
      </c>
      <c r="BY188" s="17">
        <f>HYPERLINK("http://exon.niaid.nih.gov/transcriptome/T_rubida/S2/links/cluster/Triru-pep-ext40-50-Sim-CLU16.txt", 16)</f>
        <v>16</v>
      </c>
      <c r="BZ188" s="1">
        <f>HYPERLINK("http://exon.niaid.nih.gov/transcriptome/T_rubida/S2/links/cluster/Triru-pep-ext40-50-Sim-CLTL16.txt", 2)</f>
        <v>2</v>
      </c>
      <c r="CA188" s="17">
        <f>HYPERLINK("http://exon.niaid.nih.gov/transcriptome/T_rubida/S2/links/cluster/Triru-pep-ext45-50-Sim-CLU13.txt", 13)</f>
        <v>13</v>
      </c>
      <c r="CB188" s="1">
        <f>HYPERLINK("http://exon.niaid.nih.gov/transcriptome/T_rubida/S2/links/cluster/Triru-pep-ext45-50-Sim-CLTL13.txt", 2)</f>
        <v>2</v>
      </c>
      <c r="CC188" s="17">
        <f>HYPERLINK("http://exon.niaid.nih.gov/transcriptome/T_rubida/S2/links/cluster/Triru-pep-ext50-50-Sim-CLU13.txt", 13)</f>
        <v>13</v>
      </c>
      <c r="CD188" s="1">
        <f>HYPERLINK("http://exon.niaid.nih.gov/transcriptome/T_rubida/S2/links/cluster/Triru-pep-ext50-50-Sim-CLTL13.txt", 2)</f>
        <v>2</v>
      </c>
      <c r="CE188" s="17">
        <v>134</v>
      </c>
      <c r="CF188" s="1">
        <v>1</v>
      </c>
      <c r="CG188" s="17">
        <v>136</v>
      </c>
      <c r="CH188" s="1">
        <v>1</v>
      </c>
      <c r="CI188" s="17">
        <v>142</v>
      </c>
      <c r="CJ188" s="1">
        <v>1</v>
      </c>
      <c r="CK188" s="17">
        <v>147</v>
      </c>
      <c r="CL188" s="1">
        <v>1</v>
      </c>
      <c r="CM188" s="17">
        <v>153</v>
      </c>
      <c r="CN188" s="1">
        <v>1</v>
      </c>
      <c r="CO188" s="17">
        <v>163</v>
      </c>
      <c r="CP188" s="1">
        <v>1</v>
      </c>
      <c r="CQ188" s="17">
        <v>173</v>
      </c>
      <c r="CR188" s="1">
        <v>1</v>
      </c>
      <c r="CS188" s="17">
        <v>178</v>
      </c>
      <c r="CT188" s="1">
        <v>1</v>
      </c>
      <c r="CU188" s="17">
        <v>189</v>
      </c>
      <c r="CV188" s="1">
        <v>1</v>
      </c>
    </row>
    <row r="189" spans="1:100">
      <c r="A189" t="str">
        <f>HYPERLINK("http://exon.niaid.nih.gov/transcriptome/T_rubida/S2/links/pep/Triru-128-pep.txt","Triru-128")</f>
        <v>Triru-128</v>
      </c>
      <c r="B189">
        <v>71</v>
      </c>
      <c r="C189" s="1" t="s">
        <v>6</v>
      </c>
      <c r="D189" s="1" t="s">
        <v>3</v>
      </c>
      <c r="E189" t="str">
        <f>HYPERLINK("http://exon.niaid.nih.gov/transcriptome/T_rubida/S2/links/cds/Triru-128-cds.txt","Triru-128")</f>
        <v>Triru-128</v>
      </c>
      <c r="F189">
        <v>216</v>
      </c>
      <c r="G189" s="2" t="s">
        <v>1661</v>
      </c>
      <c r="H189" s="1">
        <v>3</v>
      </c>
      <c r="I189" s="3" t="s">
        <v>1268</v>
      </c>
      <c r="J189" s="17" t="str">
        <f>HYPERLINK("http://exon.niaid.nih.gov/transcriptome/T_rubida/S2/links/Sigp/Triru-128-SigP.txt","CYT")</f>
        <v>CYT</v>
      </c>
      <c r="K189" t="s">
        <v>5</v>
      </c>
      <c r="L189" s="1">
        <v>8.01</v>
      </c>
      <c r="M189" s="1">
        <v>9.7899999999999991</v>
      </c>
      <c r="P189" s="1">
        <v>6.7000000000000004E-2</v>
      </c>
      <c r="Q189" s="1">
        <v>4.3999999999999997E-2</v>
      </c>
      <c r="R189" s="1">
        <v>0.94599999999999995</v>
      </c>
      <c r="S189" s="17" t="s">
        <v>1346</v>
      </c>
      <c r="T189">
        <v>1</v>
      </c>
      <c r="U189" t="s">
        <v>1348</v>
      </c>
      <c r="V189" s="17">
        <v>0</v>
      </c>
      <c r="W189" t="s">
        <v>5</v>
      </c>
      <c r="X189" t="s">
        <v>5</v>
      </c>
      <c r="Y189" t="s">
        <v>5</v>
      </c>
      <c r="Z189" t="s">
        <v>5</v>
      </c>
      <c r="AA189" t="s">
        <v>5</v>
      </c>
      <c r="AB189" s="17" t="str">
        <f>HYPERLINK("http://exon.niaid.nih.gov/transcriptome/T_rubida/S2/links/netoglyc/TRIRU-128-netoglyc.txt","2")</f>
        <v>2</v>
      </c>
      <c r="AC189">
        <v>15.5</v>
      </c>
      <c r="AD189">
        <v>5.6</v>
      </c>
      <c r="AE189">
        <v>4.2</v>
      </c>
      <c r="AF189" s="17" t="s">
        <v>5</v>
      </c>
      <c r="AG189" s="2" t="str">
        <f>HYPERLINK("http://exon.niaid.nih.gov/transcriptome/T_rubida/S2/links/NR/Triru-128-NR.txt","ribosomal protein S25")</f>
        <v>ribosomal protein S25</v>
      </c>
      <c r="AH189" t="str">
        <f>HYPERLINK("http://www.ncbi.nlm.nih.gov/sutils/blink.cgi?pid=307006577","1E-025")</f>
        <v>1E-025</v>
      </c>
      <c r="AI189" t="str">
        <f>HYPERLINK("http://www.ncbi.nlm.nih.gov/protein/307006577","gi|307006577")</f>
        <v>gi|307006577</v>
      </c>
      <c r="AJ189">
        <v>119</v>
      </c>
      <c r="AK189">
        <v>67</v>
      </c>
      <c r="AL189">
        <v>91</v>
      </c>
      <c r="AM189">
        <v>86</v>
      </c>
      <c r="AN189">
        <v>75</v>
      </c>
      <c r="AO189" t="s">
        <v>520</v>
      </c>
      <c r="AP189" s="2" t="str">
        <f>HYPERLINK("http://exon.niaid.nih.gov/transcriptome/T_rubida/S2/links/SWISSP/Triru-128-SWISSP.txt","40S ribosomal protein S25")</f>
        <v>40S ribosomal protein S25</v>
      </c>
      <c r="AQ189" t="str">
        <f>HYPERLINK("http://www.uniprot.org/uniprot/Q962Q5","2E-023")</f>
        <v>2E-023</v>
      </c>
      <c r="AR189" t="s">
        <v>521</v>
      </c>
      <c r="AS189">
        <v>107</v>
      </c>
      <c r="AT189">
        <v>68</v>
      </c>
      <c r="AU189">
        <v>119</v>
      </c>
      <c r="AV189">
        <v>76</v>
      </c>
      <c r="AW189">
        <v>58</v>
      </c>
      <c r="AX189">
        <v>16</v>
      </c>
      <c r="AY189">
        <v>0</v>
      </c>
      <c r="AZ189">
        <v>49</v>
      </c>
      <c r="BA189">
        <v>2</v>
      </c>
      <c r="BB189">
        <v>1</v>
      </c>
      <c r="BC189" t="s">
        <v>82</v>
      </c>
      <c r="BD189" s="2" t="s">
        <v>522</v>
      </c>
      <c r="BE189">
        <f>HYPERLINK("http://exon.niaid.nih.gov/transcriptome/T_rubida/S2/links/GO/Triru-128-GO.txt",4E-23)</f>
        <v>3.9999999999999998E-23</v>
      </c>
      <c r="BF189" t="s">
        <v>138</v>
      </c>
      <c r="BG189" t="s">
        <v>139</v>
      </c>
      <c r="BH189" t="s">
        <v>140</v>
      </c>
      <c r="BI189" s="2" t="str">
        <f>HYPERLINK("http://exon.niaid.nih.gov/transcriptome/T_rubida/S2/links/CDD/Triru-128-CDD.txt","Ribosomal_S25")</f>
        <v>Ribosomal_S25</v>
      </c>
      <c r="BJ189" t="str">
        <f>HYPERLINK("http://www.ncbi.nlm.nih.gov/Structure/cdd/cddsrv.cgi?uid=pfam03297&amp;version=v4.0","2E-024")</f>
        <v>2E-024</v>
      </c>
      <c r="BK189" t="s">
        <v>523</v>
      </c>
      <c r="BL189" s="2" t="str">
        <f>HYPERLINK("http://exon.niaid.nih.gov/transcriptome/T_rubida/S2/links/KOG/Triru-128-KOG.txt","40S ribosomal protein S25")</f>
        <v>40S ribosomal protein S25</v>
      </c>
      <c r="BM189" t="str">
        <f>HYPERLINK("http://www.ncbi.nlm.nih.gov/COG/grace/shokog.cgi?KOG1767","4E-021")</f>
        <v>4E-021</v>
      </c>
      <c r="BN189" t="s">
        <v>84</v>
      </c>
      <c r="BO189" s="2" t="str">
        <f>HYPERLINK("http://exon.niaid.nih.gov/transcriptome/T_rubida/S2/links/PFAM/Triru-128-PFAM.txt","Ribosomal_S25")</f>
        <v>Ribosomal_S25</v>
      </c>
      <c r="BP189" t="str">
        <f>HYPERLINK("http://pfam.sanger.ac.uk/family?acc=PF03297","4E-025")</f>
        <v>4E-025</v>
      </c>
      <c r="BQ189" s="2" t="str">
        <f>HYPERLINK("http://exon.niaid.nih.gov/transcriptome/T_rubida/S2/links/SMART/Triru-128-SMART.txt","HTH_DTXR")</f>
        <v>HTH_DTXR</v>
      </c>
      <c r="BR189" t="str">
        <f>HYPERLINK("http://smart.embl-heidelberg.de/smart/do_annotation.pl?DOMAIN=HTH_DTXR&amp;BLAST=DUMMY","0.021")</f>
        <v>0.021</v>
      </c>
      <c r="BS189" s="17">
        <f>HYPERLINK("http://exon.niaid.nih.gov/transcriptome/T_rubida/S2/links/cluster/Triru-pep-ext25-50-Sim-CLU1.txt", 1)</f>
        <v>1</v>
      </c>
      <c r="BT189" s="1">
        <f>HYPERLINK("http://exon.niaid.nih.gov/transcriptome/T_rubida/S2/links/cluster/Triru-pep-ext25-50-Sim-CLTL1.txt", 359)</f>
        <v>359</v>
      </c>
      <c r="BU189" s="17">
        <v>73</v>
      </c>
      <c r="BV189" s="1">
        <v>1</v>
      </c>
      <c r="BW189" s="17">
        <v>79</v>
      </c>
      <c r="BX189" s="1">
        <v>1</v>
      </c>
      <c r="BY189" s="17">
        <v>79</v>
      </c>
      <c r="BZ189" s="1">
        <v>1</v>
      </c>
      <c r="CA189" s="17">
        <v>77</v>
      </c>
      <c r="CB189" s="1">
        <v>1</v>
      </c>
      <c r="CC189" s="17">
        <v>76</v>
      </c>
      <c r="CD189" s="1">
        <v>1</v>
      </c>
      <c r="CE189" s="17">
        <v>70</v>
      </c>
      <c r="CF189" s="1">
        <v>1</v>
      </c>
      <c r="CG189" s="17">
        <v>70</v>
      </c>
      <c r="CH189" s="1">
        <v>1</v>
      </c>
      <c r="CI189" s="17">
        <v>76</v>
      </c>
      <c r="CJ189" s="1">
        <v>1</v>
      </c>
      <c r="CK189" s="17">
        <v>80</v>
      </c>
      <c r="CL189" s="1">
        <v>1</v>
      </c>
      <c r="CM189" s="17">
        <v>84</v>
      </c>
      <c r="CN189" s="1">
        <v>1</v>
      </c>
      <c r="CO189" s="17">
        <v>92</v>
      </c>
      <c r="CP189" s="1">
        <v>1</v>
      </c>
      <c r="CQ189" s="17">
        <v>102</v>
      </c>
      <c r="CR189" s="1">
        <v>1</v>
      </c>
      <c r="CS189" s="17">
        <v>107</v>
      </c>
      <c r="CT189" s="1">
        <v>1</v>
      </c>
      <c r="CU189" s="17">
        <v>118</v>
      </c>
      <c r="CV189" s="1">
        <v>1</v>
      </c>
    </row>
    <row r="190" spans="1:100">
      <c r="A190" t="str">
        <f>HYPERLINK("http://exon.niaid.nih.gov/transcriptome/T_rubida/S2/links/pep/Triru-603-pep.txt","Triru-603")</f>
        <v>Triru-603</v>
      </c>
      <c r="B190">
        <v>126</v>
      </c>
      <c r="C190" s="1" t="s">
        <v>4</v>
      </c>
      <c r="D190" s="1" t="s">
        <v>3</v>
      </c>
      <c r="E190" t="str">
        <f>HYPERLINK("http://exon.niaid.nih.gov/transcriptome/T_rubida/S2/links/cds/Triru-603-cds.txt","Triru-603")</f>
        <v>Triru-603</v>
      </c>
      <c r="F190">
        <v>381</v>
      </c>
      <c r="G190" s="2" t="s">
        <v>1662</v>
      </c>
      <c r="H190" s="1">
        <v>1</v>
      </c>
      <c r="I190" s="3" t="s">
        <v>1268</v>
      </c>
      <c r="J190" s="17" t="str">
        <f>HYPERLINK("http://exon.niaid.nih.gov/transcriptome/T_rubida/S2/links/Sigp/Triru-603-SigP.txt","CYT")</f>
        <v>CYT</v>
      </c>
      <c r="K190" t="s">
        <v>5</v>
      </c>
      <c r="L190" s="1">
        <v>14.122</v>
      </c>
      <c r="M190" s="1">
        <v>11.64</v>
      </c>
      <c r="P190" s="1">
        <v>0.25800000000000001</v>
      </c>
      <c r="Q190" s="1">
        <v>0.1</v>
      </c>
      <c r="R190" s="1">
        <v>0.73399999999999999</v>
      </c>
      <c r="S190" s="17" t="s">
        <v>1346</v>
      </c>
      <c r="T190">
        <v>3</v>
      </c>
      <c r="U190" t="s">
        <v>1348</v>
      </c>
      <c r="V190" s="17">
        <v>0</v>
      </c>
      <c r="W190" t="s">
        <v>5</v>
      </c>
      <c r="X190" t="s">
        <v>5</v>
      </c>
      <c r="Y190" t="s">
        <v>5</v>
      </c>
      <c r="Z190" t="s">
        <v>5</v>
      </c>
      <c r="AA190" t="s">
        <v>5</v>
      </c>
      <c r="AB190" s="17" t="str">
        <f>HYPERLINK("http://exon.niaid.nih.gov/transcriptome/T_rubida/S2/links/netoglyc/TRIRU-603-netoglyc.txt","0")</f>
        <v>0</v>
      </c>
      <c r="AC190">
        <v>7.1</v>
      </c>
      <c r="AD190">
        <v>5.6</v>
      </c>
      <c r="AE190">
        <v>6.3</v>
      </c>
      <c r="AF190" s="17" t="s">
        <v>1442</v>
      </c>
      <c r="AG190" s="2" t="str">
        <f>HYPERLINK("http://exon.niaid.nih.gov/transcriptome/T_rubida/S2/links/NR/Triru-603-NR.txt","60S ribosomal protein L24")</f>
        <v>60S ribosomal protein L24</v>
      </c>
      <c r="AH190" t="str">
        <f>HYPERLINK("http://www.ncbi.nlm.nih.gov/sutils/blink.cgi?pid=307206365","3E-048")</f>
        <v>3E-048</v>
      </c>
      <c r="AI190" t="str">
        <f>HYPERLINK("http://www.ncbi.nlm.nih.gov/protein/307206365","gi|307206365")</f>
        <v>gi|307206365</v>
      </c>
      <c r="AJ190">
        <v>194</v>
      </c>
      <c r="AK190">
        <v>114</v>
      </c>
      <c r="AL190">
        <v>154</v>
      </c>
      <c r="AM190">
        <v>85</v>
      </c>
      <c r="AN190">
        <v>75</v>
      </c>
      <c r="AO190" t="s">
        <v>230</v>
      </c>
      <c r="AP190" s="2" t="str">
        <f>HYPERLINK("http://exon.niaid.nih.gov/transcriptome/T_rubida/S2/links/SWISSP/Triru-603-SWISSP.txt","60S ribosomal protein L24")</f>
        <v>60S ribosomal protein L24</v>
      </c>
      <c r="AQ190" t="str">
        <f>HYPERLINK("http://www.uniprot.org/uniprot/Q962T5","9E-049")</f>
        <v>9E-049</v>
      </c>
      <c r="AR190" t="s">
        <v>231</v>
      </c>
      <c r="AS190">
        <v>191</v>
      </c>
      <c r="AT190">
        <v>115</v>
      </c>
      <c r="AU190">
        <v>155</v>
      </c>
      <c r="AV190">
        <v>82</v>
      </c>
      <c r="AW190">
        <v>75</v>
      </c>
      <c r="AX190">
        <v>20</v>
      </c>
      <c r="AY190">
        <v>0</v>
      </c>
      <c r="AZ190">
        <v>40</v>
      </c>
      <c r="BA190">
        <v>11</v>
      </c>
      <c r="BB190">
        <v>1</v>
      </c>
      <c r="BC190" t="s">
        <v>82</v>
      </c>
      <c r="BD190" s="2" t="s">
        <v>232</v>
      </c>
      <c r="BE190">
        <f>HYPERLINK("http://exon.niaid.nih.gov/transcriptome/T_rubida/S2/links/GO/Triru-603-GO.txt",2E-45)</f>
        <v>2E-45</v>
      </c>
      <c r="BF190" t="s">
        <v>138</v>
      </c>
      <c r="BG190" t="s">
        <v>139</v>
      </c>
      <c r="BH190" t="s">
        <v>140</v>
      </c>
      <c r="BI190" s="2" t="str">
        <f>HYPERLINK("http://exon.niaid.nih.gov/transcriptome/T_rubida/S2/links/CDD/Triru-603-CDD.txt","PTZ00033")</f>
        <v>PTZ00033</v>
      </c>
      <c r="BJ190" t="str">
        <f>HYPERLINK("http://www.ncbi.nlm.nih.gov/Structure/cdd/cddsrv.cgi?uid=PTZ00033&amp;version=v4.0","1E-005")</f>
        <v>1E-005</v>
      </c>
      <c r="BK190" t="s">
        <v>233</v>
      </c>
      <c r="BL190" s="2" t="str">
        <f>HYPERLINK("http://exon.niaid.nih.gov/transcriptome/T_rubida/S2/links/KOG/Triru-603-KOG.txt","60s ribosomal protein L24")</f>
        <v>60s ribosomal protein L24</v>
      </c>
      <c r="BM190" t="str">
        <f>HYPERLINK("http://www.ncbi.nlm.nih.gov/COG/grace/shokog.cgi?KOG1722","4E-015")</f>
        <v>4E-015</v>
      </c>
      <c r="BN190" t="s">
        <v>84</v>
      </c>
      <c r="BO190" s="2" t="str">
        <f>HYPERLINK("http://exon.niaid.nih.gov/transcriptome/T_rubida/S2/links/PFAM/Triru-603-PFAM.txt","Ribosomal_L24e")</f>
        <v>Ribosomal_L24e</v>
      </c>
      <c r="BP190" t="str">
        <f>HYPERLINK("http://pfam.sanger.ac.uk/family?acc=PF01246","1E-005")</f>
        <v>1E-005</v>
      </c>
      <c r="BQ190" s="2" t="str">
        <f>HYPERLINK("http://exon.niaid.nih.gov/transcriptome/T_rubida/S2/links/SMART/Triru-603-SMART.txt","SHR3_chaperone")</f>
        <v>SHR3_chaperone</v>
      </c>
      <c r="BR190" t="str">
        <f>HYPERLINK("http://smart.embl-heidelberg.de/smart/do_annotation.pl?DOMAIN=SHR3_chaperone&amp;BLAST=DUMMY","0.014")</f>
        <v>0.014</v>
      </c>
      <c r="BS190" s="17">
        <f>HYPERLINK("http://exon.niaid.nih.gov/transcriptome/T_rubida/S2/links/cluster/Triru-pep-ext25-50-Sim-CLU1.txt", 1)</f>
        <v>1</v>
      </c>
      <c r="BT190" s="1">
        <f>HYPERLINK("http://exon.niaid.nih.gov/transcriptome/T_rubida/S2/links/cluster/Triru-pep-ext25-50-Sim-CLTL1.txt", 359)</f>
        <v>359</v>
      </c>
      <c r="BU190" s="17">
        <v>272</v>
      </c>
      <c r="BV190" s="1">
        <v>1</v>
      </c>
      <c r="BW190" s="17">
        <v>350</v>
      </c>
      <c r="BX190" s="1">
        <v>1</v>
      </c>
      <c r="BY190" s="17">
        <v>385</v>
      </c>
      <c r="BZ190" s="1">
        <v>1</v>
      </c>
      <c r="CA190" s="17">
        <v>400</v>
      </c>
      <c r="CB190" s="1">
        <v>1</v>
      </c>
      <c r="CC190" s="17">
        <v>414</v>
      </c>
      <c r="CD190" s="1">
        <v>1</v>
      </c>
      <c r="CE190" s="17">
        <v>429</v>
      </c>
      <c r="CF190" s="1">
        <v>1</v>
      </c>
      <c r="CG190" s="17">
        <v>436</v>
      </c>
      <c r="CH190" s="1">
        <v>1</v>
      </c>
      <c r="CI190" s="17">
        <v>450</v>
      </c>
      <c r="CJ190" s="1">
        <v>1</v>
      </c>
      <c r="CK190" s="17">
        <v>456</v>
      </c>
      <c r="CL190" s="1">
        <v>1</v>
      </c>
      <c r="CM190" s="17">
        <v>468</v>
      </c>
      <c r="CN190" s="1">
        <v>1</v>
      </c>
      <c r="CO190" s="17">
        <v>480</v>
      </c>
      <c r="CP190" s="1">
        <v>1</v>
      </c>
      <c r="CQ190" s="17">
        <v>490</v>
      </c>
      <c r="CR190" s="1">
        <v>1</v>
      </c>
      <c r="CS190" s="17">
        <v>503</v>
      </c>
      <c r="CT190" s="1">
        <v>1</v>
      </c>
      <c r="CU190" s="17">
        <v>515</v>
      </c>
      <c r="CV190" s="1">
        <v>1</v>
      </c>
    </row>
    <row r="191" spans="1:100">
      <c r="A191" t="str">
        <f>HYPERLINK("http://exon.niaid.nih.gov/transcriptome/T_rubida/S2/links/pep/Triru-90-pep.txt","Triru-90")</f>
        <v>Triru-90</v>
      </c>
      <c r="B191">
        <v>209</v>
      </c>
      <c r="C191" s="1" t="s">
        <v>6</v>
      </c>
      <c r="D191" s="1" t="s">
        <v>3</v>
      </c>
      <c r="E191" t="str">
        <f>HYPERLINK("http://exon.niaid.nih.gov/transcriptome/T_rubida/S2/links/cds/Triru-90-cds.txt","Triru-90")</f>
        <v>Triru-90</v>
      </c>
      <c r="F191">
        <v>630</v>
      </c>
      <c r="G191" s="2" t="s">
        <v>1663</v>
      </c>
      <c r="H191" s="1">
        <v>10</v>
      </c>
      <c r="I191" s="3" t="s">
        <v>1268</v>
      </c>
      <c r="J191" s="17" t="str">
        <f>HYPERLINK("http://exon.niaid.nih.gov/transcriptome/T_rubida/S2/links/Sigp/Triru-90-SigP.txt","CYT")</f>
        <v>CYT</v>
      </c>
      <c r="K191" t="s">
        <v>5</v>
      </c>
      <c r="L191" s="1">
        <v>22.686</v>
      </c>
      <c r="M191" s="1">
        <v>9.83</v>
      </c>
      <c r="P191" s="1">
        <v>5.7000000000000002E-2</v>
      </c>
      <c r="Q191" s="1">
        <v>0.25</v>
      </c>
      <c r="R191" s="1">
        <v>0.83</v>
      </c>
      <c r="S191" s="17" t="s">
        <v>1346</v>
      </c>
      <c r="T191">
        <v>3</v>
      </c>
      <c r="U191" t="s">
        <v>1443</v>
      </c>
      <c r="V191" s="17">
        <v>0</v>
      </c>
      <c r="W191" t="s">
        <v>5</v>
      </c>
      <c r="X191" t="s">
        <v>5</v>
      </c>
      <c r="Y191" t="s">
        <v>5</v>
      </c>
      <c r="Z191" t="s">
        <v>5</v>
      </c>
      <c r="AA191" t="s">
        <v>5</v>
      </c>
      <c r="AB191" s="17" t="str">
        <f>HYPERLINK("http://exon.niaid.nih.gov/transcriptome/T_rubida/S2/links/netoglyc/TRIRU-90-netoglyc.txt","1")</f>
        <v>1</v>
      </c>
      <c r="AC191">
        <v>12</v>
      </c>
      <c r="AD191">
        <v>9.6</v>
      </c>
      <c r="AE191">
        <v>7.2</v>
      </c>
      <c r="AF191" s="17" t="s">
        <v>5</v>
      </c>
      <c r="AG191" s="2" t="str">
        <f>HYPERLINK("http://exon.niaid.nih.gov/transcriptome/T_rubida/S2/links/NR/Triru-90-NR.txt","40S ribosomal protein S2, putative")</f>
        <v>40S ribosomal protein S2, putative</v>
      </c>
      <c r="AH191" t="str">
        <f>HYPERLINK("http://www.ncbi.nlm.nih.gov/sutils/blink.cgi?pid=242019605","1E-107")</f>
        <v>1E-107</v>
      </c>
      <c r="AI191" t="str">
        <f>HYPERLINK("http://www.ncbi.nlm.nih.gov/protein/242019605","gi|242019605")</f>
        <v>gi|242019605</v>
      </c>
      <c r="AJ191">
        <v>392</v>
      </c>
      <c r="AK191">
        <v>206</v>
      </c>
      <c r="AL191">
        <v>275</v>
      </c>
      <c r="AM191">
        <v>92</v>
      </c>
      <c r="AN191">
        <v>75</v>
      </c>
      <c r="AO191" t="s">
        <v>54</v>
      </c>
      <c r="AP191" s="2" t="str">
        <f>HYPERLINK("http://exon.niaid.nih.gov/transcriptome/T_rubida/S2/links/SWISSP/Triru-90-SWISSP.txt","40S ribosomal protein S2")</f>
        <v>40S ribosomal protein S2</v>
      </c>
      <c r="AQ191" t="str">
        <f>HYPERLINK("http://www.uniprot.org/uniprot/P31009","6E-099")</f>
        <v>6E-099</v>
      </c>
      <c r="AR191" t="s">
        <v>682</v>
      </c>
      <c r="AS191">
        <v>359</v>
      </c>
      <c r="AT191">
        <v>193</v>
      </c>
      <c r="AU191">
        <v>267</v>
      </c>
      <c r="AV191">
        <v>90</v>
      </c>
      <c r="AW191">
        <v>73</v>
      </c>
      <c r="AX191">
        <v>19</v>
      </c>
      <c r="AY191">
        <v>0</v>
      </c>
      <c r="AZ191">
        <v>65</v>
      </c>
      <c r="BA191">
        <v>3</v>
      </c>
      <c r="BB191">
        <v>1</v>
      </c>
      <c r="BC191" t="s">
        <v>150</v>
      </c>
      <c r="BD191" s="2" t="s">
        <v>683</v>
      </c>
      <c r="BE191">
        <f>HYPERLINK("http://exon.niaid.nih.gov/transcriptome/T_rubida/S2/links/GO/Triru-90-GO.txt",5E-99)</f>
        <v>4.9999999999999997E-99</v>
      </c>
      <c r="BF191" t="s">
        <v>138</v>
      </c>
      <c r="BG191" t="s">
        <v>139</v>
      </c>
      <c r="BH191" t="s">
        <v>140</v>
      </c>
      <c r="BI191" s="2" t="str">
        <f>HYPERLINK("http://exon.niaid.nih.gov/transcriptome/T_rubida/S2/links/CDD/Triru-90-CDD.txt","PTZ00070")</f>
        <v>PTZ00070</v>
      </c>
      <c r="BJ191" t="str">
        <f>HYPERLINK("http://www.ncbi.nlm.nih.gov/Structure/cdd/cddsrv.cgi?uid=PTZ00070&amp;version=v4.0","1E-105")</f>
        <v>1E-105</v>
      </c>
      <c r="BK191" t="s">
        <v>684</v>
      </c>
      <c r="BL191" s="2" t="str">
        <f>HYPERLINK("http://exon.niaid.nih.gov/transcriptome/T_rubida/S2/links/KOG/Triru-90-KOG.txt","40S ribosomal protein S2/30S ribosomal protein S5")</f>
        <v>40S ribosomal protein S2/30S ribosomal protein S5</v>
      </c>
      <c r="BM191" t="str">
        <f>HYPERLINK("http://www.ncbi.nlm.nih.gov/COG/grace/shokog.cgi?KOG0877","3E-089")</f>
        <v>3E-089</v>
      </c>
      <c r="BN191" t="s">
        <v>84</v>
      </c>
      <c r="BO191" s="2" t="str">
        <f>HYPERLINK("http://exon.niaid.nih.gov/transcriptome/T_rubida/S2/links/PFAM/Triru-90-PFAM.txt","Ribosomal_S5")</f>
        <v>Ribosomal_S5</v>
      </c>
      <c r="BP191" t="str">
        <f>HYPERLINK("http://pfam.sanger.ac.uk/family?acc=PF00333","7E-025")</f>
        <v>7E-025</v>
      </c>
      <c r="BQ191" s="2" t="str">
        <f>HYPERLINK("http://exon.niaid.nih.gov/transcriptome/T_rubida/S2/links/SMART/Triru-90-SMART.txt","DWB")</f>
        <v>DWB</v>
      </c>
      <c r="BR191" t="str">
        <f>HYPERLINK("http://smart.embl-heidelberg.de/smart/do_annotation.pl?DOMAIN=DWB&amp;BLAST=DUMMY","0.035")</f>
        <v>0.035</v>
      </c>
      <c r="BS191" s="17">
        <v>40</v>
      </c>
      <c r="BT191" s="1">
        <v>1</v>
      </c>
      <c r="BU191" s="17">
        <v>54</v>
      </c>
      <c r="BV191" s="1">
        <v>1</v>
      </c>
      <c r="BW191" s="17">
        <v>57</v>
      </c>
      <c r="BX191" s="1">
        <v>1</v>
      </c>
      <c r="BY191" s="17">
        <v>54</v>
      </c>
      <c r="BZ191" s="1">
        <v>1</v>
      </c>
      <c r="CA191" s="17">
        <v>51</v>
      </c>
      <c r="CB191" s="1">
        <v>1</v>
      </c>
      <c r="CC191" s="17">
        <v>49</v>
      </c>
      <c r="CD191" s="1">
        <v>1</v>
      </c>
      <c r="CE191" s="17">
        <v>42</v>
      </c>
      <c r="CF191" s="1">
        <v>1</v>
      </c>
      <c r="CG191" s="17">
        <v>42</v>
      </c>
      <c r="CH191" s="1">
        <v>1</v>
      </c>
      <c r="CI191" s="17">
        <v>43</v>
      </c>
      <c r="CJ191" s="1">
        <v>1</v>
      </c>
      <c r="CK191" s="17">
        <v>47</v>
      </c>
      <c r="CL191" s="1">
        <v>1</v>
      </c>
      <c r="CM191" s="17">
        <v>51</v>
      </c>
      <c r="CN191" s="1">
        <v>1</v>
      </c>
      <c r="CO191" s="17">
        <v>59</v>
      </c>
      <c r="CP191" s="1">
        <v>1</v>
      </c>
      <c r="CQ191" s="17">
        <v>69</v>
      </c>
      <c r="CR191" s="1">
        <v>1</v>
      </c>
      <c r="CS191" s="17">
        <v>74</v>
      </c>
      <c r="CT191" s="1">
        <v>1</v>
      </c>
      <c r="CU191" s="17">
        <v>85</v>
      </c>
      <c r="CV191" s="1">
        <v>1</v>
      </c>
    </row>
    <row r="192" spans="1:100">
      <c r="A192" t="str">
        <f>HYPERLINK("http://exon.niaid.nih.gov/transcriptome/T_rubida/S2/links/pep/Triru-119-pep.txt","Triru-119")</f>
        <v>Triru-119</v>
      </c>
      <c r="B192">
        <v>105</v>
      </c>
      <c r="C192" s="1" t="s">
        <v>15</v>
      </c>
      <c r="D192" s="1" t="s">
        <v>3</v>
      </c>
      <c r="E192" t="str">
        <f>HYPERLINK("http://exon.niaid.nih.gov/transcriptome/T_rubida/S2/links/cds/Triru-119-cds.txt","Triru-119")</f>
        <v>Triru-119</v>
      </c>
      <c r="F192">
        <v>318</v>
      </c>
      <c r="G192" s="2" t="s">
        <v>1664</v>
      </c>
      <c r="H192" s="1">
        <v>3</v>
      </c>
      <c r="I192" s="3" t="s">
        <v>1268</v>
      </c>
      <c r="J192" s="17" t="str">
        <f>HYPERLINK("http://exon.niaid.nih.gov/transcriptome/T_rubida/S2/links/Sigp/Triru-119-SigP.txt","CYT")</f>
        <v>CYT</v>
      </c>
      <c r="K192" t="s">
        <v>5</v>
      </c>
      <c r="L192" s="1">
        <v>11.164</v>
      </c>
      <c r="M192" s="1">
        <v>11.16</v>
      </c>
      <c r="P192" s="1">
        <v>0.24099999999999999</v>
      </c>
      <c r="Q192" s="1">
        <v>9.1999999999999998E-2</v>
      </c>
      <c r="R192" s="1">
        <v>0.70899999999999996</v>
      </c>
      <c r="S192" s="17" t="s">
        <v>1346</v>
      </c>
      <c r="T192">
        <v>3</v>
      </c>
      <c r="U192" t="s">
        <v>1348</v>
      </c>
      <c r="V192" s="17">
        <v>0</v>
      </c>
      <c r="W192" t="s">
        <v>5</v>
      </c>
      <c r="X192" t="s">
        <v>5</v>
      </c>
      <c r="Y192" t="s">
        <v>5</v>
      </c>
      <c r="Z192" t="s">
        <v>5</v>
      </c>
      <c r="AA192" t="s">
        <v>5</v>
      </c>
      <c r="AB192" s="17" t="str">
        <f>HYPERLINK("http://exon.niaid.nih.gov/transcriptome/T_rubida/S2/links/netoglyc/TRIRU-119-netoglyc.txt","0")</f>
        <v>0</v>
      </c>
      <c r="AC192">
        <v>15.2</v>
      </c>
      <c r="AD192">
        <v>11.4</v>
      </c>
      <c r="AE192">
        <v>4.8</v>
      </c>
      <c r="AF192" s="17" t="s">
        <v>5</v>
      </c>
      <c r="AG192" s="2" t="str">
        <f>HYPERLINK("http://exon.niaid.nih.gov/transcriptome/T_rubida/S2/links/NR/Triru-119-NR.txt","40S ribosomal protein S14")</f>
        <v>40S ribosomal protein S14</v>
      </c>
      <c r="AH192" t="str">
        <f>HYPERLINK("http://www.ncbi.nlm.nih.gov/sutils/blink.cgi?pid=335057540","4E-051")</f>
        <v>4E-051</v>
      </c>
      <c r="AI192" t="str">
        <f>HYPERLINK("http://www.ncbi.nlm.nih.gov/protein/335057540","gi|335057540")</f>
        <v>gi|335057540</v>
      </c>
      <c r="AJ192">
        <v>204</v>
      </c>
      <c r="AK192">
        <v>104</v>
      </c>
      <c r="AL192">
        <v>151</v>
      </c>
      <c r="AM192">
        <v>99</v>
      </c>
      <c r="AN192">
        <v>70</v>
      </c>
      <c r="AO192" t="s">
        <v>300</v>
      </c>
      <c r="AP192" s="2" t="str">
        <f>HYPERLINK("http://exon.niaid.nih.gov/transcriptome/T_rubida/S2/links/SWISSP/Triru-119-SWISSP.txt","40S ribosomal protein S14")</f>
        <v>40S ribosomal protein S14</v>
      </c>
      <c r="AQ192" t="str">
        <f>HYPERLINK("http://www.uniprot.org/uniprot/P14130","4E-052")</f>
        <v>4E-052</v>
      </c>
      <c r="AR192" t="s">
        <v>796</v>
      </c>
      <c r="AS192">
        <v>202</v>
      </c>
      <c r="AT192">
        <v>104</v>
      </c>
      <c r="AU192">
        <v>151</v>
      </c>
      <c r="AV192">
        <v>98</v>
      </c>
      <c r="AW192">
        <v>70</v>
      </c>
      <c r="AX192">
        <v>2</v>
      </c>
      <c r="AY192">
        <v>0</v>
      </c>
      <c r="AZ192">
        <v>47</v>
      </c>
      <c r="BA192">
        <v>1</v>
      </c>
      <c r="BB192">
        <v>1</v>
      </c>
      <c r="BC192" t="s">
        <v>150</v>
      </c>
      <c r="BD192" s="2" t="s">
        <v>797</v>
      </c>
      <c r="BE192">
        <f>HYPERLINK("http://exon.niaid.nih.gov/transcriptome/T_rubida/S2/links/GO/Triru-119-GO.txt",3E-52)</f>
        <v>3E-52</v>
      </c>
      <c r="BF192" t="s">
        <v>105</v>
      </c>
      <c r="BG192" t="s">
        <v>105</v>
      </c>
      <c r="BI192" s="2" t="str">
        <f>HYPERLINK("http://exon.niaid.nih.gov/transcriptome/T_rubida/S2/links/CDD/Triru-119-CDD.txt","PTZ00129")</f>
        <v>PTZ00129</v>
      </c>
      <c r="BJ192" t="str">
        <f>HYPERLINK("http://www.ncbi.nlm.nih.gov/Structure/cdd/cddsrv.cgi?uid=PTZ00129&amp;version=v4.0","7E-047")</f>
        <v>7E-047</v>
      </c>
      <c r="BK192" t="s">
        <v>798</v>
      </c>
      <c r="BL192" s="2" t="str">
        <f>HYPERLINK("http://exon.niaid.nih.gov/transcriptome/T_rubida/S2/links/KOG/Triru-119-KOG.txt","40S ribosomal protein S14")</f>
        <v>40S ribosomal protein S14</v>
      </c>
      <c r="BM192" t="str">
        <f>HYPERLINK("http://www.ncbi.nlm.nih.gov/COG/grace/shokog.cgi?KOG0407","5E-044")</f>
        <v>5E-044</v>
      </c>
      <c r="BN192" t="s">
        <v>84</v>
      </c>
      <c r="BO192" s="2" t="str">
        <f>HYPERLINK("http://exon.niaid.nih.gov/transcriptome/T_rubida/S2/links/PFAM/Triru-119-PFAM.txt","Ribosomal_S11")</f>
        <v>Ribosomal_S11</v>
      </c>
      <c r="BP192" t="str">
        <f>HYPERLINK("http://pfam.sanger.ac.uk/family?acc=PF00411","5E-024")</f>
        <v>5E-024</v>
      </c>
      <c r="BQ192" s="2" t="str">
        <f>HYPERLINK("http://exon.niaid.nih.gov/transcriptome/T_rubida/S2/links/SMART/Triru-119-SMART.txt","PGRP")</f>
        <v>PGRP</v>
      </c>
      <c r="BR192" t="str">
        <f>HYPERLINK("http://smart.embl-heidelberg.de/smart/do_annotation.pl?DOMAIN=PGRP&amp;BLAST=DUMMY","0.33")</f>
        <v>0.33</v>
      </c>
      <c r="BS192" s="17">
        <v>47</v>
      </c>
      <c r="BT192" s="1">
        <v>1</v>
      </c>
      <c r="BU192" s="17">
        <v>65</v>
      </c>
      <c r="BV192" s="1">
        <v>1</v>
      </c>
      <c r="BW192" s="17">
        <v>71</v>
      </c>
      <c r="BX192" s="1">
        <v>1</v>
      </c>
      <c r="BY192" s="17">
        <v>71</v>
      </c>
      <c r="BZ192" s="1">
        <v>1</v>
      </c>
      <c r="CA192" s="17">
        <v>69</v>
      </c>
      <c r="CB192" s="1">
        <v>1</v>
      </c>
      <c r="CC192" s="17">
        <v>68</v>
      </c>
      <c r="CD192" s="1">
        <v>1</v>
      </c>
      <c r="CE192" s="17">
        <v>62</v>
      </c>
      <c r="CF192" s="1">
        <v>1</v>
      </c>
      <c r="CG192" s="17">
        <v>62</v>
      </c>
      <c r="CH192" s="1">
        <v>1</v>
      </c>
      <c r="CI192" s="17">
        <v>68</v>
      </c>
      <c r="CJ192" s="1">
        <v>1</v>
      </c>
      <c r="CK192" s="17">
        <v>72</v>
      </c>
      <c r="CL192" s="1">
        <v>1</v>
      </c>
      <c r="CM192" s="17">
        <v>76</v>
      </c>
      <c r="CN192" s="1">
        <v>1</v>
      </c>
      <c r="CO192" s="17">
        <v>84</v>
      </c>
      <c r="CP192" s="1">
        <v>1</v>
      </c>
      <c r="CQ192" s="17">
        <v>94</v>
      </c>
      <c r="CR192" s="1">
        <v>1</v>
      </c>
      <c r="CS192" s="17">
        <v>99</v>
      </c>
      <c r="CT192" s="1">
        <v>1</v>
      </c>
      <c r="CU192" s="17">
        <v>110</v>
      </c>
      <c r="CV192" s="1">
        <v>1</v>
      </c>
    </row>
    <row r="193" spans="1:100">
      <c r="A193" t="str">
        <f>HYPERLINK("http://exon.niaid.nih.gov/transcriptome/T_rubida/S2/links/pep/Triru-340-pep.txt","Triru-340")</f>
        <v>Triru-340</v>
      </c>
      <c r="B193">
        <v>294</v>
      </c>
      <c r="C193" s="1" t="s">
        <v>15</v>
      </c>
      <c r="D193" s="1" t="s">
        <v>3</v>
      </c>
      <c r="E193" t="str">
        <f>HYPERLINK("http://exon.niaid.nih.gov/transcriptome/T_rubida/S2/links/cds/Triru-340-cds.txt","Triru-340")</f>
        <v>Triru-340</v>
      </c>
      <c r="F193">
        <v>885</v>
      </c>
      <c r="G193" s="2" t="s">
        <v>1665</v>
      </c>
      <c r="H193" s="1">
        <v>1</v>
      </c>
      <c r="I193" s="3" t="s">
        <v>1268</v>
      </c>
      <c r="J193" s="17" t="str">
        <f>HYPERLINK("http://exon.niaid.nih.gov/transcriptome/T_rubida/S2/links/Sigp/Triru-340-SigP.txt","CYT")</f>
        <v>CYT</v>
      </c>
      <c r="K193" t="s">
        <v>5</v>
      </c>
      <c r="L193" s="1">
        <v>33.539000000000001</v>
      </c>
      <c r="M193" s="1">
        <v>10.26</v>
      </c>
      <c r="P193" s="1">
        <v>0.29599999999999999</v>
      </c>
      <c r="Q193" s="1">
        <v>5.3999999999999999E-2</v>
      </c>
      <c r="R193" s="1">
        <v>0.71299999999999997</v>
      </c>
      <c r="S193" s="17" t="s">
        <v>1346</v>
      </c>
      <c r="T193">
        <v>3</v>
      </c>
      <c r="U193" t="s">
        <v>1348</v>
      </c>
      <c r="V193" s="17">
        <v>0</v>
      </c>
      <c r="W193" t="s">
        <v>5</v>
      </c>
      <c r="X193" t="s">
        <v>5</v>
      </c>
      <c r="Y193" t="s">
        <v>5</v>
      </c>
      <c r="Z193" t="s">
        <v>5</v>
      </c>
      <c r="AA193" t="s">
        <v>5</v>
      </c>
      <c r="AB193" s="17" t="str">
        <f>HYPERLINK("http://exon.niaid.nih.gov/transcriptome/T_rubida/S2/links/netoglyc/TRIRU-340-netoglyc.txt","0")</f>
        <v>0</v>
      </c>
      <c r="AC193">
        <v>10.5</v>
      </c>
      <c r="AD193">
        <v>8.1999999999999993</v>
      </c>
      <c r="AE193">
        <v>3.4</v>
      </c>
      <c r="AF193" s="17" t="s">
        <v>5</v>
      </c>
      <c r="AG193" s="2" t="str">
        <f>HYPERLINK("http://exon.niaid.nih.gov/transcriptome/T_rubida/S2/links/NR/Triru-340-NR.txt","ribosomal protein L3")</f>
        <v>ribosomal protein L3</v>
      </c>
      <c r="AH193" t="str">
        <f>HYPERLINK("http://www.ncbi.nlm.nih.gov/sutils/blink.cgi?pid=84095076","1E-154")</f>
        <v>1E-154</v>
      </c>
      <c r="AI193" t="str">
        <f>HYPERLINK("http://www.ncbi.nlm.nih.gov/protein/84095076","gi|84095076")</f>
        <v>gi|84095076</v>
      </c>
      <c r="AJ193">
        <v>547</v>
      </c>
      <c r="AK193">
        <v>286</v>
      </c>
      <c r="AL193">
        <v>412</v>
      </c>
      <c r="AM193">
        <v>90</v>
      </c>
      <c r="AN193">
        <v>70</v>
      </c>
      <c r="AO193" t="s">
        <v>800</v>
      </c>
      <c r="AP193" s="2" t="str">
        <f>HYPERLINK("http://exon.niaid.nih.gov/transcriptome/T_rubida/S2/links/SWISSP/Triru-340-SWISSP.txt","60S ribosomal protein L3")</f>
        <v>60S ribosomal protein L3</v>
      </c>
      <c r="AQ193" t="str">
        <f>HYPERLINK("http://www.uniprot.org/uniprot/O16797","1E-150")</f>
        <v>1E-150</v>
      </c>
      <c r="AR193" t="s">
        <v>801</v>
      </c>
      <c r="AS193">
        <v>529</v>
      </c>
      <c r="AT193">
        <v>286</v>
      </c>
      <c r="AU193">
        <v>416</v>
      </c>
      <c r="AV193">
        <v>86</v>
      </c>
      <c r="AW193">
        <v>69</v>
      </c>
      <c r="AX193">
        <v>38</v>
      </c>
      <c r="AY193">
        <v>0</v>
      </c>
      <c r="AZ193">
        <v>116</v>
      </c>
      <c r="BA193">
        <v>6</v>
      </c>
      <c r="BB193">
        <v>1</v>
      </c>
      <c r="BC193" t="s">
        <v>150</v>
      </c>
      <c r="BD193" s="2" t="s">
        <v>802</v>
      </c>
      <c r="BE193">
        <f>HYPERLINK("http://exon.niaid.nih.gov/transcriptome/T_rubida/S2/links/GO/Triru-340-GO.txt",0)</f>
        <v>0</v>
      </c>
      <c r="BF193" t="s">
        <v>138</v>
      </c>
      <c r="BG193" t="s">
        <v>139</v>
      </c>
      <c r="BH193" t="s">
        <v>140</v>
      </c>
      <c r="BI193" s="2" t="str">
        <f>HYPERLINK("http://exon.niaid.nih.gov/transcriptome/T_rubida/S2/links/CDD/Triru-340-CDD.txt","PTZ00103")</f>
        <v>PTZ00103</v>
      </c>
      <c r="BJ193" t="str">
        <f>HYPERLINK("http://www.ncbi.nlm.nih.gov/Structure/cdd/cddsrv.cgi?uid=PTZ00103&amp;version=v4.0","1E-129")</f>
        <v>1E-129</v>
      </c>
      <c r="BK193" t="s">
        <v>803</v>
      </c>
      <c r="BL193" s="2" t="str">
        <f>HYPERLINK("http://exon.niaid.nih.gov/transcriptome/T_rubida/S2/links/KOG/Triru-340-KOG.txt","60S ribosomal protein L3 and related proteins")</f>
        <v>60S ribosomal protein L3 and related proteins</v>
      </c>
      <c r="BM193" t="str">
        <f>HYPERLINK("http://www.ncbi.nlm.nih.gov/COG/grace/shokog.cgi?KOG0746","1E-122")</f>
        <v>1E-122</v>
      </c>
      <c r="BN193" t="s">
        <v>84</v>
      </c>
      <c r="BO193" s="2" t="str">
        <f>HYPERLINK("http://exon.niaid.nih.gov/transcriptome/T_rubida/S2/links/PFAM/Triru-340-PFAM.txt","Ribosomal_L3")</f>
        <v>Ribosomal_L3</v>
      </c>
      <c r="BP193" t="str">
        <f>HYPERLINK("http://pfam.sanger.ac.uk/family?acc=PF00297","2E-049")</f>
        <v>2E-049</v>
      </c>
      <c r="BQ193" s="2" t="str">
        <f>HYPERLINK("http://exon.niaid.nih.gov/transcriptome/T_rubida/S2/links/SMART/Triru-340-SMART.txt","ZnF_TTF")</f>
        <v>ZnF_TTF</v>
      </c>
      <c r="BR193" t="str">
        <f>HYPERLINK("http://smart.embl-heidelberg.de/smart/do_annotation.pl?DOMAIN=ZnF_TTF&amp;BLAST=DUMMY","1.2")</f>
        <v>1.2</v>
      </c>
      <c r="BS193" s="17">
        <v>101</v>
      </c>
      <c r="BT193" s="1">
        <v>1</v>
      </c>
      <c r="BU193" s="17">
        <v>158</v>
      </c>
      <c r="BV193" s="1">
        <v>1</v>
      </c>
      <c r="BW193" s="17">
        <v>191</v>
      </c>
      <c r="BX193" s="1">
        <v>1</v>
      </c>
      <c r="BY193" s="17">
        <v>203</v>
      </c>
      <c r="BZ193" s="1">
        <v>1</v>
      </c>
      <c r="CA193" s="17">
        <v>209</v>
      </c>
      <c r="CB193" s="1">
        <v>1</v>
      </c>
      <c r="CC193" s="17">
        <v>214</v>
      </c>
      <c r="CD193" s="1">
        <v>1</v>
      </c>
      <c r="CE193" s="17">
        <v>220</v>
      </c>
      <c r="CF193" s="1">
        <v>1</v>
      </c>
      <c r="CG193" s="17">
        <v>222</v>
      </c>
      <c r="CH193" s="1">
        <v>1</v>
      </c>
      <c r="CI193" s="17">
        <v>232</v>
      </c>
      <c r="CJ193" s="1">
        <v>1</v>
      </c>
      <c r="CK193" s="17">
        <v>237</v>
      </c>
      <c r="CL193" s="1">
        <v>1</v>
      </c>
      <c r="CM193" s="17">
        <v>244</v>
      </c>
      <c r="CN193" s="1">
        <v>1</v>
      </c>
      <c r="CO193" s="17">
        <v>255</v>
      </c>
      <c r="CP193" s="1">
        <v>1</v>
      </c>
      <c r="CQ193" s="17">
        <v>265</v>
      </c>
      <c r="CR193" s="1">
        <v>1</v>
      </c>
      <c r="CS193" s="17">
        <v>275</v>
      </c>
      <c r="CT193" s="1">
        <v>1</v>
      </c>
      <c r="CU193" s="17">
        <v>286</v>
      </c>
      <c r="CV193" s="1">
        <v>1</v>
      </c>
    </row>
    <row r="194" spans="1:100">
      <c r="A194" t="str">
        <f>HYPERLINK("http://exon.niaid.nih.gov/transcriptome/T_rubida/S2/links/pep/Triru-189-pep.txt","Triru-189")</f>
        <v>Triru-189</v>
      </c>
      <c r="B194">
        <v>47</v>
      </c>
      <c r="C194" s="1" t="s">
        <v>10</v>
      </c>
      <c r="D194" s="1" t="s">
        <v>3</v>
      </c>
      <c r="E194" t="str">
        <f>HYPERLINK("http://exon.niaid.nih.gov/transcriptome/T_rubida/S2/links/cds/Triru-189-cds.txt","Triru-189")</f>
        <v>Triru-189</v>
      </c>
      <c r="F194">
        <v>144</v>
      </c>
      <c r="G194" s="2" t="s">
        <v>1666</v>
      </c>
      <c r="H194" s="1">
        <v>1</v>
      </c>
      <c r="I194" s="3" t="s">
        <v>1268</v>
      </c>
      <c r="J194" s="17" t="str">
        <f>HYPERLINK("http://exon.niaid.nih.gov/transcriptome/T_rubida/S2/links/Sigp/Triru-189-SigP.txt","CYT")</f>
        <v>CYT</v>
      </c>
      <c r="K194" t="s">
        <v>5</v>
      </c>
      <c r="L194" s="1">
        <v>5.3959999999999999</v>
      </c>
      <c r="M194" s="1">
        <v>9.36</v>
      </c>
      <c r="P194" s="1">
        <v>0.125</v>
      </c>
      <c r="Q194" s="1">
        <v>4.4999999999999998E-2</v>
      </c>
      <c r="R194" s="1">
        <v>0.89200000000000002</v>
      </c>
      <c r="S194" s="17" t="s">
        <v>1346</v>
      </c>
      <c r="T194">
        <v>2</v>
      </c>
      <c r="U194" t="s">
        <v>1382</v>
      </c>
      <c r="V194" s="17">
        <v>0</v>
      </c>
      <c r="W194" t="s">
        <v>5</v>
      </c>
      <c r="X194" t="s">
        <v>5</v>
      </c>
      <c r="Y194" t="s">
        <v>5</v>
      </c>
      <c r="Z194" t="s">
        <v>5</v>
      </c>
      <c r="AA194" t="s">
        <v>5</v>
      </c>
      <c r="AB194" s="17" t="str">
        <f>HYPERLINK("http://exon.niaid.nih.gov/transcriptome/T_rubida/S2/links/netoglyc/TRIRU-189-netoglyc.txt","0")</f>
        <v>0</v>
      </c>
      <c r="AC194">
        <v>6.4</v>
      </c>
      <c r="AD194">
        <v>10.6</v>
      </c>
      <c r="AE194">
        <v>4.3</v>
      </c>
      <c r="AF194" s="17" t="s">
        <v>5</v>
      </c>
      <c r="AG194" s="2" t="str">
        <f>HYPERLINK("http://exon.niaid.nih.gov/transcriptome/T_rubida/S2/links/NR/Triru-189-NR.txt","ribosomal protein S28e-like protein")</f>
        <v>ribosomal protein S28e-like protein</v>
      </c>
      <c r="AH194" t="str">
        <f>HYPERLINK("http://www.ncbi.nlm.nih.gov/sutils/blink.cgi?pid=121543975","1E-016")</f>
        <v>1E-016</v>
      </c>
      <c r="AI194" t="str">
        <f>HYPERLINK("http://www.ncbi.nlm.nih.gov/protein/121543975","gi|121543975")</f>
        <v>gi|121543975</v>
      </c>
      <c r="AJ194">
        <v>89.7</v>
      </c>
      <c r="AK194">
        <v>44</v>
      </c>
      <c r="AL194">
        <v>65</v>
      </c>
      <c r="AM194">
        <v>97</v>
      </c>
      <c r="AN194">
        <v>69</v>
      </c>
      <c r="AO194" t="s">
        <v>156</v>
      </c>
      <c r="AP194" s="2" t="str">
        <f>HYPERLINK("http://exon.niaid.nih.gov/transcriptome/T_rubida/S2/links/SWISSP/Triru-189-SWISSP.txt","40S ribosomal protein S28")</f>
        <v>40S ribosomal protein S28</v>
      </c>
      <c r="AQ194" t="str">
        <f>HYPERLINK("http://www.uniprot.org/uniprot/Q9W334","8E-018")</f>
        <v>8E-018</v>
      </c>
      <c r="AR194" t="s">
        <v>931</v>
      </c>
      <c r="AS194">
        <v>89</v>
      </c>
      <c r="AT194">
        <v>44</v>
      </c>
      <c r="AU194">
        <v>65</v>
      </c>
      <c r="AV194">
        <v>95</v>
      </c>
      <c r="AW194">
        <v>69</v>
      </c>
      <c r="AX194">
        <v>2</v>
      </c>
      <c r="AY194">
        <v>0</v>
      </c>
      <c r="AZ194">
        <v>21</v>
      </c>
      <c r="BA194">
        <v>3</v>
      </c>
      <c r="BB194">
        <v>1</v>
      </c>
      <c r="BC194" t="s">
        <v>150</v>
      </c>
      <c r="BD194" s="2" t="s">
        <v>932</v>
      </c>
      <c r="BE194">
        <f>HYPERLINK("http://exon.niaid.nih.gov/transcriptome/T_rubida/S2/links/GO/Triru-189-GO.txt",0.000000000000000005)</f>
        <v>5.0000000000000004E-18</v>
      </c>
      <c r="BF194" t="s">
        <v>138</v>
      </c>
      <c r="BG194" t="s">
        <v>139</v>
      </c>
      <c r="BH194" t="s">
        <v>140</v>
      </c>
      <c r="BI194" s="2" t="str">
        <f>HYPERLINK("http://exon.niaid.nih.gov/transcriptome/T_rubida/S2/links/CDD/Triru-189-CDD.txt","S1_S28E")</f>
        <v>S1_S28E</v>
      </c>
      <c r="BJ194" t="str">
        <f>HYPERLINK("http://www.ncbi.nlm.nih.gov/Structure/cdd/cddsrv.cgi?uid=cd04457&amp;version=v4.0","8E-013")</f>
        <v>8E-013</v>
      </c>
      <c r="BK194" t="s">
        <v>933</v>
      </c>
      <c r="BL194" s="2" t="str">
        <f>HYPERLINK("http://exon.niaid.nih.gov/transcriptome/T_rubida/S2/links/KOG/Triru-189-KOG.txt","40S ribosomal protein S28")</f>
        <v>40S ribosomal protein S28</v>
      </c>
      <c r="BM194" t="str">
        <f>HYPERLINK("http://www.ncbi.nlm.nih.gov/COG/grace/shokog.cgi?KOG3502","3E-012")</f>
        <v>3E-012</v>
      </c>
      <c r="BN194" t="s">
        <v>84</v>
      </c>
      <c r="BO194" s="2" t="str">
        <f>HYPERLINK("http://exon.niaid.nih.gov/transcriptome/T_rubida/S2/links/PFAM/Triru-189-PFAM.txt","Ribosomal_S28e")</f>
        <v>Ribosomal_S28e</v>
      </c>
      <c r="BP194" t="str">
        <f>HYPERLINK("http://pfam.sanger.ac.uk/family?acc=PF01200","1E-012")</f>
        <v>1E-012</v>
      </c>
      <c r="BQ194" s="2" t="str">
        <f>HYPERLINK("http://exon.niaid.nih.gov/transcriptome/T_rubida/S2/links/SMART/Triru-189-SMART.txt","SH3")</f>
        <v>SH3</v>
      </c>
      <c r="BR194" t="str">
        <f>HYPERLINK("http://smart.embl-heidelberg.de/smart/do_annotation.pl?DOMAIN=SH3&amp;BLAST=DUMMY","2.4")</f>
        <v>2.4</v>
      </c>
      <c r="BS194" s="17">
        <f>HYPERLINK("http://exon.niaid.nih.gov/transcriptome/T_rubida/S2/links/cluster/Triru-pep-ext25-50-Sim-CLU1.txt", 1)</f>
        <v>1</v>
      </c>
      <c r="BT194" s="1">
        <f>HYPERLINK("http://exon.niaid.nih.gov/transcriptome/T_rubida/S2/links/cluster/Triru-pep-ext25-50-Sim-CLTL1.txt", 359)</f>
        <v>359</v>
      </c>
      <c r="BU194" s="17">
        <v>100</v>
      </c>
      <c r="BV194" s="1">
        <v>1</v>
      </c>
      <c r="BW194" s="17">
        <v>113</v>
      </c>
      <c r="BX194" s="1">
        <v>1</v>
      </c>
      <c r="BY194" s="17">
        <v>117</v>
      </c>
      <c r="BZ194" s="1">
        <v>1</v>
      </c>
      <c r="CA194" s="17">
        <v>117</v>
      </c>
      <c r="CB194" s="1">
        <v>1</v>
      </c>
      <c r="CC194" s="17">
        <v>119</v>
      </c>
      <c r="CD194" s="1">
        <v>1</v>
      </c>
      <c r="CE194" s="17">
        <v>116</v>
      </c>
      <c r="CF194" s="1">
        <v>1</v>
      </c>
      <c r="CG194" s="17">
        <v>117</v>
      </c>
      <c r="CH194" s="1">
        <v>1</v>
      </c>
      <c r="CI194" s="17">
        <v>123</v>
      </c>
      <c r="CJ194" s="1">
        <v>1</v>
      </c>
      <c r="CK194" s="17">
        <v>128</v>
      </c>
      <c r="CL194" s="1">
        <v>1</v>
      </c>
      <c r="CM194" s="17">
        <v>134</v>
      </c>
      <c r="CN194" s="1">
        <v>1</v>
      </c>
      <c r="CO194" s="17">
        <v>144</v>
      </c>
      <c r="CP194" s="1">
        <v>1</v>
      </c>
      <c r="CQ194" s="17">
        <v>154</v>
      </c>
      <c r="CR194" s="1">
        <v>1</v>
      </c>
      <c r="CS194" s="17">
        <v>159</v>
      </c>
      <c r="CT194" s="1">
        <v>1</v>
      </c>
      <c r="CU194" s="17">
        <v>170</v>
      </c>
      <c r="CV194" s="1">
        <v>1</v>
      </c>
    </row>
    <row r="195" spans="1:100">
      <c r="A195" t="str">
        <f>HYPERLINK("http://exon.niaid.nih.gov/transcriptome/T_rubida/S2/links/pep/Triru-122-pep.txt","Triru-122")</f>
        <v>Triru-122</v>
      </c>
      <c r="B195">
        <v>136</v>
      </c>
      <c r="C195" s="1" t="s">
        <v>4</v>
      </c>
      <c r="D195" s="1" t="s">
        <v>3</v>
      </c>
      <c r="E195" t="str">
        <f>HYPERLINK("http://exon.niaid.nih.gov/transcriptome/T_rubida/S2/links/cds/Triru-122-cds.txt","Triru-122")</f>
        <v>Triru-122</v>
      </c>
      <c r="F195">
        <v>411</v>
      </c>
      <c r="G195" s="2" t="s">
        <v>1667</v>
      </c>
      <c r="H195" s="1">
        <v>3</v>
      </c>
      <c r="I195" s="3" t="s">
        <v>1268</v>
      </c>
      <c r="J195" s="17" t="str">
        <f>HYPERLINK("http://exon.niaid.nih.gov/transcriptome/T_rubida/S2/links/Sigp/Triru-122-SigP.txt","CYT")</f>
        <v>CYT</v>
      </c>
      <c r="K195" t="s">
        <v>5</v>
      </c>
      <c r="L195" s="1">
        <v>15.567</v>
      </c>
      <c r="M195" s="1">
        <v>9.9</v>
      </c>
      <c r="P195" s="1">
        <v>0.63400000000000001</v>
      </c>
      <c r="Q195" s="1">
        <v>1.9E-2</v>
      </c>
      <c r="R195" s="1">
        <v>0.442</v>
      </c>
      <c r="S195" s="17" t="s">
        <v>9</v>
      </c>
      <c r="T195">
        <v>5</v>
      </c>
      <c r="U195" t="s">
        <v>1444</v>
      </c>
      <c r="V195" s="17">
        <v>0</v>
      </c>
      <c r="W195" t="s">
        <v>5</v>
      </c>
      <c r="X195" t="s">
        <v>5</v>
      </c>
      <c r="Y195" t="s">
        <v>5</v>
      </c>
      <c r="Z195" t="s">
        <v>5</v>
      </c>
      <c r="AA195" t="s">
        <v>5</v>
      </c>
      <c r="AB195" s="17" t="str">
        <f>HYPERLINK("http://exon.niaid.nih.gov/transcriptome/T_rubida/S2/links/netoglyc/TRIRU-122-netoglyc.txt","0")</f>
        <v>0</v>
      </c>
      <c r="AC195">
        <v>6.6</v>
      </c>
      <c r="AD195">
        <v>12.5</v>
      </c>
      <c r="AE195">
        <v>2.9</v>
      </c>
      <c r="AF195" s="17" t="s">
        <v>5</v>
      </c>
      <c r="AG195" s="2" t="str">
        <f>HYPERLINK("http://exon.niaid.nih.gov/transcriptome/T_rubida/S2/links/NR/Triru-122-NR.txt","ribosomal protein L11")</f>
        <v>ribosomal protein L11</v>
      </c>
      <c r="AH195" t="str">
        <f>HYPERLINK("http://www.ncbi.nlm.nih.gov/sutils/blink.cgi?pid=149898923","4E-073")</f>
        <v>4E-073</v>
      </c>
      <c r="AI195" t="str">
        <f>HYPERLINK("http://www.ncbi.nlm.nih.gov/protein/149898923","gi|149898923")</f>
        <v>gi|149898923</v>
      </c>
      <c r="AJ195">
        <v>277</v>
      </c>
      <c r="AK195">
        <v>134</v>
      </c>
      <c r="AL195">
        <v>195</v>
      </c>
      <c r="AM195">
        <v>99</v>
      </c>
      <c r="AN195">
        <v>69</v>
      </c>
      <c r="AO195" t="s">
        <v>80</v>
      </c>
      <c r="AP195" s="2" t="str">
        <f>HYPERLINK("http://exon.niaid.nih.gov/transcriptome/T_rubida/S2/links/SWISSP/Triru-122-SWISSP.txt","60S ribosomal protein L11")</f>
        <v>60S ribosomal protein L11</v>
      </c>
      <c r="AQ195" t="str">
        <f>HYPERLINK("http://www.uniprot.org/uniprot/P46222","1E-068")</f>
        <v>1E-068</v>
      </c>
      <c r="AR195" t="s">
        <v>247</v>
      </c>
      <c r="AS195">
        <v>258</v>
      </c>
      <c r="AT195">
        <v>134</v>
      </c>
      <c r="AU195">
        <v>184</v>
      </c>
      <c r="AV195">
        <v>91</v>
      </c>
      <c r="AW195">
        <v>73</v>
      </c>
      <c r="AX195">
        <v>11</v>
      </c>
      <c r="AY195">
        <v>0</v>
      </c>
      <c r="AZ195">
        <v>50</v>
      </c>
      <c r="BA195">
        <v>2</v>
      </c>
      <c r="BB195">
        <v>1</v>
      </c>
      <c r="BC195" t="s">
        <v>150</v>
      </c>
      <c r="BD195" s="2" t="s">
        <v>248</v>
      </c>
      <c r="BE195">
        <f>HYPERLINK("http://exon.niaid.nih.gov/transcriptome/T_rubida/S2/links/GO/Triru-122-GO.txt",7E-69)</f>
        <v>7.0000000000000003E-69</v>
      </c>
      <c r="BF195" t="s">
        <v>138</v>
      </c>
      <c r="BG195" t="s">
        <v>139</v>
      </c>
      <c r="BH195" t="s">
        <v>140</v>
      </c>
      <c r="BI195" s="2" t="str">
        <f>HYPERLINK("http://exon.niaid.nih.gov/transcriptome/T_rubida/S2/links/CDD/Triru-122-CDD.txt","PTZ00156")</f>
        <v>PTZ00156</v>
      </c>
      <c r="BJ195" t="str">
        <f>HYPERLINK("http://www.ncbi.nlm.nih.gov/Structure/cdd/cddsrv.cgi?uid=PTZ00156&amp;version=v4.0","5E-070")</f>
        <v>5E-070</v>
      </c>
      <c r="BK195" t="s">
        <v>249</v>
      </c>
      <c r="BL195" s="2" t="str">
        <f>HYPERLINK("http://exon.niaid.nih.gov/transcriptome/T_rubida/S2/links/KOG/Triru-122-KOG.txt","60S ribosomal protein L11")</f>
        <v>60S ribosomal protein L11</v>
      </c>
      <c r="BM195" t="str">
        <f>HYPERLINK("http://www.ncbi.nlm.nih.gov/COG/grace/shokog.cgi?KOG0397","2E-067")</f>
        <v>2E-067</v>
      </c>
      <c r="BN195" t="s">
        <v>84</v>
      </c>
      <c r="BO195" s="2" t="str">
        <f>HYPERLINK("http://exon.niaid.nih.gov/transcriptome/T_rubida/S2/links/PFAM/Triru-122-PFAM.txt","Ribosomal_L5_C")</f>
        <v>Ribosomal_L5_C</v>
      </c>
      <c r="BP195" t="str">
        <f>HYPERLINK("http://pfam.sanger.ac.uk/family?acc=PF00673","2E-022")</f>
        <v>2E-022</v>
      </c>
      <c r="BQ195" s="2" t="str">
        <f>HYPERLINK("http://exon.niaid.nih.gov/transcriptome/T_rubida/S2/links/SMART/Triru-122-SMART.txt","PKS_MT")</f>
        <v>PKS_MT</v>
      </c>
      <c r="BR195" t="str">
        <f>HYPERLINK("http://smart.embl-heidelberg.de/smart/do_annotation.pl?DOMAIN=PKS_MT&amp;BLAST=DUMMY","0.57")</f>
        <v>0.57</v>
      </c>
      <c r="BS195" s="17">
        <f>HYPERLINK("http://exon.niaid.nih.gov/transcriptome/T_rubida/S2/links/cluster/Triru-pep-ext25-50-Sim-CLU13.txt", 13)</f>
        <v>13</v>
      </c>
      <c r="BT195" s="1">
        <f>HYPERLINK("http://exon.niaid.nih.gov/transcriptome/T_rubida/S2/links/cluster/Triru-pep-ext25-50-Sim-CLTL13.txt", 2)</f>
        <v>2</v>
      </c>
      <c r="BU195" s="17">
        <v>68</v>
      </c>
      <c r="BV195" s="1">
        <v>1</v>
      </c>
      <c r="BW195" s="17">
        <v>74</v>
      </c>
      <c r="BX195" s="1">
        <v>1</v>
      </c>
      <c r="BY195" s="17">
        <v>74</v>
      </c>
      <c r="BZ195" s="1">
        <v>1</v>
      </c>
      <c r="CA195" s="17">
        <v>72</v>
      </c>
      <c r="CB195" s="1">
        <v>1</v>
      </c>
      <c r="CC195" s="17">
        <v>71</v>
      </c>
      <c r="CD195" s="1">
        <v>1</v>
      </c>
      <c r="CE195" s="17">
        <v>65</v>
      </c>
      <c r="CF195" s="1">
        <v>1</v>
      </c>
      <c r="CG195" s="17">
        <v>65</v>
      </c>
      <c r="CH195" s="1">
        <v>1</v>
      </c>
      <c r="CI195" s="17">
        <v>71</v>
      </c>
      <c r="CJ195" s="1">
        <v>1</v>
      </c>
      <c r="CK195" s="17">
        <v>75</v>
      </c>
      <c r="CL195" s="1">
        <v>1</v>
      </c>
      <c r="CM195" s="17">
        <v>79</v>
      </c>
      <c r="CN195" s="1">
        <v>1</v>
      </c>
      <c r="CO195" s="17">
        <v>87</v>
      </c>
      <c r="CP195" s="1">
        <v>1</v>
      </c>
      <c r="CQ195" s="17">
        <v>97</v>
      </c>
      <c r="CR195" s="1">
        <v>1</v>
      </c>
      <c r="CS195" s="17">
        <v>102</v>
      </c>
      <c r="CT195" s="1">
        <v>1</v>
      </c>
      <c r="CU195" s="17">
        <v>113</v>
      </c>
      <c r="CV195" s="1">
        <v>1</v>
      </c>
    </row>
    <row r="196" spans="1:100">
      <c r="A196" t="str">
        <f>HYPERLINK("http://exon.niaid.nih.gov/transcriptome/T_rubida/S2/links/pep/Triru-113-pep.txt","Triru-113")</f>
        <v>Triru-113</v>
      </c>
      <c r="B196">
        <v>164</v>
      </c>
      <c r="C196" s="1" t="s">
        <v>17</v>
      </c>
      <c r="D196" s="1" t="s">
        <v>3</v>
      </c>
      <c r="E196" t="str">
        <f>HYPERLINK("http://exon.niaid.nih.gov/transcriptome/T_rubida/S2/links/cds/Triru-113-cds.txt","Triru-113")</f>
        <v>Triru-113</v>
      </c>
      <c r="F196">
        <v>495</v>
      </c>
      <c r="G196" s="2" t="s">
        <v>1655</v>
      </c>
      <c r="H196" s="1">
        <v>1</v>
      </c>
      <c r="I196" s="3" t="s">
        <v>1268</v>
      </c>
      <c r="J196" s="17" t="str">
        <f>HYPERLINK("http://exon.niaid.nih.gov/transcriptome/T_rubida/S2/links/Sigp/Triru-113-SigP.txt","BL")</f>
        <v>BL</v>
      </c>
      <c r="K196" t="s">
        <v>1316</v>
      </c>
      <c r="L196" s="1">
        <v>19.187000000000001</v>
      </c>
      <c r="M196" s="1">
        <v>9.85</v>
      </c>
      <c r="N196" s="1">
        <v>17.309000000000001</v>
      </c>
      <c r="O196" s="1">
        <v>9.7899999999999991</v>
      </c>
      <c r="P196" s="1">
        <v>8.5999999999999993E-2</v>
      </c>
      <c r="Q196" s="1">
        <v>0.83499999999999996</v>
      </c>
      <c r="R196" s="1">
        <v>0.14099999999999999</v>
      </c>
      <c r="S196" s="17" t="s">
        <v>18</v>
      </c>
      <c r="T196">
        <v>2</v>
      </c>
      <c r="U196" t="s">
        <v>1445</v>
      </c>
      <c r="V196" s="17">
        <v>0</v>
      </c>
      <c r="W196" t="s">
        <v>5</v>
      </c>
      <c r="X196" t="s">
        <v>5</v>
      </c>
      <c r="Y196" t="s">
        <v>5</v>
      </c>
      <c r="Z196" t="s">
        <v>5</v>
      </c>
      <c r="AA196" t="s">
        <v>5</v>
      </c>
      <c r="AB196" s="17" t="str">
        <f>HYPERLINK("http://exon.niaid.nih.gov/transcriptome/T_rubida/S2/links/netoglyc/TRIRU-113-netoglyc.txt","0")</f>
        <v>0</v>
      </c>
      <c r="AC196">
        <v>10.4</v>
      </c>
      <c r="AD196">
        <v>3</v>
      </c>
      <c r="AE196">
        <v>6.1</v>
      </c>
      <c r="AF196" s="17" t="s">
        <v>5</v>
      </c>
      <c r="AG196" s="2" t="str">
        <f>HYPERLINK("http://exon.niaid.nih.gov/transcriptome/T_rubida/S2/links/NR/Triru-113-NR.txt","similar to ribosomal protein L22e")</f>
        <v>similar to ribosomal protein L22e</v>
      </c>
      <c r="AH196" t="str">
        <f>HYPERLINK("http://www.ncbi.nlm.nih.gov/sutils/blink.cgi?pid=156553855","1E-036")</f>
        <v>1E-036</v>
      </c>
      <c r="AI196" t="str">
        <f>HYPERLINK("http://www.ncbi.nlm.nih.gov/protein/156553855","gi|156553855")</f>
        <v>gi|156553855</v>
      </c>
      <c r="AJ196">
        <v>155</v>
      </c>
      <c r="AK196">
        <v>94</v>
      </c>
      <c r="AL196">
        <v>141</v>
      </c>
      <c r="AM196">
        <v>80</v>
      </c>
      <c r="AN196">
        <v>67</v>
      </c>
      <c r="AO196" t="s">
        <v>288</v>
      </c>
      <c r="AP196" s="2" t="str">
        <f>HYPERLINK("http://exon.niaid.nih.gov/transcriptome/T_rubida/S2/links/SWISSP/Triru-113-SWISSP.txt","60S ribosomal protein L22")</f>
        <v>60S ribosomal protein L22</v>
      </c>
      <c r="AQ196" t="str">
        <f>HYPERLINK("http://www.uniprot.org/uniprot/P50887","1E-033")</f>
        <v>1E-033</v>
      </c>
      <c r="AR196" t="s">
        <v>1163</v>
      </c>
      <c r="AS196">
        <v>142</v>
      </c>
      <c r="AT196">
        <v>103</v>
      </c>
      <c r="AU196">
        <v>299</v>
      </c>
      <c r="AV196">
        <v>66</v>
      </c>
      <c r="AW196">
        <v>35</v>
      </c>
      <c r="AX196">
        <v>35</v>
      </c>
      <c r="AY196">
        <v>0</v>
      </c>
      <c r="AZ196">
        <v>173</v>
      </c>
      <c r="BA196">
        <v>56</v>
      </c>
      <c r="BB196">
        <v>1</v>
      </c>
      <c r="BC196" t="s">
        <v>150</v>
      </c>
      <c r="BD196" s="2" t="s">
        <v>1164</v>
      </c>
      <c r="BE196">
        <f>HYPERLINK("http://exon.niaid.nih.gov/transcriptome/T_rubida/S2/links/GO/Triru-113-GO.txt",9E-34)</f>
        <v>9.0000000000000008E-34</v>
      </c>
      <c r="BF196" t="s">
        <v>138</v>
      </c>
      <c r="BG196" t="s">
        <v>139</v>
      </c>
      <c r="BH196" t="s">
        <v>140</v>
      </c>
      <c r="BI196" s="2" t="str">
        <f>HYPERLINK("http://exon.niaid.nih.gov/transcriptome/T_rubida/S2/links/CDD/Triru-113-CDD.txt","Ribosomal_L22e")</f>
        <v>Ribosomal_L22e</v>
      </c>
      <c r="BJ196" t="str">
        <f>HYPERLINK("http://www.ncbi.nlm.nih.gov/Structure/cdd/cddsrv.cgi?uid=pfam01776&amp;version=v4.0","6E-043")</f>
        <v>6E-043</v>
      </c>
      <c r="BK196" t="s">
        <v>1165</v>
      </c>
      <c r="BL196" s="2" t="str">
        <f>HYPERLINK("http://exon.niaid.nih.gov/transcriptome/T_rubida/S2/links/KOG/Triru-113-KOG.txt","60S ribosomal protein L22")</f>
        <v>60S ribosomal protein L22</v>
      </c>
      <c r="BM196" t="str">
        <f>HYPERLINK("http://www.ncbi.nlm.nih.gov/COG/grace/shokog.cgi?KOG3434","3E-036")</f>
        <v>3E-036</v>
      </c>
      <c r="BN196" t="s">
        <v>84</v>
      </c>
      <c r="BO196" s="2" t="str">
        <f>HYPERLINK("http://exon.niaid.nih.gov/transcriptome/T_rubida/S2/links/PFAM/Triru-113-PFAM.txt","Ribosomal_L22e")</f>
        <v>Ribosomal_L22e</v>
      </c>
      <c r="BP196" t="str">
        <f>HYPERLINK("http://pfam.sanger.ac.uk/family?acc=PF01776","1E-043")</f>
        <v>1E-043</v>
      </c>
      <c r="BQ196" s="2" t="str">
        <f>HYPERLINK("http://exon.niaid.nih.gov/transcriptome/T_rubida/S2/links/SMART/Triru-113-SMART.txt","CUB")</f>
        <v>CUB</v>
      </c>
      <c r="BR196" t="str">
        <f>HYPERLINK("http://smart.embl-heidelberg.de/smart/do_annotation.pl?DOMAIN=CUB&amp;BLAST=DUMMY","0.77")</f>
        <v>0.77</v>
      </c>
      <c r="BS196" s="17">
        <f>HYPERLINK("http://exon.niaid.nih.gov/transcriptome/T_rubida/S2/links/cluster/Triru-pep-ext25-50-Sim-CLU11.txt", 11)</f>
        <v>11</v>
      </c>
      <c r="BT196" s="1">
        <f>HYPERLINK("http://exon.niaid.nih.gov/transcriptome/T_rubida/S2/links/cluster/Triru-pep-ext25-50-Sim-CLTL11.txt", 2)</f>
        <v>2</v>
      </c>
      <c r="BU196" s="17">
        <f>HYPERLINK("http://exon.niaid.nih.gov/transcriptome/T_rubida/S2/links/cluster/Triru-pep-ext30-50-Sim-CLU17.txt", 17)</f>
        <v>17</v>
      </c>
      <c r="BV196" s="1">
        <f>HYPERLINK("http://exon.niaid.nih.gov/transcriptome/T_rubida/S2/links/cluster/Triru-pep-ext30-50-Sim-CLTL17.txt", 2)</f>
        <v>2</v>
      </c>
      <c r="BW196" s="17">
        <f>HYPERLINK("http://exon.niaid.nih.gov/transcriptome/T_rubida/S2/links/cluster/Triru-pep-ext35-50-Sim-CLU15.txt", 15)</f>
        <v>15</v>
      </c>
      <c r="BX196" s="1">
        <f>HYPERLINK("http://exon.niaid.nih.gov/transcriptome/T_rubida/S2/links/cluster/Triru-pep-ext35-50-Sim-CLTL15.txt", 2)</f>
        <v>2</v>
      </c>
      <c r="BY196" s="17">
        <v>66</v>
      </c>
      <c r="BZ196" s="1">
        <v>1</v>
      </c>
      <c r="CA196" s="17">
        <v>64</v>
      </c>
      <c r="CB196" s="1">
        <v>1</v>
      </c>
      <c r="CC196" s="17">
        <v>63</v>
      </c>
      <c r="CD196" s="1">
        <v>1</v>
      </c>
      <c r="CE196" s="17">
        <v>56</v>
      </c>
      <c r="CF196" s="1">
        <v>1</v>
      </c>
      <c r="CG196" s="17">
        <v>56</v>
      </c>
      <c r="CH196" s="1">
        <v>1</v>
      </c>
      <c r="CI196" s="17">
        <v>62</v>
      </c>
      <c r="CJ196" s="1">
        <v>1</v>
      </c>
      <c r="CK196" s="17">
        <v>66</v>
      </c>
      <c r="CL196" s="1">
        <v>1</v>
      </c>
      <c r="CM196" s="17">
        <v>70</v>
      </c>
      <c r="CN196" s="1">
        <v>1</v>
      </c>
      <c r="CO196" s="17">
        <v>78</v>
      </c>
      <c r="CP196" s="1">
        <v>1</v>
      </c>
      <c r="CQ196" s="17">
        <v>88</v>
      </c>
      <c r="CR196" s="1">
        <v>1</v>
      </c>
      <c r="CS196" s="17">
        <v>93</v>
      </c>
      <c r="CT196" s="1">
        <v>1</v>
      </c>
      <c r="CU196" s="17">
        <v>104</v>
      </c>
      <c r="CV196" s="1">
        <v>1</v>
      </c>
    </row>
    <row r="197" spans="1:100">
      <c r="A197" t="str">
        <f>HYPERLINK("http://exon.niaid.nih.gov/transcriptome/T_rubida/S2/links/pep/Triru-187-pep.txt","Triru-187")</f>
        <v>Triru-187</v>
      </c>
      <c r="B197">
        <v>80</v>
      </c>
      <c r="C197" s="1" t="s">
        <v>10</v>
      </c>
      <c r="D197" s="1" t="s">
        <v>3</v>
      </c>
      <c r="E197" t="str">
        <f>HYPERLINK("http://exon.niaid.nih.gov/transcriptome/T_rubida/S2/links/cds/Triru-187-cds.txt","Triru-187")</f>
        <v>Triru-187</v>
      </c>
      <c r="F197">
        <v>243</v>
      </c>
      <c r="G197" s="2" t="s">
        <v>1668</v>
      </c>
      <c r="H197" s="1">
        <v>1</v>
      </c>
      <c r="I197" s="3" t="s">
        <v>1268</v>
      </c>
      <c r="J197" s="17" t="str">
        <f>HYPERLINK("http://exon.niaid.nih.gov/transcriptome/T_rubida/S2/links/Sigp/Triru-187-SigP.txt","CYT")</f>
        <v>CYT</v>
      </c>
      <c r="K197" t="s">
        <v>5</v>
      </c>
      <c r="L197" s="1">
        <v>7.9850000000000003</v>
      </c>
      <c r="M197" s="1">
        <v>4.46</v>
      </c>
      <c r="P197" s="1">
        <v>5.5E-2</v>
      </c>
      <c r="Q197" s="1">
        <v>0.13700000000000001</v>
      </c>
      <c r="R197" s="1">
        <v>0.89300000000000002</v>
      </c>
      <c r="S197" s="17" t="s">
        <v>1346</v>
      </c>
      <c r="T197">
        <v>2</v>
      </c>
      <c r="U197" t="s">
        <v>1446</v>
      </c>
      <c r="V197" s="17">
        <v>0</v>
      </c>
      <c r="W197" t="s">
        <v>5</v>
      </c>
      <c r="X197" t="s">
        <v>5</v>
      </c>
      <c r="Y197" t="s">
        <v>5</v>
      </c>
      <c r="Z197" t="s">
        <v>5</v>
      </c>
      <c r="AA197" t="s">
        <v>5</v>
      </c>
      <c r="AB197" s="17" t="str">
        <f>HYPERLINK("http://exon.niaid.nih.gov/transcriptome/T_rubida/S2/links/netoglyc/TRIRU-187-netoglyc.txt","0")</f>
        <v>0</v>
      </c>
      <c r="AC197">
        <v>5</v>
      </c>
      <c r="AD197">
        <v>15</v>
      </c>
      <c r="AE197">
        <v>10</v>
      </c>
      <c r="AF197" s="17" t="s">
        <v>5</v>
      </c>
      <c r="AG197" s="2" t="str">
        <f>HYPERLINK("http://exon.niaid.nih.gov/transcriptome/T_rubida/S2/links/NR/Triru-187-NR.txt","ribosomal protein P1")</f>
        <v>ribosomal protein P1</v>
      </c>
      <c r="AH197" t="str">
        <f>HYPERLINK("http://www.ncbi.nlm.nih.gov/sutils/blink.cgi?pid=149898879","6E-038")</f>
        <v>6E-038</v>
      </c>
      <c r="AI197" t="str">
        <f>HYPERLINK("http://www.ncbi.nlm.nih.gov/protein/149898879","gi|149898879")</f>
        <v>gi|149898879</v>
      </c>
      <c r="AJ197">
        <v>160</v>
      </c>
      <c r="AK197">
        <v>77</v>
      </c>
      <c r="AL197">
        <v>116</v>
      </c>
      <c r="AM197">
        <v>100</v>
      </c>
      <c r="AN197">
        <v>67</v>
      </c>
      <c r="AO197" t="s">
        <v>80</v>
      </c>
      <c r="AP197" s="2" t="str">
        <f>HYPERLINK("http://exon.niaid.nih.gov/transcriptome/T_rubida/S2/links/SWISSP/Triru-187-SWISSP.txt","60S acidic ribosomal protein P1")</f>
        <v>60S acidic ribosomal protein P1</v>
      </c>
      <c r="AQ197" t="str">
        <f>HYPERLINK("http://www.uniprot.org/uniprot/P08570","7E-027")</f>
        <v>7E-027</v>
      </c>
      <c r="AR197" t="s">
        <v>970</v>
      </c>
      <c r="AS197">
        <v>119</v>
      </c>
      <c r="AT197">
        <v>72</v>
      </c>
      <c r="AU197">
        <v>112</v>
      </c>
      <c r="AV197">
        <v>79</v>
      </c>
      <c r="AW197">
        <v>65</v>
      </c>
      <c r="AX197">
        <v>16</v>
      </c>
      <c r="AY197">
        <v>5</v>
      </c>
      <c r="AZ197">
        <v>40</v>
      </c>
      <c r="BA197">
        <v>3</v>
      </c>
      <c r="BB197">
        <v>1</v>
      </c>
      <c r="BC197" t="s">
        <v>150</v>
      </c>
      <c r="BD197" s="2" t="s">
        <v>971</v>
      </c>
      <c r="BE197">
        <f>HYPERLINK("http://exon.niaid.nih.gov/transcriptome/T_rubida/S2/links/GO/Triru-187-GO.txt",5E-27)</f>
        <v>5.0000000000000002E-27</v>
      </c>
      <c r="BF197" t="s">
        <v>138</v>
      </c>
      <c r="BG197" t="s">
        <v>139</v>
      </c>
      <c r="BH197" t="s">
        <v>140</v>
      </c>
      <c r="BI197" s="2" t="str">
        <f>HYPERLINK("http://exon.niaid.nih.gov/transcriptome/T_rubida/S2/links/CDD/Triru-187-CDD.txt","Ribosomal_P1")</f>
        <v>Ribosomal_P1</v>
      </c>
      <c r="BJ197" t="str">
        <f>HYPERLINK("http://www.ncbi.nlm.nih.gov/Structure/cdd/cddsrv.cgi?uid=cd05831&amp;version=v4.0","4E-016")</f>
        <v>4E-016</v>
      </c>
      <c r="BK197" t="s">
        <v>972</v>
      </c>
      <c r="BL197" s="2" t="str">
        <f>HYPERLINK("http://exon.niaid.nih.gov/transcriptome/T_rubida/S2/links/KOG/Triru-187-KOG.txt","60s acidic ribosomal protein P1")</f>
        <v>60s acidic ribosomal protein P1</v>
      </c>
      <c r="BM197" t="str">
        <f>HYPERLINK("http://www.ncbi.nlm.nih.gov/COG/grace/shokog.cgi?KOG1762","4E-014")</f>
        <v>4E-014</v>
      </c>
      <c r="BN197" t="s">
        <v>84</v>
      </c>
      <c r="BO197" s="2" t="str">
        <f>HYPERLINK("http://exon.niaid.nih.gov/transcriptome/T_rubida/S2/links/PFAM/Triru-187-PFAM.txt","Ribosomal_60s")</f>
        <v>Ribosomal_60s</v>
      </c>
      <c r="BP197" t="str">
        <f>HYPERLINK("http://pfam.sanger.ac.uk/family?acc=PF00428","6E-009")</f>
        <v>6E-009</v>
      </c>
      <c r="BQ197" s="2" t="str">
        <f>HYPERLINK("http://exon.niaid.nih.gov/transcriptome/T_rubida/S2/links/SMART/Triru-187-SMART.txt","AgrB")</f>
        <v>AgrB</v>
      </c>
      <c r="BR197" t="str">
        <f>HYPERLINK("http://smart.embl-heidelberg.de/smart/do_annotation.pl?DOMAIN=AgrB&amp;BLAST=DUMMY","0.33")</f>
        <v>0.33</v>
      </c>
      <c r="BS197" s="17">
        <f>HYPERLINK("http://exon.niaid.nih.gov/transcriptome/T_rubida/S2/links/cluster/Triru-pep-ext25-50-Sim-CLU1.txt", 1)</f>
        <v>1</v>
      </c>
      <c r="BT197" s="1">
        <f>HYPERLINK("http://exon.niaid.nih.gov/transcriptome/T_rubida/S2/links/cluster/Triru-pep-ext25-50-Sim-CLTL1.txt", 359)</f>
        <v>359</v>
      </c>
      <c r="BU197" s="17">
        <f>HYPERLINK("http://exon.niaid.nih.gov/transcriptome/T_rubida/S2/links/cluster/Triru-pep-ext30-50-Sim-CLU8.txt", 8)</f>
        <v>8</v>
      </c>
      <c r="BV197" s="1">
        <f>HYPERLINK("http://exon.niaid.nih.gov/transcriptome/T_rubida/S2/links/cluster/Triru-pep-ext30-50-Sim-CLTL8.txt", 3)</f>
        <v>3</v>
      </c>
      <c r="BW197" s="17">
        <f>HYPERLINK("http://exon.niaid.nih.gov/transcriptome/T_rubida/S2/links/cluster/Triru-pep-ext35-50-Sim-CLU18.txt", 18)</f>
        <v>18</v>
      </c>
      <c r="BX197" s="1">
        <f>HYPERLINK("http://exon.niaid.nih.gov/transcriptome/T_rubida/S2/links/cluster/Triru-pep-ext35-50-Sim-CLTL18.txt", 2)</f>
        <v>2</v>
      </c>
      <c r="BY197" s="17">
        <f>HYPERLINK("http://exon.niaid.nih.gov/transcriptome/T_rubida/S2/links/cluster/Triru-pep-ext40-50-Sim-CLU16.txt", 16)</f>
        <v>16</v>
      </c>
      <c r="BZ197" s="1">
        <f>HYPERLINK("http://exon.niaid.nih.gov/transcriptome/T_rubida/S2/links/cluster/Triru-pep-ext40-50-Sim-CLTL16.txt", 2)</f>
        <v>2</v>
      </c>
      <c r="CA197" s="17">
        <f>HYPERLINK("http://exon.niaid.nih.gov/transcriptome/T_rubida/S2/links/cluster/Triru-pep-ext45-50-Sim-CLU13.txt", 13)</f>
        <v>13</v>
      </c>
      <c r="CB197" s="1">
        <f>HYPERLINK("http://exon.niaid.nih.gov/transcriptome/T_rubida/S2/links/cluster/Triru-pep-ext45-50-Sim-CLTL13.txt", 2)</f>
        <v>2</v>
      </c>
      <c r="CC197" s="17">
        <f>HYPERLINK("http://exon.niaid.nih.gov/transcriptome/T_rubida/S2/links/cluster/Triru-pep-ext50-50-Sim-CLU13.txt", 13)</f>
        <v>13</v>
      </c>
      <c r="CD197" s="1">
        <f>HYPERLINK("http://exon.niaid.nih.gov/transcriptome/T_rubida/S2/links/cluster/Triru-pep-ext50-50-Sim-CLTL13.txt", 2)</f>
        <v>2</v>
      </c>
      <c r="CE197" s="17">
        <v>114</v>
      </c>
      <c r="CF197" s="1">
        <v>1</v>
      </c>
      <c r="CG197" s="17">
        <v>115</v>
      </c>
      <c r="CH197" s="1">
        <v>1</v>
      </c>
      <c r="CI197" s="17">
        <v>121</v>
      </c>
      <c r="CJ197" s="1">
        <v>1</v>
      </c>
      <c r="CK197" s="17">
        <v>126</v>
      </c>
      <c r="CL197" s="1">
        <v>1</v>
      </c>
      <c r="CM197" s="17">
        <v>132</v>
      </c>
      <c r="CN197" s="1">
        <v>1</v>
      </c>
      <c r="CO197" s="17">
        <v>142</v>
      </c>
      <c r="CP197" s="1">
        <v>1</v>
      </c>
      <c r="CQ197" s="17">
        <v>152</v>
      </c>
      <c r="CR197" s="1">
        <v>1</v>
      </c>
      <c r="CS197" s="17">
        <v>157</v>
      </c>
      <c r="CT197" s="1">
        <v>1</v>
      </c>
      <c r="CU197" s="17">
        <v>168</v>
      </c>
      <c r="CV197" s="1">
        <v>1</v>
      </c>
    </row>
    <row r="198" spans="1:100">
      <c r="A198" t="str">
        <f>HYPERLINK("http://exon.niaid.nih.gov/transcriptome/T_rubida/S2/links/pep/Triru-239-pep.txt","Triru-239")</f>
        <v>Triru-239</v>
      </c>
      <c r="B198">
        <v>84</v>
      </c>
      <c r="C198" s="1" t="s">
        <v>6</v>
      </c>
      <c r="D198" s="1" t="s">
        <v>3</v>
      </c>
      <c r="E198" t="str">
        <f>HYPERLINK("http://exon.niaid.nih.gov/transcriptome/T_rubida/S2/links/cds/Triru-239-cds.txt","Triru-239")</f>
        <v>Triru-239</v>
      </c>
      <c r="F198">
        <v>255</v>
      </c>
      <c r="G198" s="2" t="s">
        <v>1669</v>
      </c>
      <c r="H198" s="1">
        <v>1</v>
      </c>
      <c r="I198" s="3" t="s">
        <v>1268</v>
      </c>
      <c r="J198" s="17" t="str">
        <f>HYPERLINK("http://exon.niaid.nih.gov/transcriptome/T_rubida/S2/links/Sigp/Triru-239-SigP.txt","CYT")</f>
        <v>CYT</v>
      </c>
      <c r="K198" t="s">
        <v>5</v>
      </c>
      <c r="L198" s="1">
        <v>9.766</v>
      </c>
      <c r="M198" s="1">
        <v>11.5</v>
      </c>
      <c r="P198" s="1">
        <v>0.30299999999999999</v>
      </c>
      <c r="Q198" s="1">
        <v>9.2999999999999999E-2</v>
      </c>
      <c r="R198" s="1">
        <v>0.58899999999999997</v>
      </c>
      <c r="S198" s="17" t="s">
        <v>1346</v>
      </c>
      <c r="T198">
        <v>4</v>
      </c>
      <c r="U198" t="s">
        <v>1347</v>
      </c>
      <c r="V198" s="17">
        <v>0</v>
      </c>
      <c r="W198" t="s">
        <v>5</v>
      </c>
      <c r="X198" t="s">
        <v>5</v>
      </c>
      <c r="Y198" t="s">
        <v>5</v>
      </c>
      <c r="Z198" t="s">
        <v>5</v>
      </c>
      <c r="AA198" t="s">
        <v>5</v>
      </c>
      <c r="AB198" s="17" t="str">
        <f>HYPERLINK("http://exon.niaid.nih.gov/transcriptome/T_rubida/S2/links/netoglyc/TRIRU-239-netoglyc.txt","0")</f>
        <v>0</v>
      </c>
      <c r="AC198">
        <v>3.6</v>
      </c>
      <c r="AD198">
        <v>6</v>
      </c>
      <c r="AE198">
        <v>7.1</v>
      </c>
      <c r="AF198" s="17" t="s">
        <v>5</v>
      </c>
      <c r="AG198" s="2" t="str">
        <f>HYPERLINK("http://exon.niaid.nih.gov/transcriptome/T_rubida/S2/links/NR/Triru-239-NR.txt","ribosomal protein L35")</f>
        <v>ribosomal protein L35</v>
      </c>
      <c r="AH198" t="str">
        <f>HYPERLINK("http://www.ncbi.nlm.nih.gov/sutils/blink.cgi?pid=264667453","2E-029")</f>
        <v>2E-029</v>
      </c>
      <c r="AI198" t="str">
        <f>HYPERLINK("http://www.ncbi.nlm.nih.gov/protein/264667453","gi|264667453")</f>
        <v>gi|264667453</v>
      </c>
      <c r="AJ198">
        <v>132</v>
      </c>
      <c r="AK198">
        <v>79</v>
      </c>
      <c r="AL198">
        <v>123</v>
      </c>
      <c r="AM198">
        <v>80</v>
      </c>
      <c r="AN198">
        <v>65</v>
      </c>
      <c r="AO198" t="s">
        <v>537</v>
      </c>
      <c r="AP198" s="2" t="str">
        <f>HYPERLINK("http://exon.niaid.nih.gov/transcriptome/T_rubida/S2/links/SWISSP/Triru-239-SWISSP.txt","60S ribosomal protein L35")</f>
        <v>60S ribosomal protein L35</v>
      </c>
      <c r="AQ198" t="str">
        <f>HYPERLINK("http://www.uniprot.org/uniprot/P17078","1E-022")</f>
        <v>1E-022</v>
      </c>
      <c r="AR198" t="s">
        <v>306</v>
      </c>
      <c r="AS198">
        <v>105</v>
      </c>
      <c r="AT198">
        <v>79</v>
      </c>
      <c r="AU198">
        <v>123</v>
      </c>
      <c r="AV198">
        <v>63</v>
      </c>
      <c r="AW198">
        <v>65</v>
      </c>
      <c r="AX198">
        <v>29</v>
      </c>
      <c r="AY198">
        <v>0</v>
      </c>
      <c r="AZ198">
        <v>44</v>
      </c>
      <c r="BA198">
        <v>5</v>
      </c>
      <c r="BB198">
        <v>1</v>
      </c>
      <c r="BC198" t="s">
        <v>130</v>
      </c>
      <c r="BD198" s="2" t="s">
        <v>538</v>
      </c>
      <c r="BE198">
        <f>HYPERLINK("http://exon.niaid.nih.gov/transcriptome/T_rubida/S2/links/GO/Triru-239-GO.txt",1E-24)</f>
        <v>9.9999999999999992E-25</v>
      </c>
      <c r="BF198" t="s">
        <v>138</v>
      </c>
      <c r="BG198" t="s">
        <v>139</v>
      </c>
      <c r="BH198" t="s">
        <v>140</v>
      </c>
      <c r="BI198" s="2" t="str">
        <f>HYPERLINK("http://exon.niaid.nih.gov/transcriptome/T_rubida/S2/links/CDD/Triru-239-CDD.txt","ALDH_F3AB")</f>
        <v>ALDH_F3AB</v>
      </c>
      <c r="BJ198" t="str">
        <f>HYPERLINK("http://www.ncbi.nlm.nih.gov/Structure/cdd/cddsrv.cgi?uid=cd07132&amp;version=v4.0","0.14")</f>
        <v>0.14</v>
      </c>
      <c r="BK198" t="s">
        <v>539</v>
      </c>
      <c r="BL198" s="2" t="str">
        <f>HYPERLINK("http://exon.niaid.nih.gov/transcriptome/T_rubida/S2/links/KOG/Triru-239-KOG.txt","60S ribosomal protein L35")</f>
        <v>60S ribosomal protein L35</v>
      </c>
      <c r="BM198" t="str">
        <f>HYPERLINK("http://www.ncbi.nlm.nih.gov/COG/grace/shokog.cgi?KOG3436","3E-009")</f>
        <v>3E-009</v>
      </c>
      <c r="BN198" t="s">
        <v>84</v>
      </c>
      <c r="BO198" s="2" t="str">
        <f>HYPERLINK("http://exon.niaid.nih.gov/transcriptome/T_rubida/S2/links/PFAM/Triru-239-PFAM.txt","Peptidase_C14")</f>
        <v>Peptidase_C14</v>
      </c>
      <c r="BP198" t="str">
        <f>HYPERLINK("http://pfam.sanger.ac.uk/family?acc=PF00656","0.51")</f>
        <v>0.51</v>
      </c>
      <c r="BQ198" s="2" t="str">
        <f>HYPERLINK("http://exon.niaid.nih.gov/transcriptome/T_rubida/S2/links/SMART/Triru-239-SMART.txt","PP2Cc")</f>
        <v>PP2Cc</v>
      </c>
      <c r="BR198" t="str">
        <f>HYPERLINK("http://smart.embl-heidelberg.de/smart/do_annotation.pl?DOMAIN=PP2Cc&amp;BLAST=DUMMY","0.014")</f>
        <v>0.014</v>
      </c>
      <c r="BS198" s="17">
        <f>HYPERLINK("http://exon.niaid.nih.gov/transcriptome/T_rubida/S2/links/cluster/Triru-pep-ext25-50-Sim-CLU1.txt", 1)</f>
        <v>1</v>
      </c>
      <c r="BT198" s="1">
        <f>HYPERLINK("http://exon.niaid.nih.gov/transcriptome/T_rubida/S2/links/cluster/Triru-pep-ext25-50-Sim-CLTL1.txt", 359)</f>
        <v>359</v>
      </c>
      <c r="BU198" s="17">
        <f>HYPERLINK("http://exon.niaid.nih.gov/transcriptome/T_rubida/S2/links/cluster/Triru-pep-ext30-50-Sim-CLU1.txt", 1)</f>
        <v>1</v>
      </c>
      <c r="BV198" s="1">
        <f>HYPERLINK("http://exon.niaid.nih.gov/transcriptome/T_rubida/S2/links/cluster/Triru-pep-ext30-50-Sim-CLTL1.txt", 225)</f>
        <v>225</v>
      </c>
      <c r="BW198" s="17">
        <v>135</v>
      </c>
      <c r="BX198" s="1">
        <v>1</v>
      </c>
      <c r="BY198" s="17">
        <v>142</v>
      </c>
      <c r="BZ198" s="1">
        <v>1</v>
      </c>
      <c r="CA198" s="17">
        <v>144</v>
      </c>
      <c r="CB198" s="1">
        <v>1</v>
      </c>
      <c r="CC198" s="17">
        <v>147</v>
      </c>
      <c r="CD198" s="1">
        <v>1</v>
      </c>
      <c r="CE198" s="17">
        <v>147</v>
      </c>
      <c r="CF198" s="1">
        <v>1</v>
      </c>
      <c r="CG198" s="17">
        <v>149</v>
      </c>
      <c r="CH198" s="1">
        <v>1</v>
      </c>
      <c r="CI198" s="17">
        <v>156</v>
      </c>
      <c r="CJ198" s="1">
        <v>1</v>
      </c>
      <c r="CK198" s="17">
        <v>161</v>
      </c>
      <c r="CL198" s="1">
        <v>1</v>
      </c>
      <c r="CM198" s="17">
        <v>167</v>
      </c>
      <c r="CN198" s="1">
        <v>1</v>
      </c>
      <c r="CO198" s="17">
        <v>177</v>
      </c>
      <c r="CP198" s="1">
        <v>1</v>
      </c>
      <c r="CQ198" s="17">
        <v>187</v>
      </c>
      <c r="CR198" s="1">
        <v>1</v>
      </c>
      <c r="CS198" s="17">
        <v>192</v>
      </c>
      <c r="CT198" s="1">
        <v>1</v>
      </c>
      <c r="CU198" s="17">
        <v>203</v>
      </c>
      <c r="CV198" s="1">
        <v>1</v>
      </c>
    </row>
    <row r="199" spans="1:100">
      <c r="A199" t="str">
        <f>HYPERLINK("http://exon.niaid.nih.gov/transcriptome/T_rubida/S2/links/pep/Triru-395-pep.txt","Triru-395")</f>
        <v>Triru-395</v>
      </c>
      <c r="B199">
        <v>130</v>
      </c>
      <c r="C199" s="1" t="s">
        <v>6</v>
      </c>
      <c r="D199" s="1" t="s">
        <v>3</v>
      </c>
      <c r="E199" t="str">
        <f>HYPERLINK("http://exon.niaid.nih.gov/transcriptome/T_rubida/S2/links/cds/Triru-395-cds.txt","Triru-395")</f>
        <v>Triru-395</v>
      </c>
      <c r="F199">
        <v>393</v>
      </c>
      <c r="G199" s="2" t="s">
        <v>1670</v>
      </c>
      <c r="H199" s="1">
        <v>1</v>
      </c>
      <c r="I199" s="3" t="s">
        <v>1268</v>
      </c>
      <c r="J199" s="17" t="str">
        <f>HYPERLINK("http://exon.niaid.nih.gov/transcriptome/T_rubida/S2/links/Sigp/Triru-395-SigP.txt","CYT")</f>
        <v>CYT</v>
      </c>
      <c r="K199" t="s">
        <v>5</v>
      </c>
      <c r="L199" s="1">
        <v>14.795999999999999</v>
      </c>
      <c r="M199" s="1">
        <v>10.15</v>
      </c>
      <c r="P199" s="1">
        <v>0.29499999999999998</v>
      </c>
      <c r="Q199" s="1">
        <v>7.1999999999999995E-2</v>
      </c>
      <c r="R199" s="1">
        <v>0.61799999999999999</v>
      </c>
      <c r="S199" s="17" t="s">
        <v>1346</v>
      </c>
      <c r="T199">
        <v>4</v>
      </c>
      <c r="U199" t="s">
        <v>1348</v>
      </c>
      <c r="V199" s="17">
        <v>0</v>
      </c>
      <c r="W199" t="s">
        <v>5</v>
      </c>
      <c r="X199" t="s">
        <v>5</v>
      </c>
      <c r="Y199" t="s">
        <v>5</v>
      </c>
      <c r="Z199" t="s">
        <v>5</v>
      </c>
      <c r="AA199" t="s">
        <v>5</v>
      </c>
      <c r="AB199" s="17" t="str">
        <f>HYPERLINK("http://exon.niaid.nih.gov/transcriptome/T_rubida/S2/links/netoglyc/TRIRU-395-netoglyc.txt","0")</f>
        <v>0</v>
      </c>
      <c r="AC199">
        <v>6.9</v>
      </c>
      <c r="AD199">
        <v>9.1999999999999993</v>
      </c>
      <c r="AE199">
        <v>4.5999999999999996</v>
      </c>
      <c r="AF199" s="17" t="s">
        <v>5</v>
      </c>
      <c r="AG199" s="2" t="str">
        <f>HYPERLINK("http://exon.niaid.nih.gov/transcriptome/T_rubida/S2/links/NR/Triru-395-NR.txt","ribosomal protein L10")</f>
        <v>ribosomal protein L10</v>
      </c>
      <c r="AH199" t="str">
        <f>HYPERLINK("http://www.ncbi.nlm.nih.gov/sutils/blink.cgi?pid=263173291","1E-064")</f>
        <v>1E-064</v>
      </c>
      <c r="AI199" t="str">
        <f>HYPERLINK("http://www.ncbi.nlm.nih.gov/protein/263173291","gi|263173291")</f>
        <v>gi|263173291</v>
      </c>
      <c r="AJ199">
        <v>249</v>
      </c>
      <c r="AK199">
        <v>127</v>
      </c>
      <c r="AL199">
        <v>217</v>
      </c>
      <c r="AM199">
        <v>91</v>
      </c>
      <c r="AN199">
        <v>59</v>
      </c>
      <c r="AO199" t="s">
        <v>239</v>
      </c>
      <c r="AP199" s="2" t="str">
        <f>HYPERLINK("http://exon.niaid.nih.gov/transcriptome/T_rubida/S2/links/SWISSP/Triru-395-SWISSP.txt","60S ribosomal protein L10")</f>
        <v>60S ribosomal protein L10</v>
      </c>
      <c r="AQ199" t="str">
        <f>HYPERLINK("http://www.uniprot.org/uniprot/O96647","7E-061")</f>
        <v>7E-061</v>
      </c>
      <c r="AR199" t="s">
        <v>632</v>
      </c>
      <c r="AS199">
        <v>231</v>
      </c>
      <c r="AT199">
        <v>124</v>
      </c>
      <c r="AU199">
        <v>219</v>
      </c>
      <c r="AV199">
        <v>86</v>
      </c>
      <c r="AW199">
        <v>57</v>
      </c>
      <c r="AX199">
        <v>17</v>
      </c>
      <c r="AY199">
        <v>0</v>
      </c>
      <c r="AZ199">
        <v>92</v>
      </c>
      <c r="BA199">
        <v>2</v>
      </c>
      <c r="BB199">
        <v>1</v>
      </c>
      <c r="BC199" t="s">
        <v>633</v>
      </c>
      <c r="BD199" s="2" t="s">
        <v>634</v>
      </c>
      <c r="BE199">
        <f>HYPERLINK("http://exon.niaid.nih.gov/transcriptome/T_rubida/S2/links/GO/Triru-395-GO.txt",6E-59)</f>
        <v>6.0000000000000002E-59</v>
      </c>
      <c r="BF199" t="s">
        <v>138</v>
      </c>
      <c r="BG199" t="s">
        <v>139</v>
      </c>
      <c r="BH199" t="s">
        <v>140</v>
      </c>
      <c r="BI199" s="2" t="str">
        <f>HYPERLINK("http://exon.niaid.nih.gov/transcriptome/T_rubida/S2/links/CDD/Triru-395-CDD.txt","PTZ00173")</f>
        <v>PTZ00173</v>
      </c>
      <c r="BJ199" t="str">
        <f>HYPERLINK("http://www.ncbi.nlm.nih.gov/Structure/cdd/cddsrv.cgi?uid=PTZ00173&amp;version=v4.0","3E-058")</f>
        <v>3E-058</v>
      </c>
      <c r="BK199" t="s">
        <v>635</v>
      </c>
      <c r="BL199" s="2" t="str">
        <f>HYPERLINK("http://exon.niaid.nih.gov/transcriptome/T_rubida/S2/links/KOG/Triru-395-KOG.txt","60s ribosomal protein L10")</f>
        <v>60s ribosomal protein L10</v>
      </c>
      <c r="BM199" t="str">
        <f>HYPERLINK("http://www.ncbi.nlm.nih.gov/COG/grace/shokog.cgi?KOG0857","5E-046")</f>
        <v>5E-046</v>
      </c>
      <c r="BN199" t="s">
        <v>84</v>
      </c>
      <c r="BO199" s="2" t="str">
        <f>HYPERLINK("http://exon.niaid.nih.gov/transcriptome/T_rubida/S2/links/PFAM/Triru-395-PFAM.txt","Ribosomal_L16")</f>
        <v>Ribosomal_L16</v>
      </c>
      <c r="BP199" t="str">
        <f>HYPERLINK("http://pfam.sanger.ac.uk/family?acc=PF00252","2E-013")</f>
        <v>2E-013</v>
      </c>
      <c r="BQ199" s="2" t="str">
        <f>HYPERLINK("http://exon.niaid.nih.gov/transcriptome/T_rubida/S2/links/SMART/Triru-395-SMART.txt","BAR")</f>
        <v>BAR</v>
      </c>
      <c r="BR199" t="str">
        <f>HYPERLINK("http://smart.embl-heidelberg.de/smart/do_annotation.pl?DOMAIN=BAR&amp;BLAST=DUMMY","0.45")</f>
        <v>0.45</v>
      </c>
      <c r="BS199" s="17">
        <v>119</v>
      </c>
      <c r="BT199" s="1">
        <v>1</v>
      </c>
      <c r="BU199" s="17">
        <v>183</v>
      </c>
      <c r="BV199" s="1">
        <v>1</v>
      </c>
      <c r="BW199" s="17">
        <v>227</v>
      </c>
      <c r="BX199" s="1">
        <v>1</v>
      </c>
      <c r="BY199" s="17">
        <v>244</v>
      </c>
      <c r="BZ199" s="1">
        <v>1</v>
      </c>
      <c r="CA199" s="17">
        <v>251</v>
      </c>
      <c r="CB199" s="1">
        <v>1</v>
      </c>
      <c r="CC199" s="17">
        <v>256</v>
      </c>
      <c r="CD199" s="1">
        <v>1</v>
      </c>
      <c r="CE199" s="17">
        <v>263</v>
      </c>
      <c r="CF199" s="1">
        <v>1</v>
      </c>
      <c r="CG199" s="17">
        <v>266</v>
      </c>
      <c r="CH199" s="1">
        <v>1</v>
      </c>
      <c r="CI199" s="17">
        <v>276</v>
      </c>
      <c r="CJ199" s="1">
        <v>1</v>
      </c>
      <c r="CK199" s="17">
        <v>281</v>
      </c>
      <c r="CL199" s="1">
        <v>1</v>
      </c>
      <c r="CM199" s="17">
        <v>289</v>
      </c>
      <c r="CN199" s="1">
        <v>1</v>
      </c>
      <c r="CO199" s="17">
        <v>301</v>
      </c>
      <c r="CP199" s="1">
        <v>1</v>
      </c>
      <c r="CQ199" s="17">
        <v>311</v>
      </c>
      <c r="CR199" s="1">
        <v>1</v>
      </c>
      <c r="CS199" s="17">
        <v>323</v>
      </c>
      <c r="CT199" s="1">
        <v>1</v>
      </c>
      <c r="CU199" s="17">
        <v>334</v>
      </c>
      <c r="CV199" s="1">
        <v>1</v>
      </c>
    </row>
    <row r="200" spans="1:100">
      <c r="A200" t="str">
        <f>HYPERLINK("http://exon.niaid.nih.gov/transcriptome/T_rubida/S2/links/pep/Triru-245-pep.txt","Triru-245")</f>
        <v>Triru-245</v>
      </c>
      <c r="B200">
        <v>143</v>
      </c>
      <c r="C200" s="1" t="s">
        <v>4</v>
      </c>
      <c r="D200" s="1" t="s">
        <v>3</v>
      </c>
      <c r="E200" t="str">
        <f>HYPERLINK("http://exon.niaid.nih.gov/transcriptome/T_rubida/S2/links/cds/Triru-245-cds.txt","Triru-245")</f>
        <v>Triru-245</v>
      </c>
      <c r="F200">
        <v>432</v>
      </c>
      <c r="G200" s="2" t="s">
        <v>1671</v>
      </c>
      <c r="H200" s="1">
        <v>1</v>
      </c>
      <c r="I200" s="3" t="s">
        <v>1268</v>
      </c>
      <c r="J200" s="17" t="str">
        <f>HYPERLINK("http://exon.niaid.nih.gov/transcriptome/T_rubida/S2/links/Sigp/Triru-245-SigP.txt","CYT")</f>
        <v>CYT</v>
      </c>
      <c r="K200" t="s">
        <v>5</v>
      </c>
      <c r="L200" s="1">
        <v>15.265000000000001</v>
      </c>
      <c r="M200" s="1">
        <v>9.4499999999999993</v>
      </c>
      <c r="P200" s="1">
        <v>0.67300000000000004</v>
      </c>
      <c r="Q200" s="1">
        <v>0.04</v>
      </c>
      <c r="R200" s="1">
        <v>0.34799999999999998</v>
      </c>
      <c r="S200" s="17" t="s">
        <v>9</v>
      </c>
      <c r="T200">
        <v>4</v>
      </c>
      <c r="U200" t="s">
        <v>1447</v>
      </c>
      <c r="V200" s="17">
        <v>0</v>
      </c>
      <c r="W200" t="s">
        <v>5</v>
      </c>
      <c r="X200" t="s">
        <v>5</v>
      </c>
      <c r="Y200" t="s">
        <v>5</v>
      </c>
      <c r="Z200" t="s">
        <v>5</v>
      </c>
      <c r="AA200" t="s">
        <v>5</v>
      </c>
      <c r="AB200" s="17" t="str">
        <f>HYPERLINK("http://exon.niaid.nih.gov/transcriptome/T_rubida/S2/links/netoglyc/TRIRU-245-netoglyc.txt","6")</f>
        <v>6</v>
      </c>
      <c r="AC200">
        <v>9.8000000000000007</v>
      </c>
      <c r="AD200">
        <v>12.6</v>
      </c>
      <c r="AE200">
        <v>6.3</v>
      </c>
      <c r="AF200" s="17" t="s">
        <v>5</v>
      </c>
      <c r="AG200" s="2" t="str">
        <f>HYPERLINK("http://exon.niaid.nih.gov/transcriptome/T_rubida/S2/links/NR/Triru-245-NR.txt","40S ribosomal protein S3")</f>
        <v>40S ribosomal protein S3</v>
      </c>
      <c r="AH200" t="str">
        <f>HYPERLINK("http://www.ncbi.nlm.nih.gov/sutils/blink.cgi?pid=121511934","2E-063")</f>
        <v>2E-063</v>
      </c>
      <c r="AI200" t="str">
        <f>HYPERLINK("http://www.ncbi.nlm.nih.gov/protein/121511934","gi|121511934")</f>
        <v>gi|121511934</v>
      </c>
      <c r="AJ200">
        <v>245</v>
      </c>
      <c r="AK200">
        <v>141</v>
      </c>
      <c r="AL200">
        <v>243</v>
      </c>
      <c r="AM200">
        <v>87</v>
      </c>
      <c r="AN200">
        <v>58</v>
      </c>
      <c r="AO200" t="s">
        <v>148</v>
      </c>
      <c r="AP200" s="2" t="str">
        <f>HYPERLINK("http://exon.niaid.nih.gov/transcriptome/T_rubida/S2/links/SWISSP/Triru-245-SWISSP.txt","40S ribosomal protein S3")</f>
        <v>40S ribosomal protein S3</v>
      </c>
      <c r="AQ200" t="str">
        <f>HYPERLINK("http://www.uniprot.org/uniprot/Q06559","1E-061")</f>
        <v>1E-061</v>
      </c>
      <c r="AR200" t="s">
        <v>149</v>
      </c>
      <c r="AS200">
        <v>234</v>
      </c>
      <c r="AT200">
        <v>125</v>
      </c>
      <c r="AU200">
        <v>246</v>
      </c>
      <c r="AV200">
        <v>90</v>
      </c>
      <c r="AW200">
        <v>51</v>
      </c>
      <c r="AX200">
        <v>12</v>
      </c>
      <c r="AY200">
        <v>0</v>
      </c>
      <c r="AZ200">
        <v>93</v>
      </c>
      <c r="BA200">
        <v>3</v>
      </c>
      <c r="BB200">
        <v>1</v>
      </c>
      <c r="BC200" t="s">
        <v>150</v>
      </c>
      <c r="BD200" s="2" t="s">
        <v>252</v>
      </c>
      <c r="BE200">
        <f>HYPERLINK("http://exon.niaid.nih.gov/transcriptome/T_rubida/S2/links/GO/Triru-245-GO.txt",1E-61)</f>
        <v>1E-61</v>
      </c>
      <c r="BF200" t="s">
        <v>1934</v>
      </c>
      <c r="BG200" t="s">
        <v>77</v>
      </c>
      <c r="BH200" t="s">
        <v>253</v>
      </c>
      <c r="BI200" s="2" t="str">
        <f>HYPERLINK("http://exon.niaid.nih.gov/transcriptome/T_rubida/S2/links/CDD/Triru-245-CDD.txt","PTZ00084")</f>
        <v>PTZ00084</v>
      </c>
      <c r="BJ200" t="str">
        <f>HYPERLINK("http://www.ncbi.nlm.nih.gov/Structure/cdd/cddsrv.cgi?uid=PTZ00084&amp;version=v4.0","6E-061")</f>
        <v>6E-061</v>
      </c>
      <c r="BK200" t="s">
        <v>254</v>
      </c>
      <c r="BL200" s="2" t="str">
        <f>HYPERLINK("http://exon.niaid.nih.gov/transcriptome/T_rubida/S2/links/KOG/Triru-245-KOG.txt","40S ribosomal protein S3")</f>
        <v>40S ribosomal protein S3</v>
      </c>
      <c r="BM200" t="str">
        <f>HYPERLINK("http://www.ncbi.nlm.nih.gov/COG/grace/shokog.cgi?KOG3181","8E-063")</f>
        <v>8E-063</v>
      </c>
      <c r="BN200" t="s">
        <v>84</v>
      </c>
      <c r="BO200" s="2" t="str">
        <f>HYPERLINK("http://exon.niaid.nih.gov/transcriptome/T_rubida/S2/links/PFAM/Triru-245-PFAM.txt","Ribosomal_S3_C")</f>
        <v>Ribosomal_S3_C</v>
      </c>
      <c r="BP200" t="str">
        <f>HYPERLINK("http://pfam.sanger.ac.uk/family?acc=PF00189","2E-019")</f>
        <v>2E-019</v>
      </c>
      <c r="BQ200" s="2" t="str">
        <f>HYPERLINK("http://exon.niaid.nih.gov/transcriptome/T_rubida/S2/links/SMART/Triru-245-SMART.txt","AP2Ec")</f>
        <v>AP2Ec</v>
      </c>
      <c r="BR200" t="str">
        <f>HYPERLINK("http://smart.embl-heidelberg.de/smart/do_annotation.pl?DOMAIN=AP2Ec&amp;BLAST=DUMMY","0.12")</f>
        <v>0.12</v>
      </c>
      <c r="BS200" s="17">
        <f>HYPERLINK("http://exon.niaid.nih.gov/transcriptome/T_rubida/S2/links/cluster/Triru-pep-ext25-50-Sim-CLU13.txt", 13)</f>
        <v>13</v>
      </c>
      <c r="BT200" s="1">
        <f>HYPERLINK("http://exon.niaid.nih.gov/transcriptome/T_rubida/S2/links/cluster/Triru-pep-ext25-50-Sim-CLTL13.txt", 2)</f>
        <v>2</v>
      </c>
      <c r="BU200" s="17">
        <v>118</v>
      </c>
      <c r="BV200" s="1">
        <v>1</v>
      </c>
      <c r="BW200" s="17">
        <v>140</v>
      </c>
      <c r="BX200" s="1">
        <v>1</v>
      </c>
      <c r="BY200" s="17">
        <v>147</v>
      </c>
      <c r="BZ200" s="1">
        <v>1</v>
      </c>
      <c r="CA200" s="17">
        <v>150</v>
      </c>
      <c r="CB200" s="1">
        <v>1</v>
      </c>
      <c r="CC200" s="17">
        <v>153</v>
      </c>
      <c r="CD200" s="1">
        <v>1</v>
      </c>
      <c r="CE200" s="17">
        <v>153</v>
      </c>
      <c r="CF200" s="1">
        <v>1</v>
      </c>
      <c r="CG200" s="17">
        <v>155</v>
      </c>
      <c r="CH200" s="1">
        <v>1</v>
      </c>
      <c r="CI200" s="17">
        <v>162</v>
      </c>
      <c r="CJ200" s="1">
        <v>1</v>
      </c>
      <c r="CK200" s="17">
        <v>167</v>
      </c>
      <c r="CL200" s="1">
        <v>1</v>
      </c>
      <c r="CM200" s="17">
        <v>173</v>
      </c>
      <c r="CN200" s="1">
        <v>1</v>
      </c>
      <c r="CO200" s="17">
        <v>183</v>
      </c>
      <c r="CP200" s="1">
        <v>1</v>
      </c>
      <c r="CQ200" s="17">
        <v>193</v>
      </c>
      <c r="CR200" s="1">
        <v>1</v>
      </c>
      <c r="CS200" s="17">
        <v>198</v>
      </c>
      <c r="CT200" s="1">
        <v>1</v>
      </c>
      <c r="CU200" s="17">
        <v>209</v>
      </c>
      <c r="CV200" s="1">
        <v>1</v>
      </c>
    </row>
    <row r="201" spans="1:100">
      <c r="A201" t="str">
        <f>HYPERLINK("http://exon.niaid.nih.gov/transcriptome/T_rubida/S2/links/pep/Triru-111-pep.txt","Triru-111")</f>
        <v>Triru-111</v>
      </c>
      <c r="B201">
        <v>175</v>
      </c>
      <c r="C201" s="1" t="s">
        <v>6</v>
      </c>
      <c r="D201" s="1" t="s">
        <v>3</v>
      </c>
      <c r="E201" t="str">
        <f>HYPERLINK("http://exon.niaid.nih.gov/transcriptome/T_rubida/S2/links/cds/Triru-111-cds.txt","Triru-111")</f>
        <v>Triru-111</v>
      </c>
      <c r="F201">
        <v>528</v>
      </c>
      <c r="G201" s="2" t="s">
        <v>1672</v>
      </c>
      <c r="H201" s="1">
        <v>4</v>
      </c>
      <c r="I201" s="3" t="s">
        <v>1268</v>
      </c>
      <c r="J201" s="17" t="str">
        <f>HYPERLINK("http://exon.niaid.nih.gov/transcriptome/T_rubida/S2/links/Sigp/Triru-111-SigP.txt","CYT")</f>
        <v>CYT</v>
      </c>
      <c r="K201" t="s">
        <v>5</v>
      </c>
      <c r="L201" s="1">
        <v>19.469000000000001</v>
      </c>
      <c r="M201" s="1">
        <v>4.4000000000000004</v>
      </c>
      <c r="P201" s="1">
        <v>5.7000000000000002E-2</v>
      </c>
      <c r="Q201" s="1">
        <v>0.121</v>
      </c>
      <c r="R201" s="1">
        <v>0.90300000000000002</v>
      </c>
      <c r="S201" s="17" t="s">
        <v>1346</v>
      </c>
      <c r="T201">
        <v>2</v>
      </c>
      <c r="U201" t="s">
        <v>1448</v>
      </c>
      <c r="V201" s="17">
        <v>0</v>
      </c>
      <c r="W201" t="s">
        <v>5</v>
      </c>
      <c r="X201" t="s">
        <v>5</v>
      </c>
      <c r="Y201" t="s">
        <v>5</v>
      </c>
      <c r="Z201" t="s">
        <v>5</v>
      </c>
      <c r="AA201" t="s">
        <v>5</v>
      </c>
      <c r="AB201" s="17" t="str">
        <f>HYPERLINK("http://exon.niaid.nih.gov/transcriptome/T_rubida/S2/links/netoglyc/TRIRU-111-netoglyc.txt","12")</f>
        <v>12</v>
      </c>
      <c r="AC201">
        <v>13.7</v>
      </c>
      <c r="AD201">
        <v>4.5999999999999996</v>
      </c>
      <c r="AE201">
        <v>9.1</v>
      </c>
      <c r="AF201" s="17" t="s">
        <v>5</v>
      </c>
      <c r="AG201" s="2" t="str">
        <f>HYPERLINK("http://exon.niaid.nih.gov/transcriptome/T_rubida/S2/links/NR/Triru-111-NR.txt","similar to putative 40S ribosomal protein SA")</f>
        <v>similar to putative 40S ribosomal protein SA</v>
      </c>
      <c r="AH201" t="str">
        <f>HYPERLINK("http://www.ncbi.nlm.nih.gov/sutils/blink.cgi?pid=156548613","2E-053")</f>
        <v>2E-053</v>
      </c>
      <c r="AI201" t="str">
        <f>HYPERLINK("http://www.ncbi.nlm.nih.gov/protein/156548613","gi|156548613")</f>
        <v>gi|156548613</v>
      </c>
      <c r="AJ201">
        <v>212</v>
      </c>
      <c r="AK201">
        <v>184</v>
      </c>
      <c r="AL201">
        <v>317</v>
      </c>
      <c r="AM201">
        <v>58</v>
      </c>
      <c r="AN201">
        <v>58</v>
      </c>
      <c r="AO201" t="s">
        <v>288</v>
      </c>
      <c r="AP201" s="2" t="str">
        <f>HYPERLINK("http://exon.niaid.nih.gov/transcriptome/T_rubida/S2/links/SWISSP/Triru-111-SWISSP.txt","40S ribosomal protein SA")</f>
        <v>40S ribosomal protein SA</v>
      </c>
      <c r="AQ201" t="str">
        <f>HYPERLINK("http://www.uniprot.org/uniprot/Q0PXX8","6E-053")</f>
        <v>6E-053</v>
      </c>
      <c r="AR201" t="s">
        <v>667</v>
      </c>
      <c r="AS201">
        <v>206</v>
      </c>
      <c r="AT201">
        <v>178</v>
      </c>
      <c r="AU201">
        <v>301</v>
      </c>
      <c r="AV201">
        <v>60</v>
      </c>
      <c r="AW201">
        <v>59</v>
      </c>
      <c r="AX201">
        <v>71</v>
      </c>
      <c r="AY201">
        <v>7</v>
      </c>
      <c r="AZ201">
        <v>123</v>
      </c>
      <c r="BA201">
        <v>2</v>
      </c>
      <c r="BB201">
        <v>1</v>
      </c>
      <c r="BC201" t="s">
        <v>668</v>
      </c>
      <c r="BD201" s="2" t="s">
        <v>669</v>
      </c>
      <c r="BE201">
        <f>HYPERLINK("http://exon.niaid.nih.gov/transcriptome/T_rubida/S2/links/GO/Triru-111-GO.txt",2E-48)</f>
        <v>1.9999999999999999E-48</v>
      </c>
      <c r="BF201" t="s">
        <v>138</v>
      </c>
      <c r="BG201" t="s">
        <v>139</v>
      </c>
      <c r="BH201" t="s">
        <v>140</v>
      </c>
      <c r="BI201" s="2" t="str">
        <f>HYPERLINK("http://exon.niaid.nih.gov/transcriptome/T_rubida/S2/links/CDD/Triru-111-CDD.txt","PTZ00254")</f>
        <v>PTZ00254</v>
      </c>
      <c r="BJ201" t="str">
        <f>HYPERLINK("http://www.ncbi.nlm.nih.gov/Structure/cdd/cddsrv.cgi?uid=PTZ00254&amp;version=v4.0","2E-049")</f>
        <v>2E-049</v>
      </c>
      <c r="BK201" t="s">
        <v>670</v>
      </c>
      <c r="BL201" s="2" t="str">
        <f>HYPERLINK("http://exon.niaid.nih.gov/transcriptome/T_rubida/S2/links/KOG/Triru-111-KOG.txt","40S ribosomal protein SA (P40)/Laminin receptor 1")</f>
        <v>40S ribosomal protein SA (P40)/Laminin receptor 1</v>
      </c>
      <c r="BM201" t="str">
        <f>HYPERLINK("http://www.ncbi.nlm.nih.gov/COG/grace/shokog.cgi?KOG0830","1E-035")</f>
        <v>1E-035</v>
      </c>
      <c r="BN201" t="s">
        <v>84</v>
      </c>
      <c r="BO201" s="2" t="str">
        <f>HYPERLINK("http://exon.niaid.nih.gov/transcriptome/T_rubida/S2/links/PFAM/Triru-111-PFAM.txt","Ribosomal_S2")</f>
        <v>Ribosomal_S2</v>
      </c>
      <c r="BP201" t="str">
        <f>HYPERLINK("http://pfam.sanger.ac.uk/family?acc=PF00318","1E-026")</f>
        <v>1E-026</v>
      </c>
      <c r="BQ201" s="2" t="str">
        <f>HYPERLINK("http://exon.niaid.nih.gov/transcriptome/T_rubida/S2/links/SMART/Triru-111-SMART.txt","PlsC")</f>
        <v>PlsC</v>
      </c>
      <c r="BR201" t="str">
        <f>HYPERLINK("http://smart.embl-heidelberg.de/smart/do_annotation.pl?DOMAIN=PlsC&amp;BLAST=DUMMY","0.12")</f>
        <v>0.12</v>
      </c>
      <c r="BS201" s="17">
        <v>45</v>
      </c>
      <c r="BT201" s="1">
        <v>1</v>
      </c>
      <c r="BU201" s="17">
        <v>62</v>
      </c>
      <c r="BV201" s="1">
        <v>1</v>
      </c>
      <c r="BW201" s="17">
        <v>66</v>
      </c>
      <c r="BX201" s="1">
        <v>1</v>
      </c>
      <c r="BY201" s="17">
        <v>64</v>
      </c>
      <c r="BZ201" s="1">
        <v>1</v>
      </c>
      <c r="CA201" s="17">
        <v>62</v>
      </c>
      <c r="CB201" s="1">
        <v>1</v>
      </c>
      <c r="CC201" s="17">
        <v>61</v>
      </c>
      <c r="CD201" s="1">
        <v>1</v>
      </c>
      <c r="CE201" s="17">
        <v>54</v>
      </c>
      <c r="CF201" s="1">
        <v>1</v>
      </c>
      <c r="CG201" s="17">
        <v>54</v>
      </c>
      <c r="CH201" s="1">
        <v>1</v>
      </c>
      <c r="CI201" s="17">
        <v>60</v>
      </c>
      <c r="CJ201" s="1">
        <v>1</v>
      </c>
      <c r="CK201" s="17">
        <v>64</v>
      </c>
      <c r="CL201" s="1">
        <v>1</v>
      </c>
      <c r="CM201" s="17">
        <v>68</v>
      </c>
      <c r="CN201" s="1">
        <v>1</v>
      </c>
      <c r="CO201" s="17">
        <v>76</v>
      </c>
      <c r="CP201" s="1">
        <v>1</v>
      </c>
      <c r="CQ201" s="17">
        <v>86</v>
      </c>
      <c r="CR201" s="1">
        <v>1</v>
      </c>
      <c r="CS201" s="17">
        <v>91</v>
      </c>
      <c r="CT201" s="1">
        <v>1</v>
      </c>
      <c r="CU201" s="17">
        <v>102</v>
      </c>
      <c r="CV201" s="1">
        <v>1</v>
      </c>
    </row>
    <row r="202" spans="1:100">
      <c r="A202" t="str">
        <f>HYPERLINK("http://exon.niaid.nih.gov/transcriptome/T_rubida/S2/links/pep/Triru-457-pep.txt","Triru-457")</f>
        <v>Triru-457</v>
      </c>
      <c r="B202">
        <v>80</v>
      </c>
      <c r="C202" s="1" t="s">
        <v>17</v>
      </c>
      <c r="D202" s="1" t="s">
        <v>3</v>
      </c>
      <c r="E202" t="str">
        <f>HYPERLINK("http://exon.niaid.nih.gov/transcriptome/T_rubida/S2/links/cds/Triru-457-cds.txt","Triru-457")</f>
        <v>Triru-457</v>
      </c>
      <c r="F202">
        <v>243</v>
      </c>
      <c r="G202" s="2" t="s">
        <v>1673</v>
      </c>
      <c r="H202" s="1">
        <v>1</v>
      </c>
      <c r="I202" s="3" t="s">
        <v>1268</v>
      </c>
      <c r="J202" s="17" t="str">
        <f>HYPERLINK("http://exon.niaid.nih.gov/transcriptome/T_rubida/S2/links/Sigp/Triru-457-SigP.txt","CYT")</f>
        <v>CYT</v>
      </c>
      <c r="K202" t="s">
        <v>5</v>
      </c>
      <c r="L202" s="1">
        <v>8.9670000000000005</v>
      </c>
      <c r="M202" s="1">
        <v>10.24</v>
      </c>
      <c r="P202" s="1">
        <v>0.45600000000000002</v>
      </c>
      <c r="Q202" s="1">
        <v>0.09</v>
      </c>
      <c r="R202" s="1">
        <v>0.35099999999999998</v>
      </c>
      <c r="S202" s="17" t="s">
        <v>9</v>
      </c>
      <c r="T202">
        <v>5</v>
      </c>
      <c r="U202" t="s">
        <v>1388</v>
      </c>
      <c r="V202" s="17">
        <v>0</v>
      </c>
      <c r="W202" t="s">
        <v>5</v>
      </c>
      <c r="X202" t="s">
        <v>5</v>
      </c>
      <c r="Y202" t="s">
        <v>5</v>
      </c>
      <c r="Z202" t="s">
        <v>5</v>
      </c>
      <c r="AA202" t="s">
        <v>5</v>
      </c>
      <c r="AB202" s="17" t="str">
        <f>HYPERLINK("http://exon.niaid.nih.gov/transcriptome/T_rubida/S2/links/netoglyc/TRIRU-457-netoglyc.txt","0")</f>
        <v>0</v>
      </c>
      <c r="AC202">
        <v>3.8</v>
      </c>
      <c r="AD202">
        <v>8.8000000000000007</v>
      </c>
      <c r="AE202">
        <v>3.8</v>
      </c>
      <c r="AF202" s="17" t="s">
        <v>5</v>
      </c>
      <c r="AG202" s="2" t="str">
        <f>HYPERLINK("http://exon.niaid.nih.gov/transcriptome/T_rubida/S2/links/NR/Triru-457-NR.txt","40S ribosomal protein S23")</f>
        <v>40S ribosomal protein S23</v>
      </c>
      <c r="AH202" t="str">
        <f>HYPERLINK("http://www.ncbi.nlm.nih.gov/sutils/blink.cgi?pid=114153284","1E-037")</f>
        <v>1E-037</v>
      </c>
      <c r="AI202" t="str">
        <f>HYPERLINK("http://www.ncbi.nlm.nih.gov/protein/114153284","gi|114153284")</f>
        <v>gi|114153284</v>
      </c>
      <c r="AJ202">
        <v>159</v>
      </c>
      <c r="AK202">
        <v>78</v>
      </c>
      <c r="AL202">
        <v>143</v>
      </c>
      <c r="AM202">
        <v>100</v>
      </c>
      <c r="AN202">
        <v>55</v>
      </c>
      <c r="AO202" t="s">
        <v>1096</v>
      </c>
      <c r="AP202" s="2" t="str">
        <f>HYPERLINK("http://exon.niaid.nih.gov/transcriptome/T_rubida/S2/links/SWISSP/Triru-457-SWISSP.txt","40S ribosomal protein S23")</f>
        <v>40S ribosomal protein S23</v>
      </c>
      <c r="AQ202" t="str">
        <f>HYPERLINK("http://www.uniprot.org/uniprot/Q86FP7","1E-038")</f>
        <v>1E-038</v>
      </c>
      <c r="AR202" t="s">
        <v>1097</v>
      </c>
      <c r="AS202">
        <v>158</v>
      </c>
      <c r="AT202">
        <v>78</v>
      </c>
      <c r="AU202">
        <v>143</v>
      </c>
      <c r="AV202">
        <v>98</v>
      </c>
      <c r="AW202">
        <v>55</v>
      </c>
      <c r="AX202">
        <v>1</v>
      </c>
      <c r="AY202">
        <v>0</v>
      </c>
      <c r="AZ202">
        <v>65</v>
      </c>
      <c r="BA202">
        <v>2</v>
      </c>
      <c r="BB202">
        <v>1</v>
      </c>
      <c r="BC202" t="s">
        <v>1098</v>
      </c>
      <c r="BD202" s="2" t="s">
        <v>1099</v>
      </c>
      <c r="BE202">
        <f>HYPERLINK("http://exon.niaid.nih.gov/transcriptome/T_rubida/S2/links/GO/Triru-457-GO.txt",8E-38)</f>
        <v>7.9999999999999997E-38</v>
      </c>
      <c r="BF202" t="s">
        <v>138</v>
      </c>
      <c r="BG202" t="s">
        <v>139</v>
      </c>
      <c r="BH202" t="s">
        <v>140</v>
      </c>
      <c r="BI202" s="2" t="str">
        <f>HYPERLINK("http://exon.niaid.nih.gov/transcriptome/T_rubida/S2/links/CDD/Triru-457-CDD.txt","PTZ00067")</f>
        <v>PTZ00067</v>
      </c>
      <c r="BJ202" t="str">
        <f>HYPERLINK("http://www.ncbi.nlm.nih.gov/Structure/cdd/cddsrv.cgi?uid=PTZ00067&amp;version=v4.0","1E-039")</f>
        <v>1E-039</v>
      </c>
      <c r="BK202" t="s">
        <v>1100</v>
      </c>
      <c r="BL202" s="2" t="str">
        <f>HYPERLINK("http://exon.niaid.nih.gov/transcriptome/T_rubida/S2/links/KOG/Triru-457-KOG.txt","40S ribosomal protein S23")</f>
        <v>40S ribosomal protein S23</v>
      </c>
      <c r="BM202" t="str">
        <f>HYPERLINK("http://www.ncbi.nlm.nih.gov/COG/grace/shokog.cgi?KOG1749","1E-036")</f>
        <v>1E-036</v>
      </c>
      <c r="BN202" t="s">
        <v>84</v>
      </c>
      <c r="BO202" s="2" t="str">
        <f>HYPERLINK("http://exon.niaid.nih.gov/transcriptome/T_rubida/S2/links/PFAM/Triru-457-PFAM.txt","Ribosomal_S12")</f>
        <v>Ribosomal_S12</v>
      </c>
      <c r="BP202" t="str">
        <f>HYPERLINK("http://pfam.sanger.ac.uk/family?acc=PF00164","1E-017")</f>
        <v>1E-017</v>
      </c>
      <c r="BQ202" s="2" t="str">
        <f>HYPERLINK("http://exon.niaid.nih.gov/transcriptome/T_rubida/S2/links/SMART/Triru-457-SMART.txt","HTH_MARR")</f>
        <v>HTH_MARR</v>
      </c>
      <c r="BR202" t="str">
        <f>HYPERLINK("http://smart.embl-heidelberg.de/smart/do_annotation.pl?DOMAIN=HTH_MARR&amp;BLAST=DUMMY","1.8")</f>
        <v>1.8</v>
      </c>
      <c r="BS202" s="17">
        <f>HYPERLINK("http://exon.niaid.nih.gov/transcriptome/T_rubida/S2/links/cluster/Triru-pep-ext25-50-Sim-CLU1.txt", 1)</f>
        <v>1</v>
      </c>
      <c r="BT202" s="1">
        <f>HYPERLINK("http://exon.niaid.nih.gov/transcriptome/T_rubida/S2/links/cluster/Triru-pep-ext25-50-Sim-CLTL1.txt", 359)</f>
        <v>359</v>
      </c>
      <c r="BU202" s="17">
        <f>HYPERLINK("http://exon.niaid.nih.gov/transcriptome/T_rubida/S2/links/cluster/Triru-pep-ext30-50-Sim-CLU26.txt", 26)</f>
        <v>26</v>
      </c>
      <c r="BV202" s="1">
        <f>HYPERLINK("http://exon.niaid.nih.gov/transcriptome/T_rubida/S2/links/cluster/Triru-pep-ext30-50-Sim-CLTL26.txt", 2)</f>
        <v>2</v>
      </c>
      <c r="BW202" s="17">
        <f>HYPERLINK("http://exon.niaid.nih.gov/transcriptome/T_rubida/S2/links/cluster/Triru-pep-ext35-50-Sim-CLU25.txt", 25)</f>
        <v>25</v>
      </c>
      <c r="BX202" s="1">
        <f>HYPERLINK("http://exon.niaid.nih.gov/transcriptome/T_rubida/S2/links/cluster/Triru-pep-ext35-50-Sim-CLTL25.txt", 2)</f>
        <v>2</v>
      </c>
      <c r="BY202" s="17">
        <f>HYPERLINK("http://exon.niaid.nih.gov/transcriptome/T_rubida/S2/links/cluster/Triru-pep-ext40-50-Sim-CLU23.txt", 23)</f>
        <v>23</v>
      </c>
      <c r="BZ202" s="1">
        <f>HYPERLINK("http://exon.niaid.nih.gov/transcriptome/T_rubida/S2/links/cluster/Triru-pep-ext40-50-Sim-CLTL23.txt", 2)</f>
        <v>2</v>
      </c>
      <c r="CA202" s="17">
        <f>HYPERLINK("http://exon.niaid.nih.gov/transcriptome/T_rubida/S2/links/cluster/Triru-pep-ext45-50-Sim-CLU18.txt", 18)</f>
        <v>18</v>
      </c>
      <c r="CB202" s="1">
        <f>HYPERLINK("http://exon.niaid.nih.gov/transcriptome/T_rubida/S2/links/cluster/Triru-pep-ext45-50-Sim-CLTL18.txt", 2)</f>
        <v>2</v>
      </c>
      <c r="CC202" s="17">
        <v>306</v>
      </c>
      <c r="CD202" s="1">
        <v>1</v>
      </c>
      <c r="CE202" s="17">
        <v>316</v>
      </c>
      <c r="CF202" s="1">
        <v>1</v>
      </c>
      <c r="CG202" s="17">
        <v>320</v>
      </c>
      <c r="CH202" s="1">
        <v>1</v>
      </c>
      <c r="CI202" s="17">
        <v>330</v>
      </c>
      <c r="CJ202" s="1">
        <v>1</v>
      </c>
      <c r="CK202" s="17">
        <v>336</v>
      </c>
      <c r="CL202" s="1">
        <v>1</v>
      </c>
      <c r="CM202" s="17">
        <v>344</v>
      </c>
      <c r="CN202" s="1">
        <v>1</v>
      </c>
      <c r="CO202" s="17">
        <v>356</v>
      </c>
      <c r="CP202" s="1">
        <v>1</v>
      </c>
      <c r="CQ202" s="17">
        <v>366</v>
      </c>
      <c r="CR202" s="1">
        <v>1</v>
      </c>
      <c r="CS202" s="17">
        <v>379</v>
      </c>
      <c r="CT202" s="1">
        <v>1</v>
      </c>
      <c r="CU202" s="17">
        <v>390</v>
      </c>
      <c r="CV202" s="1">
        <v>1</v>
      </c>
    </row>
    <row r="203" spans="1:100">
      <c r="A203" t="str">
        <f>HYPERLINK("http://exon.niaid.nih.gov/transcriptome/T_rubida/S2/links/pep/Triru-460-pep.txt","Triru-460")</f>
        <v>Triru-460</v>
      </c>
      <c r="B203">
        <v>66</v>
      </c>
      <c r="C203" s="1" t="s">
        <v>6</v>
      </c>
      <c r="D203" s="1" t="s">
        <v>3</v>
      </c>
      <c r="E203" t="str">
        <f>HYPERLINK("http://exon.niaid.nih.gov/transcriptome/T_rubida/S2/links/cds/Triru-460-cds.txt","Triru-460")</f>
        <v>Triru-460</v>
      </c>
      <c r="F203">
        <v>201</v>
      </c>
      <c r="G203" s="2" t="s">
        <v>1651</v>
      </c>
      <c r="H203" s="1">
        <v>1</v>
      </c>
      <c r="I203" s="3" t="s">
        <v>1268</v>
      </c>
      <c r="J203" s="17" t="str">
        <f>HYPERLINK("http://exon.niaid.nih.gov/transcriptome/T_rubida/S2/links/Sigp/Triru-460-SigP.txt","CYT")</f>
        <v>CYT</v>
      </c>
      <c r="K203" t="s">
        <v>5</v>
      </c>
      <c r="L203" s="1">
        <v>7.4909999999999997</v>
      </c>
      <c r="M203" s="1">
        <v>10.35</v>
      </c>
      <c r="P203" s="1">
        <v>0.37</v>
      </c>
      <c r="Q203" s="1">
        <v>0.03</v>
      </c>
      <c r="R203" s="1">
        <v>0.77300000000000002</v>
      </c>
      <c r="S203" s="17" t="s">
        <v>1346</v>
      </c>
      <c r="T203">
        <v>3</v>
      </c>
      <c r="U203" t="s">
        <v>1379</v>
      </c>
      <c r="V203" s="17">
        <v>0</v>
      </c>
      <c r="W203" t="s">
        <v>5</v>
      </c>
      <c r="X203" t="s">
        <v>5</v>
      </c>
      <c r="Y203" t="s">
        <v>5</v>
      </c>
      <c r="Z203" t="s">
        <v>5</v>
      </c>
      <c r="AA203" t="s">
        <v>5</v>
      </c>
      <c r="AB203" s="17" t="str">
        <f>HYPERLINK("http://exon.niaid.nih.gov/transcriptome/T_rubida/S2/links/netoglyc/TRIRU-460-netoglyc.txt","0")</f>
        <v>0</v>
      </c>
      <c r="AC203">
        <v>10.6</v>
      </c>
      <c r="AD203">
        <v>3</v>
      </c>
      <c r="AE203">
        <v>4.5</v>
      </c>
      <c r="AF203" s="17" t="s">
        <v>5</v>
      </c>
      <c r="AG203" s="2" t="str">
        <f>HYPERLINK("http://exon.niaid.nih.gov/transcriptome/T_rubida/S2/links/NR/Triru-460-NR.txt","similar to ribosomal protein L31e")</f>
        <v>similar to ribosomal protein L31e</v>
      </c>
      <c r="AH203" t="str">
        <f>HYPERLINK("http://www.ncbi.nlm.nih.gov/sutils/blink.cgi?pid=156551942","9E-023")</f>
        <v>9E-023</v>
      </c>
      <c r="AI203" t="str">
        <f>HYPERLINK("http://www.ncbi.nlm.nih.gov/protein/156551942","gi|156551942")</f>
        <v>gi|156551942</v>
      </c>
      <c r="AJ203">
        <v>110</v>
      </c>
      <c r="AK203">
        <v>64</v>
      </c>
      <c r="AL203">
        <v>124</v>
      </c>
      <c r="AM203">
        <v>78</v>
      </c>
      <c r="AN203">
        <v>52</v>
      </c>
      <c r="AO203" t="s">
        <v>288</v>
      </c>
      <c r="AP203" s="2" t="str">
        <f>HYPERLINK("http://exon.niaid.nih.gov/transcriptome/T_rubida/S2/links/SWISSP/Triru-460-SWISSP.txt","60S ribosomal protein L31")</f>
        <v>60S ribosomal protein L31</v>
      </c>
      <c r="AQ203" t="str">
        <f>HYPERLINK("http://www.uniprot.org/uniprot/Q7KF90","8E-023")</f>
        <v>8E-023</v>
      </c>
      <c r="AR203" t="s">
        <v>503</v>
      </c>
      <c r="AS203">
        <v>105</v>
      </c>
      <c r="AT203">
        <v>64</v>
      </c>
      <c r="AU203">
        <v>124</v>
      </c>
      <c r="AV203">
        <v>75</v>
      </c>
      <c r="AW203">
        <v>52</v>
      </c>
      <c r="AX203">
        <v>16</v>
      </c>
      <c r="AY203">
        <v>0</v>
      </c>
      <c r="AZ203">
        <v>60</v>
      </c>
      <c r="BA203">
        <v>2</v>
      </c>
      <c r="BB203">
        <v>1</v>
      </c>
      <c r="BC203" t="s">
        <v>82</v>
      </c>
      <c r="BD203" s="2" t="s">
        <v>504</v>
      </c>
      <c r="BE203">
        <f>HYPERLINK("http://exon.niaid.nih.gov/transcriptome/T_rubida/S2/links/GO/Triru-460-GO.txt",7E-23)</f>
        <v>6.9999999999999999E-23</v>
      </c>
      <c r="BF203" t="s">
        <v>138</v>
      </c>
      <c r="BG203" t="s">
        <v>139</v>
      </c>
      <c r="BH203" t="s">
        <v>140</v>
      </c>
      <c r="BI203" s="2" t="str">
        <f>HYPERLINK("http://exon.niaid.nih.gov/transcriptome/T_rubida/S2/links/CDD/Triru-460-CDD.txt","Ribosomal_L31e")</f>
        <v>Ribosomal_L31e</v>
      </c>
      <c r="BJ203" t="str">
        <f>HYPERLINK("http://www.ncbi.nlm.nih.gov/Structure/cdd/cddsrv.cgi?uid=pfam01198&amp;version=v4.0","1E-010")</f>
        <v>1E-010</v>
      </c>
      <c r="BK203" t="s">
        <v>505</v>
      </c>
      <c r="BL203" s="2" t="str">
        <f>HYPERLINK("http://exon.niaid.nih.gov/transcriptome/T_rubida/S2/links/KOG/Triru-460-KOG.txt","60S ribosomal protein L31")</f>
        <v>60S ribosomal protein L31</v>
      </c>
      <c r="BM203" t="str">
        <f>HYPERLINK("http://www.ncbi.nlm.nih.gov/COG/grace/shokog.cgi?KOG0893","1E-014")</f>
        <v>1E-014</v>
      </c>
      <c r="BN203" t="s">
        <v>84</v>
      </c>
      <c r="BO203" s="2" t="str">
        <f>HYPERLINK("http://exon.niaid.nih.gov/transcriptome/T_rubida/S2/links/PFAM/Triru-460-PFAM.txt","Ribosomal_L31e")</f>
        <v>Ribosomal_L31e</v>
      </c>
      <c r="BP203" t="str">
        <f>HYPERLINK("http://pfam.sanger.ac.uk/family?acc=PF01198","2E-011")</f>
        <v>2E-011</v>
      </c>
      <c r="BQ203" s="2" t="str">
        <f>HYPERLINK("http://exon.niaid.nih.gov/transcriptome/T_rubida/S2/links/SMART/Triru-460-SMART.txt","PSN")</f>
        <v>PSN</v>
      </c>
      <c r="BR203" t="str">
        <f>HYPERLINK("http://smart.embl-heidelberg.de/smart/do_annotation.pl?DOMAIN=PSN&amp;BLAST=DUMMY","0.93")</f>
        <v>0.93</v>
      </c>
      <c r="BS203" s="17">
        <f>HYPERLINK("http://exon.niaid.nih.gov/transcriptome/T_rubida/S2/links/cluster/Triru-pep-ext25-50-Sim-CLU27.txt", 27)</f>
        <v>27</v>
      </c>
      <c r="BT203" s="1">
        <f>HYPERLINK("http://exon.niaid.nih.gov/transcriptome/T_rubida/S2/links/cluster/Triru-pep-ext25-50-Sim-CLTL27.txt", 2)</f>
        <v>2</v>
      </c>
      <c r="BU203" s="17">
        <f>HYPERLINK("http://exon.niaid.nih.gov/transcriptome/T_rubida/S2/links/cluster/Triru-pep-ext30-50-Sim-CLU39.txt", 39)</f>
        <v>39</v>
      </c>
      <c r="BV203" s="1">
        <f>HYPERLINK("http://exon.niaid.nih.gov/transcriptome/T_rubida/S2/links/cluster/Triru-pep-ext30-50-Sim-CLTL39.txt", 2)</f>
        <v>2</v>
      </c>
      <c r="BW203" s="17">
        <f>HYPERLINK("http://exon.niaid.nih.gov/transcriptome/T_rubida/S2/links/cluster/Triru-pep-ext35-50-Sim-CLU38.txt", 38)</f>
        <v>38</v>
      </c>
      <c r="BX203" s="1">
        <f>HYPERLINK("http://exon.niaid.nih.gov/transcriptome/T_rubida/S2/links/cluster/Triru-pep-ext35-50-Sim-CLTL38.txt", 2)</f>
        <v>2</v>
      </c>
      <c r="BY203" s="17">
        <f>HYPERLINK("http://exon.niaid.nih.gov/transcriptome/T_rubida/S2/links/cluster/Triru-pep-ext40-50-Sim-CLU35.txt", 35)</f>
        <v>35</v>
      </c>
      <c r="BZ203" s="1">
        <f>HYPERLINK("http://exon.niaid.nih.gov/transcriptome/T_rubida/S2/links/cluster/Triru-pep-ext40-50-Sim-CLTL35.txt", 2)</f>
        <v>2</v>
      </c>
      <c r="CA203" s="17">
        <f>HYPERLINK("http://exon.niaid.nih.gov/transcriptome/T_rubida/S2/links/cluster/Triru-pep-ext45-50-Sim-CLU30.txt", 30)</f>
        <v>30</v>
      </c>
      <c r="CB203" s="1">
        <f>HYPERLINK("http://exon.niaid.nih.gov/transcriptome/T_rubida/S2/links/cluster/Triru-pep-ext45-50-Sim-CLTL30.txt", 2)</f>
        <v>2</v>
      </c>
      <c r="CC203" s="17">
        <f>HYPERLINK("http://exon.niaid.nih.gov/transcriptome/T_rubida/S2/links/cluster/Triru-pep-ext50-50-Sim-CLU28.txt", 28)</f>
        <v>28</v>
      </c>
      <c r="CD203" s="1">
        <f>HYPERLINK("http://exon.niaid.nih.gov/transcriptome/T_rubida/S2/links/cluster/Triru-pep-ext50-50-Sim-CLTL28.txt", 2)</f>
        <v>2</v>
      </c>
      <c r="CE203" s="17">
        <v>317</v>
      </c>
      <c r="CF203" s="1">
        <v>1</v>
      </c>
      <c r="CG203" s="17">
        <v>321</v>
      </c>
      <c r="CH203" s="1">
        <v>1</v>
      </c>
      <c r="CI203" s="17">
        <v>331</v>
      </c>
      <c r="CJ203" s="1">
        <v>1</v>
      </c>
      <c r="CK203" s="17">
        <v>337</v>
      </c>
      <c r="CL203" s="1">
        <v>1</v>
      </c>
      <c r="CM203" s="17">
        <v>345</v>
      </c>
      <c r="CN203" s="1">
        <v>1</v>
      </c>
      <c r="CO203" s="17">
        <v>357</v>
      </c>
      <c r="CP203" s="1">
        <v>1</v>
      </c>
      <c r="CQ203" s="17">
        <v>367</v>
      </c>
      <c r="CR203" s="1">
        <v>1</v>
      </c>
      <c r="CS203" s="17">
        <v>380</v>
      </c>
      <c r="CT203" s="1">
        <v>1</v>
      </c>
      <c r="CU203" s="17">
        <v>391</v>
      </c>
      <c r="CV203" s="1">
        <v>1</v>
      </c>
    </row>
    <row r="204" spans="1:100">
      <c r="A204" t="str">
        <f>HYPERLINK("http://exon.niaid.nih.gov/transcriptome/T_rubida/S2/links/pep/Triru-373-pep.txt","Triru-373")</f>
        <v>Triru-373</v>
      </c>
      <c r="B204">
        <v>78</v>
      </c>
      <c r="C204" s="1" t="s">
        <v>10</v>
      </c>
      <c r="D204" s="1" t="s">
        <v>3</v>
      </c>
      <c r="E204" t="str">
        <f>HYPERLINK("http://exon.niaid.nih.gov/transcriptome/T_rubida/S2/links/cds/Triru-373-cds.txt","Triru-373")</f>
        <v>Triru-373</v>
      </c>
      <c r="F204">
        <v>237</v>
      </c>
      <c r="G204" s="2" t="s">
        <v>1674</v>
      </c>
      <c r="H204" s="1">
        <v>1</v>
      </c>
      <c r="I204" s="3" t="s">
        <v>1268</v>
      </c>
      <c r="J204" s="17" t="str">
        <f>HYPERLINK("http://exon.niaid.nih.gov/transcriptome/T_rubida/S2/links/Sigp/Triru-373-SigP.txt","CYT")</f>
        <v>CYT</v>
      </c>
      <c r="K204" t="s">
        <v>5</v>
      </c>
      <c r="L204" s="1">
        <v>8.1769999999999996</v>
      </c>
      <c r="M204" s="1">
        <v>10.56</v>
      </c>
      <c r="P204" s="1">
        <v>0.13500000000000001</v>
      </c>
      <c r="Q204" s="1">
        <v>4.7E-2</v>
      </c>
      <c r="R204" s="1">
        <v>0.88600000000000001</v>
      </c>
      <c r="S204" s="17" t="s">
        <v>1346</v>
      </c>
      <c r="T204">
        <v>2</v>
      </c>
      <c r="U204" t="s">
        <v>1348</v>
      </c>
      <c r="V204" s="17">
        <v>0</v>
      </c>
      <c r="W204" t="s">
        <v>5</v>
      </c>
      <c r="X204" t="s">
        <v>5</v>
      </c>
      <c r="Y204" t="s">
        <v>5</v>
      </c>
      <c r="Z204" t="s">
        <v>5</v>
      </c>
      <c r="AA204" t="s">
        <v>5</v>
      </c>
      <c r="AB204" s="17" t="str">
        <f>HYPERLINK("http://exon.niaid.nih.gov/transcriptome/T_rubida/S2/links/netoglyc/TRIRU-373-netoglyc.txt","0")</f>
        <v>0</v>
      </c>
      <c r="AC204">
        <v>10.3</v>
      </c>
      <c r="AD204">
        <v>21.8</v>
      </c>
      <c r="AE204">
        <v>6.4</v>
      </c>
      <c r="AF204" s="17" t="s">
        <v>5</v>
      </c>
      <c r="AG204" s="2" t="str">
        <f>HYPERLINK("http://exon.niaid.nih.gov/transcriptome/T_rubida/S2/links/NR/Triru-373-NR.txt","signal recognition particle")</f>
        <v>signal recognition particle</v>
      </c>
      <c r="AH204" t="str">
        <f>HYPERLINK("http://www.ncbi.nlm.nih.gov/sutils/blink.cgi?pid=149689198","7E-033")</f>
        <v>7E-033</v>
      </c>
      <c r="AI204" t="str">
        <f>HYPERLINK("http://www.ncbi.nlm.nih.gov/protein/149689198","gi|149689198")</f>
        <v>gi|149689198</v>
      </c>
      <c r="AJ204">
        <v>143</v>
      </c>
      <c r="AK204">
        <v>74</v>
      </c>
      <c r="AL204">
        <v>148</v>
      </c>
      <c r="AM204">
        <v>89</v>
      </c>
      <c r="AN204">
        <v>51</v>
      </c>
      <c r="AO204" t="s">
        <v>80</v>
      </c>
      <c r="AP204" s="2" t="str">
        <f>HYPERLINK("http://exon.niaid.nih.gov/transcriptome/T_rubida/S2/links/SWISSP/Triru-373-SWISSP.txt","Signal recognition particle 19 kDa protein")</f>
        <v>Signal recognition particle 19 kDa protein</v>
      </c>
      <c r="AQ204" t="str">
        <f>HYPERLINK("http://www.uniprot.org/uniprot/P49963","7E-017")</f>
        <v>7E-017</v>
      </c>
      <c r="AR204" t="s">
        <v>962</v>
      </c>
      <c r="AS204">
        <v>85.9</v>
      </c>
      <c r="AT204">
        <v>77</v>
      </c>
      <c r="AU204">
        <v>160</v>
      </c>
      <c r="AV204">
        <v>53</v>
      </c>
      <c r="AW204">
        <v>49</v>
      </c>
      <c r="AX204">
        <v>36</v>
      </c>
      <c r="AY204">
        <v>4</v>
      </c>
      <c r="AZ204">
        <v>82</v>
      </c>
      <c r="BA204">
        <v>5</v>
      </c>
      <c r="BB204">
        <v>1</v>
      </c>
      <c r="BC204" t="s">
        <v>150</v>
      </c>
      <c r="BD204" s="2" t="s">
        <v>963</v>
      </c>
      <c r="BE204">
        <f>HYPERLINK("http://exon.niaid.nih.gov/transcriptome/T_rubida/S2/links/GO/Triru-373-GO.txt",0.00000000000000005)</f>
        <v>4.9999999999999999E-17</v>
      </c>
      <c r="BF204" t="s">
        <v>964</v>
      </c>
      <c r="BG204" t="s">
        <v>153</v>
      </c>
      <c r="BH204" t="s">
        <v>154</v>
      </c>
      <c r="BI204" s="2" t="str">
        <f>HYPERLINK("http://exon.niaid.nih.gov/transcriptome/T_rubida/S2/links/CDD/Triru-373-CDD.txt","SRP19")</f>
        <v>SRP19</v>
      </c>
      <c r="BJ204" t="str">
        <f>HYPERLINK("http://www.ncbi.nlm.nih.gov/Structure/cdd/cddsrv.cgi?uid=pfam01922&amp;version=v4.0","1E-004")</f>
        <v>1E-004</v>
      </c>
      <c r="BK204" t="s">
        <v>965</v>
      </c>
      <c r="BL204" s="2" t="str">
        <f>HYPERLINK("http://exon.niaid.nih.gov/transcriptome/T_rubida/S2/links/KOG/Triru-373-KOG.txt","Signal recognition particle, subunit Srp19")</f>
        <v>Signal recognition particle, subunit Srp19</v>
      </c>
      <c r="BM204" t="str">
        <f>HYPERLINK("http://www.ncbi.nlm.nih.gov/COG/grace/shokog.cgi?KOG3198","3E-011")</f>
        <v>3E-011</v>
      </c>
      <c r="BN204" t="s">
        <v>164</v>
      </c>
      <c r="BO204" s="2" t="str">
        <f>HYPERLINK("http://exon.niaid.nih.gov/transcriptome/T_rubida/S2/links/PFAM/Triru-373-PFAM.txt","SRP19")</f>
        <v>SRP19</v>
      </c>
      <c r="BP204" t="str">
        <f>HYPERLINK("http://pfam.sanger.ac.uk/family?acc=PF01922","3E-005")</f>
        <v>3E-005</v>
      </c>
      <c r="BQ204" s="2" t="str">
        <f>HYPERLINK("http://exon.niaid.nih.gov/transcriptome/T_rubida/S2/links/SMART/Triru-373-SMART.txt","PAW")</f>
        <v>PAW</v>
      </c>
      <c r="BR204" t="str">
        <f>HYPERLINK("http://smart.embl-heidelberg.de/smart/do_annotation.pl?DOMAIN=PAW&amp;BLAST=DUMMY","0.014")</f>
        <v>0.014</v>
      </c>
      <c r="BS204" s="17">
        <v>110</v>
      </c>
      <c r="BT204" s="1">
        <v>1</v>
      </c>
      <c r="BU204" s="17">
        <v>169</v>
      </c>
      <c r="BV204" s="1">
        <v>1</v>
      </c>
      <c r="BW204" s="17">
        <v>208</v>
      </c>
      <c r="BX204" s="1">
        <v>1</v>
      </c>
      <c r="BY204" s="17">
        <v>224</v>
      </c>
      <c r="BZ204" s="1">
        <v>1</v>
      </c>
      <c r="CA204" s="17">
        <v>231</v>
      </c>
      <c r="CB204" s="1">
        <v>1</v>
      </c>
      <c r="CC204" s="17">
        <v>236</v>
      </c>
      <c r="CD204" s="1">
        <v>1</v>
      </c>
      <c r="CE204" s="17">
        <v>243</v>
      </c>
      <c r="CF204" s="1">
        <v>1</v>
      </c>
      <c r="CG204" s="17">
        <v>245</v>
      </c>
      <c r="CH204" s="1">
        <v>1</v>
      </c>
      <c r="CI204" s="17">
        <v>255</v>
      </c>
      <c r="CJ204" s="1">
        <v>1</v>
      </c>
      <c r="CK204" s="17">
        <v>260</v>
      </c>
      <c r="CL204" s="1">
        <v>1</v>
      </c>
      <c r="CM204" s="17">
        <v>268</v>
      </c>
      <c r="CN204" s="1">
        <v>1</v>
      </c>
      <c r="CO204" s="17">
        <v>280</v>
      </c>
      <c r="CP204" s="1">
        <v>1</v>
      </c>
      <c r="CQ204" s="17">
        <v>290</v>
      </c>
      <c r="CR204" s="1">
        <v>1</v>
      </c>
      <c r="CS204" s="17">
        <v>302</v>
      </c>
      <c r="CT204" s="1">
        <v>1</v>
      </c>
      <c r="CU204" s="17">
        <v>313</v>
      </c>
      <c r="CV204" s="1">
        <v>1</v>
      </c>
    </row>
    <row r="205" spans="1:100">
      <c r="A205" t="str">
        <f>HYPERLINK("http://exon.niaid.nih.gov/transcriptome/T_rubida/S2/links/pep/Triru-102-pep.txt","Triru-102")</f>
        <v>Triru-102</v>
      </c>
      <c r="B205">
        <v>133</v>
      </c>
      <c r="C205" s="1" t="s">
        <v>10</v>
      </c>
      <c r="D205" s="1" t="s">
        <v>3</v>
      </c>
      <c r="E205" t="str">
        <f>HYPERLINK("http://exon.niaid.nih.gov/transcriptome/T_rubida/S2/links/cds/Triru-102-cds.txt","Triru-102")</f>
        <v>Triru-102</v>
      </c>
      <c r="F205">
        <v>402</v>
      </c>
      <c r="G205" s="2" t="s">
        <v>1675</v>
      </c>
      <c r="H205" s="1">
        <v>5</v>
      </c>
      <c r="I205" s="3" t="s">
        <v>1268</v>
      </c>
      <c r="J205" s="17" t="str">
        <f>HYPERLINK("http://exon.niaid.nih.gov/transcriptome/T_rubida/S2/links/Sigp/Triru-102-SigP.txt","CYT")</f>
        <v>CYT</v>
      </c>
      <c r="K205" t="s">
        <v>5</v>
      </c>
      <c r="L205" s="1">
        <v>14.4</v>
      </c>
      <c r="M205" s="1">
        <v>10</v>
      </c>
      <c r="P205" s="1">
        <v>0.188</v>
      </c>
      <c r="Q205" s="1">
        <v>5.8000000000000003E-2</v>
      </c>
      <c r="R205" s="1">
        <v>0.77900000000000003</v>
      </c>
      <c r="S205" s="17" t="s">
        <v>1346</v>
      </c>
      <c r="T205">
        <v>3</v>
      </c>
      <c r="U205" t="s">
        <v>1348</v>
      </c>
      <c r="V205" s="17">
        <v>0</v>
      </c>
      <c r="W205" t="s">
        <v>5</v>
      </c>
      <c r="X205" t="s">
        <v>5</v>
      </c>
      <c r="Y205" t="s">
        <v>5</v>
      </c>
      <c r="Z205" t="s">
        <v>5</v>
      </c>
      <c r="AA205" t="s">
        <v>5</v>
      </c>
      <c r="AB205" s="17" t="str">
        <f>HYPERLINK("http://exon.niaid.nih.gov/transcriptome/T_rubida/S2/links/netoglyc/TRIRU-102-netoglyc.txt","1")</f>
        <v>1</v>
      </c>
      <c r="AC205">
        <v>11.3</v>
      </c>
      <c r="AD205">
        <v>10.5</v>
      </c>
      <c r="AE205">
        <v>4.5</v>
      </c>
      <c r="AF205" s="17" t="s">
        <v>5</v>
      </c>
      <c r="AG205" s="2" t="str">
        <f>HYPERLINK("http://exon.niaid.nih.gov/transcriptome/T_rubida/S2/links/NR/Triru-102-NR.txt","ribosomal protein S4e")</f>
        <v>ribosomal protein S4e</v>
      </c>
      <c r="AH205" t="str">
        <f>HYPERLINK("http://www.ncbi.nlm.nih.gov/sutils/blink.cgi?pid=146285351","5E-065")</f>
        <v>5E-065</v>
      </c>
      <c r="AI205" t="str">
        <f>HYPERLINK("http://www.ncbi.nlm.nih.gov/protein/146285351","gi|146285351")</f>
        <v>gi|146285351</v>
      </c>
      <c r="AJ205">
        <v>250</v>
      </c>
      <c r="AK205">
        <v>131</v>
      </c>
      <c r="AL205">
        <v>263</v>
      </c>
      <c r="AM205">
        <v>93</v>
      </c>
      <c r="AN205">
        <v>50</v>
      </c>
      <c r="AO205" t="s">
        <v>482</v>
      </c>
      <c r="AP205" s="2" t="str">
        <f>HYPERLINK("http://exon.niaid.nih.gov/transcriptome/T_rubida/S2/links/SWISSP/Triru-102-SWISSP.txt","40S ribosomal protein S4")</f>
        <v>40S ribosomal protein S4</v>
      </c>
      <c r="AQ205" t="str">
        <f>HYPERLINK("http://www.uniprot.org/uniprot/Q4GXU6","5E-060")</f>
        <v>5E-060</v>
      </c>
      <c r="AR205" t="s">
        <v>997</v>
      </c>
      <c r="AS205">
        <v>229</v>
      </c>
      <c r="AT205">
        <v>127</v>
      </c>
      <c r="AU205">
        <v>261</v>
      </c>
      <c r="AV205">
        <v>86</v>
      </c>
      <c r="AW205">
        <v>49</v>
      </c>
      <c r="AX205">
        <v>17</v>
      </c>
      <c r="AY205">
        <v>0</v>
      </c>
      <c r="AZ205">
        <v>132</v>
      </c>
      <c r="BA205">
        <v>2</v>
      </c>
      <c r="BB205">
        <v>1</v>
      </c>
      <c r="BC205" t="s">
        <v>998</v>
      </c>
      <c r="BD205" s="2" t="s">
        <v>999</v>
      </c>
      <c r="BE205">
        <f>HYPERLINK("http://exon.niaid.nih.gov/transcriptome/T_rubida/S2/links/GO/Triru-102-GO.txt",3E-58)</f>
        <v>3.0000000000000001E-58</v>
      </c>
      <c r="BF205" t="s">
        <v>138</v>
      </c>
      <c r="BG205" t="s">
        <v>139</v>
      </c>
      <c r="BH205" t="s">
        <v>140</v>
      </c>
      <c r="BI205" s="2" t="str">
        <f>HYPERLINK("http://exon.niaid.nih.gov/transcriptome/T_rubida/S2/links/CDD/Triru-102-CDD.txt","PLN00036")</f>
        <v>PLN00036</v>
      </c>
      <c r="BJ205" t="str">
        <f>HYPERLINK("http://www.ncbi.nlm.nih.gov/Structure/cdd/cddsrv.cgi?uid=PLN00036&amp;version=v4.0","2E-053")</f>
        <v>2E-053</v>
      </c>
      <c r="BK205" t="s">
        <v>1000</v>
      </c>
      <c r="BL205" s="2" t="str">
        <f>HYPERLINK("http://exon.niaid.nih.gov/transcriptome/T_rubida/S2/links/KOG/Triru-102-KOG.txt","40S ribosomal protein S4")</f>
        <v>40S ribosomal protein S4</v>
      </c>
      <c r="BM205" t="str">
        <f>HYPERLINK("http://www.ncbi.nlm.nih.gov/COG/grace/shokog.cgi?KOG0378","5E-053")</f>
        <v>5E-053</v>
      </c>
      <c r="BN205" t="s">
        <v>84</v>
      </c>
      <c r="BO205" s="2" t="str">
        <f>HYPERLINK("http://exon.niaid.nih.gov/transcriptome/T_rubida/S2/links/PFAM/Triru-102-PFAM.txt","Ribosomal_S4e")</f>
        <v>Ribosomal_S4e</v>
      </c>
      <c r="BP205" t="str">
        <f>HYPERLINK("http://pfam.sanger.ac.uk/family?acc=PF00900","5E-010")</f>
        <v>5E-010</v>
      </c>
      <c r="BQ205" s="2" t="str">
        <f>HYPERLINK("http://exon.niaid.nih.gov/transcriptome/T_rubida/S2/links/SMART/Triru-102-SMART.txt","KOW")</f>
        <v>KOW</v>
      </c>
      <c r="BR205" t="str">
        <f>HYPERLINK("http://smart.embl-heidelberg.de/smart/do_annotation.pl?DOMAIN=KOW&amp;BLAST=DUMMY","0.10")</f>
        <v>0.10</v>
      </c>
      <c r="BS205" s="17">
        <f>HYPERLINK("http://exon.niaid.nih.gov/transcriptome/T_rubida/S2/links/cluster/Triru-pep-ext25-50-Sim-CLU10.txt", 10)</f>
        <v>10</v>
      </c>
      <c r="BT205" s="1">
        <f>HYPERLINK("http://exon.niaid.nih.gov/transcriptome/T_rubida/S2/links/cluster/Triru-pep-ext25-50-Sim-CLTL10.txt", 2)</f>
        <v>2</v>
      </c>
      <c r="BU205" s="17">
        <v>57</v>
      </c>
      <c r="BV205" s="1">
        <v>1</v>
      </c>
      <c r="BW205" s="17">
        <v>60</v>
      </c>
      <c r="BX205" s="1">
        <v>1</v>
      </c>
      <c r="BY205" s="17">
        <v>58</v>
      </c>
      <c r="BZ205" s="1">
        <v>1</v>
      </c>
      <c r="CA205" s="17">
        <v>56</v>
      </c>
      <c r="CB205" s="1">
        <v>1</v>
      </c>
      <c r="CC205" s="17">
        <v>54</v>
      </c>
      <c r="CD205" s="1">
        <v>1</v>
      </c>
      <c r="CE205" s="17">
        <v>47</v>
      </c>
      <c r="CF205" s="1">
        <v>1</v>
      </c>
      <c r="CG205" s="17">
        <v>47</v>
      </c>
      <c r="CH205" s="1">
        <v>1</v>
      </c>
      <c r="CI205" s="17">
        <v>53</v>
      </c>
      <c r="CJ205" s="1">
        <v>1</v>
      </c>
      <c r="CK205" s="17">
        <v>57</v>
      </c>
      <c r="CL205" s="1">
        <v>1</v>
      </c>
      <c r="CM205" s="17">
        <v>61</v>
      </c>
      <c r="CN205" s="1">
        <v>1</v>
      </c>
      <c r="CO205" s="17">
        <v>69</v>
      </c>
      <c r="CP205" s="1">
        <v>1</v>
      </c>
      <c r="CQ205" s="17">
        <v>79</v>
      </c>
      <c r="CR205" s="1">
        <v>1</v>
      </c>
      <c r="CS205" s="17">
        <v>84</v>
      </c>
      <c r="CT205" s="1">
        <v>1</v>
      </c>
      <c r="CU205" s="17">
        <v>95</v>
      </c>
      <c r="CV205" s="1">
        <v>1</v>
      </c>
    </row>
    <row r="206" spans="1:100">
      <c r="A206" t="str">
        <f>HYPERLINK("http://exon.niaid.nih.gov/transcriptome/T_rubida/S2/links/pep/Triru-259-pep.txt","Triru-259")</f>
        <v>Triru-259</v>
      </c>
      <c r="B206">
        <v>134</v>
      </c>
      <c r="C206" s="1" t="s">
        <v>4</v>
      </c>
      <c r="D206" s="1" t="s">
        <v>3</v>
      </c>
      <c r="E206" t="str">
        <f>HYPERLINK("http://exon.niaid.nih.gov/transcriptome/T_rubida/S2/links/cds/Triru-259-cds.txt","Triru-259")</f>
        <v>Triru-259</v>
      </c>
      <c r="F206">
        <v>405</v>
      </c>
      <c r="G206" s="2" t="s">
        <v>1676</v>
      </c>
      <c r="H206" s="1">
        <v>1</v>
      </c>
      <c r="I206" s="3" t="s">
        <v>1268</v>
      </c>
      <c r="J206" s="17" t="str">
        <f>HYPERLINK("http://exon.niaid.nih.gov/transcriptome/T_rubida/S2/links/Sigp/Triru-259-SigP.txt","CYT")</f>
        <v>CYT</v>
      </c>
      <c r="K206" t="s">
        <v>5</v>
      </c>
      <c r="L206" s="1">
        <v>14.612</v>
      </c>
      <c r="M206" s="1">
        <v>9.93</v>
      </c>
      <c r="P206" s="1">
        <v>0.31</v>
      </c>
      <c r="Q206" s="1">
        <v>0.14099999999999999</v>
      </c>
      <c r="R206" s="1">
        <v>0.497</v>
      </c>
      <c r="S206" s="17" t="s">
        <v>1346</v>
      </c>
      <c r="T206">
        <v>5</v>
      </c>
      <c r="U206" t="s">
        <v>1390</v>
      </c>
      <c r="V206" s="17">
        <v>0</v>
      </c>
      <c r="W206" t="s">
        <v>5</v>
      </c>
      <c r="X206" t="s">
        <v>5</v>
      </c>
      <c r="Y206" t="s">
        <v>5</v>
      </c>
      <c r="Z206" t="s">
        <v>5</v>
      </c>
      <c r="AA206" t="s">
        <v>5</v>
      </c>
      <c r="AB206" s="17" t="str">
        <f>HYPERLINK("http://exon.niaid.nih.gov/transcriptome/T_rubida/S2/links/netoglyc/TRIRU-259-netoglyc.txt","0")</f>
        <v>0</v>
      </c>
      <c r="AC206">
        <v>7.5</v>
      </c>
      <c r="AD206">
        <v>9</v>
      </c>
      <c r="AE206">
        <v>2.2000000000000002</v>
      </c>
      <c r="AF206" s="17" t="s">
        <v>5</v>
      </c>
      <c r="AG206" s="2" t="str">
        <f>HYPERLINK("http://exon.niaid.nih.gov/transcriptome/T_rubida/S2/links/NR/Triru-259-NR.txt","60S ribosomal protein L7A")</f>
        <v>60S ribosomal protein L7A</v>
      </c>
      <c r="AH206" t="str">
        <f>HYPERLINK("http://www.ncbi.nlm.nih.gov/sutils/blink.cgi?pid=263173277","1E-056")</f>
        <v>1E-056</v>
      </c>
      <c r="AI206" t="str">
        <f>HYPERLINK("http://www.ncbi.nlm.nih.gov/protein/263173277","gi|263173277")</f>
        <v>gi|263173277</v>
      </c>
      <c r="AJ206">
        <v>222</v>
      </c>
      <c r="AK206">
        <v>131</v>
      </c>
      <c r="AL206">
        <v>266</v>
      </c>
      <c r="AM206">
        <v>82</v>
      </c>
      <c r="AN206">
        <v>50</v>
      </c>
      <c r="AO206" t="s">
        <v>239</v>
      </c>
      <c r="AP206" s="2" t="str">
        <f>HYPERLINK("http://exon.niaid.nih.gov/transcriptome/T_rubida/S2/links/SWISSP/Triru-259-SWISSP.txt","60S ribosomal protein L7a")</f>
        <v>60S ribosomal protein L7a</v>
      </c>
      <c r="AQ206" t="str">
        <f>HYPERLINK("http://www.uniprot.org/uniprot/Q90YW2","7E-056")</f>
        <v>7E-056</v>
      </c>
      <c r="AR206" t="s">
        <v>240</v>
      </c>
      <c r="AS206">
        <v>215</v>
      </c>
      <c r="AT206">
        <v>131</v>
      </c>
      <c r="AU206">
        <v>266</v>
      </c>
      <c r="AV206">
        <v>79</v>
      </c>
      <c r="AW206">
        <v>50</v>
      </c>
      <c r="AX206">
        <v>27</v>
      </c>
      <c r="AY206">
        <v>0</v>
      </c>
      <c r="AZ206">
        <v>135</v>
      </c>
      <c r="BA206">
        <v>3</v>
      </c>
      <c r="BB206">
        <v>1</v>
      </c>
      <c r="BC206" t="s">
        <v>241</v>
      </c>
      <c r="BD206" s="2" t="s">
        <v>242</v>
      </c>
      <c r="BE206">
        <f>HYPERLINK("http://exon.niaid.nih.gov/transcriptome/T_rubida/S2/links/GO/Triru-259-GO.txt",4E-55)</f>
        <v>4E-55</v>
      </c>
      <c r="BF206" t="s">
        <v>152</v>
      </c>
      <c r="BG206" t="s">
        <v>153</v>
      </c>
      <c r="BH206" t="s">
        <v>154</v>
      </c>
      <c r="BI206" s="2" t="str">
        <f>HYPERLINK("http://exon.niaid.nih.gov/transcriptome/T_rubida/S2/links/CDD/Triru-259-CDD.txt","PTZ00365")</f>
        <v>PTZ00365</v>
      </c>
      <c r="BJ206" t="str">
        <f>HYPERLINK("http://www.ncbi.nlm.nih.gov/Structure/cdd/cddsrv.cgi?uid=PTZ00365&amp;version=v4.0","1E-037")</f>
        <v>1E-037</v>
      </c>
      <c r="BK206" t="s">
        <v>243</v>
      </c>
      <c r="BL206" s="2" t="str">
        <f>HYPERLINK("http://exon.niaid.nih.gov/transcriptome/T_rubida/S2/links/KOG/Triru-259-KOG.txt","60S ribosomal protein L7A")</f>
        <v>60S ribosomal protein L7A</v>
      </c>
      <c r="BM206" t="str">
        <f>HYPERLINK("http://www.ncbi.nlm.nih.gov/COG/grace/shokog.cgi?KOG3166","5E-029")</f>
        <v>5E-029</v>
      </c>
      <c r="BN206" t="s">
        <v>84</v>
      </c>
      <c r="BO206" s="2" t="str">
        <f>HYPERLINK("http://exon.niaid.nih.gov/transcriptome/T_rubida/S2/links/PFAM/Triru-259-PFAM.txt","Ribosomal_L7Ae")</f>
        <v>Ribosomal_L7Ae</v>
      </c>
      <c r="BP206" t="str">
        <f>HYPERLINK("http://pfam.sanger.ac.uk/family?acc=PF01248","2E-018")</f>
        <v>2E-018</v>
      </c>
      <c r="BQ206" s="2" t="str">
        <f>HYPERLINK("http://exon.niaid.nih.gov/transcriptome/T_rubida/S2/links/SMART/Triru-259-SMART.txt","53EXOc")</f>
        <v>53EXOc</v>
      </c>
      <c r="BR206" t="str">
        <f>HYPERLINK("http://smart.embl-heidelberg.de/smart/do_annotation.pl?DOMAIN=53EXOc&amp;BLAST=DUMMY","1.1")</f>
        <v>1.1</v>
      </c>
      <c r="BS206" s="17">
        <v>80</v>
      </c>
      <c r="BT206" s="1">
        <v>1</v>
      </c>
      <c r="BU206" s="17">
        <v>123</v>
      </c>
      <c r="BV206" s="1">
        <v>1</v>
      </c>
      <c r="BW206" s="17">
        <v>147</v>
      </c>
      <c r="BX206" s="1">
        <v>1</v>
      </c>
      <c r="BY206" s="17">
        <v>154</v>
      </c>
      <c r="BZ206" s="1">
        <v>1</v>
      </c>
      <c r="CA206" s="17">
        <v>158</v>
      </c>
      <c r="CB206" s="1">
        <v>1</v>
      </c>
      <c r="CC206" s="17">
        <v>161</v>
      </c>
      <c r="CD206" s="1">
        <v>1</v>
      </c>
      <c r="CE206" s="17">
        <v>165</v>
      </c>
      <c r="CF206" s="1">
        <v>1</v>
      </c>
      <c r="CG206" s="17">
        <v>167</v>
      </c>
      <c r="CH206" s="1">
        <v>1</v>
      </c>
      <c r="CI206" s="17">
        <v>174</v>
      </c>
      <c r="CJ206" s="1">
        <v>1</v>
      </c>
      <c r="CK206" s="17">
        <v>179</v>
      </c>
      <c r="CL206" s="1">
        <v>1</v>
      </c>
      <c r="CM206" s="17">
        <v>185</v>
      </c>
      <c r="CN206" s="1">
        <v>1</v>
      </c>
      <c r="CO206" s="17">
        <v>195</v>
      </c>
      <c r="CP206" s="1">
        <v>1</v>
      </c>
      <c r="CQ206" s="17">
        <v>205</v>
      </c>
      <c r="CR206" s="1">
        <v>1</v>
      </c>
      <c r="CS206" s="17">
        <v>210</v>
      </c>
      <c r="CT206" s="1">
        <v>1</v>
      </c>
      <c r="CU206" s="17">
        <v>221</v>
      </c>
      <c r="CV206" s="1">
        <v>1</v>
      </c>
    </row>
    <row r="207" spans="1:100">
      <c r="A207" t="str">
        <f>HYPERLINK("http://exon.niaid.nih.gov/transcriptome/T_rubida/S2/links/pep/Triru-117-pep.txt","Triru-117")</f>
        <v>Triru-117</v>
      </c>
      <c r="B207">
        <v>102</v>
      </c>
      <c r="C207" s="1" t="s">
        <v>6</v>
      </c>
      <c r="D207" s="1" t="s">
        <v>3</v>
      </c>
      <c r="E207" t="str">
        <f>HYPERLINK("http://exon.niaid.nih.gov/transcriptome/T_rubida/S2/links/cds/Triru-117-cds.txt","Triru-117")</f>
        <v>Triru-117</v>
      </c>
      <c r="F207">
        <v>309</v>
      </c>
      <c r="G207" s="2" t="s">
        <v>1677</v>
      </c>
      <c r="H207" s="1">
        <v>1</v>
      </c>
      <c r="I207" s="3" t="s">
        <v>1268</v>
      </c>
      <c r="J207" s="17" t="str">
        <f>HYPERLINK("http://exon.niaid.nih.gov/transcriptome/T_rubida/S2/links/Sigp/Triru-117-SigP.txt","CYT")</f>
        <v>CYT</v>
      </c>
      <c r="K207" t="s">
        <v>5</v>
      </c>
      <c r="L207" s="1">
        <v>11.785</v>
      </c>
      <c r="M207" s="1">
        <v>11.18</v>
      </c>
      <c r="P207" s="1">
        <v>0.25800000000000001</v>
      </c>
      <c r="Q207" s="1">
        <v>0.14499999999999999</v>
      </c>
      <c r="R207" s="1">
        <v>0.55800000000000005</v>
      </c>
      <c r="S207" s="17" t="s">
        <v>1346</v>
      </c>
      <c r="T207">
        <v>4</v>
      </c>
      <c r="U207" t="s">
        <v>1348</v>
      </c>
      <c r="V207" s="17">
        <v>0</v>
      </c>
      <c r="W207" t="s">
        <v>5</v>
      </c>
      <c r="X207" t="s">
        <v>5</v>
      </c>
      <c r="Y207" t="s">
        <v>5</v>
      </c>
      <c r="Z207" t="s">
        <v>5</v>
      </c>
      <c r="AA207" t="s">
        <v>5</v>
      </c>
      <c r="AB207" s="17" t="str">
        <f>HYPERLINK("http://exon.niaid.nih.gov/transcriptome/T_rubida/S2/links/netoglyc/TRIRU-117-netoglyc.txt","0")</f>
        <v>0</v>
      </c>
      <c r="AC207">
        <v>12.7</v>
      </c>
      <c r="AD207">
        <v>10.8</v>
      </c>
      <c r="AE207">
        <v>1</v>
      </c>
      <c r="AF207" s="17" t="s">
        <v>1449</v>
      </c>
      <c r="AG207" s="2" t="str">
        <f>HYPERLINK("http://exon.niaid.nih.gov/transcriptome/T_rubida/S2/links/NR/Triru-117-NR.txt","60S ribosomal protein L15, putative")</f>
        <v>60S ribosomal protein L15, putative</v>
      </c>
      <c r="AH207" t="str">
        <f>HYPERLINK("http://www.ncbi.nlm.nih.gov/sutils/blink.cgi?pid=242011669","1E-046")</f>
        <v>1E-046</v>
      </c>
      <c r="AI207" t="str">
        <f>HYPERLINK("http://www.ncbi.nlm.nih.gov/protein/242011669","gi|242011669")</f>
        <v>gi|242011669</v>
      </c>
      <c r="AJ207">
        <v>189</v>
      </c>
      <c r="AK207">
        <v>96</v>
      </c>
      <c r="AL207">
        <v>204</v>
      </c>
      <c r="AM207">
        <v>90</v>
      </c>
      <c r="AN207">
        <v>48</v>
      </c>
      <c r="AO207" t="s">
        <v>54</v>
      </c>
      <c r="AP207" s="2" t="str">
        <f>HYPERLINK("http://exon.niaid.nih.gov/transcriptome/T_rubida/S2/links/SWISSP/Triru-117-SWISSP.txt","60S ribosomal protein L15")</f>
        <v>60S ribosomal protein L15</v>
      </c>
      <c r="AQ207" t="str">
        <f>HYPERLINK("http://www.uniprot.org/uniprot/P30736","9E-040")</f>
        <v>9E-040</v>
      </c>
      <c r="AR207" t="s">
        <v>592</v>
      </c>
      <c r="AS207">
        <v>161</v>
      </c>
      <c r="AT207">
        <v>96</v>
      </c>
      <c r="AU207">
        <v>204</v>
      </c>
      <c r="AV207">
        <v>74</v>
      </c>
      <c r="AW207">
        <v>48</v>
      </c>
      <c r="AX207">
        <v>25</v>
      </c>
      <c r="AY207">
        <v>0</v>
      </c>
      <c r="AZ207">
        <v>108</v>
      </c>
      <c r="BA207">
        <v>6</v>
      </c>
      <c r="BB207">
        <v>1</v>
      </c>
      <c r="BC207" t="s">
        <v>593</v>
      </c>
      <c r="BD207" s="2" t="s">
        <v>594</v>
      </c>
      <c r="BE207">
        <f>HYPERLINK("http://exon.niaid.nih.gov/transcriptome/T_rubida/S2/links/GO/Triru-117-GO.txt",4E-40)</f>
        <v>3.9999999999999997E-40</v>
      </c>
      <c r="BF207" t="s">
        <v>138</v>
      </c>
      <c r="BG207" t="s">
        <v>139</v>
      </c>
      <c r="BH207" t="s">
        <v>140</v>
      </c>
      <c r="BI207" s="2" t="str">
        <f>HYPERLINK("http://exon.niaid.nih.gov/transcriptome/T_rubida/S2/links/CDD/Triru-117-CDD.txt","PTZ00026")</f>
        <v>PTZ00026</v>
      </c>
      <c r="BJ207" t="str">
        <f>HYPERLINK("http://www.ncbi.nlm.nih.gov/Structure/cdd/cddsrv.cgi?uid=PTZ00026&amp;version=v4.0","4E-036")</f>
        <v>4E-036</v>
      </c>
      <c r="BK207" t="s">
        <v>595</v>
      </c>
      <c r="BL207" s="2" t="str">
        <f>HYPERLINK("http://exon.niaid.nih.gov/transcriptome/T_rubida/S2/links/KOG/Triru-117-KOG.txt","60s ribosomal protein L15")</f>
        <v>60s ribosomal protein L15</v>
      </c>
      <c r="BM207" t="str">
        <f>HYPERLINK("http://www.ncbi.nlm.nih.gov/COG/grace/shokog.cgi?KOG1678","4E-037")</f>
        <v>4E-037</v>
      </c>
      <c r="BN207" t="s">
        <v>84</v>
      </c>
      <c r="BO207" s="2" t="str">
        <f>HYPERLINK("http://exon.niaid.nih.gov/transcriptome/T_rubida/S2/links/PFAM/Triru-117-PFAM.txt","Ribosomal_L15e")</f>
        <v>Ribosomal_L15e</v>
      </c>
      <c r="BP207" t="str">
        <f>HYPERLINK("http://pfam.sanger.ac.uk/family?acc=PF00827","3E-036")</f>
        <v>3E-036</v>
      </c>
      <c r="BQ207" s="2" t="str">
        <f>HYPERLINK("http://exon.niaid.nih.gov/transcriptome/T_rubida/S2/links/SMART/Triru-117-SMART.txt","CysPc")</f>
        <v>CysPc</v>
      </c>
      <c r="BR207" t="str">
        <f>HYPERLINK("http://smart.embl-heidelberg.de/smart/do_annotation.pl?DOMAIN=CysPc&amp;BLAST=DUMMY","1.6")</f>
        <v>1.6</v>
      </c>
      <c r="BS207" s="17">
        <v>46</v>
      </c>
      <c r="BT207" s="1">
        <v>1</v>
      </c>
      <c r="BU207" s="17">
        <v>63</v>
      </c>
      <c r="BV207" s="1">
        <v>1</v>
      </c>
      <c r="BW207" s="17">
        <v>69</v>
      </c>
      <c r="BX207" s="1">
        <v>1</v>
      </c>
      <c r="BY207" s="17">
        <v>69</v>
      </c>
      <c r="BZ207" s="1">
        <v>1</v>
      </c>
      <c r="CA207" s="17">
        <v>67</v>
      </c>
      <c r="CB207" s="1">
        <v>1</v>
      </c>
      <c r="CC207" s="17">
        <v>66</v>
      </c>
      <c r="CD207" s="1">
        <v>1</v>
      </c>
      <c r="CE207" s="17">
        <v>60</v>
      </c>
      <c r="CF207" s="1">
        <v>1</v>
      </c>
      <c r="CG207" s="17">
        <v>60</v>
      </c>
      <c r="CH207" s="1">
        <v>1</v>
      </c>
      <c r="CI207" s="17">
        <v>66</v>
      </c>
      <c r="CJ207" s="1">
        <v>1</v>
      </c>
      <c r="CK207" s="17">
        <v>70</v>
      </c>
      <c r="CL207" s="1">
        <v>1</v>
      </c>
      <c r="CM207" s="17">
        <v>74</v>
      </c>
      <c r="CN207" s="1">
        <v>1</v>
      </c>
      <c r="CO207" s="17">
        <v>82</v>
      </c>
      <c r="CP207" s="1">
        <v>1</v>
      </c>
      <c r="CQ207" s="17">
        <v>92</v>
      </c>
      <c r="CR207" s="1">
        <v>1</v>
      </c>
      <c r="CS207" s="17">
        <v>97</v>
      </c>
      <c r="CT207" s="1">
        <v>1</v>
      </c>
      <c r="CU207" s="17">
        <v>108</v>
      </c>
      <c r="CV207" s="1">
        <v>1</v>
      </c>
    </row>
    <row r="208" spans="1:100">
      <c r="A208" t="str">
        <f>HYPERLINK("http://exon.niaid.nih.gov/transcriptome/T_rubida/S2/links/pep/Triru-95-pep.txt","Triru-95")</f>
        <v>Triru-95</v>
      </c>
      <c r="B208">
        <v>61</v>
      </c>
      <c r="C208" s="1" t="s">
        <v>17</v>
      </c>
      <c r="D208" s="1" t="s">
        <v>3</v>
      </c>
      <c r="E208" t="str">
        <f>HYPERLINK("http://exon.niaid.nih.gov/transcriptome/T_rubida/S2/links/cds/Triru-95-cds.txt","Triru-95")</f>
        <v>Triru-95</v>
      </c>
      <c r="F208">
        <v>186</v>
      </c>
      <c r="G208" s="2" t="s">
        <v>1678</v>
      </c>
      <c r="H208" s="1">
        <v>6</v>
      </c>
      <c r="I208" s="3" t="s">
        <v>1268</v>
      </c>
      <c r="J208" s="17" t="str">
        <f>HYPERLINK("http://exon.niaid.nih.gov/transcriptome/T_rubida/S2/links/Sigp/Triru-95-SigP.txt","CYT")</f>
        <v>CYT</v>
      </c>
      <c r="K208" t="s">
        <v>5</v>
      </c>
      <c r="L208" s="1">
        <v>7.1180000000000003</v>
      </c>
      <c r="M208" s="1">
        <v>11.03</v>
      </c>
      <c r="P208" s="1">
        <v>0.67400000000000004</v>
      </c>
      <c r="Q208" s="1">
        <v>0.02</v>
      </c>
      <c r="R208" s="1">
        <v>0.52300000000000002</v>
      </c>
      <c r="S208" s="17" t="s">
        <v>9</v>
      </c>
      <c r="T208">
        <v>5</v>
      </c>
      <c r="U208" t="s">
        <v>1382</v>
      </c>
      <c r="V208" s="17">
        <v>0</v>
      </c>
      <c r="W208" t="s">
        <v>5</v>
      </c>
      <c r="X208" t="s">
        <v>5</v>
      </c>
      <c r="Y208" t="s">
        <v>5</v>
      </c>
      <c r="Z208" t="s">
        <v>5</v>
      </c>
      <c r="AA208" t="s">
        <v>5</v>
      </c>
      <c r="AB208" s="17" t="str">
        <f>HYPERLINK("http://exon.niaid.nih.gov/transcriptome/T_rubida/S2/links/netoglyc/TRIRU-95-netoglyc.txt","0")</f>
        <v>0</v>
      </c>
      <c r="AC208">
        <v>3.3</v>
      </c>
      <c r="AD208">
        <v>4.9000000000000004</v>
      </c>
      <c r="AE208">
        <v>4.9000000000000004</v>
      </c>
      <c r="AF208" s="17" t="s">
        <v>5</v>
      </c>
      <c r="AG208" s="2" t="str">
        <f>HYPERLINK("http://exon.niaid.nih.gov/transcriptome/T_rubida/S2/links/NR/Triru-95-NR.txt","ribosomal subunit L34")</f>
        <v>ribosomal subunit L34</v>
      </c>
      <c r="AH208" t="str">
        <f>HYPERLINK("http://www.ncbi.nlm.nih.gov/sutils/blink.cgi?pid=146285345","7E-017")</f>
        <v>7E-017</v>
      </c>
      <c r="AI208" t="str">
        <f>HYPERLINK("http://www.ncbi.nlm.nih.gov/protein/146285345","gi|146285345")</f>
        <v>gi|146285345</v>
      </c>
      <c r="AJ208">
        <v>90.5</v>
      </c>
      <c r="AK208">
        <v>54</v>
      </c>
      <c r="AL208">
        <v>119</v>
      </c>
      <c r="AM208">
        <v>80</v>
      </c>
      <c r="AN208">
        <v>46</v>
      </c>
      <c r="AO208" t="s">
        <v>482</v>
      </c>
      <c r="AP208" s="2" t="str">
        <f>HYPERLINK("http://exon.niaid.nih.gov/transcriptome/T_rubida/S2/links/SWISSP/Triru-95-SWISSP.txt","60S ribosomal protein L34")</f>
        <v>60S ribosomal protein L34</v>
      </c>
      <c r="AQ208" t="str">
        <f>HYPERLINK("http://www.uniprot.org/uniprot/Q9NB34","3E-014")</f>
        <v>3E-014</v>
      </c>
      <c r="AR208" t="s">
        <v>1070</v>
      </c>
      <c r="AS208">
        <v>77</v>
      </c>
      <c r="AT208">
        <v>60</v>
      </c>
      <c r="AU208">
        <v>139</v>
      </c>
      <c r="AV208">
        <v>61</v>
      </c>
      <c r="AW208">
        <v>44</v>
      </c>
      <c r="AX208">
        <v>24</v>
      </c>
      <c r="AY208">
        <v>3</v>
      </c>
      <c r="AZ208">
        <v>58</v>
      </c>
      <c r="BA208">
        <v>1</v>
      </c>
      <c r="BB208">
        <v>1</v>
      </c>
      <c r="BC208" t="s">
        <v>824</v>
      </c>
      <c r="BD208" s="2" t="s">
        <v>1071</v>
      </c>
      <c r="BE208">
        <f>HYPERLINK("http://exon.niaid.nih.gov/transcriptome/T_rubida/S2/links/GO/Triru-95-GO.txt",0.00000000000004)</f>
        <v>4E-14</v>
      </c>
      <c r="BF208" t="s">
        <v>138</v>
      </c>
      <c r="BG208" t="s">
        <v>139</v>
      </c>
      <c r="BH208" t="s">
        <v>140</v>
      </c>
      <c r="BI208" s="2" t="str">
        <f>HYPERLINK("http://exon.niaid.nih.gov/transcriptome/T_rubida/S2/links/CDD/Triru-95-CDD.txt","PTZ00074")</f>
        <v>PTZ00074</v>
      </c>
      <c r="BJ208" t="str">
        <f>HYPERLINK("http://www.ncbi.nlm.nih.gov/Structure/cdd/cddsrv.cgi?uid=PTZ00074&amp;version=v4.0","1E-010")</f>
        <v>1E-010</v>
      </c>
      <c r="BK208" t="s">
        <v>1072</v>
      </c>
      <c r="BL208" s="2" t="str">
        <f>HYPERLINK("http://exon.niaid.nih.gov/transcriptome/T_rubida/S2/links/KOG/Triru-95-KOG.txt","60s ribosomal protein L34")</f>
        <v>60s ribosomal protein L34</v>
      </c>
      <c r="BM208" t="str">
        <f>HYPERLINK("http://www.ncbi.nlm.nih.gov/COG/grace/shokog.cgi?KOG1790","2E-009")</f>
        <v>2E-009</v>
      </c>
      <c r="BN208" t="s">
        <v>84</v>
      </c>
      <c r="BO208" s="2" t="str">
        <f>HYPERLINK("http://exon.niaid.nih.gov/transcriptome/T_rubida/S2/links/PFAM/Triru-95-PFAM.txt","Ribosomal_L34e")</f>
        <v>Ribosomal_L34e</v>
      </c>
      <c r="BP208" t="str">
        <f>HYPERLINK("http://pfam.sanger.ac.uk/family?acc=PF01199","6E-008")</f>
        <v>6E-008</v>
      </c>
      <c r="BQ208" s="2" t="str">
        <f>HYPERLINK("http://exon.niaid.nih.gov/transcriptome/T_rubida/S2/links/SMART/Triru-95-SMART.txt","FYVE")</f>
        <v>FYVE</v>
      </c>
      <c r="BR208" t="str">
        <f>HYPERLINK("http://smart.embl-heidelberg.de/smart/do_annotation.pl?DOMAIN=FYVE&amp;BLAST=DUMMY","3.0")</f>
        <v>3.0</v>
      </c>
      <c r="BS208" s="17">
        <f>HYPERLINK("http://exon.niaid.nih.gov/transcriptome/T_rubida/S2/links/cluster/Triru-pep-ext25-50-Sim-CLU1.txt", 1)</f>
        <v>1</v>
      </c>
      <c r="BT208" s="1">
        <f>HYPERLINK("http://exon.niaid.nih.gov/transcriptome/T_rubida/S2/links/cluster/Triru-pep-ext25-50-Sim-CLTL1.txt", 359)</f>
        <v>359</v>
      </c>
      <c r="BU208" s="17">
        <v>55</v>
      </c>
      <c r="BV208" s="1">
        <v>1</v>
      </c>
      <c r="BW208" s="17">
        <v>58</v>
      </c>
      <c r="BX208" s="1">
        <v>1</v>
      </c>
      <c r="BY208" s="17">
        <v>56</v>
      </c>
      <c r="BZ208" s="1">
        <v>1</v>
      </c>
      <c r="CA208" s="17">
        <v>53</v>
      </c>
      <c r="CB208" s="1">
        <v>1</v>
      </c>
      <c r="CC208" s="17">
        <v>51</v>
      </c>
      <c r="CD208" s="1">
        <v>1</v>
      </c>
      <c r="CE208" s="17">
        <v>44</v>
      </c>
      <c r="CF208" s="1">
        <v>1</v>
      </c>
      <c r="CG208" s="17">
        <v>44</v>
      </c>
      <c r="CH208" s="1">
        <v>1</v>
      </c>
      <c r="CI208" s="17">
        <v>47</v>
      </c>
      <c r="CJ208" s="1">
        <v>1</v>
      </c>
      <c r="CK208" s="17">
        <v>51</v>
      </c>
      <c r="CL208" s="1">
        <v>1</v>
      </c>
      <c r="CM208" s="17">
        <v>55</v>
      </c>
      <c r="CN208" s="1">
        <v>1</v>
      </c>
      <c r="CO208" s="17">
        <v>63</v>
      </c>
      <c r="CP208" s="1">
        <v>1</v>
      </c>
      <c r="CQ208" s="17">
        <v>73</v>
      </c>
      <c r="CR208" s="1">
        <v>1</v>
      </c>
      <c r="CS208" s="17">
        <v>78</v>
      </c>
      <c r="CT208" s="1">
        <v>1</v>
      </c>
      <c r="CU208" s="17">
        <v>89</v>
      </c>
      <c r="CV208" s="1">
        <v>1</v>
      </c>
    </row>
    <row r="209" spans="1:100">
      <c r="A209" t="str">
        <f>HYPERLINK("http://exon.niaid.nih.gov/transcriptome/T_rubida/S2/links/pep/Triru-450-pep.txt","Triru-450")</f>
        <v>Triru-450</v>
      </c>
      <c r="B209">
        <v>96</v>
      </c>
      <c r="C209" s="1" t="s">
        <v>10</v>
      </c>
      <c r="D209" s="1" t="s">
        <v>3</v>
      </c>
      <c r="E209" t="str">
        <f>HYPERLINK("http://exon.niaid.nih.gov/transcriptome/T_rubida/S2/links/cds/Triru-450-cds.txt","Triru-450")</f>
        <v>Triru-450</v>
      </c>
      <c r="F209">
        <v>291</v>
      </c>
      <c r="G209" s="2" t="s">
        <v>1679</v>
      </c>
      <c r="H209" s="1">
        <v>1</v>
      </c>
      <c r="I209" s="3" t="s">
        <v>1268</v>
      </c>
      <c r="J209" s="17" t="str">
        <f>HYPERLINK("http://exon.niaid.nih.gov/transcriptome/T_rubida/S2/links/Sigp/Triru-450-SigP.txt","CYT")</f>
        <v>CYT</v>
      </c>
      <c r="K209" t="s">
        <v>5</v>
      </c>
      <c r="L209" s="1">
        <v>10.782</v>
      </c>
      <c r="M209" s="1">
        <v>8.69</v>
      </c>
      <c r="P209" s="1">
        <v>4.5999999999999999E-2</v>
      </c>
      <c r="Q209" s="1">
        <v>0.69099999999999995</v>
      </c>
      <c r="R209" s="1">
        <v>0.30399999999999999</v>
      </c>
      <c r="S209" s="17" t="s">
        <v>18</v>
      </c>
      <c r="T209">
        <v>4</v>
      </c>
      <c r="U209" t="s">
        <v>1351</v>
      </c>
      <c r="V209" s="17">
        <v>0</v>
      </c>
      <c r="W209" t="s">
        <v>5</v>
      </c>
      <c r="X209" t="s">
        <v>5</v>
      </c>
      <c r="Y209" t="s">
        <v>5</v>
      </c>
      <c r="Z209" t="s">
        <v>5</v>
      </c>
      <c r="AA209" t="s">
        <v>5</v>
      </c>
      <c r="AB209" s="17" t="str">
        <f>HYPERLINK("http://exon.niaid.nih.gov/transcriptome/T_rubida/S2/links/netoglyc/TRIRU-450-netoglyc.txt","0")</f>
        <v>0</v>
      </c>
      <c r="AC209">
        <v>14.6</v>
      </c>
      <c r="AD209">
        <v>4.2</v>
      </c>
      <c r="AE209">
        <v>2.1</v>
      </c>
      <c r="AF209" s="17" t="s">
        <v>5</v>
      </c>
      <c r="AG209" s="2" t="str">
        <f>HYPERLINK("http://exon.niaid.nih.gov/transcriptome/T_rubida/S2/links/NR/Triru-450-NR.txt","unnamed protein product")</f>
        <v>unnamed protein product</v>
      </c>
      <c r="AH209" t="str">
        <f>HYPERLINK("http://www.ncbi.nlm.nih.gov/sutils/blink.cgi?pid=194383570","1E-036")</f>
        <v>1E-036</v>
      </c>
      <c r="AI209" t="str">
        <f>HYPERLINK("http://www.ncbi.nlm.nih.gov/protein/194383570","gi|194383570")</f>
        <v>gi|194383570</v>
      </c>
      <c r="AJ209">
        <v>155</v>
      </c>
      <c r="AK209">
        <v>82</v>
      </c>
      <c r="AL209">
        <v>188</v>
      </c>
      <c r="AM209">
        <v>85</v>
      </c>
      <c r="AN209">
        <v>44</v>
      </c>
      <c r="AO209" t="s">
        <v>208</v>
      </c>
      <c r="AP209" s="2" t="str">
        <f>HYPERLINK("http://exon.niaid.nih.gov/transcriptome/T_rubida/S2/links/SWISSP/Triru-450-SWISSP.txt","Eukaryotic translation initiation factor 4E type 2")</f>
        <v>Eukaryotic translation initiation factor 4E type 2</v>
      </c>
      <c r="AQ209" t="str">
        <f>HYPERLINK("http://www.uniprot.org/uniprot/Q8BMB3","1E-036")</f>
        <v>1E-036</v>
      </c>
      <c r="AR209" t="s">
        <v>981</v>
      </c>
      <c r="AS209">
        <v>151</v>
      </c>
      <c r="AT209">
        <v>80</v>
      </c>
      <c r="AU209">
        <v>245</v>
      </c>
      <c r="AV209">
        <v>85</v>
      </c>
      <c r="AW209">
        <v>33</v>
      </c>
      <c r="AX209">
        <v>12</v>
      </c>
      <c r="AY209">
        <v>0</v>
      </c>
      <c r="AZ209">
        <v>142</v>
      </c>
      <c r="BA209">
        <v>2</v>
      </c>
      <c r="BB209">
        <v>1</v>
      </c>
      <c r="BC209" t="s">
        <v>75</v>
      </c>
      <c r="BD209" s="2" t="s">
        <v>982</v>
      </c>
      <c r="BE209">
        <f>HYPERLINK("http://exon.niaid.nih.gov/transcriptome/T_rubida/S2/links/GO/Triru-450-GO.txt",4E-38)</f>
        <v>3.9999999999999998E-38</v>
      </c>
      <c r="BF209" t="s">
        <v>152</v>
      </c>
      <c r="BG209" t="s">
        <v>153</v>
      </c>
      <c r="BH209" t="s">
        <v>154</v>
      </c>
      <c r="BI209" s="2" t="str">
        <f>HYPERLINK("http://exon.niaid.nih.gov/transcriptome/T_rubida/S2/links/CDD/Triru-450-CDD.txt","IF4E")</f>
        <v>IF4E</v>
      </c>
      <c r="BJ209" t="str">
        <f>HYPERLINK("http://www.ncbi.nlm.nih.gov/Structure/cdd/cddsrv.cgi?uid=pfam01652&amp;version=v4.0","4E-025")</f>
        <v>4E-025</v>
      </c>
      <c r="BK209" t="s">
        <v>983</v>
      </c>
      <c r="BL209" s="2" t="str">
        <f>HYPERLINK("http://exon.niaid.nih.gov/transcriptome/T_rubida/S2/links/KOG/Triru-450-KOG.txt","Predicted mRNA cap-binding protein related to eIF-4E")</f>
        <v>Predicted mRNA cap-binding protein related to eIF-4E</v>
      </c>
      <c r="BM209" t="str">
        <f>HYPERLINK("http://www.ncbi.nlm.nih.gov/COG/grace/shokog.cgi?KOG1669","6E-034")</f>
        <v>6E-034</v>
      </c>
      <c r="BN209" t="s">
        <v>84</v>
      </c>
      <c r="BO209" s="2" t="str">
        <f>HYPERLINK("http://exon.niaid.nih.gov/transcriptome/T_rubida/S2/links/PFAM/Triru-450-PFAM.txt","IF4E")</f>
        <v>IF4E</v>
      </c>
      <c r="BP209" t="str">
        <f>HYPERLINK("http://pfam.sanger.ac.uk/family?acc=PF01652","8E-026")</f>
        <v>8E-026</v>
      </c>
      <c r="BQ209" s="2" t="str">
        <f>HYPERLINK("http://exon.niaid.nih.gov/transcriptome/T_rubida/S2/links/SMART/Triru-450-SMART.txt","Spc7")</f>
        <v>Spc7</v>
      </c>
      <c r="BR209" t="str">
        <f>HYPERLINK("http://smart.embl-heidelberg.de/smart/do_annotation.pl?DOMAIN=Spc7&amp;BLAST=DUMMY","4.5")</f>
        <v>4.5</v>
      </c>
      <c r="BS209" s="17">
        <v>141</v>
      </c>
      <c r="BT209" s="1">
        <v>1</v>
      </c>
      <c r="BU209" s="17">
        <v>207</v>
      </c>
      <c r="BV209" s="1">
        <v>1</v>
      </c>
      <c r="BW209" s="17">
        <v>264</v>
      </c>
      <c r="BX209" s="1">
        <v>1</v>
      </c>
      <c r="BY209" s="17">
        <v>284</v>
      </c>
      <c r="BZ209" s="1">
        <v>1</v>
      </c>
      <c r="CA209" s="17">
        <v>293</v>
      </c>
      <c r="CB209" s="1">
        <v>1</v>
      </c>
      <c r="CC209" s="17">
        <v>301</v>
      </c>
      <c r="CD209" s="1">
        <v>1</v>
      </c>
      <c r="CE209" s="17">
        <v>311</v>
      </c>
      <c r="CF209" s="1">
        <v>1</v>
      </c>
      <c r="CG209" s="17">
        <v>315</v>
      </c>
      <c r="CH209" s="1">
        <v>1</v>
      </c>
      <c r="CI209" s="17">
        <v>325</v>
      </c>
      <c r="CJ209" s="1">
        <v>1</v>
      </c>
      <c r="CK209" s="17">
        <v>331</v>
      </c>
      <c r="CL209" s="1">
        <v>1</v>
      </c>
      <c r="CM209" s="17">
        <v>339</v>
      </c>
      <c r="CN209" s="1">
        <v>1</v>
      </c>
      <c r="CO209" s="17">
        <v>351</v>
      </c>
      <c r="CP209" s="1">
        <v>1</v>
      </c>
      <c r="CQ209" s="17">
        <v>361</v>
      </c>
      <c r="CR209" s="1">
        <v>1</v>
      </c>
      <c r="CS209" s="17">
        <v>374</v>
      </c>
      <c r="CT209" s="1">
        <v>1</v>
      </c>
      <c r="CU209" s="17">
        <v>385</v>
      </c>
      <c r="CV209" s="1">
        <v>1</v>
      </c>
    </row>
    <row r="210" spans="1:100">
      <c r="A210" t="str">
        <f>HYPERLINK("http://exon.niaid.nih.gov/transcriptome/T_rubida/S2/links/pep/Triru-565-pep.txt","Triru-565")</f>
        <v>Triru-565</v>
      </c>
      <c r="B210">
        <v>89</v>
      </c>
      <c r="C210" s="1" t="s">
        <v>6</v>
      </c>
      <c r="D210" s="1" t="s">
        <v>3</v>
      </c>
      <c r="E210" t="str">
        <f>HYPERLINK("http://exon.niaid.nih.gov/transcriptome/T_rubida/S2/links/cds/Triru-565-cds.txt","Triru-565")</f>
        <v>Triru-565</v>
      </c>
      <c r="F210">
        <v>270</v>
      </c>
      <c r="G210" s="2" t="s">
        <v>1680</v>
      </c>
      <c r="H210" s="1">
        <v>1</v>
      </c>
      <c r="I210" s="3" t="s">
        <v>1268</v>
      </c>
      <c r="J210" s="17" t="str">
        <f>HYPERLINK("http://exon.niaid.nih.gov/transcriptome/T_rubida/S2/links/Sigp/Triru-565-SigP.txt","CYT")</f>
        <v>CYT</v>
      </c>
      <c r="K210" t="s">
        <v>5</v>
      </c>
      <c r="L210" s="1">
        <v>10.605</v>
      </c>
      <c r="M210" s="1">
        <v>10.08</v>
      </c>
      <c r="P210" s="1">
        <v>0.13500000000000001</v>
      </c>
      <c r="Q210" s="1">
        <v>5.0999999999999997E-2</v>
      </c>
      <c r="R210" s="1">
        <v>0.90500000000000003</v>
      </c>
      <c r="S210" s="17" t="s">
        <v>1346</v>
      </c>
      <c r="T210">
        <v>2</v>
      </c>
      <c r="U210" t="s">
        <v>1382</v>
      </c>
      <c r="V210" s="17">
        <v>0</v>
      </c>
      <c r="W210" t="s">
        <v>5</v>
      </c>
      <c r="X210" t="s">
        <v>5</v>
      </c>
      <c r="Y210" t="s">
        <v>5</v>
      </c>
      <c r="Z210" t="s">
        <v>5</v>
      </c>
      <c r="AA210" t="s">
        <v>5</v>
      </c>
      <c r="AB210" s="17" t="str">
        <f>HYPERLINK("http://exon.niaid.nih.gov/transcriptome/T_rubida/S2/links/netoglyc/TRIRU-565-netoglyc.txt","0")</f>
        <v>0</v>
      </c>
      <c r="AC210">
        <v>3.4</v>
      </c>
      <c r="AD210">
        <v>2.2000000000000002</v>
      </c>
      <c r="AE210" t="s">
        <v>1394</v>
      </c>
      <c r="AF210" s="17" t="s">
        <v>5</v>
      </c>
      <c r="AG210" s="2" t="str">
        <f>HYPERLINK("http://exon.niaid.nih.gov/transcriptome/T_rubida/S2/links/NR/Triru-565-NR.txt","putative ribosomal protein L19e")</f>
        <v>putative ribosomal protein L19e</v>
      </c>
      <c r="AH210" t="str">
        <f>HYPERLINK("http://www.ncbi.nlm.nih.gov/sutils/blink.cgi?pid=90820030","1E-034")</f>
        <v>1E-034</v>
      </c>
      <c r="AI210" t="str">
        <f>HYPERLINK("http://www.ncbi.nlm.nih.gov/protein/90820030","gi|90820030")</f>
        <v>gi|90820030</v>
      </c>
      <c r="AJ210">
        <v>149</v>
      </c>
      <c r="AK210">
        <v>87</v>
      </c>
      <c r="AL210">
        <v>199</v>
      </c>
      <c r="AM210">
        <v>84</v>
      </c>
      <c r="AN210">
        <v>44</v>
      </c>
      <c r="AO210" t="s">
        <v>427</v>
      </c>
      <c r="AP210" s="2" t="str">
        <f>HYPERLINK("http://exon.niaid.nih.gov/transcriptome/T_rubida/S2/links/SWISSP/Triru-565-SWISSP.txt","60S ribosomal protein L19")</f>
        <v>60S ribosomal protein L19</v>
      </c>
      <c r="AQ210" t="str">
        <f>HYPERLINK("http://www.uniprot.org/uniprot/P36241","6E-031")</f>
        <v>6E-031</v>
      </c>
      <c r="AR210" t="s">
        <v>559</v>
      </c>
      <c r="AS210">
        <v>132</v>
      </c>
      <c r="AT210">
        <v>84</v>
      </c>
      <c r="AU210">
        <v>203</v>
      </c>
      <c r="AV210">
        <v>76</v>
      </c>
      <c r="AW210">
        <v>42</v>
      </c>
      <c r="AX210">
        <v>20</v>
      </c>
      <c r="AY210">
        <v>0</v>
      </c>
      <c r="AZ210">
        <v>112</v>
      </c>
      <c r="BA210">
        <v>2</v>
      </c>
      <c r="BB210">
        <v>1</v>
      </c>
      <c r="BC210" t="s">
        <v>150</v>
      </c>
      <c r="BD210" s="2" t="s">
        <v>560</v>
      </c>
      <c r="BE210">
        <f>HYPERLINK("http://exon.niaid.nih.gov/transcriptome/T_rubida/S2/links/GO/Triru-565-GO.txt",4E-31)</f>
        <v>4.0000000000000003E-31</v>
      </c>
      <c r="BF210" t="s">
        <v>138</v>
      </c>
      <c r="BG210" t="s">
        <v>139</v>
      </c>
      <c r="BH210" t="s">
        <v>140</v>
      </c>
      <c r="BI210" s="2" t="str">
        <f>HYPERLINK("http://exon.niaid.nih.gov/transcriptome/T_rubida/S2/links/CDD/Triru-565-CDD.txt","PTZ00097")</f>
        <v>PTZ00097</v>
      </c>
      <c r="BJ210" t="str">
        <f>HYPERLINK("http://www.ncbi.nlm.nih.gov/Structure/cdd/cddsrv.cgi?uid=PTZ00097&amp;version=v4.0","1E-013")</f>
        <v>1E-013</v>
      </c>
      <c r="BK210" t="s">
        <v>561</v>
      </c>
      <c r="BL210" s="2" t="str">
        <f>HYPERLINK("http://exon.niaid.nih.gov/transcriptome/T_rubida/S2/links/KOG/Triru-565-KOG.txt","60s ribosomal protein L19")</f>
        <v>60s ribosomal protein L19</v>
      </c>
      <c r="BM210" t="str">
        <f>HYPERLINK("http://www.ncbi.nlm.nih.gov/COG/grace/shokog.cgi?KOG1696","4E-016")</f>
        <v>4E-016</v>
      </c>
      <c r="BN210" t="s">
        <v>84</v>
      </c>
      <c r="BO210" s="2" t="str">
        <f>HYPERLINK("http://exon.niaid.nih.gov/transcriptome/T_rubida/S2/links/PFAM/Triru-565-PFAM.txt","Ribosomal_L19e")</f>
        <v>Ribosomal_L19e</v>
      </c>
      <c r="BP210" t="str">
        <f>HYPERLINK("http://pfam.sanger.ac.uk/family?acc=PF01280","8E-008")</f>
        <v>8E-008</v>
      </c>
      <c r="BQ210" s="2" t="str">
        <f>HYPERLINK("http://exon.niaid.nih.gov/transcriptome/T_rubida/S2/links/SMART/Triru-565-SMART.txt","ZnF_CHCC")</f>
        <v>ZnF_CHCC</v>
      </c>
      <c r="BR210" t="str">
        <f>HYPERLINK("http://smart.embl-heidelberg.de/smart/do_annotation.pl?DOMAIN=ZnF_CHCC&amp;BLAST=DUMMY","1.1")</f>
        <v>1.1</v>
      </c>
      <c r="BS210" s="17">
        <f>HYPERLINK("http://exon.niaid.nih.gov/transcriptome/T_rubida/S2/links/cluster/Triru-pep-ext25-50-Sim-CLU1.txt", 1)</f>
        <v>1</v>
      </c>
      <c r="BT210" s="1">
        <f>HYPERLINK("http://exon.niaid.nih.gov/transcriptome/T_rubida/S2/links/cluster/Triru-pep-ext25-50-Sim-CLTL1.txt", 359)</f>
        <v>359</v>
      </c>
      <c r="BU210" s="17">
        <f>HYPERLINK("http://exon.niaid.nih.gov/transcriptome/T_rubida/S2/links/cluster/Triru-pep-ext30-50-Sim-CLU1.txt", 1)</f>
        <v>1</v>
      </c>
      <c r="BV210" s="1">
        <f>HYPERLINK("http://exon.niaid.nih.gov/transcriptome/T_rubida/S2/links/cluster/Triru-pep-ext30-50-Sim-CLTL1.txt", 225)</f>
        <v>225</v>
      </c>
      <c r="BW210" s="17">
        <v>326</v>
      </c>
      <c r="BX210" s="1">
        <v>1</v>
      </c>
      <c r="BY210" s="17">
        <v>358</v>
      </c>
      <c r="BZ210" s="1">
        <v>1</v>
      </c>
      <c r="CA210" s="17">
        <v>372</v>
      </c>
      <c r="CB210" s="1">
        <v>1</v>
      </c>
      <c r="CC210" s="17">
        <v>385</v>
      </c>
      <c r="CD210" s="1">
        <v>1</v>
      </c>
      <c r="CE210" s="17">
        <v>400</v>
      </c>
      <c r="CF210" s="1">
        <v>1</v>
      </c>
      <c r="CG210" s="17">
        <v>406</v>
      </c>
      <c r="CH210" s="1">
        <v>1</v>
      </c>
      <c r="CI210" s="17">
        <v>418</v>
      </c>
      <c r="CJ210" s="1">
        <v>1</v>
      </c>
      <c r="CK210" s="17">
        <v>424</v>
      </c>
      <c r="CL210" s="1">
        <v>1</v>
      </c>
      <c r="CM210" s="17">
        <v>435</v>
      </c>
      <c r="CN210" s="1">
        <v>1</v>
      </c>
      <c r="CO210" s="17">
        <v>447</v>
      </c>
      <c r="CP210" s="1">
        <v>1</v>
      </c>
      <c r="CQ210" s="17">
        <v>457</v>
      </c>
      <c r="CR210" s="1">
        <v>1</v>
      </c>
      <c r="CS210" s="17">
        <v>470</v>
      </c>
      <c r="CT210" s="1">
        <v>1</v>
      </c>
      <c r="CU210" s="17">
        <v>482</v>
      </c>
      <c r="CV210" s="1">
        <v>1</v>
      </c>
    </row>
    <row r="211" spans="1:100">
      <c r="A211" t="str">
        <f>HYPERLINK("http://exon.niaid.nih.gov/transcriptome/T_rubida/S2/links/pep/Triru-617-pep.txt","Triru-617")</f>
        <v>Triru-617</v>
      </c>
      <c r="B211">
        <v>34</v>
      </c>
      <c r="C211" s="1" t="s">
        <v>13</v>
      </c>
      <c r="D211" s="1" t="s">
        <v>3</v>
      </c>
      <c r="E211" t="str">
        <f>HYPERLINK("http://exon.niaid.nih.gov/transcriptome/T_rubida/S2/links/cds/Triru-617-cds.txt","Triru-617")</f>
        <v>Triru-617</v>
      </c>
      <c r="F211">
        <v>105</v>
      </c>
      <c r="G211" s="2" t="s">
        <v>1681</v>
      </c>
      <c r="H211" s="1">
        <v>1</v>
      </c>
      <c r="I211" s="3" t="s">
        <v>1268</v>
      </c>
      <c r="J211" s="17" t="str">
        <f>HYPERLINK("http://exon.niaid.nih.gov/transcriptome/T_rubida/S2/links/Sigp/Triru-617-SigP.txt","CYT")</f>
        <v>CYT</v>
      </c>
      <c r="K211" t="s">
        <v>5</v>
      </c>
      <c r="L211" s="1">
        <v>4.3280000000000003</v>
      </c>
      <c r="M211" s="1">
        <v>12.48</v>
      </c>
      <c r="P211" s="1">
        <v>0.39200000000000002</v>
      </c>
      <c r="Q211" s="1">
        <v>3.7999999999999999E-2</v>
      </c>
      <c r="R211" s="1">
        <v>0.68500000000000005</v>
      </c>
      <c r="S211" s="17" t="s">
        <v>1346</v>
      </c>
      <c r="T211">
        <v>4</v>
      </c>
      <c r="U211" t="s">
        <v>1382</v>
      </c>
      <c r="V211" s="17">
        <v>0</v>
      </c>
      <c r="W211" t="s">
        <v>5</v>
      </c>
      <c r="X211" t="s">
        <v>5</v>
      </c>
      <c r="Y211" t="s">
        <v>5</v>
      </c>
      <c r="Z211" t="s">
        <v>5</v>
      </c>
      <c r="AA211" t="s">
        <v>5</v>
      </c>
      <c r="AB211" s="17" t="str">
        <f>HYPERLINK("http://exon.niaid.nih.gov/transcriptome/T_rubida/S2/links/netoglyc/TRIRU-617-netoglyc.txt","0")</f>
        <v>0</v>
      </c>
      <c r="AC211">
        <v>8.8000000000000007</v>
      </c>
      <c r="AD211">
        <v>2.9</v>
      </c>
      <c r="AE211">
        <v>5.9</v>
      </c>
      <c r="AF211" s="17" t="s">
        <v>5</v>
      </c>
      <c r="AG211" s="2" t="str">
        <f>HYPERLINK("http://exon.niaid.nih.gov/transcriptome/T_rubida/S2/links/NR/Triru-617-NR.txt","ribosomal protein L39, putative")</f>
        <v>ribosomal protein L39, putative</v>
      </c>
      <c r="AH211" t="str">
        <f>HYPERLINK("http://www.ncbi.nlm.nih.gov/sutils/blink.cgi?pid=241781184","9E-012")</f>
        <v>9E-012</v>
      </c>
      <c r="AI211" t="str">
        <f>HYPERLINK("http://www.ncbi.nlm.nih.gov/protein/241781184","gi|241781184")</f>
        <v>gi|241781184</v>
      </c>
      <c r="AJ211">
        <v>73.599999999999994</v>
      </c>
      <c r="AK211">
        <v>31</v>
      </c>
      <c r="AL211">
        <v>76</v>
      </c>
      <c r="AM211">
        <v>100</v>
      </c>
      <c r="AN211">
        <v>42</v>
      </c>
      <c r="AO211" t="s">
        <v>810</v>
      </c>
      <c r="AP211" s="2" t="str">
        <f>HYPERLINK("http://exon.niaid.nih.gov/transcriptome/T_rubida/S2/links/SWISSP/Triru-617-SWISSP.txt","60S ribosomal protein L39")</f>
        <v>60S ribosomal protein L39</v>
      </c>
      <c r="AQ211" t="str">
        <f>HYPERLINK("http://www.uniprot.org/uniprot/Q962S4","4E-013")</f>
        <v>4E-013</v>
      </c>
      <c r="AR211" t="s">
        <v>1017</v>
      </c>
      <c r="AS211">
        <v>73.2</v>
      </c>
      <c r="AT211">
        <v>31</v>
      </c>
      <c r="AU211">
        <v>51</v>
      </c>
      <c r="AV211">
        <v>96</v>
      </c>
      <c r="AW211">
        <v>63</v>
      </c>
      <c r="AX211">
        <v>1</v>
      </c>
      <c r="AY211">
        <v>0</v>
      </c>
      <c r="AZ211">
        <v>20</v>
      </c>
      <c r="BA211">
        <v>3</v>
      </c>
      <c r="BB211">
        <v>1</v>
      </c>
      <c r="BC211" t="s">
        <v>82</v>
      </c>
      <c r="BD211" s="2" t="s">
        <v>1018</v>
      </c>
      <c r="BE211">
        <f>HYPERLINK("http://exon.niaid.nih.gov/transcriptome/T_rubida/S2/links/GO/Triru-617-GO.txt",0.000000000007)</f>
        <v>7.0000000000000001E-12</v>
      </c>
      <c r="BF211" t="s">
        <v>138</v>
      </c>
      <c r="BG211" t="s">
        <v>139</v>
      </c>
      <c r="BH211" t="s">
        <v>140</v>
      </c>
      <c r="BI211" s="2" t="str">
        <f>HYPERLINK("http://exon.niaid.nih.gov/transcriptome/T_rubida/S2/links/CDD/Triru-617-CDD.txt","Ribosomal_L39")</f>
        <v>Ribosomal_L39</v>
      </c>
      <c r="BJ211" t="str">
        <f>HYPERLINK("http://www.ncbi.nlm.nih.gov/Structure/cdd/cddsrv.cgi?uid=pfam00832&amp;version=v4.0","2E-005")</f>
        <v>2E-005</v>
      </c>
      <c r="BK211" t="s">
        <v>1019</v>
      </c>
      <c r="BL211" s="2" t="str">
        <f>HYPERLINK("http://exon.niaid.nih.gov/transcriptome/T_rubida/S2/links/KOG/Triru-617-KOG.txt","60s ribosomal protein L39")</f>
        <v>60s ribosomal protein L39</v>
      </c>
      <c r="BM211" t="str">
        <f>HYPERLINK("http://www.ncbi.nlm.nih.gov/COG/grace/shokog.cgi?KOG0002","5E-004")</f>
        <v>5E-004</v>
      </c>
      <c r="BN211" t="s">
        <v>84</v>
      </c>
      <c r="BO211" s="2" t="str">
        <f>HYPERLINK("http://exon.niaid.nih.gov/transcriptome/T_rubida/S2/links/PFAM/Triru-617-PFAM.txt","Ribosomal_L39")</f>
        <v>Ribosomal_L39</v>
      </c>
      <c r="BP211" t="str">
        <f>HYPERLINK("http://pfam.sanger.ac.uk/family?acc=PF00832","4E-006")</f>
        <v>4E-006</v>
      </c>
      <c r="BQ211" s="2" t="s">
        <v>5</v>
      </c>
      <c r="BR211" t="s">
        <v>5</v>
      </c>
      <c r="BS211" s="17">
        <v>183</v>
      </c>
      <c r="BT211" s="1">
        <v>1</v>
      </c>
      <c r="BU211" s="17">
        <v>280</v>
      </c>
      <c r="BV211" s="1">
        <v>1</v>
      </c>
      <c r="BW211" s="17">
        <v>362</v>
      </c>
      <c r="BX211" s="1">
        <v>1</v>
      </c>
      <c r="BY211" s="17">
        <v>397</v>
      </c>
      <c r="BZ211" s="1">
        <v>1</v>
      </c>
      <c r="CA211" s="17">
        <v>412</v>
      </c>
      <c r="CB211" s="1">
        <v>1</v>
      </c>
      <c r="CC211" s="17">
        <v>427</v>
      </c>
      <c r="CD211" s="1">
        <v>1</v>
      </c>
      <c r="CE211" s="17">
        <v>442</v>
      </c>
      <c r="CF211" s="1">
        <v>1</v>
      </c>
      <c r="CG211" s="17">
        <v>449</v>
      </c>
      <c r="CH211" s="1">
        <v>1</v>
      </c>
      <c r="CI211" s="17">
        <v>463</v>
      </c>
      <c r="CJ211" s="1">
        <v>1</v>
      </c>
      <c r="CK211" s="17">
        <v>469</v>
      </c>
      <c r="CL211" s="1">
        <v>1</v>
      </c>
      <c r="CM211" s="17">
        <v>481</v>
      </c>
      <c r="CN211" s="1">
        <v>1</v>
      </c>
      <c r="CO211" s="17">
        <v>493</v>
      </c>
      <c r="CP211" s="1">
        <v>1</v>
      </c>
      <c r="CQ211" s="17">
        <v>503</v>
      </c>
      <c r="CR211" s="1">
        <v>1</v>
      </c>
      <c r="CS211" s="17">
        <v>516</v>
      </c>
      <c r="CT211" s="1">
        <v>1</v>
      </c>
      <c r="CU211" s="17">
        <v>528</v>
      </c>
      <c r="CV211" s="1">
        <v>1</v>
      </c>
    </row>
    <row r="212" spans="1:100">
      <c r="A212" t="str">
        <f>HYPERLINK("http://exon.niaid.nih.gov/transcriptome/T_rubida/S2/links/pep/Triru-246-pep.txt","Triru-246")</f>
        <v>Triru-246</v>
      </c>
      <c r="B212">
        <v>59</v>
      </c>
      <c r="C212" s="1" t="s">
        <v>4</v>
      </c>
      <c r="D212" s="1" t="s">
        <v>3</v>
      </c>
      <c r="E212" t="str">
        <f>HYPERLINK("http://exon.niaid.nih.gov/transcriptome/T_rubida/S2/links/cds/Triru-246-cds.txt","Triru-246")</f>
        <v>Triru-246</v>
      </c>
      <c r="F212">
        <v>180</v>
      </c>
      <c r="G212" s="2" t="s">
        <v>1682</v>
      </c>
      <c r="H212" s="1">
        <v>1</v>
      </c>
      <c r="I212" s="3" t="s">
        <v>1268</v>
      </c>
      <c r="J212" s="17" t="str">
        <f>HYPERLINK("http://exon.niaid.nih.gov/transcriptome/T_rubida/S2/links/Sigp/Triru-246-SigP.txt","CYT")</f>
        <v>CYT</v>
      </c>
      <c r="K212" t="s">
        <v>5</v>
      </c>
      <c r="L212" s="1">
        <v>6.819</v>
      </c>
      <c r="M212" s="1">
        <v>5.28</v>
      </c>
      <c r="P212" s="1">
        <v>0.28399999999999997</v>
      </c>
      <c r="Q212" s="1">
        <v>5.6000000000000001E-2</v>
      </c>
      <c r="R212" s="1">
        <v>0.67700000000000005</v>
      </c>
      <c r="S212" s="17" t="s">
        <v>1346</v>
      </c>
      <c r="T212">
        <v>4</v>
      </c>
      <c r="U212" t="s">
        <v>1382</v>
      </c>
      <c r="V212" s="17">
        <v>0</v>
      </c>
      <c r="W212" t="s">
        <v>5</v>
      </c>
      <c r="X212" t="s">
        <v>5</v>
      </c>
      <c r="Y212" t="s">
        <v>5</v>
      </c>
      <c r="Z212" t="s">
        <v>5</v>
      </c>
      <c r="AA212" t="s">
        <v>5</v>
      </c>
      <c r="AB212" s="17" t="str">
        <f>HYPERLINK("http://exon.niaid.nih.gov/transcriptome/T_rubida/S2/links/netoglyc/TRIRU-246-netoglyc.txt","0")</f>
        <v>0</v>
      </c>
      <c r="AC212">
        <v>8.5</v>
      </c>
      <c r="AD212">
        <v>6.8</v>
      </c>
      <c r="AE212">
        <v>8.5</v>
      </c>
      <c r="AF212" s="17" t="s">
        <v>1450</v>
      </c>
      <c r="AG212" s="2" t="str">
        <f>HYPERLINK("http://exon.niaid.nih.gov/transcriptome/T_rubida/S2/links/NR/Triru-246-NR.txt","40S ribosomal protein S17")</f>
        <v>40S ribosomal protein S17</v>
      </c>
      <c r="AH212" t="str">
        <f>HYPERLINK("http://www.ncbi.nlm.nih.gov/sutils/blink.cgi?pid=149898779","3E-023")</f>
        <v>3E-023</v>
      </c>
      <c r="AI212" t="str">
        <f>HYPERLINK("http://www.ncbi.nlm.nih.gov/protein/149898779","gi|149898779")</f>
        <v>gi|149898779</v>
      </c>
      <c r="AJ212">
        <v>111</v>
      </c>
      <c r="AK212">
        <v>53</v>
      </c>
      <c r="AL212">
        <v>131</v>
      </c>
      <c r="AM212">
        <v>100</v>
      </c>
      <c r="AN212">
        <v>41</v>
      </c>
      <c r="AO212" t="s">
        <v>80</v>
      </c>
      <c r="AP212" s="2" t="str">
        <f>HYPERLINK("http://exon.niaid.nih.gov/transcriptome/T_rubida/S2/links/SWISSP/Triru-246-SWISSP.txt","40S ribosomal protein S17")</f>
        <v>40S ribosomal protein S17</v>
      </c>
      <c r="AQ212" t="str">
        <f>HYPERLINK("http://www.uniprot.org/uniprot/Q962R2","7E-016")</f>
        <v>7E-016</v>
      </c>
      <c r="AR212" t="s">
        <v>136</v>
      </c>
      <c r="AS212">
        <v>82.4</v>
      </c>
      <c r="AT212">
        <v>53</v>
      </c>
      <c r="AU212">
        <v>133</v>
      </c>
      <c r="AV212">
        <v>74</v>
      </c>
      <c r="AW212">
        <v>41</v>
      </c>
      <c r="AX212">
        <v>14</v>
      </c>
      <c r="AY212">
        <v>1</v>
      </c>
      <c r="AZ212">
        <v>78</v>
      </c>
      <c r="BA212">
        <v>6</v>
      </c>
      <c r="BB212">
        <v>1</v>
      </c>
      <c r="BC212" t="s">
        <v>82</v>
      </c>
      <c r="BD212" s="2" t="s">
        <v>137</v>
      </c>
      <c r="BE212">
        <f>HYPERLINK("http://exon.niaid.nih.gov/transcriptome/T_rubida/S2/links/GO/Triru-246-GO.txt",0.0000000000000007)</f>
        <v>7.0000000000000003E-16</v>
      </c>
      <c r="BF212" t="s">
        <v>138</v>
      </c>
      <c r="BG212" t="s">
        <v>139</v>
      </c>
      <c r="BH212" t="s">
        <v>140</v>
      </c>
      <c r="BI212" s="2" t="str">
        <f>HYPERLINK("http://exon.niaid.nih.gov/transcriptome/T_rubida/S2/links/CDD/Triru-246-CDD.txt","Ribosomal_S17e")</f>
        <v>Ribosomal_S17e</v>
      </c>
      <c r="BJ212" t="str">
        <f>HYPERLINK("http://www.ncbi.nlm.nih.gov/Structure/cdd/cddsrv.cgi?uid=pfam00833&amp;version=v4.0","2E-012")</f>
        <v>2E-012</v>
      </c>
      <c r="BK212" t="s">
        <v>141</v>
      </c>
      <c r="BL212" s="2" t="str">
        <f>HYPERLINK("http://exon.niaid.nih.gov/transcriptome/T_rubida/S2/links/KOG/Triru-246-KOG.txt","40S ribosomal protein S17")</f>
        <v>40S ribosomal protein S17</v>
      </c>
      <c r="BM212" t="str">
        <f>HYPERLINK("http://www.ncbi.nlm.nih.gov/COG/grace/shokog.cgi?KOG0187","6E-014")</f>
        <v>6E-014</v>
      </c>
      <c r="BN212" t="s">
        <v>84</v>
      </c>
      <c r="BO212" s="2" t="str">
        <f>HYPERLINK("http://exon.niaid.nih.gov/transcriptome/T_rubida/S2/links/PFAM/Triru-246-PFAM.txt","Ribosomal_S17e")</f>
        <v>Ribosomal_S17e</v>
      </c>
      <c r="BP212" t="str">
        <f>HYPERLINK("http://pfam.sanger.ac.uk/family?acc=PF00833","4E-013")</f>
        <v>4E-013</v>
      </c>
      <c r="BQ212" s="2" t="str">
        <f>HYPERLINK("http://exon.niaid.nih.gov/transcriptome/T_rubida/S2/links/SMART/Triru-246-SMART.txt","FBG")</f>
        <v>FBG</v>
      </c>
      <c r="BR212" t="str">
        <f>HYPERLINK("http://smart.embl-heidelberg.de/smart/do_annotation.pl?DOMAIN=FBG&amp;BLAST=DUMMY","0.91")</f>
        <v>0.91</v>
      </c>
      <c r="BS212" s="17">
        <f>HYPERLINK("http://exon.niaid.nih.gov/transcriptome/T_rubida/S2/links/cluster/Triru-pep-ext25-50-Sim-CLU1.txt", 1)</f>
        <v>1</v>
      </c>
      <c r="BT212" s="1">
        <f>HYPERLINK("http://exon.niaid.nih.gov/transcriptome/T_rubida/S2/links/cluster/Triru-pep-ext25-50-Sim-CLTL1.txt", 359)</f>
        <v>359</v>
      </c>
      <c r="BU212" s="17">
        <v>119</v>
      </c>
      <c r="BV212" s="1">
        <v>1</v>
      </c>
      <c r="BW212" s="17">
        <v>141</v>
      </c>
      <c r="BX212" s="1">
        <v>1</v>
      </c>
      <c r="BY212" s="17">
        <v>148</v>
      </c>
      <c r="BZ212" s="1">
        <v>1</v>
      </c>
      <c r="CA212" s="17">
        <v>151</v>
      </c>
      <c r="CB212" s="1">
        <v>1</v>
      </c>
      <c r="CC212" s="17">
        <v>154</v>
      </c>
      <c r="CD212" s="1">
        <v>1</v>
      </c>
      <c r="CE212" s="17">
        <v>154</v>
      </c>
      <c r="CF212" s="1">
        <v>1</v>
      </c>
      <c r="CG212" s="17">
        <v>156</v>
      </c>
      <c r="CH212" s="1">
        <v>1</v>
      </c>
      <c r="CI212" s="17">
        <v>163</v>
      </c>
      <c r="CJ212" s="1">
        <v>1</v>
      </c>
      <c r="CK212" s="17">
        <v>168</v>
      </c>
      <c r="CL212" s="1">
        <v>1</v>
      </c>
      <c r="CM212" s="17">
        <v>174</v>
      </c>
      <c r="CN212" s="1">
        <v>1</v>
      </c>
      <c r="CO212" s="17">
        <v>184</v>
      </c>
      <c r="CP212" s="1">
        <v>1</v>
      </c>
      <c r="CQ212" s="17">
        <v>194</v>
      </c>
      <c r="CR212" s="1">
        <v>1</v>
      </c>
      <c r="CS212" s="17">
        <v>199</v>
      </c>
      <c r="CT212" s="1">
        <v>1</v>
      </c>
      <c r="CU212" s="17">
        <v>210</v>
      </c>
      <c r="CV212" s="1">
        <v>1</v>
      </c>
    </row>
    <row r="213" spans="1:100">
      <c r="A213" t="str">
        <f>HYPERLINK("http://exon.niaid.nih.gov/transcriptome/T_rubida/S2/links/pep/Triru-559-pep.txt","Triru-559")</f>
        <v>Triru-559</v>
      </c>
      <c r="B213">
        <v>57</v>
      </c>
      <c r="C213" s="1" t="s">
        <v>17</v>
      </c>
      <c r="D213" s="1" t="s">
        <v>3</v>
      </c>
      <c r="E213" t="str">
        <f>HYPERLINK("http://exon.niaid.nih.gov/transcriptome/T_rubida/S2/links/cds/Triru-559-cds.txt","Triru-559")</f>
        <v>Triru-559</v>
      </c>
      <c r="F213">
        <v>174</v>
      </c>
      <c r="G213" s="2" t="s">
        <v>1683</v>
      </c>
      <c r="H213" s="1">
        <v>1</v>
      </c>
      <c r="I213" s="3" t="s">
        <v>1268</v>
      </c>
      <c r="J213" s="17" t="str">
        <f>HYPERLINK("http://exon.niaid.nih.gov/transcriptome/T_rubida/S2/links/Sigp/Triru-559-SigP.txt","CYT")</f>
        <v>CYT</v>
      </c>
      <c r="K213" t="s">
        <v>5</v>
      </c>
      <c r="L213" s="1">
        <v>6.2060000000000004</v>
      </c>
      <c r="M213" s="1">
        <v>6.38</v>
      </c>
      <c r="P213" s="1">
        <v>9.2999999999999999E-2</v>
      </c>
      <c r="Q213" s="1">
        <v>5.1999999999999998E-2</v>
      </c>
      <c r="R213" s="1">
        <v>0.91600000000000004</v>
      </c>
      <c r="S213" s="17" t="s">
        <v>1346</v>
      </c>
      <c r="T213">
        <v>1</v>
      </c>
      <c r="U213" t="s">
        <v>1382</v>
      </c>
      <c r="V213" s="17">
        <v>0</v>
      </c>
      <c r="W213" t="s">
        <v>5</v>
      </c>
      <c r="X213" t="s">
        <v>5</v>
      </c>
      <c r="Y213" t="s">
        <v>5</v>
      </c>
      <c r="Z213" t="s">
        <v>5</v>
      </c>
      <c r="AA213" t="s">
        <v>5</v>
      </c>
      <c r="AB213" s="17" t="str">
        <f>HYPERLINK("http://exon.niaid.nih.gov/transcriptome/T_rubida/S2/links/netoglyc/TRIRU-559-netoglyc.txt","0")</f>
        <v>0</v>
      </c>
      <c r="AC213">
        <v>8.8000000000000007</v>
      </c>
      <c r="AD213">
        <v>8.8000000000000007</v>
      </c>
      <c r="AE213">
        <v>5.3</v>
      </c>
      <c r="AF213" s="17" t="s">
        <v>5</v>
      </c>
      <c r="AG213" s="2" t="str">
        <f>HYPERLINK("http://exon.niaid.nih.gov/transcriptome/T_rubida/S2/links/NR/Triru-559-NR.txt","60S ribosomal protein L23-like")</f>
        <v>60S ribosomal protein L23-like</v>
      </c>
      <c r="AH213" t="str">
        <f>HYPERLINK("http://www.ncbi.nlm.nih.gov/sutils/blink.cgi?pid=340724772","2E-023")</f>
        <v>2E-023</v>
      </c>
      <c r="AI213" t="str">
        <f>HYPERLINK("http://www.ncbi.nlm.nih.gov/protein/340724772","gi|340724772")</f>
        <v>gi|340724772</v>
      </c>
      <c r="AJ213">
        <v>112</v>
      </c>
      <c r="AK213">
        <v>56</v>
      </c>
      <c r="AL213">
        <v>140</v>
      </c>
      <c r="AM213">
        <v>92</v>
      </c>
      <c r="AN213">
        <v>41</v>
      </c>
      <c r="AO213" t="s">
        <v>265</v>
      </c>
      <c r="AP213" s="2" t="str">
        <f>HYPERLINK("http://exon.niaid.nih.gov/transcriptome/T_rubida/S2/links/SWISSP/Triru-559-SWISSP.txt","60S ribosomal protein L23")</f>
        <v>60S ribosomal protein L23</v>
      </c>
      <c r="AQ213" t="str">
        <f>HYPERLINK("http://www.uniprot.org/uniprot/P48159","1E-024")</f>
        <v>1E-024</v>
      </c>
      <c r="AR213" t="s">
        <v>1057</v>
      </c>
      <c r="AS213">
        <v>111</v>
      </c>
      <c r="AT213">
        <v>56</v>
      </c>
      <c r="AU213">
        <v>140</v>
      </c>
      <c r="AV213">
        <v>91</v>
      </c>
      <c r="AW213">
        <v>41</v>
      </c>
      <c r="AX213">
        <v>5</v>
      </c>
      <c r="AY213">
        <v>0</v>
      </c>
      <c r="AZ213">
        <v>84</v>
      </c>
      <c r="BA213">
        <v>1</v>
      </c>
      <c r="BB213">
        <v>1</v>
      </c>
      <c r="BC213" t="s">
        <v>150</v>
      </c>
      <c r="BD213" s="2" t="s">
        <v>1058</v>
      </c>
      <c r="BE213">
        <f>HYPERLINK("http://exon.niaid.nih.gov/transcriptome/T_rubida/S2/links/GO/Triru-559-GO.txt",1E-24)</f>
        <v>9.9999999999999992E-25</v>
      </c>
      <c r="BF213" t="s">
        <v>138</v>
      </c>
      <c r="BG213" t="s">
        <v>139</v>
      </c>
      <c r="BH213" t="s">
        <v>140</v>
      </c>
      <c r="BI213" s="2" t="str">
        <f>HYPERLINK("http://exon.niaid.nih.gov/transcriptome/T_rubida/S2/links/CDD/Triru-559-CDD.txt","PTZ00054")</f>
        <v>PTZ00054</v>
      </c>
      <c r="BJ213" t="str">
        <f>HYPERLINK("http://www.ncbi.nlm.nih.gov/Structure/cdd/cddsrv.cgi?uid=PTZ00054&amp;version=v4.0","2E-025")</f>
        <v>2E-025</v>
      </c>
      <c r="BK213" t="s">
        <v>1063</v>
      </c>
      <c r="BL213" s="2" t="str">
        <f>HYPERLINK("http://exon.niaid.nih.gov/transcriptome/T_rubida/S2/links/KOG/Triru-559-KOG.txt","60S ribosomal protein L14/L17/L23")</f>
        <v>60S ribosomal protein L14/L17/L23</v>
      </c>
      <c r="BM213" t="str">
        <f>HYPERLINK("http://www.ncbi.nlm.nih.gov/COG/grace/shokog.cgi?KOG0901","8E-018")</f>
        <v>8E-018</v>
      </c>
      <c r="BN213" t="s">
        <v>84</v>
      </c>
      <c r="BO213" s="2" t="str">
        <f>HYPERLINK("http://exon.niaid.nih.gov/transcriptome/T_rubida/S2/links/PFAM/Triru-559-PFAM.txt","Ribosomal_L14")</f>
        <v>Ribosomal_L14</v>
      </c>
      <c r="BP213" t="str">
        <f>HYPERLINK("http://pfam.sanger.ac.uk/family?acc=PF00238","2E-015")</f>
        <v>2E-015</v>
      </c>
      <c r="BQ213" s="2" t="str">
        <f>HYPERLINK("http://exon.niaid.nih.gov/transcriptome/T_rubida/S2/links/SMART/Triru-559-SMART.txt","PAC")</f>
        <v>PAC</v>
      </c>
      <c r="BR213" t="str">
        <f>HYPERLINK("http://smart.embl-heidelberg.de/smart/do_annotation.pl?DOMAIN=PAC&amp;BLAST=DUMMY","0.065")</f>
        <v>0.065</v>
      </c>
      <c r="BS213" s="17">
        <f>HYPERLINK("http://exon.niaid.nih.gov/transcriptome/T_rubida/S2/links/cluster/Triru-pep-ext25-50-Sim-CLU1.txt", 1)</f>
        <v>1</v>
      </c>
      <c r="BT213" s="1">
        <f>HYPERLINK("http://exon.niaid.nih.gov/transcriptome/T_rubida/S2/links/cluster/Triru-pep-ext25-50-Sim-CLTL1.txt", 359)</f>
        <v>359</v>
      </c>
      <c r="BU213" s="17">
        <f>HYPERLINK("http://exon.niaid.nih.gov/transcriptome/T_rubida/S2/links/cluster/Triru-pep-ext30-50-Sim-CLU1.txt", 1)</f>
        <v>1</v>
      </c>
      <c r="BV213" s="1">
        <f>HYPERLINK("http://exon.niaid.nih.gov/transcriptome/T_rubida/S2/links/cluster/Triru-pep-ext30-50-Sim-CLTL1.txt", 225)</f>
        <v>225</v>
      </c>
      <c r="BW213" s="17">
        <f>HYPERLINK("http://exon.niaid.nih.gov/transcriptome/T_rubida/S2/links/cluster/Triru-pep-ext35-50-Sim-CLU44.txt", 44)</f>
        <v>44</v>
      </c>
      <c r="BX213" s="1">
        <f>HYPERLINK("http://exon.niaid.nih.gov/transcriptome/T_rubida/S2/links/cluster/Triru-pep-ext35-50-Sim-CLTL44.txt", 2)</f>
        <v>2</v>
      </c>
      <c r="BY213" s="17">
        <f>HYPERLINK("http://exon.niaid.nih.gov/transcriptome/T_rubida/S2/links/cluster/Triru-pep-ext40-50-Sim-CLU40.txt", 40)</f>
        <v>40</v>
      </c>
      <c r="BZ213" s="1">
        <f>HYPERLINK("http://exon.niaid.nih.gov/transcriptome/T_rubida/S2/links/cluster/Triru-pep-ext40-50-Sim-CLTL40.txt", 2)</f>
        <v>2</v>
      </c>
      <c r="CA213" s="17">
        <f>HYPERLINK("http://exon.niaid.nih.gov/transcriptome/T_rubida/S2/links/cluster/Triru-pep-ext45-50-Sim-CLU35.txt", 35)</f>
        <v>35</v>
      </c>
      <c r="CB213" s="1">
        <f>HYPERLINK("http://exon.niaid.nih.gov/transcriptome/T_rubida/S2/links/cluster/Triru-pep-ext45-50-Sim-CLTL35.txt", 2)</f>
        <v>2</v>
      </c>
      <c r="CC213" s="17">
        <f>HYPERLINK("http://exon.niaid.nih.gov/transcriptome/T_rubida/S2/links/cluster/Triru-pep-ext50-50-Sim-CLU34.txt", 34)</f>
        <v>34</v>
      </c>
      <c r="CD213" s="1">
        <f>HYPERLINK("http://exon.niaid.nih.gov/transcriptome/T_rubida/S2/links/cluster/Triru-pep-ext50-50-Sim-CLTL34.txt", 2)</f>
        <v>2</v>
      </c>
      <c r="CE213" s="17">
        <f>HYPERLINK("http://exon.niaid.nih.gov/transcriptome/T_rubida/S2/links/cluster/Triru-pep-ext55-50-Sim-CLU27.txt", 27)</f>
        <v>27</v>
      </c>
      <c r="CF213" s="1">
        <f>HYPERLINK("http://exon.niaid.nih.gov/transcriptome/T_rubida/S2/links/cluster/Triru-pep-ext55-50-Sim-CLTL27.txt", 2)</f>
        <v>2</v>
      </c>
      <c r="CG213" s="17">
        <f>HYPERLINK("http://exon.niaid.nih.gov/transcriptome/T_rubida/S2/links/cluster/Triru-pep-ext60-50-Sim-CLU26.txt", 26)</f>
        <v>26</v>
      </c>
      <c r="CH213" s="1">
        <f>HYPERLINK("http://exon.niaid.nih.gov/transcriptome/T_rubida/S2/links/cluster/Triru-pep-ext60-50-Sim-CLTL26.txt", 2)</f>
        <v>2</v>
      </c>
      <c r="CI213" s="17">
        <f>HYPERLINK("http://exon.niaid.nih.gov/transcriptome/T_rubida/S2/links/cluster/Triru-pep-ext65-50-Sim-CLU24.txt", 24)</f>
        <v>24</v>
      </c>
      <c r="CJ213" s="1">
        <f>HYPERLINK("http://exon.niaid.nih.gov/transcriptome/T_rubida/S2/links/cluster/Triru-pep-ext65-50-Sim-CLTL24.txt", 2)</f>
        <v>2</v>
      </c>
      <c r="CK213" s="17">
        <f>HYPERLINK("http://exon.niaid.nih.gov/transcriptome/T_rubida/S2/links/cluster/Triru-pep-ext70-50-Sim-CLU24.txt", 24)</f>
        <v>24</v>
      </c>
      <c r="CL213" s="1">
        <f>HYPERLINK("http://exon.niaid.nih.gov/transcriptome/T_rubida/S2/links/cluster/Triru-pep-ext70-50-Sim-CLTL24.txt", 2)</f>
        <v>2</v>
      </c>
      <c r="CM213" s="17">
        <f>HYPERLINK("http://exon.niaid.nih.gov/transcriptome/T_rubida/S2/links/cluster/Triru-pep-ext75-50-Sim-CLU24.txt", 24)</f>
        <v>24</v>
      </c>
      <c r="CN213" s="1">
        <f>HYPERLINK("http://exon.niaid.nih.gov/transcriptome/T_rubida/S2/links/cluster/Triru-pep-ext75-50-Sim-CLTL24.txt", 2)</f>
        <v>2</v>
      </c>
      <c r="CO213" s="17">
        <f>HYPERLINK("http://exon.niaid.nih.gov/transcriptome/T_rubida/S2/links/cluster/Triru-pep-ext80-50-Sim-CLU21.txt", 21)</f>
        <v>21</v>
      </c>
      <c r="CP213" s="1">
        <f>HYPERLINK("http://exon.niaid.nih.gov/transcriptome/T_rubida/S2/links/cluster/Triru-pep-ext80-50-Sim-CLTL21.txt", 2)</f>
        <v>2</v>
      </c>
      <c r="CQ213" s="17">
        <f>HYPERLINK("http://exon.niaid.nih.gov/transcriptome/T_rubida/S2/links/cluster/Triru-pep-ext85-50-Sim-CLU19.txt", 19)</f>
        <v>19</v>
      </c>
      <c r="CR213" s="1">
        <f>HYPERLINK("http://exon.niaid.nih.gov/transcriptome/T_rubida/S2/links/cluster/Triru-pep-ext85-50-Sim-CLTL19.txt", 2)</f>
        <v>2</v>
      </c>
      <c r="CS213" s="17">
        <f>HYPERLINK("http://exon.niaid.nih.gov/transcriptome/T_rubida/S2/links/cluster/Triru-pep-ext90-50-Sim-CLU16.txt", 16)</f>
        <v>16</v>
      </c>
      <c r="CT213" s="1">
        <f>HYPERLINK("http://exon.niaid.nih.gov/transcriptome/T_rubida/S2/links/cluster/Triru-pep-ext90-50-Sim-CLTL16.txt", 2)</f>
        <v>2</v>
      </c>
      <c r="CU213" s="17">
        <v>478</v>
      </c>
      <c r="CV213" s="1">
        <v>1</v>
      </c>
    </row>
    <row r="214" spans="1:100">
      <c r="A214" t="str">
        <f>HYPERLINK("http://exon.niaid.nih.gov/transcriptome/T_rubida/S2/links/pep/Triru-533-pep.txt","Triru-533")</f>
        <v>Triru-533</v>
      </c>
      <c r="B214">
        <v>118</v>
      </c>
      <c r="C214" s="1" t="s">
        <v>4</v>
      </c>
      <c r="D214" s="1" t="s">
        <v>3</v>
      </c>
      <c r="E214" t="str">
        <f>HYPERLINK("http://exon.niaid.nih.gov/transcriptome/T_rubida/S2/links/cds/Triru-533-cds.txt","Triru-533")</f>
        <v>Triru-533</v>
      </c>
      <c r="F214">
        <v>357</v>
      </c>
      <c r="G214" s="2" t="s">
        <v>1684</v>
      </c>
      <c r="H214" s="1">
        <v>1</v>
      </c>
      <c r="I214" s="3" t="s">
        <v>1268</v>
      </c>
      <c r="J214" s="17" t="str">
        <f>HYPERLINK("http://exon.niaid.nih.gov/transcriptome/T_rubida/S2/links/Sigp/Triru-533-SigP.txt","CYT")</f>
        <v>CYT</v>
      </c>
      <c r="K214" t="s">
        <v>5</v>
      </c>
      <c r="L214" s="1">
        <v>13.484</v>
      </c>
      <c r="M214" s="1">
        <v>10.23</v>
      </c>
      <c r="P214" s="1">
        <v>0.748</v>
      </c>
      <c r="Q214" s="1">
        <v>3.6999999999999998E-2</v>
      </c>
      <c r="R214" s="1">
        <v>0.24399999999999999</v>
      </c>
      <c r="S214" s="17" t="s">
        <v>9</v>
      </c>
      <c r="T214">
        <v>3</v>
      </c>
      <c r="U214" t="s">
        <v>1350</v>
      </c>
      <c r="V214" s="17">
        <v>0</v>
      </c>
      <c r="W214" t="s">
        <v>5</v>
      </c>
      <c r="X214" t="s">
        <v>5</v>
      </c>
      <c r="Y214" t="s">
        <v>5</v>
      </c>
      <c r="Z214" t="s">
        <v>5</v>
      </c>
      <c r="AA214" t="s">
        <v>5</v>
      </c>
      <c r="AB214" s="17" t="str">
        <f>HYPERLINK("http://exon.niaid.nih.gov/transcriptome/T_rubida/S2/links/netoglyc/TRIRU-533-netoglyc.txt","1")</f>
        <v>1</v>
      </c>
      <c r="AC214">
        <v>10.199999999999999</v>
      </c>
      <c r="AD214">
        <v>5.9</v>
      </c>
      <c r="AE214">
        <v>6.8</v>
      </c>
      <c r="AF214" s="17" t="s">
        <v>5</v>
      </c>
      <c r="AG214" s="2" t="str">
        <f>HYPERLINK("http://exon.niaid.nih.gov/transcriptome/T_rubida/S2/links/NR/Triru-533-NR.txt","hypothetical protein SINV_00918")</f>
        <v>hypothetical protein SINV_00918</v>
      </c>
      <c r="AH214" t="str">
        <f>HYPERLINK("http://www.ncbi.nlm.nih.gov/sutils/blink.cgi?pid=322778718","1E-035")</f>
        <v>1E-035</v>
      </c>
      <c r="AI214" t="str">
        <f>HYPERLINK("http://www.ncbi.nlm.nih.gov/protein/322778718","gi|322778718")</f>
        <v>gi|322778718</v>
      </c>
      <c r="AJ214">
        <v>152</v>
      </c>
      <c r="AK214">
        <v>115</v>
      </c>
      <c r="AL214">
        <v>281</v>
      </c>
      <c r="AM214">
        <v>61</v>
      </c>
      <c r="AN214">
        <v>41</v>
      </c>
      <c r="AO214" t="s">
        <v>218</v>
      </c>
      <c r="AP214" s="2" t="str">
        <f>HYPERLINK("http://exon.niaid.nih.gov/transcriptome/T_rubida/S2/links/SWISSP/Triru-533-SWISSP.txt","60S ribosomal protein L6")</f>
        <v>60S ribosomal protein L6</v>
      </c>
      <c r="AQ214" t="str">
        <f>HYPERLINK("http://www.uniprot.org/uniprot/Q2YGT9","3E-027")</f>
        <v>3E-027</v>
      </c>
      <c r="AR214" t="s">
        <v>219</v>
      </c>
      <c r="AS214">
        <v>120</v>
      </c>
      <c r="AT214">
        <v>112</v>
      </c>
      <c r="AU214">
        <v>284</v>
      </c>
      <c r="AV214">
        <v>50</v>
      </c>
      <c r="AW214">
        <v>40</v>
      </c>
      <c r="AX214">
        <v>58</v>
      </c>
      <c r="AY214">
        <v>3</v>
      </c>
      <c r="AZ214">
        <v>172</v>
      </c>
      <c r="BA214">
        <v>3</v>
      </c>
      <c r="BB214">
        <v>1</v>
      </c>
      <c r="BC214" t="s">
        <v>220</v>
      </c>
      <c r="BD214" s="2" t="s">
        <v>221</v>
      </c>
      <c r="BE214">
        <f>HYPERLINK("http://exon.niaid.nih.gov/transcriptome/T_rubida/S2/links/GO/Triru-533-GO.txt",4E-31)</f>
        <v>4.0000000000000003E-31</v>
      </c>
      <c r="BF214" t="s">
        <v>138</v>
      </c>
      <c r="BG214" t="s">
        <v>139</v>
      </c>
      <c r="BH214" t="s">
        <v>140</v>
      </c>
      <c r="BI214" s="2" t="str">
        <f>HYPERLINK("http://exon.niaid.nih.gov/transcriptome/T_rubida/S2/links/CDD/Triru-533-CDD.txt","Ribosomal_L6e")</f>
        <v>Ribosomal_L6e</v>
      </c>
      <c r="BJ214" t="str">
        <f>HYPERLINK("http://www.ncbi.nlm.nih.gov/Structure/cdd/cddsrv.cgi?uid=pfam01159&amp;version=v4.0","2E-041")</f>
        <v>2E-041</v>
      </c>
      <c r="BK214" t="s">
        <v>222</v>
      </c>
      <c r="BL214" s="2" t="str">
        <f>HYPERLINK("http://exon.niaid.nih.gov/transcriptome/T_rubida/S2/links/KOG/Triru-533-KOG.txt","60s ribosomal protein L6")</f>
        <v>60s ribosomal protein L6</v>
      </c>
      <c r="BM214" t="str">
        <f>HYPERLINK("http://www.ncbi.nlm.nih.gov/COG/grace/shokog.cgi?KOG1694","1E-019")</f>
        <v>1E-019</v>
      </c>
      <c r="BN214" t="s">
        <v>84</v>
      </c>
      <c r="BO214" s="2" t="str">
        <f>HYPERLINK("http://exon.niaid.nih.gov/transcriptome/T_rubida/S2/links/PFAM/Triru-533-PFAM.txt","Ribosomal_L6e")</f>
        <v>Ribosomal_L6e</v>
      </c>
      <c r="BP214" t="str">
        <f>HYPERLINK("http://pfam.sanger.ac.uk/family?acc=PF01159","4E-042")</f>
        <v>4E-042</v>
      </c>
      <c r="BQ214" s="2" t="str">
        <f>HYPERLINK("http://exon.niaid.nih.gov/transcriptome/T_rubida/S2/links/SMART/Triru-533-SMART.txt","EXOIII")</f>
        <v>EXOIII</v>
      </c>
      <c r="BR214" t="str">
        <f>HYPERLINK("http://smart.embl-heidelberg.de/smart/do_annotation.pl?DOMAIN=EXOIII&amp;BLAST=DUMMY","1.6")</f>
        <v>1.6</v>
      </c>
      <c r="BS214" s="17">
        <v>164</v>
      </c>
      <c r="BT214" s="1">
        <v>1</v>
      </c>
      <c r="BU214" s="17">
        <v>243</v>
      </c>
      <c r="BV214" s="1">
        <v>1</v>
      </c>
      <c r="BW214" s="17">
        <v>309</v>
      </c>
      <c r="BX214" s="1">
        <v>1</v>
      </c>
      <c r="BY214" s="17">
        <v>337</v>
      </c>
      <c r="BZ214" s="1">
        <v>1</v>
      </c>
      <c r="CA214" s="17">
        <v>349</v>
      </c>
      <c r="CB214" s="1">
        <v>1</v>
      </c>
      <c r="CC214" s="17">
        <v>362</v>
      </c>
      <c r="CD214" s="1">
        <v>1</v>
      </c>
      <c r="CE214" s="17">
        <v>377</v>
      </c>
      <c r="CF214" s="1">
        <v>1</v>
      </c>
      <c r="CG214" s="17">
        <v>383</v>
      </c>
      <c r="CH214" s="1">
        <v>1</v>
      </c>
      <c r="CI214" s="17">
        <v>395</v>
      </c>
      <c r="CJ214" s="1">
        <v>1</v>
      </c>
      <c r="CK214" s="17">
        <v>401</v>
      </c>
      <c r="CL214" s="1">
        <v>1</v>
      </c>
      <c r="CM214" s="17">
        <v>410</v>
      </c>
      <c r="CN214" s="1">
        <v>1</v>
      </c>
      <c r="CO214" s="17">
        <v>422</v>
      </c>
      <c r="CP214" s="1">
        <v>1</v>
      </c>
      <c r="CQ214" s="17">
        <v>432</v>
      </c>
      <c r="CR214" s="1">
        <v>1</v>
      </c>
      <c r="CS214" s="17">
        <v>445</v>
      </c>
      <c r="CT214" s="1">
        <v>1</v>
      </c>
      <c r="CU214" s="17">
        <v>456</v>
      </c>
      <c r="CV214" s="1">
        <v>1</v>
      </c>
    </row>
    <row r="215" spans="1:100">
      <c r="A215" t="str">
        <f>HYPERLINK("http://exon.niaid.nih.gov/transcriptome/T_rubida/S2/links/pep/Triru-303-pep.txt","Triru-303")</f>
        <v>Triru-303</v>
      </c>
      <c r="B215">
        <v>105</v>
      </c>
      <c r="C215" s="1" t="s">
        <v>4</v>
      </c>
      <c r="D215" s="1" t="s">
        <v>3</v>
      </c>
      <c r="E215" t="str">
        <f>HYPERLINK("http://exon.niaid.nih.gov/transcriptome/T_rubida/S2/links/cds/Triru-303-cds.txt","Triru-303")</f>
        <v>Triru-303</v>
      </c>
      <c r="F215">
        <v>318</v>
      </c>
      <c r="G215" s="2" t="s">
        <v>1685</v>
      </c>
      <c r="H215" s="1">
        <v>1</v>
      </c>
      <c r="I215" s="3" t="s">
        <v>1268</v>
      </c>
      <c r="J215" s="17" t="str">
        <f>HYPERLINK("http://exon.niaid.nih.gov/transcriptome/T_rubida/S2/links/Sigp/Triru-303-SigP.txt","CYT")</f>
        <v>CYT</v>
      </c>
      <c r="K215" t="s">
        <v>5</v>
      </c>
      <c r="L215" s="1">
        <v>11.515000000000001</v>
      </c>
      <c r="M215" s="1">
        <v>9.8000000000000007</v>
      </c>
      <c r="P215" s="1">
        <v>0.45500000000000002</v>
      </c>
      <c r="Q215" s="1">
        <v>5.8000000000000003E-2</v>
      </c>
      <c r="R215" s="1">
        <v>0.55400000000000005</v>
      </c>
      <c r="S215" s="17" t="s">
        <v>1346</v>
      </c>
      <c r="T215">
        <v>5</v>
      </c>
      <c r="U215" t="s">
        <v>1451</v>
      </c>
      <c r="V215" s="17">
        <v>0</v>
      </c>
      <c r="W215" t="s">
        <v>5</v>
      </c>
      <c r="X215" t="s">
        <v>5</v>
      </c>
      <c r="Y215" t="s">
        <v>5</v>
      </c>
      <c r="Z215" t="s">
        <v>5</v>
      </c>
      <c r="AA215" t="s">
        <v>5</v>
      </c>
      <c r="AB215" s="17" t="str">
        <f>HYPERLINK("http://exon.niaid.nih.gov/transcriptome/T_rubida/S2/links/netoglyc/TRIRU-303-netoglyc.txt","0")</f>
        <v>0</v>
      </c>
      <c r="AC215">
        <v>13.3</v>
      </c>
      <c r="AD215">
        <v>7.6</v>
      </c>
      <c r="AE215">
        <v>6.7</v>
      </c>
      <c r="AF215" s="17" t="s">
        <v>5</v>
      </c>
      <c r="AG215" s="2" t="str">
        <f>HYPERLINK("http://exon.niaid.nih.gov/transcriptome/T_rubida/S2/links/NR/Triru-303-NR.txt","TGF beta-inducible nuclear protein 1")</f>
        <v>TGF beta-inducible nuclear protein 1</v>
      </c>
      <c r="AH215" t="str">
        <f>HYPERLINK("http://www.ncbi.nlm.nih.gov/sutils/blink.cgi?pid=112984142","4E-051")</f>
        <v>4E-051</v>
      </c>
      <c r="AI215" t="str">
        <f>HYPERLINK("http://www.ncbi.nlm.nih.gov/protein/112984142","gi|112984142")</f>
        <v>gi|112984142</v>
      </c>
      <c r="AJ215">
        <v>204</v>
      </c>
      <c r="AK215">
        <v>103</v>
      </c>
      <c r="AL215">
        <v>259</v>
      </c>
      <c r="AM215">
        <v>94</v>
      </c>
      <c r="AN215">
        <v>40</v>
      </c>
      <c r="AO215" t="s">
        <v>144</v>
      </c>
      <c r="AP215" s="2" t="str">
        <f>HYPERLINK("http://exon.niaid.nih.gov/transcriptome/T_rubida/S2/links/SWISSP/Triru-303-SWISSP.txt","Ribosome biogenesis protein NSA2 homolog")</f>
        <v>Ribosome biogenesis protein NSA2 homolog</v>
      </c>
      <c r="AQ215" t="str">
        <f>HYPERLINK("http://www.uniprot.org/uniprot/Q9CR47","1E-050")</f>
        <v>1E-050</v>
      </c>
      <c r="AR215" t="s">
        <v>198</v>
      </c>
      <c r="AS215">
        <v>197</v>
      </c>
      <c r="AT215">
        <v>103</v>
      </c>
      <c r="AU215">
        <v>260</v>
      </c>
      <c r="AV215">
        <v>88</v>
      </c>
      <c r="AW215">
        <v>40</v>
      </c>
      <c r="AX215">
        <v>12</v>
      </c>
      <c r="AY215">
        <v>0</v>
      </c>
      <c r="AZ215">
        <v>157</v>
      </c>
      <c r="BA215">
        <v>2</v>
      </c>
      <c r="BB215">
        <v>1</v>
      </c>
      <c r="BC215" t="s">
        <v>75</v>
      </c>
      <c r="BD215" s="2" t="s">
        <v>199</v>
      </c>
      <c r="BE215">
        <f>HYPERLINK("http://exon.niaid.nih.gov/transcriptome/T_rubida/S2/links/GO/Triru-303-GO.txt",8E-51)</f>
        <v>8.0000000000000001E-51</v>
      </c>
      <c r="BF215" t="s">
        <v>138</v>
      </c>
      <c r="BG215" t="s">
        <v>139</v>
      </c>
      <c r="BH215" t="s">
        <v>140</v>
      </c>
      <c r="BI215" s="2" t="str">
        <f>HYPERLINK("http://exon.niaid.nih.gov/transcriptome/T_rubida/S2/links/CDD/Triru-303-CDD.txt","PTZ00388")</f>
        <v>PTZ00388</v>
      </c>
      <c r="BJ215" t="str">
        <f>HYPERLINK("http://www.ncbi.nlm.nih.gov/Structure/cdd/cddsrv.cgi?uid=PTZ00388&amp;version=v4.0","2E-060")</f>
        <v>2E-060</v>
      </c>
      <c r="BK215" t="s">
        <v>200</v>
      </c>
      <c r="BL215" s="2" t="str">
        <f>HYPERLINK("http://exon.niaid.nih.gov/transcriptome/T_rubida/S2/links/KOG/Triru-303-KOG.txt","Uncharacterized conserved protein related to ribosomal protein S8E")</f>
        <v>Uncharacterized conserved protein related to ribosomal protein S8E</v>
      </c>
      <c r="BM215" t="str">
        <f>HYPERLINK("http://www.ncbi.nlm.nih.gov/COG/grace/shokog.cgi?KOG3163","3E-056")</f>
        <v>3E-056</v>
      </c>
      <c r="BN215" t="s">
        <v>96</v>
      </c>
      <c r="BO215" s="2" t="str">
        <f>HYPERLINK("http://exon.niaid.nih.gov/transcriptome/T_rubida/S2/links/PFAM/Triru-303-PFAM.txt","Ribosomal_S8e")</f>
        <v>Ribosomal_S8e</v>
      </c>
      <c r="BP215" t="str">
        <f>HYPERLINK("http://pfam.sanger.ac.uk/family?acc=PF01201","1E-022")</f>
        <v>1E-022</v>
      </c>
      <c r="BQ215" s="2" t="str">
        <f>HYPERLINK("http://exon.niaid.nih.gov/transcriptome/T_rubida/S2/links/SMART/Triru-303-SMART.txt","TNF")</f>
        <v>TNF</v>
      </c>
      <c r="BR215" t="str">
        <f>HYPERLINK("http://smart.embl-heidelberg.de/smart/do_annotation.pl?DOMAIN=TNF&amp;BLAST=DUMMY","1.7")</f>
        <v>1.7</v>
      </c>
      <c r="BS215" s="17">
        <v>89</v>
      </c>
      <c r="BT215" s="1">
        <v>1</v>
      </c>
      <c r="BU215" s="17">
        <v>141</v>
      </c>
      <c r="BV215" s="1">
        <v>1</v>
      </c>
      <c r="BW215" s="17">
        <v>170</v>
      </c>
      <c r="BX215" s="1">
        <v>1</v>
      </c>
      <c r="BY215" s="17">
        <v>181</v>
      </c>
      <c r="BZ215" s="1">
        <v>1</v>
      </c>
      <c r="CA215" s="17">
        <v>185</v>
      </c>
      <c r="CB215" s="1">
        <v>1</v>
      </c>
      <c r="CC215" s="17">
        <v>190</v>
      </c>
      <c r="CD215" s="1">
        <v>1</v>
      </c>
      <c r="CE215" s="17">
        <v>196</v>
      </c>
      <c r="CF215" s="1">
        <v>1</v>
      </c>
      <c r="CG215" s="17">
        <v>198</v>
      </c>
      <c r="CH215" s="1">
        <v>1</v>
      </c>
      <c r="CI215" s="17">
        <v>206</v>
      </c>
      <c r="CJ215" s="1">
        <v>1</v>
      </c>
      <c r="CK215" s="17">
        <v>211</v>
      </c>
      <c r="CL215" s="1">
        <v>1</v>
      </c>
      <c r="CM215" s="17">
        <v>217</v>
      </c>
      <c r="CN215" s="1">
        <v>1</v>
      </c>
      <c r="CO215" s="17">
        <v>228</v>
      </c>
      <c r="CP215" s="1">
        <v>1</v>
      </c>
      <c r="CQ215" s="17">
        <v>238</v>
      </c>
      <c r="CR215" s="1">
        <v>1</v>
      </c>
      <c r="CS215" s="17">
        <v>247</v>
      </c>
      <c r="CT215" s="1">
        <v>1</v>
      </c>
      <c r="CU215" s="17">
        <v>258</v>
      </c>
      <c r="CV215" s="1">
        <v>1</v>
      </c>
    </row>
    <row r="216" spans="1:100">
      <c r="A216" t="str">
        <f>HYPERLINK("http://exon.niaid.nih.gov/transcriptome/T_rubida/S2/links/pep/Triru-624-pep.txt","Triru-624")</f>
        <v>Triru-624</v>
      </c>
      <c r="B216">
        <v>55</v>
      </c>
      <c r="C216" s="1" t="s">
        <v>17</v>
      </c>
      <c r="D216" s="1" t="s">
        <v>3</v>
      </c>
      <c r="E216" t="str">
        <f>HYPERLINK("http://exon.niaid.nih.gov/transcriptome/T_rubida/S2/links/cds/Triru-624-cds.txt","Triru-624")</f>
        <v>Triru-624</v>
      </c>
      <c r="F216">
        <v>168</v>
      </c>
      <c r="G216" s="2" t="s">
        <v>1683</v>
      </c>
      <c r="H216" s="1">
        <v>1</v>
      </c>
      <c r="I216" s="3" t="s">
        <v>1268</v>
      </c>
      <c r="J216" s="17" t="str">
        <f>HYPERLINK("http://exon.niaid.nih.gov/transcriptome/T_rubida/S2/links/Sigp/Triru-624-SigP.txt","CYT")</f>
        <v>CYT</v>
      </c>
      <c r="K216" t="s">
        <v>5</v>
      </c>
      <c r="L216" s="1">
        <v>5.9539999999999997</v>
      </c>
      <c r="M216" s="1">
        <v>9.0399999999999991</v>
      </c>
      <c r="P216" s="1">
        <v>0.186</v>
      </c>
      <c r="Q216" s="1">
        <v>4.5999999999999999E-2</v>
      </c>
      <c r="R216" s="1">
        <v>0.82599999999999996</v>
      </c>
      <c r="S216" s="17" t="s">
        <v>1346</v>
      </c>
      <c r="T216">
        <v>2</v>
      </c>
      <c r="U216" t="s">
        <v>1382</v>
      </c>
      <c r="V216" s="17">
        <v>0</v>
      </c>
      <c r="W216" t="s">
        <v>5</v>
      </c>
      <c r="X216" t="s">
        <v>5</v>
      </c>
      <c r="Y216" t="s">
        <v>5</v>
      </c>
      <c r="Z216" t="s">
        <v>5</v>
      </c>
      <c r="AA216" t="s">
        <v>5</v>
      </c>
      <c r="AB216" s="17" t="str">
        <f>HYPERLINK("http://exon.niaid.nih.gov/transcriptome/T_rubida/S2/links/netoglyc/TRIRU-624-netoglyc.txt","0")</f>
        <v>0</v>
      </c>
      <c r="AC216">
        <v>9.1</v>
      </c>
      <c r="AD216">
        <v>9.1</v>
      </c>
      <c r="AE216">
        <v>3.6</v>
      </c>
      <c r="AF216" s="17" t="s">
        <v>5</v>
      </c>
      <c r="AG216" s="2" t="str">
        <f>HYPERLINK("http://exon.niaid.nih.gov/transcriptome/T_rubida/S2/links/NR/Triru-624-NR.txt","60S ribosomal protein L23-like")</f>
        <v>60S ribosomal protein L23-like</v>
      </c>
      <c r="AH216" t="str">
        <f>HYPERLINK("http://www.ncbi.nlm.nih.gov/sutils/blink.cgi?pid=340724772","5E-023")</f>
        <v>5E-023</v>
      </c>
      <c r="AI216" t="str">
        <f>HYPERLINK("http://www.ncbi.nlm.nih.gov/protein/340724772","gi|340724772")</f>
        <v>gi|340724772</v>
      </c>
      <c r="AJ216">
        <v>110</v>
      </c>
      <c r="AK216">
        <v>54</v>
      </c>
      <c r="AL216">
        <v>140</v>
      </c>
      <c r="AM216">
        <v>96</v>
      </c>
      <c r="AN216">
        <v>39</v>
      </c>
      <c r="AO216" t="s">
        <v>265</v>
      </c>
      <c r="AP216" s="2" t="str">
        <f>HYPERLINK("http://exon.niaid.nih.gov/transcriptome/T_rubida/S2/links/SWISSP/Triru-624-SWISSP.txt","60S ribosomal protein L23")</f>
        <v>60S ribosomal protein L23</v>
      </c>
      <c r="AQ216" t="str">
        <f>HYPERLINK("http://www.uniprot.org/uniprot/P48159","4E-024")</f>
        <v>4E-024</v>
      </c>
      <c r="AR216" t="s">
        <v>1057</v>
      </c>
      <c r="AS216">
        <v>109</v>
      </c>
      <c r="AT216">
        <v>54</v>
      </c>
      <c r="AU216">
        <v>140</v>
      </c>
      <c r="AV216">
        <v>94</v>
      </c>
      <c r="AW216">
        <v>39</v>
      </c>
      <c r="AX216">
        <v>3</v>
      </c>
      <c r="AY216">
        <v>0</v>
      </c>
      <c r="AZ216">
        <v>86</v>
      </c>
      <c r="BA216">
        <v>1</v>
      </c>
      <c r="BB216">
        <v>1</v>
      </c>
      <c r="BC216" t="s">
        <v>150</v>
      </c>
      <c r="BD216" s="2" t="s">
        <v>1058</v>
      </c>
      <c r="BE216">
        <f>HYPERLINK("http://exon.niaid.nih.gov/transcriptome/T_rubida/S2/links/GO/Triru-624-GO.txt",3E-24)</f>
        <v>3E-24</v>
      </c>
      <c r="BF216" t="s">
        <v>138</v>
      </c>
      <c r="BG216" t="s">
        <v>139</v>
      </c>
      <c r="BH216" t="s">
        <v>140</v>
      </c>
      <c r="BI216" s="2" t="str">
        <f>HYPERLINK("http://exon.niaid.nih.gov/transcriptome/T_rubida/S2/links/CDD/Triru-624-CDD.txt","PTZ00054")</f>
        <v>PTZ00054</v>
      </c>
      <c r="BJ216" t="str">
        <f>HYPERLINK("http://www.ncbi.nlm.nih.gov/Structure/cdd/cddsrv.cgi?uid=PTZ00054&amp;version=v4.0","7E-026")</f>
        <v>7E-026</v>
      </c>
      <c r="BK216" t="s">
        <v>1059</v>
      </c>
      <c r="BL216" s="2" t="str">
        <f>HYPERLINK("http://exon.niaid.nih.gov/transcriptome/T_rubida/S2/links/KOG/Triru-624-KOG.txt","60S ribosomal protein L14/L17/L23")</f>
        <v>60S ribosomal protein L14/L17/L23</v>
      </c>
      <c r="BM216" t="str">
        <f>HYPERLINK("http://www.ncbi.nlm.nih.gov/COG/grace/shokog.cgi?KOG0901","1E-017")</f>
        <v>1E-017</v>
      </c>
      <c r="BN216" t="s">
        <v>84</v>
      </c>
      <c r="BO216" s="2" t="str">
        <f>HYPERLINK("http://exon.niaid.nih.gov/transcriptome/T_rubida/S2/links/PFAM/Triru-624-PFAM.txt","Ribosomal_L14")</f>
        <v>Ribosomal_L14</v>
      </c>
      <c r="BP216" t="str">
        <f>HYPERLINK("http://pfam.sanger.ac.uk/family?acc=PF00238","3E-015")</f>
        <v>3E-015</v>
      </c>
      <c r="BQ216" s="2" t="str">
        <f>HYPERLINK("http://exon.niaid.nih.gov/transcriptome/T_rubida/S2/links/SMART/Triru-624-SMART.txt","PAC")</f>
        <v>PAC</v>
      </c>
      <c r="BR216" t="str">
        <f>HYPERLINK("http://smart.embl-heidelberg.de/smart/do_annotation.pl?DOMAIN=PAC&amp;BLAST=DUMMY","0.065")</f>
        <v>0.065</v>
      </c>
      <c r="BS216" s="17">
        <f>HYPERLINK("http://exon.niaid.nih.gov/transcriptome/T_rubida/S2/links/cluster/Triru-pep-ext25-50-Sim-CLU1.txt", 1)</f>
        <v>1</v>
      </c>
      <c r="BT216" s="1">
        <f>HYPERLINK("http://exon.niaid.nih.gov/transcriptome/T_rubida/S2/links/cluster/Triru-pep-ext25-50-Sim-CLTL1.txt", 359)</f>
        <v>359</v>
      </c>
      <c r="BU216" s="17">
        <f>HYPERLINK("http://exon.niaid.nih.gov/transcriptome/T_rubida/S2/links/cluster/Triru-pep-ext30-50-Sim-CLU1.txt", 1)</f>
        <v>1</v>
      </c>
      <c r="BV216" s="1">
        <f>HYPERLINK("http://exon.niaid.nih.gov/transcriptome/T_rubida/S2/links/cluster/Triru-pep-ext30-50-Sim-CLTL1.txt", 225)</f>
        <v>225</v>
      </c>
      <c r="BW216" s="17">
        <f>HYPERLINK("http://exon.niaid.nih.gov/transcriptome/T_rubida/S2/links/cluster/Triru-pep-ext35-50-Sim-CLU44.txt", 44)</f>
        <v>44</v>
      </c>
      <c r="BX216" s="1">
        <f>HYPERLINK("http://exon.niaid.nih.gov/transcriptome/T_rubida/S2/links/cluster/Triru-pep-ext35-50-Sim-CLTL44.txt", 2)</f>
        <v>2</v>
      </c>
      <c r="BY216" s="17">
        <f>HYPERLINK("http://exon.niaid.nih.gov/transcriptome/T_rubida/S2/links/cluster/Triru-pep-ext40-50-Sim-CLU40.txt", 40)</f>
        <v>40</v>
      </c>
      <c r="BZ216" s="1">
        <f>HYPERLINK("http://exon.niaid.nih.gov/transcriptome/T_rubida/S2/links/cluster/Triru-pep-ext40-50-Sim-CLTL40.txt", 2)</f>
        <v>2</v>
      </c>
      <c r="CA216" s="17">
        <f>HYPERLINK("http://exon.niaid.nih.gov/transcriptome/T_rubida/S2/links/cluster/Triru-pep-ext45-50-Sim-CLU35.txt", 35)</f>
        <v>35</v>
      </c>
      <c r="CB216" s="1">
        <f>HYPERLINK("http://exon.niaid.nih.gov/transcriptome/T_rubida/S2/links/cluster/Triru-pep-ext45-50-Sim-CLTL35.txt", 2)</f>
        <v>2</v>
      </c>
      <c r="CC216" s="17">
        <f>HYPERLINK("http://exon.niaid.nih.gov/transcriptome/T_rubida/S2/links/cluster/Triru-pep-ext50-50-Sim-CLU34.txt", 34)</f>
        <v>34</v>
      </c>
      <c r="CD216" s="1">
        <f>HYPERLINK("http://exon.niaid.nih.gov/transcriptome/T_rubida/S2/links/cluster/Triru-pep-ext50-50-Sim-CLTL34.txt", 2)</f>
        <v>2</v>
      </c>
      <c r="CE216" s="17">
        <f>HYPERLINK("http://exon.niaid.nih.gov/transcriptome/T_rubida/S2/links/cluster/Triru-pep-ext55-50-Sim-CLU27.txt", 27)</f>
        <v>27</v>
      </c>
      <c r="CF216" s="1">
        <f>HYPERLINK("http://exon.niaid.nih.gov/transcriptome/T_rubida/S2/links/cluster/Triru-pep-ext55-50-Sim-CLTL27.txt", 2)</f>
        <v>2</v>
      </c>
      <c r="CG216" s="17">
        <f>HYPERLINK("http://exon.niaid.nih.gov/transcriptome/T_rubida/S2/links/cluster/Triru-pep-ext60-50-Sim-CLU26.txt", 26)</f>
        <v>26</v>
      </c>
      <c r="CH216" s="1">
        <f>HYPERLINK("http://exon.niaid.nih.gov/transcriptome/T_rubida/S2/links/cluster/Triru-pep-ext60-50-Sim-CLTL26.txt", 2)</f>
        <v>2</v>
      </c>
      <c r="CI216" s="17">
        <f>HYPERLINK("http://exon.niaid.nih.gov/transcriptome/T_rubida/S2/links/cluster/Triru-pep-ext65-50-Sim-CLU24.txt", 24)</f>
        <v>24</v>
      </c>
      <c r="CJ216" s="1">
        <f>HYPERLINK("http://exon.niaid.nih.gov/transcriptome/T_rubida/S2/links/cluster/Triru-pep-ext65-50-Sim-CLTL24.txt", 2)</f>
        <v>2</v>
      </c>
      <c r="CK216" s="17">
        <f>HYPERLINK("http://exon.niaid.nih.gov/transcriptome/T_rubida/S2/links/cluster/Triru-pep-ext70-50-Sim-CLU24.txt", 24)</f>
        <v>24</v>
      </c>
      <c r="CL216" s="1">
        <f>HYPERLINK("http://exon.niaid.nih.gov/transcriptome/T_rubida/S2/links/cluster/Triru-pep-ext70-50-Sim-CLTL24.txt", 2)</f>
        <v>2</v>
      </c>
      <c r="CM216" s="17">
        <f>HYPERLINK("http://exon.niaid.nih.gov/transcriptome/T_rubida/S2/links/cluster/Triru-pep-ext75-50-Sim-CLU24.txt", 24)</f>
        <v>24</v>
      </c>
      <c r="CN216" s="1">
        <f>HYPERLINK("http://exon.niaid.nih.gov/transcriptome/T_rubida/S2/links/cluster/Triru-pep-ext75-50-Sim-CLTL24.txt", 2)</f>
        <v>2</v>
      </c>
      <c r="CO216" s="17">
        <f>HYPERLINK("http://exon.niaid.nih.gov/transcriptome/T_rubida/S2/links/cluster/Triru-pep-ext80-50-Sim-CLU21.txt", 21)</f>
        <v>21</v>
      </c>
      <c r="CP216" s="1">
        <f>HYPERLINK("http://exon.niaid.nih.gov/transcriptome/T_rubida/S2/links/cluster/Triru-pep-ext80-50-Sim-CLTL21.txt", 2)</f>
        <v>2</v>
      </c>
      <c r="CQ216" s="17">
        <f>HYPERLINK("http://exon.niaid.nih.gov/transcriptome/T_rubida/S2/links/cluster/Triru-pep-ext85-50-Sim-CLU19.txt", 19)</f>
        <v>19</v>
      </c>
      <c r="CR216" s="1">
        <f>HYPERLINK("http://exon.niaid.nih.gov/transcriptome/T_rubida/S2/links/cluster/Triru-pep-ext85-50-Sim-CLTL19.txt", 2)</f>
        <v>2</v>
      </c>
      <c r="CS216" s="17">
        <f>HYPERLINK("http://exon.niaid.nih.gov/transcriptome/T_rubida/S2/links/cluster/Triru-pep-ext90-50-Sim-CLU16.txt", 16)</f>
        <v>16</v>
      </c>
      <c r="CT216" s="1">
        <f>HYPERLINK("http://exon.niaid.nih.gov/transcriptome/T_rubida/S2/links/cluster/Triru-pep-ext90-50-Sim-CLTL16.txt", 2)</f>
        <v>2</v>
      </c>
      <c r="CU216" s="17">
        <v>533</v>
      </c>
      <c r="CV216" s="1">
        <v>1</v>
      </c>
    </row>
    <row r="217" spans="1:100">
      <c r="A217" t="str">
        <f>HYPERLINK("http://exon.niaid.nih.gov/transcriptome/T_rubida/S2/links/pep/Triru-125-pep.txt","Triru-125")</f>
        <v>Triru-125</v>
      </c>
      <c r="B217">
        <v>129</v>
      </c>
      <c r="C217" s="1" t="s">
        <v>6</v>
      </c>
      <c r="D217" s="1" t="s">
        <v>3</v>
      </c>
      <c r="E217" t="str">
        <f>HYPERLINK("http://exon.niaid.nih.gov/transcriptome/T_rubida/S2/links/cds/Triru-125-cds.txt","Triru-125")</f>
        <v>Triru-125</v>
      </c>
      <c r="F217">
        <v>390</v>
      </c>
      <c r="G217" s="2" t="s">
        <v>1686</v>
      </c>
      <c r="H217" s="1">
        <v>3</v>
      </c>
      <c r="I217" s="3" t="s">
        <v>1268</v>
      </c>
      <c r="J217" s="17" t="str">
        <f>HYPERLINK("http://exon.niaid.nih.gov/transcriptome/T_rubida/S2/links/Sigp/Triru-125-SigP.txt","CYT")</f>
        <v>CYT</v>
      </c>
      <c r="K217" t="s">
        <v>5</v>
      </c>
      <c r="L217" s="1">
        <v>14.923</v>
      </c>
      <c r="M217" s="1">
        <v>10.63</v>
      </c>
      <c r="P217" s="1">
        <v>0.30299999999999999</v>
      </c>
      <c r="Q217" s="1">
        <v>6.0999999999999999E-2</v>
      </c>
      <c r="R217" s="1">
        <v>0.749</v>
      </c>
      <c r="S217" s="17" t="s">
        <v>1346</v>
      </c>
      <c r="T217">
        <v>3</v>
      </c>
      <c r="U217" t="s">
        <v>1348</v>
      </c>
      <c r="V217" s="17">
        <v>0</v>
      </c>
      <c r="W217" t="s">
        <v>5</v>
      </c>
      <c r="X217" t="s">
        <v>5</v>
      </c>
      <c r="Y217" t="s">
        <v>5</v>
      </c>
      <c r="Z217" t="s">
        <v>5</v>
      </c>
      <c r="AA217" t="s">
        <v>5</v>
      </c>
      <c r="AB217" s="17" t="str">
        <f>HYPERLINK("http://exon.niaid.nih.gov/transcriptome/T_rubida/S2/links/netoglyc/TRIRU-125-netoglyc.txt","1")</f>
        <v>1</v>
      </c>
      <c r="AC217">
        <v>7</v>
      </c>
      <c r="AD217">
        <v>4.7</v>
      </c>
      <c r="AE217">
        <v>7.8</v>
      </c>
      <c r="AF217" s="17" t="s">
        <v>5</v>
      </c>
      <c r="AG217" s="2" t="str">
        <f>HYPERLINK("http://exon.niaid.nih.gov/transcriptome/T_rubida/S2/links/NR/Triru-125-NR.txt","ribosomal protein L23A")</f>
        <v>ribosomal protein L23A</v>
      </c>
      <c r="AH217" t="str">
        <f>HYPERLINK("http://www.ncbi.nlm.nih.gov/sutils/blink.cgi?pid=307095104","1E-062")</f>
        <v>1E-062</v>
      </c>
      <c r="AI217" t="str">
        <f>HYPERLINK("http://www.ncbi.nlm.nih.gov/protein/307095104","gi|307095104")</f>
        <v>gi|307095104</v>
      </c>
      <c r="AJ217">
        <v>242</v>
      </c>
      <c r="AK217">
        <v>118</v>
      </c>
      <c r="AL217">
        <v>314</v>
      </c>
      <c r="AM217">
        <v>100</v>
      </c>
      <c r="AN217">
        <v>38</v>
      </c>
      <c r="AO217" t="s">
        <v>120</v>
      </c>
      <c r="AP217" s="2" t="str">
        <f>HYPERLINK("http://exon.niaid.nih.gov/transcriptome/T_rubida/S2/links/SWISSP/Triru-125-SWISSP.txt","60S ribosomal protein L23a")</f>
        <v>60S ribosomal protein L23a</v>
      </c>
      <c r="AQ217" t="str">
        <f>HYPERLINK("http://www.uniprot.org/uniprot/P62752","2E-049")</f>
        <v>2E-049</v>
      </c>
      <c r="AR217" t="s">
        <v>625</v>
      </c>
      <c r="AS217">
        <v>194</v>
      </c>
      <c r="AT217">
        <v>118</v>
      </c>
      <c r="AU217">
        <v>156</v>
      </c>
      <c r="AV217">
        <v>80</v>
      </c>
      <c r="AW217">
        <v>76</v>
      </c>
      <c r="AX217">
        <v>23</v>
      </c>
      <c r="AY217">
        <v>0</v>
      </c>
      <c r="AZ217">
        <v>38</v>
      </c>
      <c r="BA217">
        <v>11</v>
      </c>
      <c r="BB217">
        <v>1</v>
      </c>
      <c r="BC217" t="s">
        <v>130</v>
      </c>
      <c r="BD217" s="2" t="s">
        <v>626</v>
      </c>
      <c r="BE217">
        <f>HYPERLINK("http://exon.niaid.nih.gov/transcriptome/T_rubida/S2/links/GO/Triru-125-GO.txt",1E-49)</f>
        <v>9.9999999999999994E-50</v>
      </c>
      <c r="BF217" t="s">
        <v>268</v>
      </c>
      <c r="BG217" t="s">
        <v>153</v>
      </c>
      <c r="BH217" t="s">
        <v>269</v>
      </c>
      <c r="BI217" s="2" t="str">
        <f>HYPERLINK("http://exon.niaid.nih.gov/transcriptome/T_rubida/S2/links/CDD/Triru-125-CDD.txt","PTZ00191")</f>
        <v>PTZ00191</v>
      </c>
      <c r="BJ217" t="str">
        <f>HYPERLINK("http://www.ncbi.nlm.nih.gov/Structure/cdd/cddsrv.cgi?uid=PTZ00191&amp;version=v4.0","5E-044")</f>
        <v>5E-044</v>
      </c>
      <c r="BK217" t="s">
        <v>627</v>
      </c>
      <c r="BL217" s="2" t="str">
        <f>HYPERLINK("http://exon.niaid.nih.gov/transcriptome/T_rubida/S2/links/KOG/Triru-125-KOG.txt","60s ribosomal protein L23")</f>
        <v>60s ribosomal protein L23</v>
      </c>
      <c r="BM217" t="str">
        <f>HYPERLINK("http://www.ncbi.nlm.nih.gov/COG/grace/shokog.cgi?KOG1751","2E-041")</f>
        <v>2E-041</v>
      </c>
      <c r="BN217" t="s">
        <v>84</v>
      </c>
      <c r="BO217" s="2" t="str">
        <f>HYPERLINK("http://exon.niaid.nih.gov/transcriptome/T_rubida/S2/links/PFAM/Triru-125-PFAM.txt","Ribosomal_L23")</f>
        <v>Ribosomal_L23</v>
      </c>
      <c r="BP217" t="str">
        <f>HYPERLINK("http://pfam.sanger.ac.uk/family?acc=PF00276","6E-012")</f>
        <v>6E-012</v>
      </c>
      <c r="BQ217" s="2" t="str">
        <f>HYPERLINK("http://exon.niaid.nih.gov/transcriptome/T_rubida/S2/links/SMART/Triru-125-SMART.txt","BROMO")</f>
        <v>BROMO</v>
      </c>
      <c r="BR217" t="str">
        <f>HYPERLINK("http://smart.embl-heidelberg.de/smart/do_annotation.pl?DOMAIN=BROMO&amp;BLAST=DUMMY","0.11")</f>
        <v>0.11</v>
      </c>
      <c r="BS217" s="17">
        <v>50</v>
      </c>
      <c r="BT217" s="1">
        <v>1</v>
      </c>
      <c r="BU217" s="17">
        <v>70</v>
      </c>
      <c r="BV217" s="1">
        <v>1</v>
      </c>
      <c r="BW217" s="17">
        <v>76</v>
      </c>
      <c r="BX217" s="1">
        <v>1</v>
      </c>
      <c r="BY217" s="17">
        <v>76</v>
      </c>
      <c r="BZ217" s="1">
        <v>1</v>
      </c>
      <c r="CA217" s="17">
        <v>74</v>
      </c>
      <c r="CB217" s="1">
        <v>1</v>
      </c>
      <c r="CC217" s="17">
        <v>73</v>
      </c>
      <c r="CD217" s="1">
        <v>1</v>
      </c>
      <c r="CE217" s="17">
        <v>67</v>
      </c>
      <c r="CF217" s="1">
        <v>1</v>
      </c>
      <c r="CG217" s="17">
        <v>67</v>
      </c>
      <c r="CH217" s="1">
        <v>1</v>
      </c>
      <c r="CI217" s="17">
        <v>73</v>
      </c>
      <c r="CJ217" s="1">
        <v>1</v>
      </c>
      <c r="CK217" s="17">
        <v>77</v>
      </c>
      <c r="CL217" s="1">
        <v>1</v>
      </c>
      <c r="CM217" s="17">
        <v>81</v>
      </c>
      <c r="CN217" s="1">
        <v>1</v>
      </c>
      <c r="CO217" s="17">
        <v>89</v>
      </c>
      <c r="CP217" s="1">
        <v>1</v>
      </c>
      <c r="CQ217" s="17">
        <v>99</v>
      </c>
      <c r="CR217" s="1">
        <v>1</v>
      </c>
      <c r="CS217" s="17">
        <v>104</v>
      </c>
      <c r="CT217" s="1">
        <v>1</v>
      </c>
      <c r="CU217" s="17">
        <v>115</v>
      </c>
      <c r="CV217" s="1">
        <v>1</v>
      </c>
    </row>
    <row r="218" spans="1:100">
      <c r="A218" t="str">
        <f>HYPERLINK("http://exon.niaid.nih.gov/transcriptome/T_rubida/S2/links/pep/Triru-171-pep.txt","Triru-171")</f>
        <v>Triru-171</v>
      </c>
      <c r="B218">
        <v>51</v>
      </c>
      <c r="C218" s="1" t="s">
        <v>10</v>
      </c>
      <c r="D218" s="1" t="s">
        <v>3</v>
      </c>
      <c r="E218" t="str">
        <f>HYPERLINK("http://exon.niaid.nih.gov/transcriptome/T_rubida/S2/links/cds/Triru-171-cds.txt","Triru-171")</f>
        <v>Triru-171</v>
      </c>
      <c r="F218">
        <v>156</v>
      </c>
      <c r="G218" s="2" t="s">
        <v>1687</v>
      </c>
      <c r="H218" s="1">
        <v>1</v>
      </c>
      <c r="I218" s="3" t="s">
        <v>1268</v>
      </c>
      <c r="J218" s="17" t="str">
        <f>HYPERLINK("http://exon.niaid.nih.gov/transcriptome/T_rubida/S2/links/Sigp/Triru-171-SigP.txt","CYT")</f>
        <v>CYT</v>
      </c>
      <c r="K218" t="s">
        <v>5</v>
      </c>
      <c r="L218" s="1">
        <v>5.8440000000000003</v>
      </c>
      <c r="M218" s="1">
        <v>10.42</v>
      </c>
      <c r="P218" s="1">
        <v>0.69399999999999995</v>
      </c>
      <c r="Q218" s="1">
        <v>1.6E-2</v>
      </c>
      <c r="R218" s="1">
        <v>0.47299999999999998</v>
      </c>
      <c r="S218" s="17" t="s">
        <v>9</v>
      </c>
      <c r="T218">
        <v>4</v>
      </c>
      <c r="U218" t="s">
        <v>1348</v>
      </c>
      <c r="V218" s="17">
        <v>0</v>
      </c>
      <c r="W218" t="s">
        <v>5</v>
      </c>
      <c r="X218" t="s">
        <v>5</v>
      </c>
      <c r="Y218" t="s">
        <v>5</v>
      </c>
      <c r="Z218" t="s">
        <v>5</v>
      </c>
      <c r="AA218" t="s">
        <v>5</v>
      </c>
      <c r="AB218" s="17" t="str">
        <f>HYPERLINK("http://exon.niaid.nih.gov/transcriptome/T_rubida/S2/links/netoglyc/TRIRU-171-netoglyc.txt","0")</f>
        <v>0</v>
      </c>
      <c r="AC218">
        <v>11.8</v>
      </c>
      <c r="AD218">
        <v>3.9</v>
      </c>
      <c r="AE218">
        <v>2</v>
      </c>
      <c r="AF218" s="17" t="s">
        <v>5</v>
      </c>
      <c r="AG218" s="2" t="str">
        <f>HYPERLINK("http://exon.niaid.nih.gov/transcriptome/T_rubida/S2/links/NR/Triru-171-NR.txt","similar to ribosomal protein L32 isoform 2")</f>
        <v>similar to ribosomal protein L32 isoform 2</v>
      </c>
      <c r="AH218" t="str">
        <f>HYPERLINK("http://www.ncbi.nlm.nih.gov/sutils/blink.cgi?pid=156551531","7E-018")</f>
        <v>7E-018</v>
      </c>
      <c r="AI218" t="str">
        <f>HYPERLINK("http://www.ncbi.nlm.nih.gov/protein/156551531","gi|156551531")</f>
        <v>gi|156551531</v>
      </c>
      <c r="AJ218">
        <v>94</v>
      </c>
      <c r="AK218">
        <v>48</v>
      </c>
      <c r="AL218">
        <v>134</v>
      </c>
      <c r="AM218">
        <v>93</v>
      </c>
      <c r="AN218">
        <v>37</v>
      </c>
      <c r="AO218" t="s">
        <v>288</v>
      </c>
      <c r="AP218" s="2" t="str">
        <f>HYPERLINK("http://exon.niaid.nih.gov/transcriptome/T_rubida/S2/links/SWISSP/Triru-171-SWISSP.txt","60S ribosomal protein L32")</f>
        <v>60S ribosomal protein L32</v>
      </c>
      <c r="AQ218" t="str">
        <f>HYPERLINK("http://www.uniprot.org/uniprot/Q962T1","2E-017")</f>
        <v>2E-017</v>
      </c>
      <c r="AR218" t="s">
        <v>941</v>
      </c>
      <c r="AS218">
        <v>87.4</v>
      </c>
      <c r="AT218">
        <v>48</v>
      </c>
      <c r="AU218">
        <v>134</v>
      </c>
      <c r="AV218">
        <v>85</v>
      </c>
      <c r="AW218">
        <v>37</v>
      </c>
      <c r="AX218">
        <v>7</v>
      </c>
      <c r="AY218">
        <v>0</v>
      </c>
      <c r="AZ218">
        <v>86</v>
      </c>
      <c r="BA218">
        <v>3</v>
      </c>
      <c r="BB218">
        <v>1</v>
      </c>
      <c r="BC218" t="s">
        <v>82</v>
      </c>
      <c r="BD218" s="2" t="s">
        <v>942</v>
      </c>
      <c r="BE218">
        <f>HYPERLINK("http://exon.niaid.nih.gov/transcriptome/T_rubida/S2/links/GO/Triru-171-GO.txt",0.000000000000009)</f>
        <v>8.9999999999999995E-15</v>
      </c>
      <c r="BF218" t="s">
        <v>138</v>
      </c>
      <c r="BG218" t="s">
        <v>139</v>
      </c>
      <c r="BH218" t="s">
        <v>140</v>
      </c>
      <c r="BI218" s="2" t="str">
        <f>HYPERLINK("http://exon.niaid.nih.gov/transcriptome/T_rubida/S2/links/CDD/Triru-171-CDD.txt","PTZ00159")</f>
        <v>PTZ00159</v>
      </c>
      <c r="BJ218" t="str">
        <f>HYPERLINK("http://www.ncbi.nlm.nih.gov/Structure/cdd/cddsrv.cgi?uid=PTZ00159&amp;version=v4.0","3E-017")</f>
        <v>3E-017</v>
      </c>
      <c r="BK218" t="s">
        <v>943</v>
      </c>
      <c r="BL218" s="2" t="str">
        <f>HYPERLINK("http://exon.niaid.nih.gov/transcriptome/T_rubida/S2/links/KOG/Triru-171-KOG.txt","60S ribosomal protein L32")</f>
        <v>60S ribosomal protein L32</v>
      </c>
      <c r="BM218" t="str">
        <f>HYPERLINK("http://www.ncbi.nlm.nih.gov/COG/grace/shokog.cgi?KOG0878","5E-009")</f>
        <v>5E-009</v>
      </c>
      <c r="BN218" t="s">
        <v>84</v>
      </c>
      <c r="BO218" s="2" t="str">
        <f>HYPERLINK("http://exon.niaid.nih.gov/transcriptome/T_rubida/S2/links/PFAM/Triru-171-PFAM.txt","Ribosomal_L32e")</f>
        <v>Ribosomal_L32e</v>
      </c>
      <c r="BP218" t="str">
        <f>HYPERLINK("http://pfam.sanger.ac.uk/family?acc=PF01655","3E-012")</f>
        <v>3E-012</v>
      </c>
      <c r="BQ218" s="2" t="str">
        <f>HYPERLINK("http://exon.niaid.nih.gov/transcriptome/T_rubida/S2/links/SMART/Triru-171-SMART.txt","MADS")</f>
        <v>MADS</v>
      </c>
      <c r="BR218" t="str">
        <f>HYPERLINK("http://smart.embl-heidelberg.de/smart/do_annotation.pl?DOMAIN=MADS&amp;BLAST=DUMMY","1.5")</f>
        <v>1.5</v>
      </c>
      <c r="BS218" s="17">
        <f>HYPERLINK("http://exon.niaid.nih.gov/transcriptome/T_rubida/S2/links/cluster/Triru-pep-ext25-50-Sim-CLU1.txt", 1)</f>
        <v>1</v>
      </c>
      <c r="BT218" s="1">
        <f>HYPERLINK("http://exon.niaid.nih.gov/transcriptome/T_rubida/S2/links/cluster/Triru-pep-ext25-50-Sim-CLTL1.txt", 359)</f>
        <v>359</v>
      </c>
      <c r="BU218" s="17">
        <f>HYPERLINK("http://exon.niaid.nih.gov/transcriptome/T_rubida/S2/links/cluster/Triru-pep-ext30-50-Sim-CLU1.txt", 1)</f>
        <v>1</v>
      </c>
      <c r="BV218" s="1">
        <f>HYPERLINK("http://exon.niaid.nih.gov/transcriptome/T_rubida/S2/links/cluster/Triru-pep-ext30-50-Sim-CLTL1.txt", 225)</f>
        <v>225</v>
      </c>
      <c r="BW218" s="17">
        <v>103</v>
      </c>
      <c r="BX218" s="1">
        <v>1</v>
      </c>
      <c r="BY218" s="17">
        <v>107</v>
      </c>
      <c r="BZ218" s="1">
        <v>1</v>
      </c>
      <c r="CA218" s="17">
        <v>105</v>
      </c>
      <c r="CB218" s="1">
        <v>1</v>
      </c>
      <c r="CC218" s="17">
        <v>106</v>
      </c>
      <c r="CD218" s="1">
        <v>1</v>
      </c>
      <c r="CE218" s="17">
        <v>101</v>
      </c>
      <c r="CF218" s="1">
        <v>1</v>
      </c>
      <c r="CG218" s="17">
        <v>102</v>
      </c>
      <c r="CH218" s="1">
        <v>1</v>
      </c>
      <c r="CI218" s="17">
        <v>108</v>
      </c>
      <c r="CJ218" s="1">
        <v>1</v>
      </c>
      <c r="CK218" s="17">
        <v>112</v>
      </c>
      <c r="CL218" s="1">
        <v>1</v>
      </c>
      <c r="CM218" s="17">
        <v>117</v>
      </c>
      <c r="CN218" s="1">
        <v>1</v>
      </c>
      <c r="CO218" s="17">
        <v>126</v>
      </c>
      <c r="CP218" s="1">
        <v>1</v>
      </c>
      <c r="CQ218" s="17">
        <v>136</v>
      </c>
      <c r="CR218" s="1">
        <v>1</v>
      </c>
      <c r="CS218" s="17">
        <v>141</v>
      </c>
      <c r="CT218" s="1">
        <v>1</v>
      </c>
      <c r="CU218" s="17">
        <v>152</v>
      </c>
      <c r="CV218" s="1">
        <v>1</v>
      </c>
    </row>
    <row r="219" spans="1:100">
      <c r="A219" t="str">
        <f>HYPERLINK("http://exon.niaid.nih.gov/transcriptome/T_rubida/S2/links/pep/Triru-485-pep.txt","Triru-485")</f>
        <v>Triru-485</v>
      </c>
      <c r="B219">
        <v>85</v>
      </c>
      <c r="C219" s="1" t="s">
        <v>6</v>
      </c>
      <c r="D219" s="1" t="s">
        <v>3</v>
      </c>
      <c r="E219" t="str">
        <f>HYPERLINK("http://exon.niaid.nih.gov/transcriptome/T_rubida/S2/links/cds/Triru-485-cds.txt","Triru-485")</f>
        <v>Triru-485</v>
      </c>
      <c r="F219">
        <v>258</v>
      </c>
      <c r="G219" s="2" t="s">
        <v>1688</v>
      </c>
      <c r="H219" s="1">
        <v>1</v>
      </c>
      <c r="I219" s="3" t="s">
        <v>1268</v>
      </c>
      <c r="J219" s="17" t="str">
        <f>HYPERLINK("http://exon.niaid.nih.gov/transcriptome/T_rubida/S2/links/Sigp/Triru-485-SigP.txt","CYT")</f>
        <v>CYT</v>
      </c>
      <c r="K219" t="s">
        <v>5</v>
      </c>
      <c r="L219" s="1">
        <v>9.3160000000000007</v>
      </c>
      <c r="M219" s="1">
        <v>10.01</v>
      </c>
      <c r="P219" s="1">
        <v>0.127</v>
      </c>
      <c r="Q219" s="1">
        <v>0.04</v>
      </c>
      <c r="R219" s="1">
        <v>0.89100000000000001</v>
      </c>
      <c r="S219" s="17" t="s">
        <v>1346</v>
      </c>
      <c r="T219">
        <v>2</v>
      </c>
      <c r="U219" t="s">
        <v>1348</v>
      </c>
      <c r="V219" s="17">
        <v>0</v>
      </c>
      <c r="W219" t="s">
        <v>5</v>
      </c>
      <c r="X219" t="s">
        <v>5</v>
      </c>
      <c r="Y219" t="s">
        <v>5</v>
      </c>
      <c r="Z219" t="s">
        <v>5</v>
      </c>
      <c r="AA219" t="s">
        <v>5</v>
      </c>
      <c r="AB219" s="17" t="str">
        <f>HYPERLINK("http://exon.niaid.nih.gov/transcriptome/T_rubida/S2/links/netoglyc/TRIRU-485-netoglyc.txt","0")</f>
        <v>0</v>
      </c>
      <c r="AC219">
        <v>3.5</v>
      </c>
      <c r="AD219">
        <v>14.1</v>
      </c>
      <c r="AE219">
        <v>1.2</v>
      </c>
      <c r="AF219" s="17" t="s">
        <v>5</v>
      </c>
      <c r="AG219" s="2" t="str">
        <f>HYPERLINK("http://exon.niaid.nih.gov/transcriptome/T_rubida/S2/links/NR/Triru-485-NR.txt","40S ribosomal protein S8")</f>
        <v>40S ribosomal protein S8</v>
      </c>
      <c r="AH219" t="str">
        <f>HYPERLINK("http://www.ncbi.nlm.nih.gov/sutils/blink.cgi?pid=149689088","9E-034")</f>
        <v>9E-034</v>
      </c>
      <c r="AI219" t="str">
        <f>HYPERLINK("http://www.ncbi.nlm.nih.gov/protein/149689088","gi|149689088")</f>
        <v>gi|149689088</v>
      </c>
      <c r="AJ219">
        <v>146</v>
      </c>
      <c r="AK219">
        <v>73</v>
      </c>
      <c r="AL219">
        <v>208</v>
      </c>
      <c r="AM219">
        <v>97</v>
      </c>
      <c r="AN219">
        <v>36</v>
      </c>
      <c r="AO219" t="s">
        <v>80</v>
      </c>
      <c r="AP219" s="2" t="str">
        <f>HYPERLINK("http://exon.niaid.nih.gov/transcriptome/T_rubida/S2/links/SWISSP/Triru-485-SWISSP.txt","40S ribosomal protein S8")</f>
        <v>40S ribosomal protein S8</v>
      </c>
      <c r="AQ219" t="str">
        <f>HYPERLINK("http://www.uniprot.org/uniprot/O76756","6E-028")</f>
        <v>6E-028</v>
      </c>
      <c r="AR219" t="s">
        <v>540</v>
      </c>
      <c r="AS219">
        <v>122</v>
      </c>
      <c r="AT219">
        <v>72</v>
      </c>
      <c r="AU219">
        <v>208</v>
      </c>
      <c r="AV219">
        <v>82</v>
      </c>
      <c r="AW219">
        <v>35</v>
      </c>
      <c r="AX219">
        <v>13</v>
      </c>
      <c r="AY219">
        <v>0</v>
      </c>
      <c r="AZ219">
        <v>136</v>
      </c>
      <c r="BA219">
        <v>13</v>
      </c>
      <c r="BB219">
        <v>1</v>
      </c>
      <c r="BC219" t="s">
        <v>302</v>
      </c>
      <c r="BD219" s="2" t="s">
        <v>453</v>
      </c>
      <c r="BE219">
        <f>HYPERLINK("http://exon.niaid.nih.gov/transcriptome/T_rubida/S2/links/GO/Triru-485-GO.txt",2E-26)</f>
        <v>2.0000000000000001E-26</v>
      </c>
      <c r="BF219" t="s">
        <v>105</v>
      </c>
      <c r="BG219" t="s">
        <v>105</v>
      </c>
      <c r="BI219" s="2" t="str">
        <f>HYPERLINK("http://exon.niaid.nih.gov/transcriptome/T_rubida/S2/links/CDD/Triru-485-CDD.txt","PTZ00148")</f>
        <v>PTZ00148</v>
      </c>
      <c r="BJ219" t="str">
        <f>HYPERLINK("http://www.ncbi.nlm.nih.gov/Structure/cdd/cddsrv.cgi?uid=PTZ00148&amp;version=v4.0","7E-023")</f>
        <v>7E-023</v>
      </c>
      <c r="BK219" t="s">
        <v>541</v>
      </c>
      <c r="BL219" s="2" t="str">
        <f>HYPERLINK("http://exon.niaid.nih.gov/transcriptome/T_rubida/S2/links/KOG/Triru-485-KOG.txt","40S ribosomal protein S8")</f>
        <v>40S ribosomal protein S8</v>
      </c>
      <c r="BM219" t="str">
        <f>HYPERLINK("http://www.ncbi.nlm.nih.gov/COG/grace/shokog.cgi?KOG3283","2E-023")</f>
        <v>2E-023</v>
      </c>
      <c r="BN219" t="s">
        <v>84</v>
      </c>
      <c r="BO219" s="2" t="str">
        <f>HYPERLINK("http://exon.niaid.nih.gov/transcriptome/T_rubida/S2/links/PFAM/Triru-485-PFAM.txt","Ribosomal_S8e")</f>
        <v>Ribosomal_S8e</v>
      </c>
      <c r="BP219" t="str">
        <f>HYPERLINK("http://pfam.sanger.ac.uk/family?acc=PF01201","0.001")</f>
        <v>0.001</v>
      </c>
      <c r="BQ219" s="2" t="str">
        <f>HYPERLINK("http://exon.niaid.nih.gov/transcriptome/T_rubida/S2/links/SMART/Triru-485-SMART.txt","PSI")</f>
        <v>PSI</v>
      </c>
      <c r="BR219" t="str">
        <f>HYPERLINK("http://smart.embl-heidelberg.de/smart/do_annotation.pl?DOMAIN=PSI&amp;BLAST=DUMMY","0.57")</f>
        <v>0.57</v>
      </c>
      <c r="BS219" s="17">
        <f>HYPERLINK("http://exon.niaid.nih.gov/transcriptome/T_rubida/S2/links/cluster/Triru-pep-ext25-50-Sim-CLU1.txt", 1)</f>
        <v>1</v>
      </c>
      <c r="BT219" s="1">
        <f>HYPERLINK("http://exon.niaid.nih.gov/transcriptome/T_rubida/S2/links/cluster/Triru-pep-ext25-50-Sim-CLTL1.txt", 359)</f>
        <v>359</v>
      </c>
      <c r="BU219" s="17">
        <f>HYPERLINK("http://exon.niaid.nih.gov/transcriptome/T_rubida/S2/links/cluster/Triru-pep-ext30-50-Sim-CLU42.txt", 42)</f>
        <v>42</v>
      </c>
      <c r="BV219" s="1">
        <f>HYPERLINK("http://exon.niaid.nih.gov/transcriptome/T_rubida/S2/links/cluster/Triru-pep-ext30-50-Sim-CLTL42.txt", 2)</f>
        <v>2</v>
      </c>
      <c r="BW219" s="17">
        <f>HYPERLINK("http://exon.niaid.nih.gov/transcriptome/T_rubida/S2/links/cluster/Triru-pep-ext35-50-Sim-CLU41.txt", 41)</f>
        <v>41</v>
      </c>
      <c r="BX219" s="1">
        <f>HYPERLINK("http://exon.niaid.nih.gov/transcriptome/T_rubida/S2/links/cluster/Triru-pep-ext35-50-Sim-CLTL41.txt", 2)</f>
        <v>2</v>
      </c>
      <c r="BY219" s="17">
        <f>HYPERLINK("http://exon.niaid.nih.gov/transcriptome/T_rubida/S2/links/cluster/Triru-pep-ext40-50-Sim-CLU38.txt", 38)</f>
        <v>38</v>
      </c>
      <c r="BZ219" s="1">
        <f>HYPERLINK("http://exon.niaid.nih.gov/transcriptome/T_rubida/S2/links/cluster/Triru-pep-ext40-50-Sim-CLTL38.txt", 2)</f>
        <v>2</v>
      </c>
      <c r="CA219" s="17">
        <f>HYPERLINK("http://exon.niaid.nih.gov/transcriptome/T_rubida/S2/links/cluster/Triru-pep-ext45-50-Sim-CLU33.txt", 33)</f>
        <v>33</v>
      </c>
      <c r="CB219" s="1">
        <f>HYPERLINK("http://exon.niaid.nih.gov/transcriptome/T_rubida/S2/links/cluster/Triru-pep-ext45-50-Sim-CLTL33.txt", 2)</f>
        <v>2</v>
      </c>
      <c r="CC219" s="17">
        <f>HYPERLINK("http://exon.niaid.nih.gov/transcriptome/T_rubida/S2/links/cluster/Triru-pep-ext50-50-Sim-CLU31.txt", 31)</f>
        <v>31</v>
      </c>
      <c r="CD219" s="1">
        <f>HYPERLINK("http://exon.niaid.nih.gov/transcriptome/T_rubida/S2/links/cluster/Triru-pep-ext50-50-Sim-CLTL31.txt", 2)</f>
        <v>2</v>
      </c>
      <c r="CE219" s="17">
        <f>HYPERLINK("http://exon.niaid.nih.gov/transcriptome/T_rubida/S2/links/cluster/Triru-pep-ext55-50-Sim-CLU25.txt", 25)</f>
        <v>25</v>
      </c>
      <c r="CF219" s="1">
        <f>HYPERLINK("http://exon.niaid.nih.gov/transcriptome/T_rubida/S2/links/cluster/Triru-pep-ext55-50-Sim-CLTL25.txt", 2)</f>
        <v>2</v>
      </c>
      <c r="CG219" s="17">
        <v>342</v>
      </c>
      <c r="CH219" s="1">
        <v>1</v>
      </c>
      <c r="CI219" s="17">
        <v>353</v>
      </c>
      <c r="CJ219" s="1">
        <v>1</v>
      </c>
      <c r="CK219" s="17">
        <v>359</v>
      </c>
      <c r="CL219" s="1">
        <v>1</v>
      </c>
      <c r="CM219" s="17">
        <v>367</v>
      </c>
      <c r="CN219" s="1">
        <v>1</v>
      </c>
      <c r="CO219" s="17">
        <v>379</v>
      </c>
      <c r="CP219" s="1">
        <v>1</v>
      </c>
      <c r="CQ219" s="17">
        <v>389</v>
      </c>
      <c r="CR219" s="1">
        <v>1</v>
      </c>
      <c r="CS219" s="17">
        <v>402</v>
      </c>
      <c r="CT219" s="1">
        <v>1</v>
      </c>
      <c r="CU219" s="17">
        <v>413</v>
      </c>
      <c r="CV219" s="1">
        <v>1</v>
      </c>
    </row>
    <row r="220" spans="1:100">
      <c r="A220" t="str">
        <f>HYPERLINK("http://exon.niaid.nih.gov/transcriptome/T_rubida/S2/links/pep/Triru-653-pep.txt","Triru-653")</f>
        <v>Triru-653</v>
      </c>
      <c r="B220">
        <v>77</v>
      </c>
      <c r="C220" s="1" t="s">
        <v>17</v>
      </c>
      <c r="D220" s="1" t="s">
        <v>3</v>
      </c>
      <c r="E220" t="str">
        <f>HYPERLINK("http://exon.niaid.nih.gov/transcriptome/T_rubida/S2/links/cds/Triru-653-cds.txt","Triru-653")</f>
        <v>Triru-653</v>
      </c>
      <c r="F220">
        <v>234</v>
      </c>
      <c r="G220" s="2" t="s">
        <v>1689</v>
      </c>
      <c r="H220" s="1">
        <v>1</v>
      </c>
      <c r="I220" s="3" t="s">
        <v>1268</v>
      </c>
      <c r="J220" s="17" t="str">
        <f>HYPERLINK("http://exon.niaid.nih.gov/transcriptome/T_rubida/S2/links/Sigp/Triru-653-SigP.txt","CYT")</f>
        <v>CYT</v>
      </c>
      <c r="K220" t="s">
        <v>5</v>
      </c>
      <c r="L220" s="1">
        <v>8.0749999999999993</v>
      </c>
      <c r="M220" s="1">
        <v>10.36</v>
      </c>
      <c r="P220" s="1">
        <v>0.34799999999999998</v>
      </c>
      <c r="Q220" s="1">
        <v>5.3999999999999999E-2</v>
      </c>
      <c r="R220" s="1">
        <v>0.64700000000000002</v>
      </c>
      <c r="S220" s="17" t="s">
        <v>1346</v>
      </c>
      <c r="T220">
        <v>4</v>
      </c>
      <c r="U220" t="s">
        <v>1452</v>
      </c>
      <c r="V220" s="17">
        <v>0</v>
      </c>
      <c r="W220" t="s">
        <v>5</v>
      </c>
      <c r="X220" t="s">
        <v>5</v>
      </c>
      <c r="Y220" t="s">
        <v>5</v>
      </c>
      <c r="Z220" t="s">
        <v>5</v>
      </c>
      <c r="AA220" t="s">
        <v>5</v>
      </c>
      <c r="AB220" s="17" t="str">
        <f>HYPERLINK("http://exon.niaid.nih.gov/transcriptome/T_rubida/S2/links/netoglyc/TRIRU-653-netoglyc.txt","2")</f>
        <v>2</v>
      </c>
      <c r="AC220">
        <v>10.4</v>
      </c>
      <c r="AD220">
        <v>11.7</v>
      </c>
      <c r="AE220">
        <v>5.2</v>
      </c>
      <c r="AF220" s="17" t="s">
        <v>5</v>
      </c>
      <c r="AG220" s="2" t="str">
        <f>HYPERLINK("http://exon.niaid.nih.gov/transcriptome/T_rubida/S2/links/NR/Triru-653-NR.txt","ribosomal protein S19e")</f>
        <v>ribosomal protein S19e</v>
      </c>
      <c r="AH220" t="str">
        <f>HYPERLINK("http://www.ncbi.nlm.nih.gov/sutils/blink.cgi?pid=70909579","4E-012")</f>
        <v>4E-012</v>
      </c>
      <c r="AI220" t="str">
        <f>HYPERLINK("http://www.ncbi.nlm.nih.gov/protein/70909579","gi|70909579")</f>
        <v>gi|70909579</v>
      </c>
      <c r="AJ220">
        <v>74.7</v>
      </c>
      <c r="AK220">
        <v>53</v>
      </c>
      <c r="AL220">
        <v>153</v>
      </c>
      <c r="AM220">
        <v>66</v>
      </c>
      <c r="AN220">
        <v>35</v>
      </c>
      <c r="AO220" t="s">
        <v>305</v>
      </c>
      <c r="AP220" s="2" t="str">
        <f>HYPERLINK("http://exon.niaid.nih.gov/transcriptome/T_rubida/S2/links/SWISSP/Triru-653-SWISSP.txt","40S ribosomal protein S19")</f>
        <v>40S ribosomal protein S19</v>
      </c>
      <c r="AQ220" t="str">
        <f>HYPERLINK("http://www.uniprot.org/uniprot/Q8ITC3","2E-011")</f>
        <v>2E-011</v>
      </c>
      <c r="AR220" t="s">
        <v>126</v>
      </c>
      <c r="AS220">
        <v>67.400000000000006</v>
      </c>
      <c r="AT220">
        <v>50</v>
      </c>
      <c r="AU220">
        <v>144</v>
      </c>
      <c r="AV220">
        <v>60</v>
      </c>
      <c r="AW220">
        <v>35</v>
      </c>
      <c r="AX220">
        <v>20</v>
      </c>
      <c r="AY220">
        <v>0</v>
      </c>
      <c r="AZ220">
        <v>94</v>
      </c>
      <c r="BA220">
        <v>3</v>
      </c>
      <c r="BB220">
        <v>1</v>
      </c>
      <c r="BC220" t="s">
        <v>127</v>
      </c>
      <c r="BD220" s="2" t="s">
        <v>1090</v>
      </c>
      <c r="BE220">
        <f>HYPERLINK("http://exon.niaid.nih.gov/transcriptome/T_rubida/S2/links/GO/Triru-653-GO.txt",0.000000002)</f>
        <v>2.0000000000000001E-9</v>
      </c>
      <c r="BF220" t="s">
        <v>138</v>
      </c>
      <c r="BG220" t="s">
        <v>139</v>
      </c>
      <c r="BH220" t="s">
        <v>140</v>
      </c>
      <c r="BI220" s="2" t="str">
        <f>HYPERLINK("http://exon.niaid.nih.gov/transcriptome/T_rubida/S2/links/CDD/Triru-653-CDD.txt","Ribosomal_S19e")</f>
        <v>Ribosomal_S19e</v>
      </c>
      <c r="BJ220" t="str">
        <f>HYPERLINK("http://www.ncbi.nlm.nih.gov/Structure/cdd/cddsrv.cgi?uid=pfam01090&amp;version=v4.0","4E-014")</f>
        <v>4E-014</v>
      </c>
      <c r="BK220" t="s">
        <v>1091</v>
      </c>
      <c r="BL220" s="2" t="str">
        <f>HYPERLINK("http://exon.niaid.nih.gov/transcriptome/T_rubida/S2/links/KOG/Triru-653-KOG.txt","40S ribosomal protein S19")</f>
        <v>40S ribosomal protein S19</v>
      </c>
      <c r="BM220" t="str">
        <f>HYPERLINK("http://www.ncbi.nlm.nih.gov/COG/grace/shokog.cgi?KOG3411","4E-012")</f>
        <v>4E-012</v>
      </c>
      <c r="BN220" t="s">
        <v>84</v>
      </c>
      <c r="BO220" s="2" t="str">
        <f>HYPERLINK("http://exon.niaid.nih.gov/transcriptome/T_rubida/S2/links/PFAM/Triru-653-PFAM.txt","Ribosomal_S19e")</f>
        <v>Ribosomal_S19e</v>
      </c>
      <c r="BP220" t="str">
        <f>HYPERLINK("http://pfam.sanger.ac.uk/family?acc=PF01090","9E-015")</f>
        <v>9E-015</v>
      </c>
      <c r="BQ220" s="2" t="str">
        <f>HYPERLINK("http://exon.niaid.nih.gov/transcriptome/T_rubida/S2/links/SMART/Triru-653-SMART.txt","HTH_DTXR")</f>
        <v>HTH_DTXR</v>
      </c>
      <c r="BR220" t="str">
        <f>HYPERLINK("http://smart.embl-heidelberg.de/smart/do_annotation.pl?DOMAIN=HTH_DTXR&amp;BLAST=DUMMY","0.037")</f>
        <v>0.037</v>
      </c>
      <c r="BS220" s="17">
        <f>HYPERLINK("http://exon.niaid.nih.gov/transcriptome/T_rubida/S2/links/cluster/Triru-pep-ext25-50-Sim-CLU1.txt", 1)</f>
        <v>1</v>
      </c>
      <c r="BT220" s="1">
        <f>HYPERLINK("http://exon.niaid.nih.gov/transcriptome/T_rubida/S2/links/cluster/Triru-pep-ext25-50-Sim-CLTL1.txt", 359)</f>
        <v>359</v>
      </c>
      <c r="BU220" s="17">
        <f>HYPERLINK("http://exon.niaid.nih.gov/transcriptome/T_rubida/S2/links/cluster/Triru-pep-ext30-50-Sim-CLU1.txt", 1)</f>
        <v>1</v>
      </c>
      <c r="BV220" s="1">
        <f>HYPERLINK("http://exon.niaid.nih.gov/transcriptome/T_rubida/S2/links/cluster/Triru-pep-ext30-50-Sim-CLTL1.txt", 225)</f>
        <v>225</v>
      </c>
      <c r="BW220" s="17">
        <f>HYPERLINK("http://exon.niaid.nih.gov/transcriptome/T_rubida/S2/links/cluster/Triru-pep-ext35-50-Sim-CLU40.txt", 40)</f>
        <v>40</v>
      </c>
      <c r="BX220" s="1">
        <f>HYPERLINK("http://exon.niaid.nih.gov/transcriptome/T_rubida/S2/links/cluster/Triru-pep-ext35-50-Sim-CLTL40.txt", 2)</f>
        <v>2</v>
      </c>
      <c r="BY220" s="17">
        <f>HYPERLINK("http://exon.niaid.nih.gov/transcriptome/T_rubida/S2/links/cluster/Triru-pep-ext40-50-Sim-CLU37.txt", 37)</f>
        <v>37</v>
      </c>
      <c r="BZ220" s="1">
        <f>HYPERLINK("http://exon.niaid.nih.gov/transcriptome/T_rubida/S2/links/cluster/Triru-pep-ext40-50-Sim-CLTL37.txt", 2)</f>
        <v>2</v>
      </c>
      <c r="CA220" s="17">
        <f>HYPERLINK("http://exon.niaid.nih.gov/transcriptome/T_rubida/S2/links/cluster/Triru-pep-ext45-50-Sim-CLU32.txt", 32)</f>
        <v>32</v>
      </c>
      <c r="CB220" s="1">
        <f>HYPERLINK("http://exon.niaid.nih.gov/transcriptome/T_rubida/S2/links/cluster/Triru-pep-ext45-50-Sim-CLTL32.txt", 2)</f>
        <v>2</v>
      </c>
      <c r="CC220" s="17">
        <f>HYPERLINK("http://exon.niaid.nih.gov/transcriptome/T_rubida/S2/links/cluster/Triru-pep-ext50-50-Sim-CLU30.txt", 30)</f>
        <v>30</v>
      </c>
      <c r="CD220" s="1">
        <f>HYPERLINK("http://exon.niaid.nih.gov/transcriptome/T_rubida/S2/links/cluster/Triru-pep-ext50-50-Sim-CLTL30.txt", 2)</f>
        <v>2</v>
      </c>
      <c r="CE220" s="17">
        <f>HYPERLINK("http://exon.niaid.nih.gov/transcriptome/T_rubida/S2/links/cluster/Triru-pep-ext55-50-Sim-CLU24.txt", 24)</f>
        <v>24</v>
      </c>
      <c r="CF220" s="1">
        <f>HYPERLINK("http://exon.niaid.nih.gov/transcriptome/T_rubida/S2/links/cluster/Triru-pep-ext55-50-Sim-CLTL24.txt", 2)</f>
        <v>2</v>
      </c>
      <c r="CG220" s="17">
        <f>HYPERLINK("http://exon.niaid.nih.gov/transcriptome/T_rubida/S2/links/cluster/Triru-pep-ext60-50-Sim-CLU24.txt", 24)</f>
        <v>24</v>
      </c>
      <c r="CH220" s="1">
        <f>HYPERLINK("http://exon.niaid.nih.gov/transcriptome/T_rubida/S2/links/cluster/Triru-pep-ext60-50-Sim-CLTL24.txt", 2)</f>
        <v>2</v>
      </c>
      <c r="CI220" s="17">
        <v>489</v>
      </c>
      <c r="CJ220" s="1">
        <v>1</v>
      </c>
      <c r="CK220" s="17">
        <v>495</v>
      </c>
      <c r="CL220" s="1">
        <v>1</v>
      </c>
      <c r="CM220" s="17">
        <v>508</v>
      </c>
      <c r="CN220" s="1">
        <v>1</v>
      </c>
      <c r="CO220" s="17">
        <v>520</v>
      </c>
      <c r="CP220" s="1">
        <v>1</v>
      </c>
      <c r="CQ220" s="17">
        <v>530</v>
      </c>
      <c r="CR220" s="1">
        <v>1</v>
      </c>
      <c r="CS220" s="17">
        <v>543</v>
      </c>
      <c r="CT220" s="1">
        <v>1</v>
      </c>
      <c r="CU220" s="17">
        <v>556</v>
      </c>
      <c r="CV220" s="1">
        <v>1</v>
      </c>
    </row>
    <row r="221" spans="1:100">
      <c r="A221" t="str">
        <f>HYPERLINK("http://exon.niaid.nih.gov/transcriptome/T_rubida/S2/links/pep/Triru-427-pep.txt","Triru-427")</f>
        <v>Triru-427</v>
      </c>
      <c r="B221">
        <v>51</v>
      </c>
      <c r="C221" s="1" t="s">
        <v>6</v>
      </c>
      <c r="D221" s="1" t="s">
        <v>3</v>
      </c>
      <c r="E221" t="str">
        <f>HYPERLINK("http://exon.niaid.nih.gov/transcriptome/T_rubida/S2/links/cds/Triru-427-cds.txt","Triru-427")</f>
        <v>Triru-427</v>
      </c>
      <c r="F221">
        <v>156</v>
      </c>
      <c r="G221" s="2" t="s">
        <v>1690</v>
      </c>
      <c r="H221" s="1">
        <v>1</v>
      </c>
      <c r="I221" s="3" t="s">
        <v>1268</v>
      </c>
      <c r="J221" s="17" t="str">
        <f>HYPERLINK("http://exon.niaid.nih.gov/transcriptome/T_rubida/S2/links/Sigp/Triru-427-SigP.txt","CYT")</f>
        <v>CYT</v>
      </c>
      <c r="K221" t="s">
        <v>5</v>
      </c>
      <c r="L221" s="1">
        <v>5.44</v>
      </c>
      <c r="M221" s="1">
        <v>4.8899999999999997</v>
      </c>
      <c r="P221" s="1">
        <v>0.114</v>
      </c>
      <c r="Q221" s="1">
        <v>4.2999999999999997E-2</v>
      </c>
      <c r="R221" s="1">
        <v>0.91200000000000003</v>
      </c>
      <c r="S221" s="17" t="s">
        <v>1346</v>
      </c>
      <c r="T221">
        <v>2</v>
      </c>
      <c r="U221" t="s">
        <v>1348</v>
      </c>
      <c r="V221" s="17">
        <v>0</v>
      </c>
      <c r="W221" t="s">
        <v>5</v>
      </c>
      <c r="X221" t="s">
        <v>5</v>
      </c>
      <c r="Y221" t="s">
        <v>5</v>
      </c>
      <c r="Z221" t="s">
        <v>5</v>
      </c>
      <c r="AA221" t="s">
        <v>5</v>
      </c>
      <c r="AB221" s="17" t="str">
        <f>HYPERLINK("http://exon.niaid.nih.gov/transcriptome/T_rubida/S2/links/netoglyc/TRIRU-427-netoglyc.txt","2")</f>
        <v>2</v>
      </c>
      <c r="AC221">
        <v>21.6</v>
      </c>
      <c r="AD221">
        <v>15.7</v>
      </c>
      <c r="AE221">
        <v>5.9</v>
      </c>
      <c r="AF221" s="17" t="s">
        <v>5</v>
      </c>
      <c r="AG221" s="2" t="str">
        <f>HYPERLINK("http://exon.niaid.nih.gov/transcriptome/T_rubida/S2/links/NR/Triru-427-NR.txt","ribosomal protein L30-like")</f>
        <v>ribosomal protein L30-like</v>
      </c>
      <c r="AH221" t="str">
        <f>HYPERLINK("http://www.ncbi.nlm.nih.gov/sutils/blink.cgi?pid=291225003","4E-014")</f>
        <v>4E-014</v>
      </c>
      <c r="AI221" t="str">
        <f>HYPERLINK("http://www.ncbi.nlm.nih.gov/protein/291225003","gi|291225003")</f>
        <v>gi|291225003</v>
      </c>
      <c r="AJ221">
        <v>81.3</v>
      </c>
      <c r="AK221">
        <v>38</v>
      </c>
      <c r="AL221">
        <v>114</v>
      </c>
      <c r="AM221">
        <v>92</v>
      </c>
      <c r="AN221">
        <v>34</v>
      </c>
      <c r="AO221" t="s">
        <v>455</v>
      </c>
      <c r="AP221" s="2" t="str">
        <f>HYPERLINK("http://exon.niaid.nih.gov/transcriptome/T_rubida/S2/links/SWISSP/Triru-427-SWISSP.txt","60S ribosomal protein L30")</f>
        <v>60S ribosomal protein L30</v>
      </c>
      <c r="AQ221" t="str">
        <f>HYPERLINK("http://www.uniprot.org/uniprot/P58374","4E-015")</f>
        <v>4E-015</v>
      </c>
      <c r="AR221" t="s">
        <v>456</v>
      </c>
      <c r="AS221">
        <v>80.099999999999994</v>
      </c>
      <c r="AT221">
        <v>38</v>
      </c>
      <c r="AU221">
        <v>114</v>
      </c>
      <c r="AV221">
        <v>89</v>
      </c>
      <c r="AW221">
        <v>34</v>
      </c>
      <c r="AX221">
        <v>4</v>
      </c>
      <c r="AY221">
        <v>0</v>
      </c>
      <c r="AZ221">
        <v>70</v>
      </c>
      <c r="BA221">
        <v>9</v>
      </c>
      <c r="BB221">
        <v>1</v>
      </c>
      <c r="BC221" t="s">
        <v>457</v>
      </c>
      <c r="BD221" s="2" t="s">
        <v>458</v>
      </c>
      <c r="BE221">
        <f>HYPERLINK("http://exon.niaid.nih.gov/transcriptome/T_rubida/S2/links/GO/Triru-427-GO.txt",0.00000000000003)</f>
        <v>2.9999999999999998E-14</v>
      </c>
      <c r="BF221" t="s">
        <v>138</v>
      </c>
      <c r="BG221" t="s">
        <v>139</v>
      </c>
      <c r="BH221" t="s">
        <v>140</v>
      </c>
      <c r="BI221" s="2" t="str">
        <f>HYPERLINK("http://exon.niaid.nih.gov/transcriptome/T_rubida/S2/links/CDD/Triru-427-CDD.txt","PTZ00106")</f>
        <v>PTZ00106</v>
      </c>
      <c r="BJ221" t="str">
        <f>HYPERLINK("http://www.ncbi.nlm.nih.gov/Structure/cdd/cddsrv.cgi?uid=PTZ00106&amp;version=v4.0","6E-015")</f>
        <v>6E-015</v>
      </c>
      <c r="BK221" t="s">
        <v>459</v>
      </c>
      <c r="BL221" s="2" t="str">
        <f>HYPERLINK("http://exon.niaid.nih.gov/transcriptome/T_rubida/S2/links/KOG/Triru-427-KOG.txt","60S ribosomal protein L30")</f>
        <v>60S ribosomal protein L30</v>
      </c>
      <c r="BM221" t="str">
        <f>HYPERLINK("http://www.ncbi.nlm.nih.gov/COG/grace/shokog.cgi?KOG2988","1E-013")</f>
        <v>1E-013</v>
      </c>
      <c r="BN221" t="s">
        <v>84</v>
      </c>
      <c r="BO221" s="2" t="str">
        <f>HYPERLINK("http://exon.niaid.nih.gov/transcriptome/T_rubida/S2/links/PFAM/Triru-427-PFAM.txt","Ribosomal_L7Ae")</f>
        <v>Ribosomal_L7Ae</v>
      </c>
      <c r="BP221" t="str">
        <f>HYPERLINK("http://pfam.sanger.ac.uk/family?acc=PF01248","1E-006")</f>
        <v>1E-006</v>
      </c>
      <c r="BQ221" s="2" t="str">
        <f>HYPERLINK("http://exon.niaid.nih.gov/transcriptome/T_rubida/S2/links/SMART/Triru-427-SMART.txt","G_alpha")</f>
        <v>G_alpha</v>
      </c>
      <c r="BR221" t="str">
        <f>HYPERLINK("http://smart.embl-heidelberg.de/smart/do_annotation.pl?DOMAIN=G_alpha&amp;BLAST=DUMMY","8.7")</f>
        <v>8.7</v>
      </c>
      <c r="BS221" s="17">
        <v>132</v>
      </c>
      <c r="BT221" s="1">
        <v>1</v>
      </c>
      <c r="BU221" s="17">
        <v>196</v>
      </c>
      <c r="BV221" s="1">
        <v>1</v>
      </c>
      <c r="BW221" s="17">
        <v>245</v>
      </c>
      <c r="BX221" s="1">
        <v>1</v>
      </c>
      <c r="BY221" s="17">
        <v>264</v>
      </c>
      <c r="BZ221" s="1">
        <v>1</v>
      </c>
      <c r="CA221" s="17">
        <v>272</v>
      </c>
      <c r="CB221" s="1">
        <v>1</v>
      </c>
      <c r="CC221" s="17">
        <v>280</v>
      </c>
      <c r="CD221" s="1">
        <v>1</v>
      </c>
      <c r="CE221" s="17">
        <v>290</v>
      </c>
      <c r="CF221" s="1">
        <v>1</v>
      </c>
      <c r="CG221" s="17">
        <v>293</v>
      </c>
      <c r="CH221" s="1">
        <v>1</v>
      </c>
      <c r="CI221" s="17">
        <v>303</v>
      </c>
      <c r="CJ221" s="1">
        <v>1</v>
      </c>
      <c r="CK221" s="17">
        <v>309</v>
      </c>
      <c r="CL221" s="1">
        <v>1</v>
      </c>
      <c r="CM221" s="17">
        <v>317</v>
      </c>
      <c r="CN221" s="1">
        <v>1</v>
      </c>
      <c r="CO221" s="17">
        <v>329</v>
      </c>
      <c r="CP221" s="1">
        <v>1</v>
      </c>
      <c r="CQ221" s="17">
        <v>339</v>
      </c>
      <c r="CR221" s="1">
        <v>1</v>
      </c>
      <c r="CS221" s="17">
        <v>351</v>
      </c>
      <c r="CT221" s="1">
        <v>1</v>
      </c>
      <c r="CU221" s="17">
        <v>362</v>
      </c>
      <c r="CV221" s="1">
        <v>1</v>
      </c>
    </row>
    <row r="222" spans="1:100">
      <c r="A222" t="str">
        <f>HYPERLINK("http://exon.niaid.nih.gov/transcriptome/T_rubida/S2/links/pep/Triru-642-pep.txt","Triru-642")</f>
        <v>Triru-642</v>
      </c>
      <c r="B222">
        <v>60</v>
      </c>
      <c r="C222" s="1" t="s">
        <v>6</v>
      </c>
      <c r="D222" s="1" t="s">
        <v>3</v>
      </c>
      <c r="E222" t="str">
        <f>HYPERLINK("http://exon.niaid.nih.gov/transcriptome/T_rubida/S2/links/cds/Triru-642-cds.txt","Triru-642")</f>
        <v>Triru-642</v>
      </c>
      <c r="F222">
        <v>183</v>
      </c>
      <c r="G222" s="2" t="s">
        <v>1691</v>
      </c>
      <c r="H222" s="1">
        <v>1</v>
      </c>
      <c r="I222" s="3" t="s">
        <v>1268</v>
      </c>
      <c r="J222" s="17" t="str">
        <f>HYPERLINK("http://exon.niaid.nih.gov/transcriptome/T_rubida/S2/links/Sigp/Triru-642-SigP.txt","CYT")</f>
        <v>CYT</v>
      </c>
      <c r="K222" t="s">
        <v>5</v>
      </c>
      <c r="L222" s="1">
        <v>7.0469999999999997</v>
      </c>
      <c r="M222" s="1">
        <v>11.39</v>
      </c>
      <c r="P222" s="1">
        <v>0.76</v>
      </c>
      <c r="Q222" s="1">
        <v>2.3E-2</v>
      </c>
      <c r="R222" s="1">
        <v>0.29599999999999999</v>
      </c>
      <c r="S222" s="17" t="s">
        <v>9</v>
      </c>
      <c r="T222">
        <v>3</v>
      </c>
      <c r="U222" t="s">
        <v>1348</v>
      </c>
      <c r="V222" s="17">
        <v>0</v>
      </c>
      <c r="W222" t="s">
        <v>5</v>
      </c>
      <c r="X222" t="s">
        <v>5</v>
      </c>
      <c r="Y222" t="s">
        <v>5</v>
      </c>
      <c r="Z222" t="s">
        <v>5</v>
      </c>
      <c r="AA222" t="s">
        <v>5</v>
      </c>
      <c r="AB222" s="17" t="str">
        <f>HYPERLINK("http://exon.niaid.nih.gov/transcriptome/T_rubida/S2/links/netoglyc/TRIRU-642-netoglyc.txt","1")</f>
        <v>1</v>
      </c>
      <c r="AC222">
        <v>11.7</v>
      </c>
      <c r="AD222">
        <v>1.7</v>
      </c>
      <c r="AE222">
        <v>3.3</v>
      </c>
      <c r="AF222" s="17" t="s">
        <v>1453</v>
      </c>
      <c r="AG222" s="2" t="str">
        <f>HYPERLINK("http://exon.niaid.nih.gov/transcriptome/T_rubida/S2/links/NR/Triru-642-NR.txt","ribosomal protein L14-like protein")</f>
        <v>ribosomal protein L14-like protein</v>
      </c>
      <c r="AH222" t="str">
        <f>HYPERLINK("http://www.ncbi.nlm.nih.gov/sutils/blink.cgi?pid=146285359","1E-008")</f>
        <v>1E-008</v>
      </c>
      <c r="AI222" t="str">
        <f>HYPERLINK("http://www.ncbi.nlm.nih.gov/protein/146285359","gi|146285359")</f>
        <v>gi|146285359</v>
      </c>
      <c r="AJ222">
        <v>63.2</v>
      </c>
      <c r="AK222">
        <v>53</v>
      </c>
      <c r="AL222">
        <v>157</v>
      </c>
      <c r="AM222">
        <v>57</v>
      </c>
      <c r="AN222">
        <v>34</v>
      </c>
      <c r="AO222" t="s">
        <v>482</v>
      </c>
      <c r="AP222" s="2" t="str">
        <f>HYPERLINK("http://exon.niaid.nih.gov/transcriptome/T_rubida/S2/links/SWISSP/Triru-642-SWISSP.txt","60S ribosomal protein L14")</f>
        <v>60S ribosomal protein L14</v>
      </c>
      <c r="AQ222" t="str">
        <f>HYPERLINK("http://www.uniprot.org/uniprot/Q95ZE8","4E-006")</f>
        <v>4E-006</v>
      </c>
      <c r="AR222" t="s">
        <v>483</v>
      </c>
      <c r="AS222">
        <v>50.1</v>
      </c>
      <c r="AT222">
        <v>56</v>
      </c>
      <c r="AU222">
        <v>160</v>
      </c>
      <c r="AV222">
        <v>43</v>
      </c>
      <c r="AW222">
        <v>36</v>
      </c>
      <c r="AX222">
        <v>32</v>
      </c>
      <c r="AY222">
        <v>0</v>
      </c>
      <c r="AZ222">
        <v>104</v>
      </c>
      <c r="BA222">
        <v>4</v>
      </c>
      <c r="BB222">
        <v>1</v>
      </c>
      <c r="BC222" t="s">
        <v>484</v>
      </c>
      <c r="BD222" s="2" t="s">
        <v>485</v>
      </c>
      <c r="BE222">
        <f>HYPERLINK("http://exon.niaid.nih.gov/transcriptome/T_rubida/S2/links/GO/Triru-642-GO.txt",0.00002)</f>
        <v>2.0000000000000002E-5</v>
      </c>
      <c r="BF222" t="s">
        <v>138</v>
      </c>
      <c r="BG222" t="s">
        <v>139</v>
      </c>
      <c r="BH222" t="s">
        <v>140</v>
      </c>
      <c r="BI222" s="2" t="str">
        <f>HYPERLINK("http://exon.niaid.nih.gov/transcriptome/T_rubida/S2/links/CDD/Triru-642-CDD.txt","SHR3_chaperone")</f>
        <v>SHR3_chaperone</v>
      </c>
      <c r="BJ222" t="str">
        <f>HYPERLINK("http://www.ncbi.nlm.nih.gov/Structure/cdd/cddsrv.cgi?uid=pfam08229&amp;version=v4.0","0.63")</f>
        <v>0.63</v>
      </c>
      <c r="BK222" t="s">
        <v>486</v>
      </c>
      <c r="BL222" s="2" t="str">
        <f>HYPERLINK("http://exon.niaid.nih.gov/transcriptome/T_rubida/S2/links/KOG/Triru-642-KOG.txt","Ca2+ release channel (ryanodine receptor)")</f>
        <v>Ca2+ release channel (ryanodine receptor)</v>
      </c>
      <c r="BM222" t="str">
        <f>HYPERLINK("http://www.ncbi.nlm.nih.gov/COG/grace/shokog.cgi?KOG2243","8.0")</f>
        <v>8.0</v>
      </c>
      <c r="BN222" t="s">
        <v>179</v>
      </c>
      <c r="BO222" s="2" t="str">
        <f>HYPERLINK("http://exon.niaid.nih.gov/transcriptome/T_rubida/S2/links/PFAM/Triru-642-PFAM.txt","SHR3_chaperone")</f>
        <v>SHR3_chaperone</v>
      </c>
      <c r="BP222" t="str">
        <f>HYPERLINK("http://pfam.sanger.ac.uk/family?acc=PF08229","0.14")</f>
        <v>0.14</v>
      </c>
      <c r="BQ222" s="2" t="str">
        <f>HYPERLINK("http://exon.niaid.nih.gov/transcriptome/T_rubida/S2/links/SMART/Triru-642-SMART.txt","MIR")</f>
        <v>MIR</v>
      </c>
      <c r="BR222" t="str">
        <f>HYPERLINK("http://smart.embl-heidelberg.de/smart/do_annotation.pl?DOMAIN=MIR&amp;BLAST=DUMMY","0.43")</f>
        <v>0.43</v>
      </c>
      <c r="BS222" s="17">
        <f>HYPERLINK("http://exon.niaid.nih.gov/transcriptome/T_rubida/S2/links/cluster/Triru-pep-ext25-50-Sim-CLU1.txt", 1)</f>
        <v>1</v>
      </c>
      <c r="BT222" s="1">
        <f>HYPERLINK("http://exon.niaid.nih.gov/transcriptome/T_rubida/S2/links/cluster/Triru-pep-ext25-50-Sim-CLTL1.txt", 359)</f>
        <v>359</v>
      </c>
      <c r="BU222" s="17">
        <f>HYPERLINK("http://exon.niaid.nih.gov/transcriptome/T_rubida/S2/links/cluster/Triru-pep-ext30-50-Sim-CLU1.txt", 1)</f>
        <v>1</v>
      </c>
      <c r="BV222" s="1">
        <f>HYPERLINK("http://exon.niaid.nih.gov/transcriptome/T_rubida/S2/links/cluster/Triru-pep-ext30-50-Sim-CLTL1.txt", 225)</f>
        <v>225</v>
      </c>
      <c r="BW222" s="17">
        <f>HYPERLINK("http://exon.niaid.nih.gov/transcriptome/T_rubida/S2/links/cluster/Triru-pep-ext35-50-Sim-CLU4.txt", 4)</f>
        <v>4</v>
      </c>
      <c r="BX222" s="1">
        <f>HYPERLINK("http://exon.niaid.nih.gov/transcriptome/T_rubida/S2/links/cluster/Triru-pep-ext35-50-Sim-CLTL4.txt", 6)</f>
        <v>6</v>
      </c>
      <c r="BY222" s="17">
        <v>409</v>
      </c>
      <c r="BZ222" s="1">
        <v>1</v>
      </c>
      <c r="CA222" s="17">
        <v>426</v>
      </c>
      <c r="CB222" s="1">
        <v>1</v>
      </c>
      <c r="CC222" s="17">
        <v>442</v>
      </c>
      <c r="CD222" s="1">
        <v>1</v>
      </c>
      <c r="CE222" s="17">
        <v>458</v>
      </c>
      <c r="CF222" s="1">
        <v>1</v>
      </c>
      <c r="CG222" s="17">
        <v>466</v>
      </c>
      <c r="CH222" s="1">
        <v>1</v>
      </c>
      <c r="CI222" s="17">
        <v>480</v>
      </c>
      <c r="CJ222" s="1">
        <v>1</v>
      </c>
      <c r="CK222" s="17">
        <v>486</v>
      </c>
      <c r="CL222" s="1">
        <v>1</v>
      </c>
      <c r="CM222" s="17">
        <v>498</v>
      </c>
      <c r="CN222" s="1">
        <v>1</v>
      </c>
      <c r="CO222" s="17">
        <v>510</v>
      </c>
      <c r="CP222" s="1">
        <v>1</v>
      </c>
      <c r="CQ222" s="17">
        <v>520</v>
      </c>
      <c r="CR222" s="1">
        <v>1</v>
      </c>
      <c r="CS222" s="17">
        <v>533</v>
      </c>
      <c r="CT222" s="1">
        <v>1</v>
      </c>
      <c r="CU222" s="17">
        <v>546</v>
      </c>
      <c r="CV222" s="1">
        <v>1</v>
      </c>
    </row>
    <row r="223" spans="1:100">
      <c r="A223" t="str">
        <f>HYPERLINK("http://exon.niaid.nih.gov/transcriptome/T_rubida/S2/links/pep/Triru-495-pep.txt","Triru-495")</f>
        <v>Triru-495</v>
      </c>
      <c r="B223">
        <v>154</v>
      </c>
      <c r="C223" s="1" t="s">
        <v>17</v>
      </c>
      <c r="D223" s="1" t="s">
        <v>3</v>
      </c>
      <c r="E223" t="str">
        <f>HYPERLINK("http://exon.niaid.nih.gov/transcriptome/T_rubida/S2/links/cds/Triru-495-cds.txt","Triru-495")</f>
        <v>Triru-495</v>
      </c>
      <c r="F223">
        <v>465</v>
      </c>
      <c r="G223" s="2" t="s">
        <v>1692</v>
      </c>
      <c r="H223" s="1">
        <v>1</v>
      </c>
      <c r="I223" s="3" t="s">
        <v>1268</v>
      </c>
      <c r="J223" s="17" t="str">
        <f>HYPERLINK("http://exon.niaid.nih.gov/transcriptome/T_rubida/S2/links/Sigp/Triru-495-SigP.txt","CYT")</f>
        <v>CYT</v>
      </c>
      <c r="K223" t="s">
        <v>5</v>
      </c>
      <c r="L223" s="1">
        <v>17.074999999999999</v>
      </c>
      <c r="M223" s="1">
        <v>8.34</v>
      </c>
      <c r="P223" s="1">
        <v>0.59199999999999997</v>
      </c>
      <c r="Q223" s="1">
        <v>4.4999999999999998E-2</v>
      </c>
      <c r="R223" s="1">
        <v>0.38</v>
      </c>
      <c r="S223" s="17" t="s">
        <v>9</v>
      </c>
      <c r="T223">
        <v>4</v>
      </c>
      <c r="U223" t="s">
        <v>1454</v>
      </c>
      <c r="V223" s="17">
        <v>0</v>
      </c>
      <c r="W223" t="s">
        <v>5</v>
      </c>
      <c r="X223" t="s">
        <v>5</v>
      </c>
      <c r="Y223" t="s">
        <v>5</v>
      </c>
      <c r="Z223" t="s">
        <v>5</v>
      </c>
      <c r="AA223" t="s">
        <v>5</v>
      </c>
      <c r="AB223" s="17" t="str">
        <f>HYPERLINK("http://exon.niaid.nih.gov/transcriptome/T_rubida/S2/links/netoglyc/TRIRU-495-netoglyc.txt","1")</f>
        <v>1</v>
      </c>
      <c r="AC223">
        <v>11</v>
      </c>
      <c r="AD223">
        <v>9.6999999999999993</v>
      </c>
      <c r="AE223">
        <v>7.1</v>
      </c>
      <c r="AF223" s="17" t="s">
        <v>5</v>
      </c>
      <c r="AG223" s="2" t="str">
        <f>HYPERLINK("http://exon.niaid.nih.gov/transcriptome/T_rubida/S2/links/NR/Triru-495-NR.txt","putative translation elongation factor 2")</f>
        <v>putative translation elongation factor 2</v>
      </c>
      <c r="AH223" t="str">
        <f>HYPERLINK("http://www.ncbi.nlm.nih.gov/sutils/blink.cgi?pid=124487958","9E-081")</f>
        <v>9E-081</v>
      </c>
      <c r="AI223" t="str">
        <f>HYPERLINK("http://www.ncbi.nlm.nih.gov/protein/124487958","gi|124487958")</f>
        <v>gi|124487958</v>
      </c>
      <c r="AJ223">
        <v>302</v>
      </c>
      <c r="AK223">
        <v>150</v>
      </c>
      <c r="AL223">
        <v>464</v>
      </c>
      <c r="AM223">
        <v>93</v>
      </c>
      <c r="AN223">
        <v>33</v>
      </c>
      <c r="AO223" t="s">
        <v>156</v>
      </c>
      <c r="AP223" s="2" t="str">
        <f>HYPERLINK("http://exon.niaid.nih.gov/transcriptome/T_rubida/S2/links/SWISSP/Triru-495-SWISSP.txt","Translation elongation factor 2")</f>
        <v>Translation elongation factor 2</v>
      </c>
      <c r="AQ223" t="str">
        <f>HYPERLINK("http://www.uniprot.org/uniprot/Q1HPK6","2E-080")</f>
        <v>2E-080</v>
      </c>
      <c r="AR223" t="s">
        <v>804</v>
      </c>
      <c r="AS223">
        <v>296</v>
      </c>
      <c r="AT223">
        <v>150</v>
      </c>
      <c r="AU223">
        <v>844</v>
      </c>
      <c r="AV223">
        <v>90</v>
      </c>
      <c r="AW223">
        <v>18</v>
      </c>
      <c r="AX223">
        <v>14</v>
      </c>
      <c r="AY223">
        <v>0</v>
      </c>
      <c r="AZ223">
        <v>694</v>
      </c>
      <c r="BA223">
        <v>4</v>
      </c>
      <c r="BB223">
        <v>1</v>
      </c>
      <c r="BC223" t="s">
        <v>144</v>
      </c>
      <c r="BD223" s="2" t="s">
        <v>805</v>
      </c>
      <c r="BE223">
        <f>HYPERLINK("http://exon.niaid.nih.gov/transcriptome/T_rubida/S2/links/GO/Triru-495-GO.txt",2E-80)</f>
        <v>1.9999999999999999E-80</v>
      </c>
      <c r="BF223" t="s">
        <v>105</v>
      </c>
      <c r="BG223" t="s">
        <v>105</v>
      </c>
      <c r="BI223" s="2" t="str">
        <f>HYPERLINK("http://exon.niaid.nih.gov/transcriptome/T_rubida/S2/links/CDD/Triru-495-CDD.txt","PTZ00416")</f>
        <v>PTZ00416</v>
      </c>
      <c r="BJ223" t="str">
        <f>HYPERLINK("http://www.ncbi.nlm.nih.gov/Structure/cdd/cddsrv.cgi?uid=PTZ00416&amp;version=v4.0","3E-080")</f>
        <v>3E-080</v>
      </c>
      <c r="BK223" t="s">
        <v>1159</v>
      </c>
      <c r="BL223" s="2" t="str">
        <f>HYPERLINK("http://exon.niaid.nih.gov/transcriptome/T_rubida/S2/links/KOG/Triru-495-KOG.txt","Elongation factor 2")</f>
        <v>Elongation factor 2</v>
      </c>
      <c r="BM223" t="str">
        <f>HYPERLINK("http://www.ncbi.nlm.nih.gov/COG/grace/shokog.cgi?KOG0469","2E-079")</f>
        <v>2E-079</v>
      </c>
      <c r="BN223" t="s">
        <v>84</v>
      </c>
      <c r="BO223" s="2" t="str">
        <f>HYPERLINK("http://exon.niaid.nih.gov/transcriptome/T_rubida/S2/links/PFAM/Triru-495-PFAM.txt","EFG_C")</f>
        <v>EFG_C</v>
      </c>
      <c r="BP223" t="str">
        <f>HYPERLINK("http://pfam.sanger.ac.uk/family?acc=PF00679","2E-024")</f>
        <v>2E-024</v>
      </c>
      <c r="BQ223" s="2" t="str">
        <f>HYPERLINK("http://exon.niaid.nih.gov/transcriptome/T_rubida/S2/links/SMART/Triru-495-SMART.txt","EFG_C")</f>
        <v>EFG_C</v>
      </c>
      <c r="BR223" t="str">
        <f>HYPERLINK("http://smart.embl-heidelberg.de/smart/do_annotation.pl?DOMAIN=EFG_C&amp;BLAST=DUMMY","2E-022")</f>
        <v>2E-022</v>
      </c>
      <c r="BS223" s="17">
        <v>149</v>
      </c>
      <c r="BT223" s="1">
        <v>1</v>
      </c>
      <c r="BU223" s="17">
        <v>224</v>
      </c>
      <c r="BV223" s="1">
        <v>1</v>
      </c>
      <c r="BW223" s="17">
        <v>288</v>
      </c>
      <c r="BX223" s="1">
        <v>1</v>
      </c>
      <c r="BY223" s="17">
        <v>311</v>
      </c>
      <c r="BZ223" s="1">
        <v>1</v>
      </c>
      <c r="CA223" s="17">
        <v>321</v>
      </c>
      <c r="CB223" s="1">
        <v>1</v>
      </c>
      <c r="CC223" s="17">
        <v>333</v>
      </c>
      <c r="CD223" s="1">
        <v>1</v>
      </c>
      <c r="CE223" s="17">
        <v>345</v>
      </c>
      <c r="CF223" s="1">
        <v>1</v>
      </c>
      <c r="CG223" s="17">
        <v>351</v>
      </c>
      <c r="CH223" s="1">
        <v>1</v>
      </c>
      <c r="CI223" s="17">
        <v>362</v>
      </c>
      <c r="CJ223" s="1">
        <v>1</v>
      </c>
      <c r="CK223" s="17">
        <v>368</v>
      </c>
      <c r="CL223" s="1">
        <v>1</v>
      </c>
      <c r="CM223" s="17">
        <v>376</v>
      </c>
      <c r="CN223" s="1">
        <v>1</v>
      </c>
      <c r="CO223" s="17">
        <v>388</v>
      </c>
      <c r="CP223" s="1">
        <v>1</v>
      </c>
      <c r="CQ223" s="17">
        <v>398</v>
      </c>
      <c r="CR223" s="1">
        <v>1</v>
      </c>
      <c r="CS223" s="17">
        <v>411</v>
      </c>
      <c r="CT223" s="1">
        <v>1</v>
      </c>
      <c r="CU223" s="17">
        <v>422</v>
      </c>
      <c r="CV223" s="1">
        <v>1</v>
      </c>
    </row>
    <row r="224" spans="1:100">
      <c r="A224" t="str">
        <f>HYPERLINK("http://exon.niaid.nih.gov/transcriptome/T_rubida/S2/links/pep/Triru-226-pep.txt","Triru-226")</f>
        <v>Triru-226</v>
      </c>
      <c r="B224">
        <v>40</v>
      </c>
      <c r="C224" s="1" t="s">
        <v>19</v>
      </c>
      <c r="D224" s="1" t="s">
        <v>3</v>
      </c>
      <c r="E224" t="str">
        <f>HYPERLINK("http://exon.niaid.nih.gov/transcriptome/T_rubida/S2/links/cds/Triru-226-cds.txt","Triru-226")</f>
        <v>Triru-226</v>
      </c>
      <c r="F224">
        <v>123</v>
      </c>
      <c r="G224" s="2" t="s">
        <v>1669</v>
      </c>
      <c r="H224" s="1">
        <v>1</v>
      </c>
      <c r="I224" s="3" t="s">
        <v>1268</v>
      </c>
      <c r="J224" s="17" t="str">
        <f>HYPERLINK("http://exon.niaid.nih.gov/transcriptome/T_rubida/S2/links/Sigp/Triru-226-SigP.txt","CYT")</f>
        <v>CYT</v>
      </c>
      <c r="K224" t="s">
        <v>5</v>
      </c>
      <c r="L224" s="1">
        <v>4.7960000000000003</v>
      </c>
      <c r="M224" s="1">
        <v>11.47</v>
      </c>
      <c r="P224" s="1">
        <v>0.23300000000000001</v>
      </c>
      <c r="Q224" s="1">
        <v>3.3000000000000002E-2</v>
      </c>
      <c r="R224" s="1">
        <v>0.85899999999999999</v>
      </c>
      <c r="S224" s="17" t="s">
        <v>1346</v>
      </c>
      <c r="T224">
        <v>2</v>
      </c>
      <c r="U224" t="s">
        <v>1382</v>
      </c>
      <c r="V224" s="17">
        <v>0</v>
      </c>
      <c r="W224" t="s">
        <v>5</v>
      </c>
      <c r="X224" t="s">
        <v>5</v>
      </c>
      <c r="Y224" t="s">
        <v>5</v>
      </c>
      <c r="Z224" t="s">
        <v>5</v>
      </c>
      <c r="AA224" t="s">
        <v>5</v>
      </c>
      <c r="AB224" s="17" t="str">
        <f>HYPERLINK("http://exon.niaid.nih.gov/transcriptome/T_rubida/S2/links/netoglyc/TRIRU-226-netoglyc.txt","0")</f>
        <v>0</v>
      </c>
      <c r="AC224">
        <v>7.5</v>
      </c>
      <c r="AD224" t="s">
        <v>1417</v>
      </c>
      <c r="AE224">
        <v>5</v>
      </c>
      <c r="AF224" s="17" t="s">
        <v>5</v>
      </c>
      <c r="AG224" s="2" t="str">
        <f>HYPERLINK("http://exon.niaid.nih.gov/transcriptome/T_rubida/S2/links/NR/Triru-226-NR.txt","ribosomal protein L35e")</f>
        <v>ribosomal protein L35e</v>
      </c>
      <c r="AH224" t="str">
        <f>HYPERLINK("http://www.ncbi.nlm.nih.gov/sutils/blink.cgi?pid=70909863","2E-010")</f>
        <v>2E-010</v>
      </c>
      <c r="AI224" t="str">
        <f>HYPERLINK("http://www.ncbi.nlm.nih.gov/protein/70909863","gi|70909863")</f>
        <v>gi|70909863</v>
      </c>
      <c r="AJ224">
        <v>68.900000000000006</v>
      </c>
      <c r="AK224">
        <v>37</v>
      </c>
      <c r="AL224">
        <v>123</v>
      </c>
      <c r="AM224">
        <v>84</v>
      </c>
      <c r="AN224">
        <v>31</v>
      </c>
      <c r="AO224" t="s">
        <v>305</v>
      </c>
      <c r="AP224" s="2" t="str">
        <f>HYPERLINK("http://exon.niaid.nih.gov/transcriptome/T_rubida/S2/links/SWISSP/Triru-226-SWISSP.txt","60S ribosomal protein L35")</f>
        <v>60S ribosomal protein L35</v>
      </c>
      <c r="AQ224" t="str">
        <f>HYPERLINK("http://www.uniprot.org/uniprot/P17078","6E-008")</f>
        <v>6E-008</v>
      </c>
      <c r="AR224" t="s">
        <v>306</v>
      </c>
      <c r="AS224">
        <v>56.2</v>
      </c>
      <c r="AT224">
        <v>37</v>
      </c>
      <c r="AU224">
        <v>123</v>
      </c>
      <c r="AV224">
        <v>68</v>
      </c>
      <c r="AW224">
        <v>31</v>
      </c>
      <c r="AX224">
        <v>12</v>
      </c>
      <c r="AY224">
        <v>0</v>
      </c>
      <c r="AZ224">
        <v>86</v>
      </c>
      <c r="BA224">
        <v>3</v>
      </c>
      <c r="BB224">
        <v>1</v>
      </c>
      <c r="BC224" t="s">
        <v>130</v>
      </c>
      <c r="BD224" s="2" t="s">
        <v>307</v>
      </c>
      <c r="BE224">
        <f>HYPERLINK("http://exon.niaid.nih.gov/transcriptome/T_rubida/S2/links/GO/Triru-226-GO.txt",0.00000004)</f>
        <v>4.0000000000000001E-8</v>
      </c>
      <c r="BF224" t="s">
        <v>138</v>
      </c>
      <c r="BG224" t="s">
        <v>139</v>
      </c>
      <c r="BH224" t="s">
        <v>140</v>
      </c>
      <c r="BI224" s="2" t="str">
        <f>HYPERLINK("http://exon.niaid.nih.gov/transcriptome/T_rubida/S2/links/CDD/Triru-226-CDD.txt","TIGR03766")</f>
        <v>TIGR03766</v>
      </c>
      <c r="BJ224" t="str">
        <f>HYPERLINK("http://www.ncbi.nlm.nih.gov/Structure/cdd/cddsrv.cgi?uid=TIGR03766&amp;version=v4.0","4.7")</f>
        <v>4.7</v>
      </c>
      <c r="BK224" t="s">
        <v>308</v>
      </c>
      <c r="BL224" s="2" t="s">
        <v>5</v>
      </c>
      <c r="BM224" t="s">
        <v>5</v>
      </c>
      <c r="BN224" t="s">
        <v>5</v>
      </c>
      <c r="BO224" s="2" t="s">
        <v>5</v>
      </c>
      <c r="BP224" t="s">
        <v>5</v>
      </c>
      <c r="BQ224" s="2" t="str">
        <f>HYPERLINK("http://exon.niaid.nih.gov/transcriptome/T_rubida/S2/links/SMART/Triru-226-SMART.txt","EAL")</f>
        <v>EAL</v>
      </c>
      <c r="BR224" t="str">
        <f>HYPERLINK("http://smart.embl-heidelberg.de/smart/do_annotation.pl?DOMAIN=EAL&amp;BLAST=DUMMY","2.4")</f>
        <v>2.4</v>
      </c>
      <c r="BS224" s="17">
        <f>HYPERLINK("http://exon.niaid.nih.gov/transcriptome/T_rubida/S2/links/cluster/Triru-pep-ext25-50-Sim-CLU1.txt", 1)</f>
        <v>1</v>
      </c>
      <c r="BT224" s="1">
        <f>HYPERLINK("http://exon.niaid.nih.gov/transcriptome/T_rubida/S2/links/cluster/Triru-pep-ext25-50-Sim-CLTL1.txt", 359)</f>
        <v>359</v>
      </c>
      <c r="BU224" s="17">
        <f>HYPERLINK("http://exon.niaid.nih.gov/transcriptome/T_rubida/S2/links/cluster/Triru-pep-ext30-50-Sim-CLU1.txt", 1)</f>
        <v>1</v>
      </c>
      <c r="BV224" s="1">
        <f>HYPERLINK("http://exon.niaid.nih.gov/transcriptome/T_rubida/S2/links/cluster/Triru-pep-ext30-50-Sim-CLTL1.txt", 225)</f>
        <v>225</v>
      </c>
      <c r="BW224" s="17">
        <f>HYPERLINK("http://exon.niaid.nih.gov/transcriptome/T_rubida/S2/links/cluster/Triru-pep-ext35-50-Sim-CLU19.txt", 19)</f>
        <v>19</v>
      </c>
      <c r="BX224" s="1">
        <f>HYPERLINK("http://exon.niaid.nih.gov/transcriptome/T_rubida/S2/links/cluster/Triru-pep-ext35-50-Sim-CLTL19.txt", 2)</f>
        <v>2</v>
      </c>
      <c r="BY224" s="17">
        <v>134</v>
      </c>
      <c r="BZ224" s="1">
        <v>1</v>
      </c>
      <c r="CA224" s="17">
        <v>136</v>
      </c>
      <c r="CB224" s="1">
        <v>1</v>
      </c>
      <c r="CC224" s="17">
        <v>139</v>
      </c>
      <c r="CD224" s="1">
        <v>1</v>
      </c>
      <c r="CE224" s="17">
        <v>139</v>
      </c>
      <c r="CF224" s="1">
        <v>1</v>
      </c>
      <c r="CG224" s="17">
        <v>141</v>
      </c>
      <c r="CH224" s="1">
        <v>1</v>
      </c>
      <c r="CI224" s="17">
        <v>147</v>
      </c>
      <c r="CJ224" s="1">
        <v>1</v>
      </c>
      <c r="CK224" s="17">
        <v>152</v>
      </c>
      <c r="CL224" s="1">
        <v>1</v>
      </c>
      <c r="CM224" s="17">
        <v>158</v>
      </c>
      <c r="CN224" s="1">
        <v>1</v>
      </c>
      <c r="CO224" s="17">
        <v>168</v>
      </c>
      <c r="CP224" s="1">
        <v>1</v>
      </c>
      <c r="CQ224" s="17">
        <v>178</v>
      </c>
      <c r="CR224" s="1">
        <v>1</v>
      </c>
      <c r="CS224" s="17">
        <v>183</v>
      </c>
      <c r="CT224" s="1">
        <v>1</v>
      </c>
      <c r="CU224" s="17">
        <v>194</v>
      </c>
      <c r="CV224" s="1">
        <v>1</v>
      </c>
    </row>
    <row r="225" spans="1:100">
      <c r="A225" t="str">
        <f>HYPERLINK("http://exon.niaid.nih.gov/transcriptome/T_rubida/S2/links/pep/Triru-339-pep.txt","Triru-339")</f>
        <v>Triru-339</v>
      </c>
      <c r="B225">
        <v>183</v>
      </c>
      <c r="C225" s="1" t="s">
        <v>17</v>
      </c>
      <c r="D225" s="1" t="s">
        <v>3</v>
      </c>
      <c r="E225" t="str">
        <f>HYPERLINK("http://exon.niaid.nih.gov/transcriptome/T_rubida/S2/links/cds/Triru-339-cds.txt","Triru-339")</f>
        <v>Triru-339</v>
      </c>
      <c r="F225">
        <v>552</v>
      </c>
      <c r="G225" s="2" t="s">
        <v>1693</v>
      </c>
      <c r="H225" s="1">
        <v>1</v>
      </c>
      <c r="I225" s="3" t="s">
        <v>1268</v>
      </c>
      <c r="J225" s="17" t="str">
        <f>HYPERLINK("http://exon.niaid.nih.gov/transcriptome/T_rubida/S2/links/Sigp/Triru-339-SigP.txt","SIG")</f>
        <v>SIG</v>
      </c>
      <c r="K225">
        <f>-1-0</f>
        <v>-1</v>
      </c>
      <c r="L225" s="1">
        <v>18.527000000000001</v>
      </c>
      <c r="M225" s="1">
        <v>9.35</v>
      </c>
      <c r="P225" s="1">
        <v>0.88300000000000001</v>
      </c>
      <c r="Q225" s="1">
        <v>0.15</v>
      </c>
      <c r="R225" s="1">
        <v>4.5999999999999999E-2</v>
      </c>
      <c r="S225" s="17" t="s">
        <v>9</v>
      </c>
      <c r="T225">
        <v>2</v>
      </c>
      <c r="U225" t="s">
        <v>1455</v>
      </c>
      <c r="V225" s="17">
        <v>0</v>
      </c>
      <c r="W225" t="s">
        <v>5</v>
      </c>
      <c r="X225" t="s">
        <v>5</v>
      </c>
      <c r="Y225" t="s">
        <v>5</v>
      </c>
      <c r="Z225" t="s">
        <v>5</v>
      </c>
      <c r="AA225" t="s">
        <v>5</v>
      </c>
      <c r="AB225" s="17" t="str">
        <f>HYPERLINK("http://exon.niaid.nih.gov/transcriptome/T_rubida/S2/links/netoglyc/TRIRU-339-netoglyc.txt","5")</f>
        <v>5</v>
      </c>
      <c r="AC225">
        <v>7.1</v>
      </c>
      <c r="AD225">
        <v>9.3000000000000007</v>
      </c>
      <c r="AE225">
        <v>10.4</v>
      </c>
      <c r="AF225" s="17" t="s">
        <v>5</v>
      </c>
      <c r="AG225" s="2" t="str">
        <f>HYPERLINK("http://exon.niaid.nih.gov/transcriptome/T_rubida/S2/links/NR/Triru-339-NR.txt","polyadenylate-binding protein 1-like isoform 1")</f>
        <v>polyadenylate-binding protein 1-like isoform 1</v>
      </c>
      <c r="AH225" t="str">
        <f>HYPERLINK("http://www.ncbi.nlm.nih.gov/sutils/blink.cgi?pid=328782034","2E-053")</f>
        <v>2E-053</v>
      </c>
      <c r="AI225" t="str">
        <f>HYPERLINK("http://www.ncbi.nlm.nih.gov/protein/328782034","gi|328782034")</f>
        <v>gi|328782034</v>
      </c>
      <c r="AJ225">
        <v>212</v>
      </c>
      <c r="AK225">
        <v>188</v>
      </c>
      <c r="AL225">
        <v>601</v>
      </c>
      <c r="AM225">
        <v>63</v>
      </c>
      <c r="AN225">
        <v>31</v>
      </c>
      <c r="AO225" t="s">
        <v>302</v>
      </c>
      <c r="AP225" s="2" t="str">
        <f>HYPERLINK("http://exon.niaid.nih.gov/transcriptome/T_rubida/S2/links/SWISSP/Triru-339-SWISSP.txt","Polyadenylate-binding protein 1")</f>
        <v>Polyadenylate-binding protein 1</v>
      </c>
      <c r="AQ225" t="str">
        <f>HYPERLINK("http://www.uniprot.org/uniprot/P29341","1E-040")</f>
        <v>1E-040</v>
      </c>
      <c r="AR225" t="s">
        <v>266</v>
      </c>
      <c r="AS225">
        <v>166</v>
      </c>
      <c r="AT225">
        <v>170</v>
      </c>
      <c r="AU225">
        <v>636</v>
      </c>
      <c r="AV225">
        <v>56</v>
      </c>
      <c r="AW225">
        <v>27</v>
      </c>
      <c r="AX225">
        <v>75</v>
      </c>
      <c r="AY225">
        <v>11</v>
      </c>
      <c r="AZ225">
        <v>453</v>
      </c>
      <c r="BA225">
        <v>16</v>
      </c>
      <c r="BB225">
        <v>1</v>
      </c>
      <c r="BC225" t="s">
        <v>75</v>
      </c>
      <c r="BD225" s="2" t="s">
        <v>267</v>
      </c>
      <c r="BE225">
        <f>HYPERLINK("http://exon.niaid.nih.gov/transcriptome/T_rubida/S2/links/GO/Triru-339-GO.txt",2E-42)</f>
        <v>2.0000000000000001E-42</v>
      </c>
      <c r="BF225" t="s">
        <v>268</v>
      </c>
      <c r="BG225" t="s">
        <v>153</v>
      </c>
      <c r="BH225" t="s">
        <v>269</v>
      </c>
      <c r="BI225" s="2" t="str">
        <f>HYPERLINK("http://exon.niaid.nih.gov/transcriptome/T_rubida/S2/links/CDD/Triru-339-CDD.txt","PABP-1234")</f>
        <v>PABP-1234</v>
      </c>
      <c r="BJ225" t="str">
        <f>HYPERLINK("http://www.ncbi.nlm.nih.gov/Structure/cdd/cddsrv.cgi?uid=TIGR01628&amp;version=v4.0","2E-031")</f>
        <v>2E-031</v>
      </c>
      <c r="BK225" t="s">
        <v>1167</v>
      </c>
      <c r="BL225" s="2" t="str">
        <f>HYPERLINK("http://exon.niaid.nih.gov/transcriptome/T_rubida/S2/links/KOG/Triru-339-KOG.txt","Polyadenylate-binding protein (RRM superfamily)")</f>
        <v>Polyadenylate-binding protein (RRM superfamily)</v>
      </c>
      <c r="BM225" t="str">
        <f>HYPERLINK("http://www.ncbi.nlm.nih.gov/COG/grace/shokog.cgi?KOG0123","4E-008")</f>
        <v>4E-008</v>
      </c>
      <c r="BN225" t="s">
        <v>271</v>
      </c>
      <c r="BO225" s="2" t="str">
        <f>HYPERLINK("http://exon.niaid.nih.gov/transcriptome/T_rubida/S2/links/PFAM/Triru-339-PFAM.txt","PABP")</f>
        <v>PABP</v>
      </c>
      <c r="BP225" t="str">
        <f>HYPERLINK("http://pfam.sanger.ac.uk/family?acc=PF00658","6E-028")</f>
        <v>6E-028</v>
      </c>
      <c r="BQ225" s="2" t="str">
        <f>HYPERLINK("http://exon.niaid.nih.gov/transcriptome/T_rubida/S2/links/SMART/Triru-339-SMART.txt","PolyA")</f>
        <v>PolyA</v>
      </c>
      <c r="BR225" t="str">
        <f>HYPERLINK("http://smart.embl-heidelberg.de/smart/do_annotation.pl?DOMAIN=PolyA&amp;BLAST=DUMMY","2E-023")</f>
        <v>2E-023</v>
      </c>
      <c r="BS225" s="17">
        <f>HYPERLINK("http://exon.niaid.nih.gov/transcriptome/T_rubida/S2/links/cluster/Triru-pep-ext25-50-Sim-CLU24.txt", 24)</f>
        <v>24</v>
      </c>
      <c r="BT225" s="1">
        <f>HYPERLINK("http://exon.niaid.nih.gov/transcriptome/T_rubida/S2/links/cluster/Triru-pep-ext25-50-Sim-CLTL24.txt", 2)</f>
        <v>2</v>
      </c>
      <c r="BU225" s="17">
        <f>HYPERLINK("http://exon.niaid.nih.gov/transcriptome/T_rubida/S2/links/cluster/Triru-pep-ext30-50-Sim-CLU31.txt", 31)</f>
        <v>31</v>
      </c>
      <c r="BV225" s="1">
        <f>HYPERLINK("http://exon.niaid.nih.gov/transcriptome/T_rubida/S2/links/cluster/Triru-pep-ext30-50-Sim-CLTL31.txt", 2)</f>
        <v>2</v>
      </c>
      <c r="BW225" s="17">
        <f>HYPERLINK("http://exon.niaid.nih.gov/transcriptome/T_rubida/S2/links/cluster/Triru-pep-ext35-50-Sim-CLU33.txt", 33)</f>
        <v>33</v>
      </c>
      <c r="BX225" s="1">
        <f>HYPERLINK("http://exon.niaid.nih.gov/transcriptome/T_rubida/S2/links/cluster/Triru-pep-ext35-50-Sim-CLTL33.txt", 2)</f>
        <v>2</v>
      </c>
      <c r="BY225" s="17">
        <f>HYPERLINK("http://exon.niaid.nih.gov/transcriptome/T_rubida/S2/links/cluster/Triru-pep-ext40-50-Sim-CLU30.txt", 30)</f>
        <v>30</v>
      </c>
      <c r="BZ225" s="1">
        <f>HYPERLINK("http://exon.niaid.nih.gov/transcriptome/T_rubida/S2/links/cluster/Triru-pep-ext40-50-Sim-CLTL30.txt", 2)</f>
        <v>2</v>
      </c>
      <c r="CA225" s="17">
        <f>HYPERLINK("http://exon.niaid.nih.gov/transcriptome/T_rubida/S2/links/cluster/Triru-pep-ext45-50-Sim-CLU25.txt", 25)</f>
        <v>25</v>
      </c>
      <c r="CB225" s="1">
        <f>HYPERLINK("http://exon.niaid.nih.gov/transcriptome/T_rubida/S2/links/cluster/Triru-pep-ext45-50-Sim-CLTL25.txt", 2)</f>
        <v>2</v>
      </c>
      <c r="CC225" s="17">
        <f>HYPERLINK("http://exon.niaid.nih.gov/transcriptome/T_rubida/S2/links/cluster/Triru-pep-ext50-50-Sim-CLU24.txt", 24)</f>
        <v>24</v>
      </c>
      <c r="CD225" s="1">
        <f>HYPERLINK("http://exon.niaid.nih.gov/transcriptome/T_rubida/S2/links/cluster/Triru-pep-ext50-50-Sim-CLTL24.txt", 2)</f>
        <v>2</v>
      </c>
      <c r="CE225" s="17">
        <f>HYPERLINK("http://exon.niaid.nih.gov/transcriptome/T_rubida/S2/links/cluster/Triru-pep-ext55-50-Sim-CLU19.txt", 19)</f>
        <v>19</v>
      </c>
      <c r="CF225" s="1">
        <f>HYPERLINK("http://exon.niaid.nih.gov/transcriptome/T_rubida/S2/links/cluster/Triru-pep-ext55-50-Sim-CLTL19.txt", 2)</f>
        <v>2</v>
      </c>
      <c r="CG225" s="17">
        <f>HYPERLINK("http://exon.niaid.nih.gov/transcriptome/T_rubida/S2/links/cluster/Triru-pep-ext60-50-Sim-CLU20.txt", 20)</f>
        <v>20</v>
      </c>
      <c r="CH225" s="1">
        <f>HYPERLINK("http://exon.niaid.nih.gov/transcriptome/T_rubida/S2/links/cluster/Triru-pep-ext60-50-Sim-CLTL20.txt", 2)</f>
        <v>2</v>
      </c>
      <c r="CI225" s="17">
        <f>HYPERLINK("http://exon.niaid.nih.gov/transcriptome/T_rubida/S2/links/cluster/Triru-pep-ext65-50-Sim-CLU19.txt", 19)</f>
        <v>19</v>
      </c>
      <c r="CJ225" s="1">
        <f>HYPERLINK("http://exon.niaid.nih.gov/transcriptome/T_rubida/S2/links/cluster/Triru-pep-ext65-50-Sim-CLTL19.txt", 2)</f>
        <v>2</v>
      </c>
      <c r="CK225" s="17">
        <f>HYPERLINK("http://exon.niaid.nih.gov/transcriptome/T_rubida/S2/links/cluster/Triru-pep-ext70-50-Sim-CLU19.txt", 19)</f>
        <v>19</v>
      </c>
      <c r="CL225" s="1">
        <f>HYPERLINK("http://exon.niaid.nih.gov/transcriptome/T_rubida/S2/links/cluster/Triru-pep-ext70-50-Sim-CLTL19.txt", 2)</f>
        <v>2</v>
      </c>
      <c r="CM225" s="17">
        <f>HYPERLINK("http://exon.niaid.nih.gov/transcriptome/T_rubida/S2/links/cluster/Triru-pep-ext75-50-Sim-CLU20.txt", 20)</f>
        <v>20</v>
      </c>
      <c r="CN225" s="1">
        <f>HYPERLINK("http://exon.niaid.nih.gov/transcriptome/T_rubida/S2/links/cluster/Triru-pep-ext75-50-Sim-CLTL20.txt", 2)</f>
        <v>2</v>
      </c>
      <c r="CO225" s="17">
        <f>HYPERLINK("http://exon.niaid.nih.gov/transcriptome/T_rubida/S2/links/cluster/Triru-pep-ext80-50-Sim-CLU17.txt", 17)</f>
        <v>17</v>
      </c>
      <c r="CP225" s="1">
        <f>HYPERLINK("http://exon.niaid.nih.gov/transcriptome/T_rubida/S2/links/cluster/Triru-pep-ext80-50-Sim-CLTL17.txt", 2)</f>
        <v>2</v>
      </c>
      <c r="CQ225" s="17">
        <f>HYPERLINK("http://exon.niaid.nih.gov/transcriptome/T_rubida/S2/links/cluster/Triru-pep-ext85-50-Sim-CLU15.txt", 15)</f>
        <v>15</v>
      </c>
      <c r="CR225" s="1">
        <f>HYPERLINK("http://exon.niaid.nih.gov/transcriptome/T_rubida/S2/links/cluster/Triru-pep-ext85-50-Sim-CLTL15.txt", 2)</f>
        <v>2</v>
      </c>
      <c r="CS225" s="17">
        <f>HYPERLINK("http://exon.niaid.nih.gov/transcriptome/T_rubida/S2/links/cluster/Triru-pep-ext90-50-Sim-CLU13.txt", 13)</f>
        <v>13</v>
      </c>
      <c r="CT225" s="1">
        <f>HYPERLINK("http://exon.niaid.nih.gov/transcriptome/T_rubida/S2/links/cluster/Triru-pep-ext90-50-Sim-CLTL13.txt", 2)</f>
        <v>2</v>
      </c>
      <c r="CU225" s="17">
        <f>HYPERLINK("http://exon.niaid.nih.gov/transcriptome/T_rubida/S2/links/cluster/Triru-pep-ext95-50-Sim-CLU10.txt", 10)</f>
        <v>10</v>
      </c>
      <c r="CV225" s="1">
        <f>HYPERLINK("http://exon.niaid.nih.gov/transcriptome/T_rubida/S2/links/cluster/Triru-pep-ext95-50-Sim-CLTL10.txt", 2)</f>
        <v>2</v>
      </c>
    </row>
    <row r="226" spans="1:100">
      <c r="A226" t="str">
        <f>HYPERLINK("http://exon.niaid.nih.gov/transcriptome/T_rubida/S2/links/pep/Triru-118-pep.txt","Triru-118")</f>
        <v>Triru-118</v>
      </c>
      <c r="B226">
        <v>43</v>
      </c>
      <c r="C226" s="1" t="s">
        <v>19</v>
      </c>
      <c r="D226" s="1" t="s">
        <v>3</v>
      </c>
      <c r="E226" t="str">
        <f>HYPERLINK("http://exon.niaid.nih.gov/transcriptome/T_rubida/S2/links/cds/Triru-118-cds.txt","Triru-118")</f>
        <v>Triru-118</v>
      </c>
      <c r="F226">
        <v>132</v>
      </c>
      <c r="G226" s="2" t="s">
        <v>1694</v>
      </c>
      <c r="H226" s="1">
        <v>3</v>
      </c>
      <c r="I226" s="3" t="s">
        <v>1268</v>
      </c>
      <c r="J226" s="17" t="str">
        <f>HYPERLINK("http://exon.niaid.nih.gov/transcriptome/T_rubida/S2/links/Sigp/Triru-118-SigP.txt","CYT")</f>
        <v>CYT</v>
      </c>
      <c r="K226" t="s">
        <v>5</v>
      </c>
      <c r="L226" s="1">
        <v>4.7</v>
      </c>
      <c r="M226" s="1">
        <v>11.85</v>
      </c>
      <c r="P226" s="1">
        <v>0.26</v>
      </c>
      <c r="Q226" s="1">
        <v>5.1999999999999998E-2</v>
      </c>
      <c r="R226" s="1">
        <v>0.78300000000000003</v>
      </c>
      <c r="S226" s="17" t="s">
        <v>1346</v>
      </c>
      <c r="T226">
        <v>3</v>
      </c>
      <c r="U226" t="s">
        <v>1348</v>
      </c>
      <c r="V226" s="17">
        <v>0</v>
      </c>
      <c r="W226" t="s">
        <v>5</v>
      </c>
      <c r="X226" t="s">
        <v>5</v>
      </c>
      <c r="Y226" t="s">
        <v>5</v>
      </c>
      <c r="Z226" t="s">
        <v>5</v>
      </c>
      <c r="AA226" t="s">
        <v>5</v>
      </c>
      <c r="AB226" s="17" t="str">
        <f>HYPERLINK("http://exon.niaid.nih.gov/transcriptome/T_rubida/S2/links/netoglyc/TRIRU-118-netoglyc.txt","1")</f>
        <v>1</v>
      </c>
      <c r="AC226">
        <v>16.3</v>
      </c>
      <c r="AD226">
        <v>11.6</v>
      </c>
      <c r="AE226">
        <v>9.3000000000000007</v>
      </c>
      <c r="AF226" s="17" t="s">
        <v>5</v>
      </c>
      <c r="AG226" s="2" t="str">
        <f>HYPERLINK("http://exon.niaid.nih.gov/transcriptome/T_rubida/S2/links/NR/Triru-118-NR.txt","putative ribosomal protein L35a")</f>
        <v>putative ribosomal protein L35a</v>
      </c>
      <c r="AH226" t="str">
        <f>HYPERLINK("http://www.ncbi.nlm.nih.gov/sutils/blink.cgi?pid=159145660","1E-011")</f>
        <v>1E-011</v>
      </c>
      <c r="AI226" t="str">
        <f>HYPERLINK("http://www.ncbi.nlm.nih.gov/protein/159145660","gi|159145660")</f>
        <v>gi|159145660</v>
      </c>
      <c r="AJ226">
        <v>73.2</v>
      </c>
      <c r="AK226">
        <v>38</v>
      </c>
      <c r="AL226">
        <v>135</v>
      </c>
      <c r="AM226">
        <v>82</v>
      </c>
      <c r="AN226">
        <v>29</v>
      </c>
      <c r="AO226" t="s">
        <v>313</v>
      </c>
      <c r="AP226" s="2" t="str">
        <f>HYPERLINK("http://exon.niaid.nih.gov/transcriptome/T_rubida/S2/links/SWISSP/Triru-118-SWISSP.txt","60S ribosomal protein L35a")</f>
        <v>60S ribosomal protein L35a</v>
      </c>
      <c r="AQ226" t="str">
        <f>HYPERLINK("http://www.uniprot.org/uniprot/P49180","4E-011")</f>
        <v>4E-011</v>
      </c>
      <c r="AR226" t="s">
        <v>314</v>
      </c>
      <c r="AS226">
        <v>66.599999999999994</v>
      </c>
      <c r="AT226">
        <v>38</v>
      </c>
      <c r="AU226">
        <v>124</v>
      </c>
      <c r="AV226">
        <v>69</v>
      </c>
      <c r="AW226">
        <v>31</v>
      </c>
      <c r="AX226">
        <v>12</v>
      </c>
      <c r="AY226">
        <v>0</v>
      </c>
      <c r="AZ226">
        <v>86</v>
      </c>
      <c r="BA226">
        <v>5</v>
      </c>
      <c r="BB226">
        <v>1</v>
      </c>
      <c r="BC226" t="s">
        <v>315</v>
      </c>
      <c r="BD226" s="2" t="s">
        <v>316</v>
      </c>
      <c r="BE226">
        <f>HYPERLINK("http://exon.niaid.nih.gov/transcriptome/T_rubida/S2/links/GO/Triru-118-GO.txt",0.00000000003)</f>
        <v>3E-11</v>
      </c>
      <c r="BF226" t="s">
        <v>138</v>
      </c>
      <c r="BG226" t="s">
        <v>139</v>
      </c>
      <c r="BH226" t="s">
        <v>140</v>
      </c>
      <c r="BI226" s="2" t="str">
        <f>HYPERLINK("http://exon.niaid.nih.gov/transcriptome/T_rubida/S2/links/CDD/Triru-118-CDD.txt","PTZ00041")</f>
        <v>PTZ00041</v>
      </c>
      <c r="BJ226" t="str">
        <f>HYPERLINK("http://www.ncbi.nlm.nih.gov/Structure/cdd/cddsrv.cgi?uid=PTZ00041&amp;version=v4.0","3E-013")</f>
        <v>3E-013</v>
      </c>
      <c r="BK226" t="s">
        <v>317</v>
      </c>
      <c r="BL226" s="2" t="str">
        <f>HYPERLINK("http://exon.niaid.nih.gov/transcriptome/T_rubida/S2/links/KOG/Triru-118-KOG.txt","60S ribosomal protein L35A/L37")</f>
        <v>60S ribosomal protein L35A/L37</v>
      </c>
      <c r="BM226" t="str">
        <f>HYPERLINK("http://www.ncbi.nlm.nih.gov/COG/grace/shokog.cgi?KOG0887","2E-012")</f>
        <v>2E-012</v>
      </c>
      <c r="BN226" t="s">
        <v>84</v>
      </c>
      <c r="BO226" s="2" t="str">
        <f>HYPERLINK("http://exon.niaid.nih.gov/transcriptome/T_rubida/S2/links/PFAM/Triru-118-PFAM.txt","Ribosomal_L35Ae")</f>
        <v>Ribosomal_L35Ae</v>
      </c>
      <c r="BP226" t="str">
        <f>HYPERLINK("http://pfam.sanger.ac.uk/family?acc=PF01247","1E-013")</f>
        <v>1E-013</v>
      </c>
      <c r="BQ226" s="2" t="str">
        <f>HYPERLINK("http://exon.niaid.nih.gov/transcriptome/T_rubida/S2/links/SMART/Triru-118-SMART.txt","HTH_ASNC")</f>
        <v>HTH_ASNC</v>
      </c>
      <c r="BR226" t="str">
        <f>HYPERLINK("http://smart.embl-heidelberg.de/smart/do_annotation.pl?DOMAIN=HTH_ASNC&amp;BLAST=DUMMY","4.7")</f>
        <v>4.7</v>
      </c>
      <c r="BS226" s="17">
        <f>HYPERLINK("http://exon.niaid.nih.gov/transcriptome/T_rubida/S2/links/cluster/Triru-pep-ext25-50-Sim-CLU12.txt", 12)</f>
        <v>12</v>
      </c>
      <c r="BT226" s="1">
        <f>HYPERLINK("http://exon.niaid.nih.gov/transcriptome/T_rubida/S2/links/cluster/Triru-pep-ext25-50-Sim-CLTL12.txt", 2)</f>
        <v>2</v>
      </c>
      <c r="BU226" s="17">
        <v>64</v>
      </c>
      <c r="BV226" s="1">
        <v>1</v>
      </c>
      <c r="BW226" s="17">
        <v>70</v>
      </c>
      <c r="BX226" s="1">
        <v>1</v>
      </c>
      <c r="BY226" s="17">
        <v>70</v>
      </c>
      <c r="BZ226" s="1">
        <v>1</v>
      </c>
      <c r="CA226" s="17">
        <v>68</v>
      </c>
      <c r="CB226" s="1">
        <v>1</v>
      </c>
      <c r="CC226" s="17">
        <v>67</v>
      </c>
      <c r="CD226" s="1">
        <v>1</v>
      </c>
      <c r="CE226" s="17">
        <v>61</v>
      </c>
      <c r="CF226" s="1">
        <v>1</v>
      </c>
      <c r="CG226" s="17">
        <v>61</v>
      </c>
      <c r="CH226" s="1">
        <v>1</v>
      </c>
      <c r="CI226" s="17">
        <v>67</v>
      </c>
      <c r="CJ226" s="1">
        <v>1</v>
      </c>
      <c r="CK226" s="17">
        <v>71</v>
      </c>
      <c r="CL226" s="1">
        <v>1</v>
      </c>
      <c r="CM226" s="17">
        <v>75</v>
      </c>
      <c r="CN226" s="1">
        <v>1</v>
      </c>
      <c r="CO226" s="17">
        <v>83</v>
      </c>
      <c r="CP226" s="1">
        <v>1</v>
      </c>
      <c r="CQ226" s="17">
        <v>93</v>
      </c>
      <c r="CR226" s="1">
        <v>1</v>
      </c>
      <c r="CS226" s="17">
        <v>98</v>
      </c>
      <c r="CT226" s="1">
        <v>1</v>
      </c>
      <c r="CU226" s="17">
        <v>109</v>
      </c>
      <c r="CV226" s="1">
        <v>1</v>
      </c>
    </row>
    <row r="227" spans="1:100">
      <c r="A227" t="str">
        <f>HYPERLINK("http://exon.niaid.nih.gov/transcriptome/T_rubida/S2/links/pep/Triru-586-pep.txt","Triru-586")</f>
        <v>Triru-586</v>
      </c>
      <c r="B227">
        <v>183</v>
      </c>
      <c r="C227" s="1" t="s">
        <v>4</v>
      </c>
      <c r="D227" s="1" t="s">
        <v>3</v>
      </c>
      <c r="E227" t="str">
        <f>HYPERLINK("http://exon.niaid.nih.gov/transcriptome/T_rubida/S2/links/cds/Triru-586-cds.txt","Triru-586")</f>
        <v>Triru-586</v>
      </c>
      <c r="F227">
        <v>552</v>
      </c>
      <c r="G227" s="2" t="s">
        <v>1693</v>
      </c>
      <c r="H227" s="1">
        <v>1</v>
      </c>
      <c r="I227" s="3" t="s">
        <v>1268</v>
      </c>
      <c r="J227" s="17" t="str">
        <f>HYPERLINK("http://exon.niaid.nih.gov/transcriptome/T_rubida/S2/links/Sigp/Triru-586-SigP.txt","SIG")</f>
        <v>SIG</v>
      </c>
      <c r="K227">
        <f>-1-0</f>
        <v>-1</v>
      </c>
      <c r="L227" s="1">
        <v>18.402000000000001</v>
      </c>
      <c r="M227" s="1">
        <v>9.02</v>
      </c>
      <c r="P227" s="1">
        <v>0.84599999999999997</v>
      </c>
      <c r="Q227" s="1">
        <v>0.11600000000000001</v>
      </c>
      <c r="R227" s="1">
        <v>8.2000000000000003E-2</v>
      </c>
      <c r="S227" s="17" t="s">
        <v>9</v>
      </c>
      <c r="T227">
        <v>2</v>
      </c>
      <c r="U227" t="s">
        <v>1456</v>
      </c>
      <c r="V227" s="17">
        <v>0</v>
      </c>
      <c r="W227" t="s">
        <v>5</v>
      </c>
      <c r="X227" t="s">
        <v>5</v>
      </c>
      <c r="Y227" t="s">
        <v>5</v>
      </c>
      <c r="Z227" t="s">
        <v>5</v>
      </c>
      <c r="AA227" t="s">
        <v>5</v>
      </c>
      <c r="AB227" s="17" t="str">
        <f>HYPERLINK("http://exon.niaid.nih.gov/transcriptome/T_rubida/S2/links/netoglyc/TRIRU-586-netoglyc.txt","5")</f>
        <v>5</v>
      </c>
      <c r="AC227">
        <v>7.1</v>
      </c>
      <c r="AD227">
        <v>9.8000000000000007</v>
      </c>
      <c r="AE227">
        <v>9.8000000000000007</v>
      </c>
      <c r="AF227" s="17" t="s">
        <v>5</v>
      </c>
      <c r="AG227" s="2" t="str">
        <f>HYPERLINK("http://exon.niaid.nih.gov/transcriptome/T_rubida/S2/links/NR/Triru-586-NR.txt","polyadenylate-binding protein 1-like isoform 3")</f>
        <v>polyadenylate-binding protein 1-like isoform 3</v>
      </c>
      <c r="AH227" t="str">
        <f>HYPERLINK("http://www.ncbi.nlm.nih.gov/sutils/blink.cgi?pid=340719922","8E-053")</f>
        <v>8E-053</v>
      </c>
      <c r="AI227" t="str">
        <f>HYPERLINK("http://www.ncbi.nlm.nih.gov/protein/340719922","gi|340719922")</f>
        <v>gi|340719922</v>
      </c>
      <c r="AJ227">
        <v>210</v>
      </c>
      <c r="AK227">
        <v>176</v>
      </c>
      <c r="AL227">
        <v>621</v>
      </c>
      <c r="AM227">
        <v>65</v>
      </c>
      <c r="AN227">
        <v>29</v>
      </c>
      <c r="AO227" t="s">
        <v>265</v>
      </c>
      <c r="AP227" s="2" t="str">
        <f>HYPERLINK("http://exon.niaid.nih.gov/transcriptome/T_rubida/S2/links/SWISSP/Triru-586-SWISSP.txt","Polyadenylate-binding protein 1")</f>
        <v>Polyadenylate-binding protein 1</v>
      </c>
      <c r="AQ227" t="str">
        <f>HYPERLINK("http://www.uniprot.org/uniprot/P29341","1E-040")</f>
        <v>1E-040</v>
      </c>
      <c r="AR227" t="s">
        <v>266</v>
      </c>
      <c r="AS227">
        <v>166</v>
      </c>
      <c r="AT227">
        <v>170</v>
      </c>
      <c r="AU227">
        <v>636</v>
      </c>
      <c r="AV227">
        <v>56</v>
      </c>
      <c r="AW227">
        <v>27</v>
      </c>
      <c r="AX227">
        <v>75</v>
      </c>
      <c r="AY227">
        <v>11</v>
      </c>
      <c r="AZ227">
        <v>453</v>
      </c>
      <c r="BA227">
        <v>16</v>
      </c>
      <c r="BB227">
        <v>1</v>
      </c>
      <c r="BC227" t="s">
        <v>75</v>
      </c>
      <c r="BD227" s="2" t="s">
        <v>267</v>
      </c>
      <c r="BE227">
        <f>HYPERLINK("http://exon.niaid.nih.gov/transcriptome/T_rubida/S2/links/GO/Triru-586-GO.txt",2E-42)</f>
        <v>2.0000000000000001E-42</v>
      </c>
      <c r="BF227" t="s">
        <v>268</v>
      </c>
      <c r="BG227" t="s">
        <v>153</v>
      </c>
      <c r="BH227" t="s">
        <v>269</v>
      </c>
      <c r="BI227" s="2" t="str">
        <f>HYPERLINK("http://exon.niaid.nih.gov/transcriptome/T_rubida/S2/links/CDD/Triru-586-CDD.txt","PABP-1234")</f>
        <v>PABP-1234</v>
      </c>
      <c r="BJ227" t="str">
        <f>HYPERLINK("http://www.ncbi.nlm.nih.gov/Structure/cdd/cddsrv.cgi?uid=TIGR01628&amp;version=v4.0","2E-031")</f>
        <v>2E-031</v>
      </c>
      <c r="BK227" t="s">
        <v>270</v>
      </c>
      <c r="BL227" s="2" t="str">
        <f>HYPERLINK("http://exon.niaid.nih.gov/transcriptome/T_rubida/S2/links/KOG/Triru-586-KOG.txt","Polyadenylate-binding protein (RRM superfamily)")</f>
        <v>Polyadenylate-binding protein (RRM superfamily)</v>
      </c>
      <c r="BM227" t="str">
        <f>HYPERLINK("http://www.ncbi.nlm.nih.gov/COG/grace/shokog.cgi?KOG0123","4E-008")</f>
        <v>4E-008</v>
      </c>
      <c r="BN227" t="s">
        <v>271</v>
      </c>
      <c r="BO227" s="2" t="str">
        <f>HYPERLINK("http://exon.niaid.nih.gov/transcriptome/T_rubida/S2/links/PFAM/Triru-586-PFAM.txt","PABP")</f>
        <v>PABP</v>
      </c>
      <c r="BP227" t="str">
        <f>HYPERLINK("http://pfam.sanger.ac.uk/family?acc=PF00658","7E-028")</f>
        <v>7E-028</v>
      </c>
      <c r="BQ227" s="2" t="str">
        <f>HYPERLINK("http://exon.niaid.nih.gov/transcriptome/T_rubida/S2/links/SMART/Triru-586-SMART.txt","PolyA")</f>
        <v>PolyA</v>
      </c>
      <c r="BR227" t="str">
        <f>HYPERLINK("http://smart.embl-heidelberg.de/smart/do_annotation.pl?DOMAIN=PolyA&amp;BLAST=DUMMY","1E-023")</f>
        <v>1E-023</v>
      </c>
      <c r="BS227" s="17">
        <f>HYPERLINK("http://exon.niaid.nih.gov/transcriptome/T_rubida/S2/links/cluster/Triru-pep-ext25-50-Sim-CLU24.txt", 24)</f>
        <v>24</v>
      </c>
      <c r="BT227" s="1">
        <f>HYPERLINK("http://exon.niaid.nih.gov/transcriptome/T_rubida/S2/links/cluster/Triru-pep-ext25-50-Sim-CLTL24.txt", 2)</f>
        <v>2</v>
      </c>
      <c r="BU227" s="17">
        <f>HYPERLINK("http://exon.niaid.nih.gov/transcriptome/T_rubida/S2/links/cluster/Triru-pep-ext30-50-Sim-CLU31.txt", 31)</f>
        <v>31</v>
      </c>
      <c r="BV227" s="1">
        <f>HYPERLINK("http://exon.niaid.nih.gov/transcriptome/T_rubida/S2/links/cluster/Triru-pep-ext30-50-Sim-CLTL31.txt", 2)</f>
        <v>2</v>
      </c>
      <c r="BW227" s="17">
        <f>HYPERLINK("http://exon.niaid.nih.gov/transcriptome/T_rubida/S2/links/cluster/Triru-pep-ext35-50-Sim-CLU33.txt", 33)</f>
        <v>33</v>
      </c>
      <c r="BX227" s="1">
        <f>HYPERLINK("http://exon.niaid.nih.gov/transcriptome/T_rubida/S2/links/cluster/Triru-pep-ext35-50-Sim-CLTL33.txt", 2)</f>
        <v>2</v>
      </c>
      <c r="BY227" s="17">
        <f>HYPERLINK("http://exon.niaid.nih.gov/transcriptome/T_rubida/S2/links/cluster/Triru-pep-ext40-50-Sim-CLU30.txt", 30)</f>
        <v>30</v>
      </c>
      <c r="BZ227" s="1">
        <f>HYPERLINK("http://exon.niaid.nih.gov/transcriptome/T_rubida/S2/links/cluster/Triru-pep-ext40-50-Sim-CLTL30.txt", 2)</f>
        <v>2</v>
      </c>
      <c r="CA227" s="17">
        <f>HYPERLINK("http://exon.niaid.nih.gov/transcriptome/T_rubida/S2/links/cluster/Triru-pep-ext45-50-Sim-CLU25.txt", 25)</f>
        <v>25</v>
      </c>
      <c r="CB227" s="1">
        <f>HYPERLINK("http://exon.niaid.nih.gov/transcriptome/T_rubida/S2/links/cluster/Triru-pep-ext45-50-Sim-CLTL25.txt", 2)</f>
        <v>2</v>
      </c>
      <c r="CC227" s="17">
        <f>HYPERLINK("http://exon.niaid.nih.gov/transcriptome/T_rubida/S2/links/cluster/Triru-pep-ext50-50-Sim-CLU24.txt", 24)</f>
        <v>24</v>
      </c>
      <c r="CD227" s="1">
        <f>HYPERLINK("http://exon.niaid.nih.gov/transcriptome/T_rubida/S2/links/cluster/Triru-pep-ext50-50-Sim-CLTL24.txt", 2)</f>
        <v>2</v>
      </c>
      <c r="CE227" s="17">
        <f>HYPERLINK("http://exon.niaid.nih.gov/transcriptome/T_rubida/S2/links/cluster/Triru-pep-ext55-50-Sim-CLU19.txt", 19)</f>
        <v>19</v>
      </c>
      <c r="CF227" s="1">
        <f>HYPERLINK("http://exon.niaid.nih.gov/transcriptome/T_rubida/S2/links/cluster/Triru-pep-ext55-50-Sim-CLTL19.txt", 2)</f>
        <v>2</v>
      </c>
      <c r="CG227" s="17">
        <f>HYPERLINK("http://exon.niaid.nih.gov/transcriptome/T_rubida/S2/links/cluster/Triru-pep-ext60-50-Sim-CLU20.txt", 20)</f>
        <v>20</v>
      </c>
      <c r="CH227" s="1">
        <f>HYPERLINK("http://exon.niaid.nih.gov/transcriptome/T_rubida/S2/links/cluster/Triru-pep-ext60-50-Sim-CLTL20.txt", 2)</f>
        <v>2</v>
      </c>
      <c r="CI227" s="17">
        <f>HYPERLINK("http://exon.niaid.nih.gov/transcriptome/T_rubida/S2/links/cluster/Triru-pep-ext65-50-Sim-CLU19.txt", 19)</f>
        <v>19</v>
      </c>
      <c r="CJ227" s="1">
        <f>HYPERLINK("http://exon.niaid.nih.gov/transcriptome/T_rubida/S2/links/cluster/Triru-pep-ext65-50-Sim-CLTL19.txt", 2)</f>
        <v>2</v>
      </c>
      <c r="CK227" s="17">
        <f>HYPERLINK("http://exon.niaid.nih.gov/transcriptome/T_rubida/S2/links/cluster/Triru-pep-ext70-50-Sim-CLU19.txt", 19)</f>
        <v>19</v>
      </c>
      <c r="CL227" s="1">
        <f>HYPERLINK("http://exon.niaid.nih.gov/transcriptome/T_rubida/S2/links/cluster/Triru-pep-ext70-50-Sim-CLTL19.txt", 2)</f>
        <v>2</v>
      </c>
      <c r="CM227" s="17">
        <f>HYPERLINK("http://exon.niaid.nih.gov/transcriptome/T_rubida/S2/links/cluster/Triru-pep-ext75-50-Sim-CLU20.txt", 20)</f>
        <v>20</v>
      </c>
      <c r="CN227" s="1">
        <f>HYPERLINK("http://exon.niaid.nih.gov/transcriptome/T_rubida/S2/links/cluster/Triru-pep-ext75-50-Sim-CLTL20.txt", 2)</f>
        <v>2</v>
      </c>
      <c r="CO227" s="17">
        <f>HYPERLINK("http://exon.niaid.nih.gov/transcriptome/T_rubida/S2/links/cluster/Triru-pep-ext80-50-Sim-CLU17.txt", 17)</f>
        <v>17</v>
      </c>
      <c r="CP227" s="1">
        <f>HYPERLINK("http://exon.niaid.nih.gov/transcriptome/T_rubida/S2/links/cluster/Triru-pep-ext80-50-Sim-CLTL17.txt", 2)</f>
        <v>2</v>
      </c>
      <c r="CQ227" s="17">
        <f>HYPERLINK("http://exon.niaid.nih.gov/transcriptome/T_rubida/S2/links/cluster/Triru-pep-ext85-50-Sim-CLU15.txt", 15)</f>
        <v>15</v>
      </c>
      <c r="CR227" s="1">
        <f>HYPERLINK("http://exon.niaid.nih.gov/transcriptome/T_rubida/S2/links/cluster/Triru-pep-ext85-50-Sim-CLTL15.txt", 2)</f>
        <v>2</v>
      </c>
      <c r="CS227" s="17">
        <f>HYPERLINK("http://exon.niaid.nih.gov/transcriptome/T_rubida/S2/links/cluster/Triru-pep-ext90-50-Sim-CLU13.txt", 13)</f>
        <v>13</v>
      </c>
      <c r="CT227" s="1">
        <f>HYPERLINK("http://exon.niaid.nih.gov/transcriptome/T_rubida/S2/links/cluster/Triru-pep-ext90-50-Sim-CLTL13.txt", 2)</f>
        <v>2</v>
      </c>
      <c r="CU227" s="17">
        <f>HYPERLINK("http://exon.niaid.nih.gov/transcriptome/T_rubida/S2/links/cluster/Triru-pep-ext95-50-Sim-CLU10.txt", 10)</f>
        <v>10</v>
      </c>
      <c r="CV227" s="1">
        <f>HYPERLINK("http://exon.niaid.nih.gov/transcriptome/T_rubida/S2/links/cluster/Triru-pep-ext95-50-Sim-CLTL10.txt", 2)</f>
        <v>2</v>
      </c>
    </row>
    <row r="228" spans="1:100">
      <c r="A228" t="str">
        <f>HYPERLINK("http://exon.niaid.nih.gov/transcriptome/T_rubida/S2/links/pep/Triru-262-pep.txt","Triru-262")</f>
        <v>Triru-262</v>
      </c>
      <c r="B228">
        <v>43</v>
      </c>
      <c r="C228" s="1" t="s">
        <v>11</v>
      </c>
      <c r="D228" s="1" t="s">
        <v>3</v>
      </c>
      <c r="E228" t="str">
        <f>HYPERLINK("http://exon.niaid.nih.gov/transcriptome/T_rubida/S2/links/cds/Triru-262-cds.txt","Triru-262")</f>
        <v>Triru-262</v>
      </c>
      <c r="F228">
        <v>132</v>
      </c>
      <c r="G228" s="2" t="s">
        <v>1673</v>
      </c>
      <c r="H228" s="1">
        <v>1</v>
      </c>
      <c r="I228" s="3" t="s">
        <v>1268</v>
      </c>
      <c r="J228" s="17" t="str">
        <f>HYPERLINK("http://exon.niaid.nih.gov/transcriptome/T_rubida/S2/links/Sigp/Triru-262-SigP.txt","CYT")</f>
        <v>CYT</v>
      </c>
      <c r="K228" t="s">
        <v>5</v>
      </c>
      <c r="L228" s="1">
        <v>4.8330000000000002</v>
      </c>
      <c r="M228" s="1">
        <v>10.73</v>
      </c>
      <c r="P228" s="1">
        <v>0.35699999999999998</v>
      </c>
      <c r="Q228" s="1">
        <v>6.0999999999999999E-2</v>
      </c>
      <c r="R228" s="1">
        <v>0.59799999999999998</v>
      </c>
      <c r="S228" s="17" t="s">
        <v>1346</v>
      </c>
      <c r="T228">
        <v>4</v>
      </c>
      <c r="U228" t="s">
        <v>1457</v>
      </c>
      <c r="V228" s="17">
        <v>0</v>
      </c>
      <c r="W228" t="s">
        <v>5</v>
      </c>
      <c r="X228" t="s">
        <v>5</v>
      </c>
      <c r="Y228" t="s">
        <v>5</v>
      </c>
      <c r="Z228" t="s">
        <v>5</v>
      </c>
      <c r="AA228" t="s">
        <v>5</v>
      </c>
      <c r="AB228" s="17" t="str">
        <f>HYPERLINK("http://exon.niaid.nih.gov/transcriptome/T_rubida/S2/links/netoglyc/TRIRU-262-netoglyc.txt","0")</f>
        <v>0</v>
      </c>
      <c r="AC228">
        <v>7</v>
      </c>
      <c r="AD228">
        <v>11.6</v>
      </c>
      <c r="AE228">
        <v>4.7</v>
      </c>
      <c r="AF228" s="17" t="s">
        <v>1458</v>
      </c>
      <c r="AG228" s="2" t="str">
        <f>HYPERLINK("http://exon.niaid.nih.gov/transcriptome/T_rubida/S2/links/NR/Triru-262-NR.txt","40S ribosomal protein S23-like")</f>
        <v>40S ribosomal protein S23-like</v>
      </c>
      <c r="AH228" t="str">
        <f>HYPERLINK("http://www.ncbi.nlm.nih.gov/sutils/blink.cgi?pid=340726020","6E-013")</f>
        <v>6E-013</v>
      </c>
      <c r="AI228" t="str">
        <f>HYPERLINK("http://www.ncbi.nlm.nih.gov/protein/340726020","gi|340726020")</f>
        <v>gi|340726020</v>
      </c>
      <c r="AJ228">
        <v>77.400000000000006</v>
      </c>
      <c r="AK228">
        <v>39</v>
      </c>
      <c r="AL228">
        <v>143</v>
      </c>
      <c r="AM228">
        <v>95</v>
      </c>
      <c r="AN228">
        <v>28</v>
      </c>
      <c r="AO228" t="s">
        <v>265</v>
      </c>
      <c r="AP228" s="2" t="str">
        <f>HYPERLINK("http://exon.niaid.nih.gov/transcriptome/T_rubida/S2/links/SWISSP/Triru-262-SWISSP.txt","40S ribosomal protein S23")</f>
        <v>40S ribosomal protein S23</v>
      </c>
      <c r="AQ228" t="str">
        <f>HYPERLINK("http://www.uniprot.org/uniprot/Q962Q7","2E-014")</f>
        <v>2E-014</v>
      </c>
      <c r="AR228" t="s">
        <v>1253</v>
      </c>
      <c r="AS228">
        <v>77.400000000000006</v>
      </c>
      <c r="AT228">
        <v>39</v>
      </c>
      <c r="AU228">
        <v>143</v>
      </c>
      <c r="AV228">
        <v>95</v>
      </c>
      <c r="AW228">
        <v>28</v>
      </c>
      <c r="AX228">
        <v>2</v>
      </c>
      <c r="AY228">
        <v>0</v>
      </c>
      <c r="AZ228">
        <v>104</v>
      </c>
      <c r="BA228">
        <v>4</v>
      </c>
      <c r="BB228">
        <v>1</v>
      </c>
      <c r="BC228" t="s">
        <v>82</v>
      </c>
      <c r="BD228" s="2" t="s">
        <v>1254</v>
      </c>
      <c r="BE228">
        <f>HYPERLINK("http://exon.niaid.nih.gov/transcriptome/T_rubida/S2/links/GO/Triru-262-GO.txt",0.00000000000002)</f>
        <v>2E-14</v>
      </c>
      <c r="BF228" t="s">
        <v>138</v>
      </c>
      <c r="BG228" t="s">
        <v>139</v>
      </c>
      <c r="BH228" t="s">
        <v>140</v>
      </c>
      <c r="BI228" s="2" t="str">
        <f>HYPERLINK("http://exon.niaid.nih.gov/transcriptome/T_rubida/S2/links/CDD/Triru-262-CDD.txt","PTZ00067")</f>
        <v>PTZ00067</v>
      </c>
      <c r="BJ228" t="str">
        <f>HYPERLINK("http://www.ncbi.nlm.nih.gov/Structure/cdd/cddsrv.cgi?uid=PTZ00067&amp;version=v4.0","4E-013")</f>
        <v>4E-013</v>
      </c>
      <c r="BK228" t="s">
        <v>1255</v>
      </c>
      <c r="BL228" s="2" t="str">
        <f>HYPERLINK("http://exon.niaid.nih.gov/transcriptome/T_rubida/S2/links/KOG/Triru-262-KOG.txt","40S ribosomal protein S23")</f>
        <v>40S ribosomal protein S23</v>
      </c>
      <c r="BM228" t="str">
        <f>HYPERLINK("http://www.ncbi.nlm.nih.gov/COG/grace/shokog.cgi?KOG1749","6E-013")</f>
        <v>6E-013</v>
      </c>
      <c r="BN228" t="s">
        <v>84</v>
      </c>
      <c r="BO228" s="2" t="str">
        <f>HYPERLINK("http://exon.niaid.nih.gov/transcriptome/T_rubida/S2/links/PFAM/Triru-262-PFAM.txt","Ribosomal_S12")</f>
        <v>Ribosomal_S12</v>
      </c>
      <c r="BP228" t="str">
        <f>HYPERLINK("http://pfam.sanger.ac.uk/family?acc=PF00164","0.002")</f>
        <v>0.002</v>
      </c>
      <c r="BQ228" s="2" t="str">
        <f>HYPERLINK("http://exon.niaid.nih.gov/transcriptome/T_rubida/S2/links/SMART/Triru-262-SMART.txt","GGDEF")</f>
        <v>GGDEF</v>
      </c>
      <c r="BR228" t="str">
        <f>HYPERLINK("http://smart.embl-heidelberg.de/smart/do_annotation.pl?DOMAIN=GGDEF&amp;BLAST=DUMMY","8.1")</f>
        <v>8.1</v>
      </c>
      <c r="BS228" s="17">
        <f>HYPERLINK("http://exon.niaid.nih.gov/transcriptome/T_rubida/S2/links/cluster/Triru-pep-ext25-50-Sim-CLU1.txt", 1)</f>
        <v>1</v>
      </c>
      <c r="BT228" s="1">
        <f>HYPERLINK("http://exon.niaid.nih.gov/transcriptome/T_rubida/S2/links/cluster/Triru-pep-ext25-50-Sim-CLTL1.txt", 359)</f>
        <v>359</v>
      </c>
      <c r="BU228" s="17">
        <f>HYPERLINK("http://exon.niaid.nih.gov/transcriptome/T_rubida/S2/links/cluster/Triru-pep-ext30-50-Sim-CLU26.txt", 26)</f>
        <v>26</v>
      </c>
      <c r="BV228" s="1">
        <f>HYPERLINK("http://exon.niaid.nih.gov/transcriptome/T_rubida/S2/links/cluster/Triru-pep-ext30-50-Sim-CLTL26.txt", 2)</f>
        <v>2</v>
      </c>
      <c r="BW228" s="17">
        <f>HYPERLINK("http://exon.niaid.nih.gov/transcriptome/T_rubida/S2/links/cluster/Triru-pep-ext35-50-Sim-CLU25.txt", 25)</f>
        <v>25</v>
      </c>
      <c r="BX228" s="1">
        <f>HYPERLINK("http://exon.niaid.nih.gov/transcriptome/T_rubida/S2/links/cluster/Triru-pep-ext35-50-Sim-CLTL25.txt", 2)</f>
        <v>2</v>
      </c>
      <c r="BY228" s="17">
        <f>HYPERLINK("http://exon.niaid.nih.gov/transcriptome/T_rubida/S2/links/cluster/Triru-pep-ext40-50-Sim-CLU23.txt", 23)</f>
        <v>23</v>
      </c>
      <c r="BZ228" s="1">
        <f>HYPERLINK("http://exon.niaid.nih.gov/transcriptome/T_rubida/S2/links/cluster/Triru-pep-ext40-50-Sim-CLTL23.txt", 2)</f>
        <v>2</v>
      </c>
      <c r="CA228" s="17">
        <f>HYPERLINK("http://exon.niaid.nih.gov/transcriptome/T_rubida/S2/links/cluster/Triru-pep-ext45-50-Sim-CLU18.txt", 18)</f>
        <v>18</v>
      </c>
      <c r="CB228" s="1">
        <f>HYPERLINK("http://exon.niaid.nih.gov/transcriptome/T_rubida/S2/links/cluster/Triru-pep-ext45-50-Sim-CLTL18.txt", 2)</f>
        <v>2</v>
      </c>
      <c r="CC228" s="17">
        <v>163</v>
      </c>
      <c r="CD228" s="1">
        <v>1</v>
      </c>
      <c r="CE228" s="17">
        <v>167</v>
      </c>
      <c r="CF228" s="1">
        <v>1</v>
      </c>
      <c r="CG228" s="17">
        <v>169</v>
      </c>
      <c r="CH228" s="1">
        <v>1</v>
      </c>
      <c r="CI228" s="17">
        <v>176</v>
      </c>
      <c r="CJ228" s="1">
        <v>1</v>
      </c>
      <c r="CK228" s="17">
        <v>181</v>
      </c>
      <c r="CL228" s="1">
        <v>1</v>
      </c>
      <c r="CM228" s="17">
        <v>187</v>
      </c>
      <c r="CN228" s="1">
        <v>1</v>
      </c>
      <c r="CO228" s="17">
        <v>197</v>
      </c>
      <c r="CP228" s="1">
        <v>1</v>
      </c>
      <c r="CQ228" s="17">
        <v>207</v>
      </c>
      <c r="CR228" s="1">
        <v>1</v>
      </c>
      <c r="CS228" s="17">
        <v>212</v>
      </c>
      <c r="CT228" s="1">
        <v>1</v>
      </c>
      <c r="CU228" s="17">
        <v>223</v>
      </c>
      <c r="CV228" s="1">
        <v>1</v>
      </c>
    </row>
    <row r="229" spans="1:100">
      <c r="A229" t="str">
        <f>HYPERLINK("http://exon.niaid.nih.gov/transcriptome/T_rubida/S2/links/pep/Triru-612-pep.txt","Triru-612")</f>
        <v>Triru-612</v>
      </c>
      <c r="B229">
        <v>70</v>
      </c>
      <c r="C229" s="1" t="s">
        <v>17</v>
      </c>
      <c r="D229" s="1" t="s">
        <v>3</v>
      </c>
      <c r="E229" t="str">
        <f>HYPERLINK("http://exon.niaid.nih.gov/transcriptome/T_rubida/S2/links/cds/Triru-612-cds.txt","Triru-612")</f>
        <v>Triru-612</v>
      </c>
      <c r="F229">
        <v>213</v>
      </c>
      <c r="G229" s="2" t="s">
        <v>1695</v>
      </c>
      <c r="H229" s="1">
        <v>1</v>
      </c>
      <c r="I229" s="3" t="s">
        <v>1268</v>
      </c>
      <c r="J229" s="17" t="str">
        <f>HYPERLINK("http://exon.niaid.nih.gov/transcriptome/T_rubida/S2/links/Sigp/Triru-612-SigP.txt","CYT")</f>
        <v>CYT</v>
      </c>
      <c r="K229" t="s">
        <v>5</v>
      </c>
      <c r="L229" s="1">
        <v>8.1059999999999999</v>
      </c>
      <c r="M229" s="1">
        <v>10.42</v>
      </c>
      <c r="P229" s="1">
        <v>0.36699999999999999</v>
      </c>
      <c r="Q229" s="1">
        <v>3.6999999999999998E-2</v>
      </c>
      <c r="R229" s="1">
        <v>0.69899999999999995</v>
      </c>
      <c r="S229" s="17" t="s">
        <v>1346</v>
      </c>
      <c r="T229">
        <v>4</v>
      </c>
      <c r="U229" t="s">
        <v>1459</v>
      </c>
      <c r="V229" s="17">
        <v>0</v>
      </c>
      <c r="W229" t="s">
        <v>5</v>
      </c>
      <c r="X229" t="s">
        <v>5</v>
      </c>
      <c r="Y229" t="s">
        <v>5</v>
      </c>
      <c r="Z229" t="s">
        <v>5</v>
      </c>
      <c r="AA229" t="s">
        <v>5</v>
      </c>
      <c r="AB229" s="17" t="str">
        <f>HYPERLINK("http://exon.niaid.nih.gov/transcriptome/T_rubida/S2/links/netoglyc/TRIRU-612-netoglyc.txt","0")</f>
        <v>0</v>
      </c>
      <c r="AC229">
        <v>12.9</v>
      </c>
      <c r="AD229">
        <v>5.7</v>
      </c>
      <c r="AE229">
        <v>1.4</v>
      </c>
      <c r="AF229" s="17" t="s">
        <v>1460</v>
      </c>
      <c r="AG229" s="2" t="str">
        <f>HYPERLINK("http://exon.niaid.nih.gov/transcriptome/T_rubida/S2/links/NR/Triru-612-NR.txt","60S ribosomal protein L13a")</f>
        <v>60S ribosomal protein L13a</v>
      </c>
      <c r="AH229" t="str">
        <f>HYPERLINK("http://www.ncbi.nlm.nih.gov/sutils/blink.cgi?pid=332029842","8E-024")</f>
        <v>8E-024</v>
      </c>
      <c r="AI229" t="str">
        <f>HYPERLINK("http://www.ncbi.nlm.nih.gov/protein/332029842","gi|332029842")</f>
        <v>gi|332029842</v>
      </c>
      <c r="AJ229">
        <v>113</v>
      </c>
      <c r="AK229">
        <v>68</v>
      </c>
      <c r="AL229">
        <v>252</v>
      </c>
      <c r="AM229">
        <v>72</v>
      </c>
      <c r="AN229">
        <v>27</v>
      </c>
      <c r="AO229" t="s">
        <v>300</v>
      </c>
      <c r="AP229" s="2" t="str">
        <f>HYPERLINK("http://exon.niaid.nih.gov/transcriptome/T_rubida/S2/links/SWISSP/Triru-612-SWISSP.txt","60S ribosomal protein L13a")</f>
        <v>60S ribosomal protein L13a</v>
      </c>
      <c r="AQ229" t="str">
        <f>HYPERLINK("http://www.uniprot.org/uniprot/Q962U0","1E-020")</f>
        <v>1E-020</v>
      </c>
      <c r="AR229" t="s">
        <v>1077</v>
      </c>
      <c r="AS229">
        <v>98.2</v>
      </c>
      <c r="AT229">
        <v>68</v>
      </c>
      <c r="AU229">
        <v>204</v>
      </c>
      <c r="AV229">
        <v>63</v>
      </c>
      <c r="AW229">
        <v>34</v>
      </c>
      <c r="AX229">
        <v>25</v>
      </c>
      <c r="AY229">
        <v>0</v>
      </c>
      <c r="AZ229">
        <v>135</v>
      </c>
      <c r="BA229">
        <v>1</v>
      </c>
      <c r="BB229">
        <v>1</v>
      </c>
      <c r="BC229" t="s">
        <v>82</v>
      </c>
      <c r="BD229" s="2" t="s">
        <v>1078</v>
      </c>
      <c r="BE229">
        <f>HYPERLINK("http://exon.niaid.nih.gov/transcriptome/T_rubida/S2/links/GO/Triru-612-GO.txt",0.0000000000000004)</f>
        <v>3.9999999999999999E-16</v>
      </c>
      <c r="BF229" t="s">
        <v>138</v>
      </c>
      <c r="BG229" t="s">
        <v>139</v>
      </c>
      <c r="BH229" t="s">
        <v>140</v>
      </c>
      <c r="BI229" s="2" t="str">
        <f>HYPERLINK("http://exon.niaid.nih.gov/transcriptome/T_rubida/S2/links/CDD/Triru-612-CDD.txt","PTZ00068")</f>
        <v>PTZ00068</v>
      </c>
      <c r="BJ229" t="str">
        <f>HYPERLINK("http://www.ncbi.nlm.nih.gov/Structure/cdd/cddsrv.cgi?uid=PTZ00068&amp;version=v4.0","3E-008")</f>
        <v>3E-008</v>
      </c>
      <c r="BK229" t="s">
        <v>1079</v>
      </c>
      <c r="BL229" s="2" t="str">
        <f>HYPERLINK("http://exon.niaid.nih.gov/transcriptome/T_rubida/S2/links/KOG/Triru-612-KOG.txt","60S ribosomal protein L13a")</f>
        <v>60S ribosomal protein L13a</v>
      </c>
      <c r="BM229" t="str">
        <f>HYPERLINK("http://www.ncbi.nlm.nih.gov/COG/grace/shokog.cgi?KOG3204","6E-012")</f>
        <v>6E-012</v>
      </c>
      <c r="BN229" t="s">
        <v>84</v>
      </c>
      <c r="BO229" s="2" t="str">
        <f>HYPERLINK("http://exon.niaid.nih.gov/transcriptome/T_rubida/S2/links/PFAM/Triru-612-PFAM.txt","UPF0075")</f>
        <v>UPF0075</v>
      </c>
      <c r="BP229" t="str">
        <f>HYPERLINK("http://pfam.sanger.ac.uk/family?acc=PF03702","1.3")</f>
        <v>1.3</v>
      </c>
      <c r="BQ229" s="2" t="str">
        <f>HYPERLINK("http://exon.niaid.nih.gov/transcriptome/T_rubida/S2/links/SMART/Triru-612-SMART.txt","RHO")</f>
        <v>RHO</v>
      </c>
      <c r="BR229" t="str">
        <f>HYPERLINK("http://smart.embl-heidelberg.de/smart/do_annotation.pl?DOMAIN=RHO&amp;BLAST=DUMMY","0.65")</f>
        <v>0.65</v>
      </c>
      <c r="BS229" s="17">
        <f>HYPERLINK("http://exon.niaid.nih.gov/transcriptome/T_rubida/S2/links/cluster/Triru-pep-ext25-50-Sim-CLU1.txt", 1)</f>
        <v>1</v>
      </c>
      <c r="BT229" s="1">
        <f>HYPERLINK("http://exon.niaid.nih.gov/transcriptome/T_rubida/S2/links/cluster/Triru-pep-ext25-50-Sim-CLTL1.txt", 359)</f>
        <v>359</v>
      </c>
      <c r="BU229" s="17">
        <v>277</v>
      </c>
      <c r="BV229" s="1">
        <v>1</v>
      </c>
      <c r="BW229" s="17">
        <v>358</v>
      </c>
      <c r="BX229" s="1">
        <v>1</v>
      </c>
      <c r="BY229" s="17">
        <v>393</v>
      </c>
      <c r="BZ229" s="1">
        <v>1</v>
      </c>
      <c r="CA229" s="17">
        <v>408</v>
      </c>
      <c r="CB229" s="1">
        <v>1</v>
      </c>
      <c r="CC229" s="17">
        <v>423</v>
      </c>
      <c r="CD229" s="1">
        <v>1</v>
      </c>
      <c r="CE229" s="17">
        <v>438</v>
      </c>
      <c r="CF229" s="1">
        <v>1</v>
      </c>
      <c r="CG229" s="17">
        <v>445</v>
      </c>
      <c r="CH229" s="1">
        <v>1</v>
      </c>
      <c r="CI229" s="17">
        <v>459</v>
      </c>
      <c r="CJ229" s="1">
        <v>1</v>
      </c>
      <c r="CK229" s="17">
        <v>465</v>
      </c>
      <c r="CL229" s="1">
        <v>1</v>
      </c>
      <c r="CM229" s="17">
        <v>477</v>
      </c>
      <c r="CN229" s="1">
        <v>1</v>
      </c>
      <c r="CO229" s="17">
        <v>489</v>
      </c>
      <c r="CP229" s="1">
        <v>1</v>
      </c>
      <c r="CQ229" s="17">
        <v>499</v>
      </c>
      <c r="CR229" s="1">
        <v>1</v>
      </c>
      <c r="CS229" s="17">
        <v>512</v>
      </c>
      <c r="CT229" s="1">
        <v>1</v>
      </c>
      <c r="CU229" s="17">
        <v>524</v>
      </c>
      <c r="CV229" s="1">
        <v>1</v>
      </c>
    </row>
    <row r="230" spans="1:100">
      <c r="A230" t="str">
        <f>HYPERLINK("http://exon.niaid.nih.gov/transcriptome/T_rubida/S2/links/pep/Triru-611-pep.txt","Triru-611")</f>
        <v>Triru-611</v>
      </c>
      <c r="B230">
        <v>60</v>
      </c>
      <c r="C230" s="1" t="s">
        <v>10</v>
      </c>
      <c r="D230" s="1" t="s">
        <v>3</v>
      </c>
      <c r="E230" t="str">
        <f>HYPERLINK("http://exon.niaid.nih.gov/transcriptome/T_rubida/S2/links/cds/Triru-611-cds.txt","Triru-611")</f>
        <v>Triru-611</v>
      </c>
      <c r="F230">
        <v>183</v>
      </c>
      <c r="G230" s="2" t="s">
        <v>1647</v>
      </c>
      <c r="H230" s="1">
        <v>1</v>
      </c>
      <c r="I230" s="3" t="s">
        <v>1268</v>
      </c>
      <c r="J230" s="17" t="str">
        <f>HYPERLINK("http://exon.niaid.nih.gov/transcriptome/T_rubida/S2/links/Sigp/Triru-611-SigP.txt","CYT")</f>
        <v>CYT</v>
      </c>
      <c r="K230" t="s">
        <v>5</v>
      </c>
      <c r="L230" s="1">
        <v>6.1929999999999996</v>
      </c>
      <c r="M230" s="1">
        <v>8.77</v>
      </c>
      <c r="P230" s="1">
        <v>0.123</v>
      </c>
      <c r="Q230" s="1">
        <v>0.05</v>
      </c>
      <c r="R230" s="1">
        <v>0.88700000000000001</v>
      </c>
      <c r="S230" s="17" t="s">
        <v>1346</v>
      </c>
      <c r="T230">
        <v>2</v>
      </c>
      <c r="U230" t="s">
        <v>1348</v>
      </c>
      <c r="V230" s="17">
        <v>0</v>
      </c>
      <c r="W230" t="s">
        <v>5</v>
      </c>
      <c r="X230" t="s">
        <v>5</v>
      </c>
      <c r="Y230" t="s">
        <v>5</v>
      </c>
      <c r="Z230" t="s">
        <v>5</v>
      </c>
      <c r="AA230" t="s">
        <v>5</v>
      </c>
      <c r="AB230" s="17" t="str">
        <f>HYPERLINK("http://exon.niaid.nih.gov/transcriptome/T_rubida/S2/links/netoglyc/TRIRU-611-netoglyc.txt","0")</f>
        <v>0</v>
      </c>
      <c r="AC230">
        <v>13.3</v>
      </c>
      <c r="AD230">
        <v>13.3</v>
      </c>
      <c r="AE230">
        <v>6.7</v>
      </c>
      <c r="AF230" s="17" t="s">
        <v>1461</v>
      </c>
      <c r="AG230" s="2" t="str">
        <f>HYPERLINK("http://exon.niaid.nih.gov/transcriptome/T_rubida/S2/links/NR/Triru-611-NR.txt","putative S9e ribosomal protein")</f>
        <v>putative S9e ribosomal protein</v>
      </c>
      <c r="AH230" t="str">
        <f>HYPERLINK("http://www.ncbi.nlm.nih.gov/sutils/blink.cgi?pid=90819966","3E-017")</f>
        <v>3E-017</v>
      </c>
      <c r="AI230" t="str">
        <f>HYPERLINK("http://www.ncbi.nlm.nih.gov/protein/90819966","gi|90819966")</f>
        <v>gi|90819966</v>
      </c>
      <c r="AJ230">
        <v>91.7</v>
      </c>
      <c r="AK230">
        <v>49</v>
      </c>
      <c r="AL230">
        <v>193</v>
      </c>
      <c r="AM230">
        <v>88</v>
      </c>
      <c r="AN230">
        <v>26</v>
      </c>
      <c r="AO230" t="s">
        <v>427</v>
      </c>
      <c r="AP230" s="2" t="str">
        <f>HYPERLINK("http://exon.niaid.nih.gov/transcriptome/T_rubida/S2/links/SWISSP/Triru-611-SWISSP.txt","40S ribosomal protein S9")</f>
        <v>40S ribosomal protein S9</v>
      </c>
      <c r="AQ230" t="str">
        <f>HYPERLINK("http://www.uniprot.org/uniprot/P29314","4E-015")</f>
        <v>4E-015</v>
      </c>
      <c r="AR230" t="s">
        <v>948</v>
      </c>
      <c r="AS230">
        <v>80.099999999999994</v>
      </c>
      <c r="AT230">
        <v>49</v>
      </c>
      <c r="AU230">
        <v>194</v>
      </c>
      <c r="AV230">
        <v>74</v>
      </c>
      <c r="AW230">
        <v>26</v>
      </c>
      <c r="AX230">
        <v>13</v>
      </c>
      <c r="AY230">
        <v>0</v>
      </c>
      <c r="AZ230">
        <v>143</v>
      </c>
      <c r="BA230">
        <v>11</v>
      </c>
      <c r="BB230">
        <v>1</v>
      </c>
      <c r="BC230" t="s">
        <v>130</v>
      </c>
      <c r="BD230" s="2" t="s">
        <v>949</v>
      </c>
      <c r="BE230">
        <f>HYPERLINK("http://exon.niaid.nih.gov/transcriptome/T_rubida/S2/links/GO/Triru-611-GO.txt",0.000000000000003)</f>
        <v>2.9999999999999998E-15</v>
      </c>
      <c r="BF230" t="s">
        <v>105</v>
      </c>
      <c r="BG230" t="s">
        <v>105</v>
      </c>
      <c r="BI230" s="2" t="str">
        <f>HYPERLINK("http://exon.niaid.nih.gov/transcriptome/T_rubida/S2/links/CDD/Triru-611-CDD.txt","PLN00189")</f>
        <v>PLN00189</v>
      </c>
      <c r="BJ230" t="str">
        <f>HYPERLINK("http://www.ncbi.nlm.nih.gov/Structure/cdd/cddsrv.cgi?uid=PLN00189&amp;version=v4.0","3E-015")</f>
        <v>3E-015</v>
      </c>
      <c r="BK230" t="s">
        <v>950</v>
      </c>
      <c r="BL230" s="2" t="str">
        <f>HYPERLINK("http://exon.niaid.nih.gov/transcriptome/T_rubida/S2/links/KOG/Triru-611-KOG.txt","Ribosomal protein S4")</f>
        <v>Ribosomal protein S4</v>
      </c>
      <c r="BM230" t="str">
        <f>HYPERLINK("http://www.ncbi.nlm.nih.gov/COG/grace/shokog.cgi?KOG3301","6E-012")</f>
        <v>6E-012</v>
      </c>
      <c r="BN230" t="s">
        <v>84</v>
      </c>
      <c r="BO230" s="2" t="str">
        <f>HYPERLINK("http://exon.niaid.nih.gov/transcriptome/T_rubida/S2/links/PFAM/Triru-611-PFAM.txt","Oxysterol_BP")</f>
        <v>Oxysterol_BP</v>
      </c>
      <c r="BP230" t="str">
        <f>HYPERLINK("http://pfam.sanger.ac.uk/family?acc=PF01237","1.7")</f>
        <v>1.7</v>
      </c>
      <c r="BQ230" s="2" t="str">
        <f>HYPERLINK("http://exon.niaid.nih.gov/transcriptome/T_rubida/S2/links/SMART/Triru-611-SMART.txt","DENN")</f>
        <v>DENN</v>
      </c>
      <c r="BR230" t="str">
        <f>HYPERLINK("http://smart.embl-heidelberg.de/smart/do_annotation.pl?DOMAIN=DENN&amp;BLAST=DUMMY","1.0")</f>
        <v>1.0</v>
      </c>
      <c r="BS230" s="17">
        <v>180</v>
      </c>
      <c r="BT230" s="1">
        <v>1</v>
      </c>
      <c r="BU230" s="17">
        <v>276</v>
      </c>
      <c r="BV230" s="1">
        <v>1</v>
      </c>
      <c r="BW230" s="17">
        <v>357</v>
      </c>
      <c r="BX230" s="1">
        <v>1</v>
      </c>
      <c r="BY230" s="17">
        <v>392</v>
      </c>
      <c r="BZ230" s="1">
        <v>1</v>
      </c>
      <c r="CA230" s="17">
        <v>407</v>
      </c>
      <c r="CB230" s="1">
        <v>1</v>
      </c>
      <c r="CC230" s="17">
        <v>422</v>
      </c>
      <c r="CD230" s="1">
        <v>1</v>
      </c>
      <c r="CE230" s="17">
        <v>437</v>
      </c>
      <c r="CF230" s="1">
        <v>1</v>
      </c>
      <c r="CG230" s="17">
        <v>444</v>
      </c>
      <c r="CH230" s="1">
        <v>1</v>
      </c>
      <c r="CI230" s="17">
        <v>458</v>
      </c>
      <c r="CJ230" s="1">
        <v>1</v>
      </c>
      <c r="CK230" s="17">
        <v>464</v>
      </c>
      <c r="CL230" s="1">
        <v>1</v>
      </c>
      <c r="CM230" s="17">
        <v>476</v>
      </c>
      <c r="CN230" s="1">
        <v>1</v>
      </c>
      <c r="CO230" s="17">
        <v>488</v>
      </c>
      <c r="CP230" s="1">
        <v>1</v>
      </c>
      <c r="CQ230" s="17">
        <v>498</v>
      </c>
      <c r="CR230" s="1">
        <v>1</v>
      </c>
      <c r="CS230" s="17">
        <v>511</v>
      </c>
      <c r="CT230" s="1">
        <v>1</v>
      </c>
      <c r="CU230" s="17">
        <v>523</v>
      </c>
      <c r="CV230" s="1">
        <v>1</v>
      </c>
    </row>
    <row r="231" spans="1:100">
      <c r="A231" t="str">
        <f>HYPERLINK("http://exon.niaid.nih.gov/transcriptome/T_rubida/S2/links/pep/Triru-465-pep.txt","Triru-465")</f>
        <v>Triru-465</v>
      </c>
      <c r="B231">
        <v>61</v>
      </c>
      <c r="C231" s="1" t="s">
        <v>4</v>
      </c>
      <c r="D231" s="1" t="s">
        <v>3</v>
      </c>
      <c r="E231" t="str">
        <f>HYPERLINK("http://exon.niaid.nih.gov/transcriptome/T_rubida/S2/links/cds/Triru-465-cds.txt","Triru-465")</f>
        <v>Triru-465</v>
      </c>
      <c r="F231">
        <v>186</v>
      </c>
      <c r="G231" s="2" t="s">
        <v>1671</v>
      </c>
      <c r="H231" s="1">
        <v>1</v>
      </c>
      <c r="I231" s="3" t="s">
        <v>1268</v>
      </c>
      <c r="J231" s="17" t="str">
        <f>HYPERLINK("http://exon.niaid.nih.gov/transcriptome/T_rubida/S2/links/Sigp/Triru-465-SigP.txt","CYT")</f>
        <v>CYT</v>
      </c>
      <c r="K231" t="s">
        <v>5</v>
      </c>
      <c r="L231" s="1">
        <v>6.51</v>
      </c>
      <c r="M231" s="1">
        <v>9.36</v>
      </c>
      <c r="P231" s="1">
        <v>0.45400000000000001</v>
      </c>
      <c r="Q231" s="1">
        <v>0.06</v>
      </c>
      <c r="R231" s="1">
        <v>0.502</v>
      </c>
      <c r="S231" s="17" t="s">
        <v>1346</v>
      </c>
      <c r="T231">
        <v>5</v>
      </c>
      <c r="U231" t="s">
        <v>1383</v>
      </c>
      <c r="V231" s="17">
        <v>0</v>
      </c>
      <c r="W231" t="s">
        <v>5</v>
      </c>
      <c r="X231" t="s">
        <v>5</v>
      </c>
      <c r="Y231" t="s">
        <v>5</v>
      </c>
      <c r="Z231" t="s">
        <v>5</v>
      </c>
      <c r="AA231" t="s">
        <v>5</v>
      </c>
      <c r="AB231" s="17" t="str">
        <f>HYPERLINK("http://exon.niaid.nih.gov/transcriptome/T_rubida/S2/links/netoglyc/TRIRU-465-netoglyc.txt","6")</f>
        <v>6</v>
      </c>
      <c r="AC231">
        <v>13.1</v>
      </c>
      <c r="AD231">
        <v>11.5</v>
      </c>
      <c r="AE231">
        <v>13.1</v>
      </c>
      <c r="AF231" s="17" t="s">
        <v>5</v>
      </c>
      <c r="AG231" s="2" t="str">
        <f>HYPERLINK("http://exon.niaid.nih.gov/transcriptome/T_rubida/S2/links/NR/Triru-465-NR.txt","40S ribosomal protein S3")</f>
        <v>40S ribosomal protein S3</v>
      </c>
      <c r="AH231" t="str">
        <f>HYPERLINK("http://www.ncbi.nlm.nih.gov/sutils/blink.cgi?pid=121511934","5E-016")</f>
        <v>5E-016</v>
      </c>
      <c r="AI231" t="str">
        <f>HYPERLINK("http://www.ncbi.nlm.nih.gov/protein/121511934","gi|121511934")</f>
        <v>gi|121511934</v>
      </c>
      <c r="AJ231">
        <v>87.8</v>
      </c>
      <c r="AK231">
        <v>61</v>
      </c>
      <c r="AL231">
        <v>243</v>
      </c>
      <c r="AM231">
        <v>72</v>
      </c>
      <c r="AN231">
        <v>26</v>
      </c>
      <c r="AO231" t="s">
        <v>148</v>
      </c>
      <c r="AP231" s="2" t="str">
        <f>HYPERLINK("http://exon.niaid.nih.gov/transcriptome/T_rubida/S2/links/SWISSP/Triru-465-SWISSP.txt","40S ribosomal protein S3")</f>
        <v>40S ribosomal protein S3</v>
      </c>
      <c r="AQ231" t="str">
        <f>HYPERLINK("http://www.uniprot.org/uniprot/Q06559","3E-016")</f>
        <v>3E-016</v>
      </c>
      <c r="AR231" t="s">
        <v>149</v>
      </c>
      <c r="AS231">
        <v>83.6</v>
      </c>
      <c r="AT231">
        <v>45</v>
      </c>
      <c r="AU231">
        <v>246</v>
      </c>
      <c r="AV231">
        <v>84</v>
      </c>
      <c r="AW231">
        <v>19</v>
      </c>
      <c r="AX231">
        <v>7</v>
      </c>
      <c r="AY231">
        <v>0</v>
      </c>
      <c r="AZ231">
        <v>173</v>
      </c>
      <c r="BA231">
        <v>1</v>
      </c>
      <c r="BB231">
        <v>1</v>
      </c>
      <c r="BC231" t="s">
        <v>150</v>
      </c>
      <c r="BD231" s="2" t="s">
        <v>151</v>
      </c>
      <c r="BE231">
        <f>HYPERLINK("http://exon.niaid.nih.gov/transcriptome/T_rubida/S2/links/GO/Triru-465-GO.txt",0.0000000000000002)</f>
        <v>2E-16</v>
      </c>
      <c r="BF231" t="s">
        <v>152</v>
      </c>
      <c r="BG231" t="s">
        <v>153</v>
      </c>
      <c r="BH231" t="s">
        <v>154</v>
      </c>
      <c r="BI231" s="2" t="str">
        <f>HYPERLINK("http://exon.niaid.nih.gov/transcriptome/T_rubida/S2/links/CDD/Triru-465-CDD.txt","PTZ00084")</f>
        <v>PTZ00084</v>
      </c>
      <c r="BJ231" t="str">
        <f>HYPERLINK("http://www.ncbi.nlm.nih.gov/Structure/cdd/cddsrv.cgi?uid=PTZ00084&amp;version=v4.0","1E-017")</f>
        <v>1E-017</v>
      </c>
      <c r="BK231" t="s">
        <v>155</v>
      </c>
      <c r="BL231" s="2" t="str">
        <f>HYPERLINK("http://exon.niaid.nih.gov/transcriptome/T_rubida/S2/links/KOG/Triru-465-KOG.txt","40S ribosomal protein S3")</f>
        <v>40S ribosomal protein S3</v>
      </c>
      <c r="BM231" t="str">
        <f>HYPERLINK("http://www.ncbi.nlm.nih.gov/COG/grace/shokog.cgi?KOG3181","5E-017")</f>
        <v>5E-017</v>
      </c>
      <c r="BN231" t="s">
        <v>84</v>
      </c>
      <c r="BO231" s="2" t="str">
        <f>HYPERLINK("http://exon.niaid.nih.gov/transcriptome/T_rubida/S2/links/PFAM/Triru-465-PFAM.txt","Ribosomal_S3_C")</f>
        <v>Ribosomal_S3_C</v>
      </c>
      <c r="BP231" t="str">
        <f>HYPERLINK("http://pfam.sanger.ac.uk/family?acc=PF00189","0.013")</f>
        <v>0.013</v>
      </c>
      <c r="BQ231" s="2" t="str">
        <f>HYPERLINK("http://exon.niaid.nih.gov/transcriptome/T_rubida/S2/links/SMART/Triru-465-SMART.txt","PRY")</f>
        <v>PRY</v>
      </c>
      <c r="BR231" t="str">
        <f>HYPERLINK("http://smart.embl-heidelberg.de/smart/do_annotation.pl?DOMAIN=PRY&amp;BLAST=DUMMY","3.8")</f>
        <v>3.8</v>
      </c>
      <c r="BS231" s="17">
        <f>HYPERLINK("http://exon.niaid.nih.gov/transcriptome/T_rubida/S2/links/cluster/Triru-pep-ext25-50-Sim-CLU1.txt", 1)</f>
        <v>1</v>
      </c>
      <c r="BT231" s="1">
        <f>HYPERLINK("http://exon.niaid.nih.gov/transcriptome/T_rubida/S2/links/cluster/Triru-pep-ext25-50-Sim-CLTL1.txt", 359)</f>
        <v>359</v>
      </c>
      <c r="BU231" s="17">
        <v>210</v>
      </c>
      <c r="BV231" s="1">
        <v>1</v>
      </c>
      <c r="BW231" s="17">
        <v>268</v>
      </c>
      <c r="BX231" s="1">
        <v>1</v>
      </c>
      <c r="BY231" s="17">
        <v>290</v>
      </c>
      <c r="BZ231" s="1">
        <v>1</v>
      </c>
      <c r="CA231" s="17">
        <v>300</v>
      </c>
      <c r="CB231" s="1">
        <v>1</v>
      </c>
      <c r="CC231" s="17">
        <v>310</v>
      </c>
      <c r="CD231" s="1">
        <v>1</v>
      </c>
      <c r="CE231" s="17">
        <v>321</v>
      </c>
      <c r="CF231" s="1">
        <v>1</v>
      </c>
      <c r="CG231" s="17">
        <v>326</v>
      </c>
      <c r="CH231" s="1">
        <v>1</v>
      </c>
      <c r="CI231" s="17">
        <v>336</v>
      </c>
      <c r="CJ231" s="1">
        <v>1</v>
      </c>
      <c r="CK231" s="17">
        <v>342</v>
      </c>
      <c r="CL231" s="1">
        <v>1</v>
      </c>
      <c r="CM231" s="17">
        <v>350</v>
      </c>
      <c r="CN231" s="1">
        <v>1</v>
      </c>
      <c r="CO231" s="17">
        <v>362</v>
      </c>
      <c r="CP231" s="1">
        <v>1</v>
      </c>
      <c r="CQ231" s="17">
        <v>372</v>
      </c>
      <c r="CR231" s="1">
        <v>1</v>
      </c>
      <c r="CS231" s="17">
        <v>385</v>
      </c>
      <c r="CT231" s="1">
        <v>1</v>
      </c>
      <c r="CU231" s="17">
        <v>396</v>
      </c>
      <c r="CV231" s="1">
        <v>1</v>
      </c>
    </row>
    <row r="232" spans="1:100">
      <c r="A232" t="str">
        <f>HYPERLINK("http://exon.niaid.nih.gov/transcriptome/T_rubida/S2/links/pep/Triru-643-pep.txt","Triru-643")</f>
        <v>Triru-643</v>
      </c>
      <c r="B232">
        <v>50</v>
      </c>
      <c r="C232" s="1" t="s">
        <v>6</v>
      </c>
      <c r="D232" s="1" t="s">
        <v>3</v>
      </c>
      <c r="E232" t="str">
        <f>HYPERLINK("http://exon.niaid.nih.gov/transcriptome/T_rubida/S2/links/cds/Triru-643-cds.txt","Triru-643")</f>
        <v>Triru-643</v>
      </c>
      <c r="F232">
        <v>153</v>
      </c>
      <c r="G232" s="2" t="s">
        <v>1688</v>
      </c>
      <c r="H232" s="1">
        <v>1</v>
      </c>
      <c r="I232" s="3" t="s">
        <v>1268</v>
      </c>
      <c r="J232" s="17" t="str">
        <f>HYPERLINK("http://exon.niaid.nih.gov/transcriptome/T_rubida/S2/links/Sigp/Triru-643-SigP.txt","CYT")</f>
        <v>CYT</v>
      </c>
      <c r="K232" t="s">
        <v>5</v>
      </c>
      <c r="L232" s="1">
        <v>5.4340000000000002</v>
      </c>
      <c r="M232" s="1">
        <v>9.6300000000000008</v>
      </c>
      <c r="P232" s="1">
        <v>0.23</v>
      </c>
      <c r="Q232" s="1">
        <v>6.8000000000000005E-2</v>
      </c>
      <c r="R232" s="1">
        <v>0.72</v>
      </c>
      <c r="S232" s="17" t="s">
        <v>1346</v>
      </c>
      <c r="T232">
        <v>3</v>
      </c>
      <c r="U232" t="s">
        <v>1348</v>
      </c>
      <c r="V232" s="17">
        <v>0</v>
      </c>
      <c r="W232" t="s">
        <v>5</v>
      </c>
      <c r="X232" t="s">
        <v>5</v>
      </c>
      <c r="Y232" t="s">
        <v>5</v>
      </c>
      <c r="Z232" t="s">
        <v>5</v>
      </c>
      <c r="AA232" t="s">
        <v>5</v>
      </c>
      <c r="AB232" s="17" t="str">
        <f>HYPERLINK("http://exon.niaid.nih.gov/transcriptome/T_rubida/S2/links/netoglyc/TRIRU-643-netoglyc.txt","0")</f>
        <v>0</v>
      </c>
      <c r="AC232">
        <v>4</v>
      </c>
      <c r="AD232">
        <v>16</v>
      </c>
      <c r="AE232">
        <v>2</v>
      </c>
      <c r="AF232" s="17" t="s">
        <v>5</v>
      </c>
      <c r="AG232" s="2" t="str">
        <f>HYPERLINK("http://exon.niaid.nih.gov/transcriptome/T_rubida/S2/links/NR/Triru-643-NR.txt","40S ribosomal protein S8")</f>
        <v>40S ribosomal protein S8</v>
      </c>
      <c r="AH232" t="str">
        <f>HYPERLINK("http://www.ncbi.nlm.nih.gov/sutils/blink.cgi?pid=149689088","6E-019")</f>
        <v>6E-019</v>
      </c>
      <c r="AI232" t="str">
        <f>HYPERLINK("http://www.ncbi.nlm.nih.gov/protein/149689088","gi|149689088")</f>
        <v>gi|149689088</v>
      </c>
      <c r="AJ232">
        <v>97.4</v>
      </c>
      <c r="AK232">
        <v>48</v>
      </c>
      <c r="AL232">
        <v>208</v>
      </c>
      <c r="AM232">
        <v>93</v>
      </c>
      <c r="AN232">
        <v>24</v>
      </c>
      <c r="AO232" t="s">
        <v>80</v>
      </c>
      <c r="AP232" s="2" t="str">
        <f>HYPERLINK("http://exon.niaid.nih.gov/transcriptome/T_rubida/S2/links/SWISSP/Triru-643-SWISSP.txt","40S ribosomal protein S8")</f>
        <v>40S ribosomal protein S8</v>
      </c>
      <c r="AQ232" t="str">
        <f>HYPERLINK("http://www.uniprot.org/uniprot/Q7SYU0","2E-018")</f>
        <v>2E-018</v>
      </c>
      <c r="AR232" t="s">
        <v>452</v>
      </c>
      <c r="AS232">
        <v>90.9</v>
      </c>
      <c r="AT232">
        <v>46</v>
      </c>
      <c r="AU232">
        <v>208</v>
      </c>
      <c r="AV232">
        <v>89</v>
      </c>
      <c r="AW232">
        <v>23</v>
      </c>
      <c r="AX232">
        <v>5</v>
      </c>
      <c r="AY232">
        <v>0</v>
      </c>
      <c r="AZ232">
        <v>162</v>
      </c>
      <c r="BA232">
        <v>4</v>
      </c>
      <c r="BB232">
        <v>1</v>
      </c>
      <c r="BC232" t="s">
        <v>109</v>
      </c>
      <c r="BD232" s="2" t="s">
        <v>453</v>
      </c>
      <c r="BE232">
        <f>HYPERLINK("http://exon.niaid.nih.gov/transcriptome/T_rubida/S2/links/GO/Triru-643-GO.txt",0.000000000000000003)</f>
        <v>2.9999999999999998E-18</v>
      </c>
      <c r="BF232" t="s">
        <v>105</v>
      </c>
      <c r="BG232" t="s">
        <v>105</v>
      </c>
      <c r="BI232" s="2" t="str">
        <f>HYPERLINK("http://exon.niaid.nih.gov/transcriptome/T_rubida/S2/links/CDD/Triru-643-CDD.txt","PTZ00148")</f>
        <v>PTZ00148</v>
      </c>
      <c r="BJ232" t="str">
        <f>HYPERLINK("http://www.ncbi.nlm.nih.gov/Structure/cdd/cddsrv.cgi?uid=PTZ00148&amp;version=v4.0","4E-020")</f>
        <v>4E-020</v>
      </c>
      <c r="BK232" t="s">
        <v>454</v>
      </c>
      <c r="BL232" s="2" t="str">
        <f>HYPERLINK("http://exon.niaid.nih.gov/transcriptome/T_rubida/S2/links/KOG/Triru-643-KOG.txt","40S ribosomal protein S8")</f>
        <v>40S ribosomal protein S8</v>
      </c>
      <c r="BM232" t="str">
        <f>HYPERLINK("http://www.ncbi.nlm.nih.gov/COG/grace/shokog.cgi?KOG3283","1E-018")</f>
        <v>1E-018</v>
      </c>
      <c r="BN232" t="s">
        <v>84</v>
      </c>
      <c r="BO232" s="2" t="str">
        <f>HYPERLINK("http://exon.niaid.nih.gov/transcriptome/T_rubida/S2/links/PFAM/Triru-643-PFAM.txt","Ribosomal_S8e")</f>
        <v>Ribosomal_S8e</v>
      </c>
      <c r="BP232" t="str">
        <f>HYPERLINK("http://pfam.sanger.ac.uk/family?acc=PF01201","3E-004")</f>
        <v>3E-004</v>
      </c>
      <c r="BQ232" s="2" t="str">
        <f>HYPERLINK("http://exon.niaid.nih.gov/transcriptome/T_rubida/S2/links/SMART/Triru-643-SMART.txt","PSI")</f>
        <v>PSI</v>
      </c>
      <c r="BR232" t="str">
        <f>HYPERLINK("http://smart.embl-heidelberg.de/smart/do_annotation.pl?DOMAIN=PSI&amp;BLAST=DUMMY","2.1")</f>
        <v>2.1</v>
      </c>
      <c r="BS232" s="17">
        <f>HYPERLINK("http://exon.niaid.nih.gov/transcriptome/T_rubida/S2/links/cluster/Triru-pep-ext25-50-Sim-CLU1.txt", 1)</f>
        <v>1</v>
      </c>
      <c r="BT232" s="1">
        <f>HYPERLINK("http://exon.niaid.nih.gov/transcriptome/T_rubida/S2/links/cluster/Triru-pep-ext25-50-Sim-CLTL1.txt", 359)</f>
        <v>359</v>
      </c>
      <c r="BU232" s="17">
        <f>HYPERLINK("http://exon.niaid.nih.gov/transcriptome/T_rubida/S2/links/cluster/Triru-pep-ext30-50-Sim-CLU42.txt", 42)</f>
        <v>42</v>
      </c>
      <c r="BV232" s="1">
        <f>HYPERLINK("http://exon.niaid.nih.gov/transcriptome/T_rubida/S2/links/cluster/Triru-pep-ext30-50-Sim-CLTL42.txt", 2)</f>
        <v>2</v>
      </c>
      <c r="BW232" s="17">
        <f>HYPERLINK("http://exon.niaid.nih.gov/transcriptome/T_rubida/S2/links/cluster/Triru-pep-ext35-50-Sim-CLU41.txt", 41)</f>
        <v>41</v>
      </c>
      <c r="BX232" s="1">
        <f>HYPERLINK("http://exon.niaid.nih.gov/transcriptome/T_rubida/S2/links/cluster/Triru-pep-ext35-50-Sim-CLTL41.txt", 2)</f>
        <v>2</v>
      </c>
      <c r="BY232" s="17">
        <f>HYPERLINK("http://exon.niaid.nih.gov/transcriptome/T_rubida/S2/links/cluster/Triru-pep-ext40-50-Sim-CLU38.txt", 38)</f>
        <v>38</v>
      </c>
      <c r="BZ232" s="1">
        <f>HYPERLINK("http://exon.niaid.nih.gov/transcriptome/T_rubida/S2/links/cluster/Triru-pep-ext40-50-Sim-CLTL38.txt", 2)</f>
        <v>2</v>
      </c>
      <c r="CA232" s="17">
        <f>HYPERLINK("http://exon.niaid.nih.gov/transcriptome/T_rubida/S2/links/cluster/Triru-pep-ext45-50-Sim-CLU33.txt", 33)</f>
        <v>33</v>
      </c>
      <c r="CB232" s="1">
        <f>HYPERLINK("http://exon.niaid.nih.gov/transcriptome/T_rubida/S2/links/cluster/Triru-pep-ext45-50-Sim-CLTL33.txt", 2)</f>
        <v>2</v>
      </c>
      <c r="CC232" s="17">
        <f>HYPERLINK("http://exon.niaid.nih.gov/transcriptome/T_rubida/S2/links/cluster/Triru-pep-ext50-50-Sim-CLU31.txt", 31)</f>
        <v>31</v>
      </c>
      <c r="CD232" s="1">
        <f>HYPERLINK("http://exon.niaid.nih.gov/transcriptome/T_rubida/S2/links/cluster/Triru-pep-ext50-50-Sim-CLTL31.txt", 2)</f>
        <v>2</v>
      </c>
      <c r="CE232" s="17">
        <f>HYPERLINK("http://exon.niaid.nih.gov/transcriptome/T_rubida/S2/links/cluster/Triru-pep-ext55-50-Sim-CLU25.txt", 25)</f>
        <v>25</v>
      </c>
      <c r="CF232" s="1">
        <f>HYPERLINK("http://exon.niaid.nih.gov/transcriptome/T_rubida/S2/links/cluster/Triru-pep-ext55-50-Sim-CLTL25.txt", 2)</f>
        <v>2</v>
      </c>
      <c r="CG232" s="17">
        <v>467</v>
      </c>
      <c r="CH232" s="1">
        <v>1</v>
      </c>
      <c r="CI232" s="17">
        <v>481</v>
      </c>
      <c r="CJ232" s="1">
        <v>1</v>
      </c>
      <c r="CK232" s="17">
        <v>487</v>
      </c>
      <c r="CL232" s="1">
        <v>1</v>
      </c>
      <c r="CM232" s="17">
        <v>499</v>
      </c>
      <c r="CN232" s="1">
        <v>1</v>
      </c>
      <c r="CO232" s="17">
        <v>511</v>
      </c>
      <c r="CP232" s="1">
        <v>1</v>
      </c>
      <c r="CQ232" s="17">
        <v>521</v>
      </c>
      <c r="CR232" s="1">
        <v>1</v>
      </c>
      <c r="CS232" s="17">
        <v>534</v>
      </c>
      <c r="CT232" s="1">
        <v>1</v>
      </c>
      <c r="CU232" s="17">
        <v>547</v>
      </c>
      <c r="CV232" s="1">
        <v>1</v>
      </c>
    </row>
    <row r="233" spans="1:100">
      <c r="A233" t="str">
        <f>HYPERLINK("http://exon.niaid.nih.gov/transcriptome/T_rubida/S2/links/pep/Triru-163-pep.txt","Triru-163")</f>
        <v>Triru-163</v>
      </c>
      <c r="B233">
        <v>63</v>
      </c>
      <c r="C233" s="1" t="s">
        <v>6</v>
      </c>
      <c r="D233" s="1" t="s">
        <v>3</v>
      </c>
      <c r="E233" t="str">
        <f>HYPERLINK("http://exon.niaid.nih.gov/transcriptome/T_rubida/S2/links/cds/Triru-163-cds.txt","Triru-163")</f>
        <v>Triru-163</v>
      </c>
      <c r="F233">
        <v>192</v>
      </c>
      <c r="G233" s="2" t="s">
        <v>1676</v>
      </c>
      <c r="H233" s="1">
        <v>1</v>
      </c>
      <c r="I233" s="3" t="s">
        <v>1268</v>
      </c>
      <c r="J233" s="17" t="str">
        <f>HYPERLINK("http://exon.niaid.nih.gov/transcriptome/T_rubida/S2/links/Sigp/Triru-163-SigP.txt","CYT")</f>
        <v>CYT</v>
      </c>
      <c r="K233" t="s">
        <v>5</v>
      </c>
      <c r="L233" s="1">
        <v>7.0060000000000002</v>
      </c>
      <c r="M233" s="1">
        <v>9.69</v>
      </c>
      <c r="P233" s="1">
        <v>6.3E-2</v>
      </c>
      <c r="Q233" s="1">
        <v>0.05</v>
      </c>
      <c r="R233" s="1">
        <v>0.95</v>
      </c>
      <c r="S233" s="17" t="s">
        <v>1346</v>
      </c>
      <c r="T233">
        <v>1</v>
      </c>
      <c r="U233" t="s">
        <v>1348</v>
      </c>
      <c r="V233" s="17">
        <v>0</v>
      </c>
      <c r="W233" t="s">
        <v>5</v>
      </c>
      <c r="X233" t="s">
        <v>5</v>
      </c>
      <c r="Y233" t="s">
        <v>5</v>
      </c>
      <c r="Z233" t="s">
        <v>5</v>
      </c>
      <c r="AA233" t="s">
        <v>5</v>
      </c>
      <c r="AB233" s="17" t="str">
        <f>HYPERLINK("http://exon.niaid.nih.gov/transcriptome/T_rubida/S2/links/netoglyc/TRIRU-163-netoglyc.txt","0")</f>
        <v>0</v>
      </c>
      <c r="AC233">
        <v>7.9</v>
      </c>
      <c r="AD233">
        <v>11.1</v>
      </c>
      <c r="AE233" t="s">
        <v>1394</v>
      </c>
      <c r="AF233" s="17" t="s">
        <v>5</v>
      </c>
      <c r="AG233" s="2" t="str">
        <f>HYPERLINK("http://exon.niaid.nih.gov/transcriptome/T_rubida/S2/links/NR/Triru-163-NR.txt","60S ribosomal protein L7a")</f>
        <v>60S ribosomal protein L7a</v>
      </c>
      <c r="AH233" t="str">
        <f>HYPERLINK("http://www.ncbi.nlm.nih.gov/sutils/blink.cgi?pid=307182302","3E-020")</f>
        <v>3E-020</v>
      </c>
      <c r="AI233" t="str">
        <f>HYPERLINK("http://www.ncbi.nlm.nih.gov/protein/307182302","gi|307182302")</f>
        <v>gi|307182302</v>
      </c>
      <c r="AJ233">
        <v>101</v>
      </c>
      <c r="AK233">
        <v>60</v>
      </c>
      <c r="AL233">
        <v>268</v>
      </c>
      <c r="AM233">
        <v>75</v>
      </c>
      <c r="AN233">
        <v>23</v>
      </c>
      <c r="AO233" t="s">
        <v>142</v>
      </c>
      <c r="AP233" s="2" t="str">
        <f>HYPERLINK("http://exon.niaid.nih.gov/transcriptome/T_rubida/S2/links/SWISSP/Triru-163-SWISSP.txt","60S ribosomal protein L7a")</f>
        <v>60S ribosomal protein L7a</v>
      </c>
      <c r="AQ233" t="str">
        <f>HYPERLINK("http://www.uniprot.org/uniprot/P32429","3E-020")</f>
        <v>3E-020</v>
      </c>
      <c r="AR233" t="s">
        <v>493</v>
      </c>
      <c r="AS233">
        <v>97.1</v>
      </c>
      <c r="AT233">
        <v>60</v>
      </c>
      <c r="AU233">
        <v>266</v>
      </c>
      <c r="AV233">
        <v>75</v>
      </c>
      <c r="AW233">
        <v>23</v>
      </c>
      <c r="AX233">
        <v>15</v>
      </c>
      <c r="AY233">
        <v>0</v>
      </c>
      <c r="AZ233">
        <v>206</v>
      </c>
      <c r="BA233">
        <v>3</v>
      </c>
      <c r="BB233">
        <v>1</v>
      </c>
      <c r="BC233" t="s">
        <v>122</v>
      </c>
      <c r="BD233" s="2" t="s">
        <v>494</v>
      </c>
      <c r="BE233">
        <f>HYPERLINK("http://exon.niaid.nih.gov/transcriptome/T_rubida/S2/links/GO/Triru-163-GO.txt",2E-20)</f>
        <v>1.9999999999999999E-20</v>
      </c>
      <c r="BF233" t="s">
        <v>152</v>
      </c>
      <c r="BG233" t="s">
        <v>153</v>
      </c>
      <c r="BH233" t="s">
        <v>154</v>
      </c>
      <c r="BI233" s="2" t="str">
        <f>HYPERLINK("http://exon.niaid.nih.gov/transcriptome/T_rubida/S2/links/CDD/Triru-163-CDD.txt","PTZ00365")</f>
        <v>PTZ00365</v>
      </c>
      <c r="BJ233" t="str">
        <f>HYPERLINK("http://www.ncbi.nlm.nih.gov/Structure/cdd/cddsrv.cgi?uid=PTZ00365&amp;version=v4.0","4E-007")</f>
        <v>4E-007</v>
      </c>
      <c r="BK233" t="s">
        <v>495</v>
      </c>
      <c r="BL233" s="2" t="str">
        <f>HYPERLINK("http://exon.niaid.nih.gov/transcriptome/T_rubida/S2/links/KOG/Triru-163-KOG.txt","60S ribosomal protein L7A")</f>
        <v>60S ribosomal protein L7A</v>
      </c>
      <c r="BM233" t="str">
        <f>HYPERLINK("http://www.ncbi.nlm.nih.gov/COG/grace/shokog.cgi?KOG3166","5E-009")</f>
        <v>5E-009</v>
      </c>
      <c r="BN233" t="s">
        <v>84</v>
      </c>
      <c r="BO233" s="2" t="str">
        <f>HYPERLINK("http://exon.niaid.nih.gov/transcriptome/T_rubida/S2/links/PFAM/Triru-163-PFAM.txt","Adeno_E1B_19K")</f>
        <v>Adeno_E1B_19K</v>
      </c>
      <c r="BP233" t="str">
        <f>HYPERLINK("http://pfam.sanger.ac.uk/family?acc=PF01691","0.44")</f>
        <v>0.44</v>
      </c>
      <c r="BQ233" s="2" t="str">
        <f>HYPERLINK("http://exon.niaid.nih.gov/transcriptome/T_rubida/S2/links/SMART/Triru-163-SMART.txt","SCP")</f>
        <v>SCP</v>
      </c>
      <c r="BR233" t="str">
        <f>HYPERLINK("http://smart.embl-heidelberg.de/smart/do_annotation.pl?DOMAIN=SCP&amp;BLAST=DUMMY","1.5")</f>
        <v>1.5</v>
      </c>
      <c r="BS233" s="17">
        <v>62</v>
      </c>
      <c r="BT233" s="1">
        <v>1</v>
      </c>
      <c r="BU233" s="17">
        <v>87</v>
      </c>
      <c r="BV233" s="1">
        <v>1</v>
      </c>
      <c r="BW233" s="17">
        <v>98</v>
      </c>
      <c r="BX233" s="1">
        <v>1</v>
      </c>
      <c r="BY233" s="17">
        <v>102</v>
      </c>
      <c r="BZ233" s="1">
        <v>1</v>
      </c>
      <c r="CA233" s="17">
        <v>100</v>
      </c>
      <c r="CB233" s="1">
        <v>1</v>
      </c>
      <c r="CC233" s="17">
        <v>99</v>
      </c>
      <c r="CD233" s="1">
        <v>1</v>
      </c>
      <c r="CE233" s="17">
        <v>94</v>
      </c>
      <c r="CF233" s="1">
        <v>1</v>
      </c>
      <c r="CG233" s="17">
        <v>95</v>
      </c>
      <c r="CH233" s="1">
        <v>1</v>
      </c>
      <c r="CI233" s="17">
        <v>101</v>
      </c>
      <c r="CJ233" s="1">
        <v>1</v>
      </c>
      <c r="CK233" s="17">
        <v>105</v>
      </c>
      <c r="CL233" s="1">
        <v>1</v>
      </c>
      <c r="CM233" s="17">
        <v>110</v>
      </c>
      <c r="CN233" s="1">
        <v>1</v>
      </c>
      <c r="CO233" s="17">
        <v>119</v>
      </c>
      <c r="CP233" s="1">
        <v>1</v>
      </c>
      <c r="CQ233" s="17">
        <v>129</v>
      </c>
      <c r="CR233" s="1">
        <v>1</v>
      </c>
      <c r="CS233" s="17">
        <v>134</v>
      </c>
      <c r="CT233" s="1">
        <v>1</v>
      </c>
      <c r="CU233" s="17">
        <v>145</v>
      </c>
      <c r="CV233" s="1">
        <v>1</v>
      </c>
    </row>
    <row r="234" spans="1:100">
      <c r="A234" t="str">
        <f>HYPERLINK("http://exon.niaid.nih.gov/transcriptome/T_rubida/S2/links/pep/Triru-509-pep.txt","Triru-509")</f>
        <v>Triru-509</v>
      </c>
      <c r="B234">
        <v>52</v>
      </c>
      <c r="C234" s="1" t="s">
        <v>17</v>
      </c>
      <c r="D234" s="1" t="s">
        <v>3</v>
      </c>
      <c r="E234" t="str">
        <f>HYPERLINK("http://exon.niaid.nih.gov/transcriptome/T_rubida/S2/links/cds/Triru-509-cds.txt","Triru-509")</f>
        <v>Triru-509</v>
      </c>
      <c r="F234">
        <v>159</v>
      </c>
      <c r="G234" s="2" t="s">
        <v>1696</v>
      </c>
      <c r="H234" s="1">
        <v>1</v>
      </c>
      <c r="I234" s="3" t="s">
        <v>1268</v>
      </c>
      <c r="J234" s="17" t="str">
        <f>HYPERLINK("http://exon.niaid.nih.gov/transcriptome/T_rubida/S2/links/Sigp/Triru-509-SigP.txt","CYT")</f>
        <v>CYT</v>
      </c>
      <c r="K234" t="s">
        <v>5</v>
      </c>
      <c r="L234" s="1">
        <v>5.718</v>
      </c>
      <c r="M234" s="1">
        <v>9.4499999999999993</v>
      </c>
      <c r="P234" s="1">
        <v>0.26</v>
      </c>
      <c r="Q234" s="1">
        <v>3.6999999999999998E-2</v>
      </c>
      <c r="R234" s="1">
        <v>0.76500000000000001</v>
      </c>
      <c r="S234" s="17" t="s">
        <v>1346</v>
      </c>
      <c r="T234">
        <v>3</v>
      </c>
      <c r="U234" t="s">
        <v>1382</v>
      </c>
      <c r="V234" s="17">
        <v>0</v>
      </c>
      <c r="W234" t="s">
        <v>5</v>
      </c>
      <c r="X234" t="s">
        <v>5</v>
      </c>
      <c r="Y234" t="s">
        <v>5</v>
      </c>
      <c r="Z234" t="s">
        <v>5</v>
      </c>
      <c r="AA234" t="s">
        <v>5</v>
      </c>
      <c r="AB234" s="17" t="str">
        <f>HYPERLINK("http://exon.niaid.nih.gov/transcriptome/T_rubida/S2/links/netoglyc/TRIRU-509-netoglyc.txt","0")</f>
        <v>0</v>
      </c>
      <c r="AC234">
        <v>11.5</v>
      </c>
      <c r="AD234">
        <v>3.8</v>
      </c>
      <c r="AE234" t="s">
        <v>1394</v>
      </c>
      <c r="AF234" s="17" t="s">
        <v>5</v>
      </c>
      <c r="AG234" s="2" t="str">
        <f>HYPERLINK("http://exon.niaid.nih.gov/transcriptome/T_rubida/S2/links/NR/Triru-509-NR.txt","GA20032")</f>
        <v>GA20032</v>
      </c>
      <c r="AH234" t="str">
        <f>HYPERLINK("http://www.ncbi.nlm.nih.gov/sutils/blink.cgi?pid=198453726","5E-020")</f>
        <v>5E-020</v>
      </c>
      <c r="AI234" t="str">
        <f>HYPERLINK("http://www.ncbi.nlm.nih.gov/protein/198453726","gi|198453726")</f>
        <v>gi|198453726</v>
      </c>
      <c r="AJ234">
        <v>100</v>
      </c>
      <c r="AK234">
        <v>50</v>
      </c>
      <c r="AL234">
        <v>234</v>
      </c>
      <c r="AM234">
        <v>96</v>
      </c>
      <c r="AN234">
        <v>22</v>
      </c>
      <c r="AO234" t="s">
        <v>489</v>
      </c>
      <c r="AP234" s="2" t="str">
        <f>HYPERLINK("http://exon.niaid.nih.gov/transcriptome/T_rubida/S2/links/SWISSP/Triru-509-SWISSP.txt","40S ribosomal protein S5b")</f>
        <v>40S ribosomal protein S5b</v>
      </c>
      <c r="AQ234" t="str">
        <f>HYPERLINK("http://www.uniprot.org/uniprot/Q9VFE4","2E-021")</f>
        <v>2E-021</v>
      </c>
      <c r="AR234" t="s">
        <v>1049</v>
      </c>
      <c r="AS234">
        <v>100</v>
      </c>
      <c r="AT234">
        <v>50</v>
      </c>
      <c r="AU234">
        <v>230</v>
      </c>
      <c r="AV234">
        <v>96</v>
      </c>
      <c r="AW234">
        <v>22</v>
      </c>
      <c r="AX234">
        <v>2</v>
      </c>
      <c r="AY234">
        <v>0</v>
      </c>
      <c r="AZ234">
        <v>180</v>
      </c>
      <c r="BA234">
        <v>2</v>
      </c>
      <c r="BB234">
        <v>1</v>
      </c>
      <c r="BC234" t="s">
        <v>150</v>
      </c>
      <c r="BD234" s="2" t="s">
        <v>1050</v>
      </c>
      <c r="BE234">
        <f>HYPERLINK("http://exon.niaid.nih.gov/transcriptome/T_rubida/S2/links/GO/Triru-509-GO.txt",1E-21)</f>
        <v>9.9999999999999991E-22</v>
      </c>
      <c r="BF234" t="s">
        <v>138</v>
      </c>
      <c r="BG234" t="s">
        <v>139</v>
      </c>
      <c r="BH234" t="s">
        <v>140</v>
      </c>
      <c r="BI234" s="2" t="str">
        <f>HYPERLINK("http://exon.niaid.nih.gov/transcriptome/T_rubida/S2/links/CDD/Triru-509-CDD.txt","PTZ00091")</f>
        <v>PTZ00091</v>
      </c>
      <c r="BJ234" t="str">
        <f>HYPERLINK("http://www.ncbi.nlm.nih.gov/Structure/cdd/cddsrv.cgi?uid=PTZ00091&amp;version=v4.0","2E-021")</f>
        <v>2E-021</v>
      </c>
      <c r="BK234" t="s">
        <v>1051</v>
      </c>
      <c r="BL234" s="2" t="str">
        <f>HYPERLINK("http://exon.niaid.nih.gov/transcriptome/T_rubida/S2/links/KOG/Triru-509-KOG.txt","Ribosomal protein S7")</f>
        <v>Ribosomal protein S7</v>
      </c>
      <c r="BM234" t="str">
        <f>HYPERLINK("http://www.ncbi.nlm.nih.gov/COG/grace/shokog.cgi?KOG3291","4E-015")</f>
        <v>4E-015</v>
      </c>
      <c r="BN234" t="s">
        <v>84</v>
      </c>
      <c r="BO234" s="2" t="str">
        <f>HYPERLINK("http://exon.niaid.nih.gov/transcriptome/T_rubida/S2/links/PFAM/Triru-509-PFAM.txt","Ribosomal_S7")</f>
        <v>Ribosomal_S7</v>
      </c>
      <c r="BP234" t="str">
        <f>HYPERLINK("http://pfam.sanger.ac.uk/family?acc=PF00177","1E-010")</f>
        <v>1E-010</v>
      </c>
      <c r="BQ234" s="2" t="str">
        <f>HYPERLINK("http://exon.niaid.nih.gov/transcriptome/T_rubida/S2/links/SMART/Triru-509-SMART.txt","ZipA_C")</f>
        <v>ZipA_C</v>
      </c>
      <c r="BR234" t="str">
        <f>HYPERLINK("http://smart.embl-heidelberg.de/smart/do_annotation.pl?DOMAIN=ZipA_C&amp;BLAST=DUMMY","3.7")</f>
        <v>3.7</v>
      </c>
      <c r="BS234" s="17">
        <v>156</v>
      </c>
      <c r="BT234" s="1">
        <v>1</v>
      </c>
      <c r="BU234" s="17">
        <v>231</v>
      </c>
      <c r="BV234" s="1">
        <v>1</v>
      </c>
      <c r="BW234" s="17">
        <v>296</v>
      </c>
      <c r="BX234" s="1">
        <v>1</v>
      </c>
      <c r="BY234" s="17">
        <v>322</v>
      </c>
      <c r="BZ234" s="1">
        <v>1</v>
      </c>
      <c r="CA234" s="17">
        <v>333</v>
      </c>
      <c r="CB234" s="1">
        <v>1</v>
      </c>
      <c r="CC234" s="17">
        <v>345</v>
      </c>
      <c r="CD234" s="1">
        <v>1</v>
      </c>
      <c r="CE234" s="17">
        <v>357</v>
      </c>
      <c r="CF234" s="1">
        <v>1</v>
      </c>
      <c r="CG234" s="17">
        <v>363</v>
      </c>
      <c r="CH234" s="1">
        <v>1</v>
      </c>
      <c r="CI234" s="17">
        <v>375</v>
      </c>
      <c r="CJ234" s="1">
        <v>1</v>
      </c>
      <c r="CK234" s="17">
        <v>381</v>
      </c>
      <c r="CL234" s="1">
        <v>1</v>
      </c>
      <c r="CM234" s="17">
        <v>389</v>
      </c>
      <c r="CN234" s="1">
        <v>1</v>
      </c>
      <c r="CO234" s="17">
        <v>401</v>
      </c>
      <c r="CP234" s="1">
        <v>1</v>
      </c>
      <c r="CQ234" s="17">
        <v>411</v>
      </c>
      <c r="CR234" s="1">
        <v>1</v>
      </c>
      <c r="CS234" s="17">
        <v>424</v>
      </c>
      <c r="CT234" s="1">
        <v>1</v>
      </c>
      <c r="CU234" s="17">
        <v>435</v>
      </c>
      <c r="CV234" s="1">
        <v>1</v>
      </c>
    </row>
    <row r="235" spans="1:100">
      <c r="A235" t="str">
        <f>HYPERLINK("http://exon.niaid.nih.gov/transcriptome/T_rubida/S2/links/pep/Triru-445-pep.txt","Triru-445")</f>
        <v>Triru-445</v>
      </c>
      <c r="B235">
        <v>43</v>
      </c>
      <c r="C235" s="1" t="s">
        <v>6</v>
      </c>
      <c r="D235" s="1" t="s">
        <v>3</v>
      </c>
      <c r="E235" t="str">
        <f>HYPERLINK("http://exon.niaid.nih.gov/transcriptome/T_rubida/S2/links/cds/Triru-445-cds.txt","Triru-445")</f>
        <v>Triru-445</v>
      </c>
      <c r="F235">
        <v>132</v>
      </c>
      <c r="G235" s="2" t="s">
        <v>1697</v>
      </c>
      <c r="H235" s="1">
        <v>1</v>
      </c>
      <c r="I235" s="3" t="s">
        <v>1268</v>
      </c>
      <c r="J235" s="17" t="str">
        <f>HYPERLINK("http://exon.niaid.nih.gov/transcriptome/T_rubida/S2/links/Sigp/Triru-445-SigP.txt","CYT")</f>
        <v>CYT</v>
      </c>
      <c r="K235" t="s">
        <v>5</v>
      </c>
      <c r="L235" s="1">
        <v>4.875</v>
      </c>
      <c r="M235" s="1">
        <v>11.92</v>
      </c>
      <c r="P235" s="1">
        <v>0.56100000000000005</v>
      </c>
      <c r="Q235" s="1">
        <v>2.5999999999999999E-2</v>
      </c>
      <c r="R235" s="1">
        <v>0.54200000000000004</v>
      </c>
      <c r="S235" s="17" t="s">
        <v>9</v>
      </c>
      <c r="T235">
        <v>5</v>
      </c>
      <c r="U235" t="s">
        <v>1382</v>
      </c>
      <c r="V235" s="17">
        <v>0</v>
      </c>
      <c r="W235" t="s">
        <v>5</v>
      </c>
      <c r="X235" t="s">
        <v>5</v>
      </c>
      <c r="Y235" t="s">
        <v>5</v>
      </c>
      <c r="Z235" t="s">
        <v>5</v>
      </c>
      <c r="AA235" t="s">
        <v>5</v>
      </c>
      <c r="AB235" s="17" t="str">
        <f>HYPERLINK("http://exon.niaid.nih.gov/transcriptome/T_rubida/S2/links/netoglyc/TRIRU-445-netoglyc.txt","1")</f>
        <v>1</v>
      </c>
      <c r="AC235">
        <v>9.3000000000000007</v>
      </c>
      <c r="AD235">
        <v>14</v>
      </c>
      <c r="AE235">
        <v>7</v>
      </c>
      <c r="AF235" s="17" t="s">
        <v>5</v>
      </c>
      <c r="AG235" s="2" t="str">
        <f>HYPERLINK("http://exon.niaid.nih.gov/transcriptome/T_rubida/S2/links/NR/Triru-445-NR.txt","60S ribosomal protein L18")</f>
        <v>60S ribosomal protein L18</v>
      </c>
      <c r="AH235" t="str">
        <f>HYPERLINK("http://www.ncbi.nlm.nih.gov/sutils/blink.cgi?pid=332019851","9E-015")</f>
        <v>9E-015</v>
      </c>
      <c r="AI235" t="str">
        <f>HYPERLINK("http://www.ncbi.nlm.nih.gov/protein/332019851","gi|332019851")</f>
        <v>gi|332019851</v>
      </c>
      <c r="AJ235">
        <v>83.6</v>
      </c>
      <c r="AK235">
        <v>40</v>
      </c>
      <c r="AL235">
        <v>232</v>
      </c>
      <c r="AM235">
        <v>90</v>
      </c>
      <c r="AN235">
        <v>18</v>
      </c>
      <c r="AO235" t="s">
        <v>300</v>
      </c>
      <c r="AP235" s="2" t="str">
        <f>HYPERLINK("http://exon.niaid.nih.gov/transcriptome/T_rubida/S2/links/SWISSP/Triru-445-SWISSP.txt","60S ribosomal protein L18")</f>
        <v>60S ribosomal protein L18</v>
      </c>
      <c r="AQ235" t="str">
        <f>HYPERLINK("http://www.uniprot.org/uniprot/Q56FG8","3E-015")</f>
        <v>3E-015</v>
      </c>
      <c r="AR235" t="s">
        <v>443</v>
      </c>
      <c r="AS235">
        <v>80.5</v>
      </c>
      <c r="AT235">
        <v>40</v>
      </c>
      <c r="AU235">
        <v>188</v>
      </c>
      <c r="AV235">
        <v>87</v>
      </c>
      <c r="AW235">
        <v>22</v>
      </c>
      <c r="AX235">
        <v>5</v>
      </c>
      <c r="AY235">
        <v>0</v>
      </c>
      <c r="AZ235">
        <v>148</v>
      </c>
      <c r="BA235">
        <v>3</v>
      </c>
      <c r="BB235">
        <v>1</v>
      </c>
      <c r="BC235" t="s">
        <v>444</v>
      </c>
      <c r="BD235" s="2" t="s">
        <v>445</v>
      </c>
      <c r="BE235">
        <f>HYPERLINK("http://exon.niaid.nih.gov/transcriptome/T_rubida/S2/links/GO/Triru-445-GO.txt",0.000000000000004)</f>
        <v>4.0000000000000003E-15</v>
      </c>
      <c r="BF235" t="s">
        <v>105</v>
      </c>
      <c r="BG235" t="s">
        <v>105</v>
      </c>
      <c r="BI235" s="2" t="str">
        <f>HYPERLINK("http://exon.niaid.nih.gov/transcriptome/T_rubida/S2/links/CDD/Triru-445-CDD.txt","PTZ00469")</f>
        <v>PTZ00469</v>
      </c>
      <c r="BJ235" t="str">
        <f>HYPERLINK("http://www.ncbi.nlm.nih.gov/Structure/cdd/cddsrv.cgi?uid=PTZ00469&amp;version=v4.0","5E-008")</f>
        <v>5E-008</v>
      </c>
      <c r="BK235" t="s">
        <v>446</v>
      </c>
      <c r="BL235" s="2" t="str">
        <f>HYPERLINK("http://exon.niaid.nih.gov/transcriptome/T_rubida/S2/links/KOG/Triru-445-KOG.txt","60s ribosomal protein L18")</f>
        <v>60s ribosomal protein L18</v>
      </c>
      <c r="BM235" t="str">
        <f>HYPERLINK("http://www.ncbi.nlm.nih.gov/COG/grace/shokog.cgi?KOG1714","1E-010")</f>
        <v>1E-010</v>
      </c>
      <c r="BN235" t="s">
        <v>84</v>
      </c>
      <c r="BO235" s="2" t="str">
        <f>HYPERLINK("http://exon.niaid.nih.gov/transcriptome/T_rubida/S2/links/PFAM/Triru-445-PFAM.txt","Mis12_component")</f>
        <v>Mis12_component</v>
      </c>
      <c r="BP235" t="str">
        <f>HYPERLINK("http://pfam.sanger.ac.uk/family?acc=PF08202","7.7")</f>
        <v>7.7</v>
      </c>
      <c r="BQ235" s="2" t="str">
        <f>HYPERLINK("http://exon.niaid.nih.gov/transcriptome/T_rubida/S2/links/SMART/Triru-445-SMART.txt","IL10")</f>
        <v>IL10</v>
      </c>
      <c r="BR235" t="str">
        <f>HYPERLINK("http://smart.embl-heidelberg.de/smart/do_annotation.pl?DOMAIN=IL10&amp;BLAST=DUMMY","1.5")</f>
        <v>1.5</v>
      </c>
      <c r="BS235" s="17">
        <v>139</v>
      </c>
      <c r="BT235" s="1">
        <v>1</v>
      </c>
      <c r="BU235" s="17">
        <v>204</v>
      </c>
      <c r="BV235" s="1">
        <v>1</v>
      </c>
      <c r="BW235" s="17">
        <v>260</v>
      </c>
      <c r="BX235" s="1">
        <v>1</v>
      </c>
      <c r="BY235" s="17">
        <v>280</v>
      </c>
      <c r="BZ235" s="1">
        <v>1</v>
      </c>
      <c r="CA235" s="17">
        <v>289</v>
      </c>
      <c r="CB235" s="1">
        <v>1</v>
      </c>
      <c r="CC235" s="17">
        <v>297</v>
      </c>
      <c r="CD235" s="1">
        <v>1</v>
      </c>
      <c r="CE235" s="17">
        <v>307</v>
      </c>
      <c r="CF235" s="1">
        <v>1</v>
      </c>
      <c r="CG235" s="17">
        <v>311</v>
      </c>
      <c r="CH235" s="1">
        <v>1</v>
      </c>
      <c r="CI235" s="17">
        <v>321</v>
      </c>
      <c r="CJ235" s="1">
        <v>1</v>
      </c>
      <c r="CK235" s="17">
        <v>327</v>
      </c>
      <c r="CL235" s="1">
        <v>1</v>
      </c>
      <c r="CM235" s="17">
        <v>335</v>
      </c>
      <c r="CN235" s="1">
        <v>1</v>
      </c>
      <c r="CO235" s="17">
        <v>347</v>
      </c>
      <c r="CP235" s="1">
        <v>1</v>
      </c>
      <c r="CQ235" s="17">
        <v>357</v>
      </c>
      <c r="CR235" s="1">
        <v>1</v>
      </c>
      <c r="CS235" s="17">
        <v>369</v>
      </c>
      <c r="CT235" s="1">
        <v>1</v>
      </c>
      <c r="CU235" s="17">
        <v>380</v>
      </c>
      <c r="CV235" s="1">
        <v>1</v>
      </c>
    </row>
    <row r="236" spans="1:100">
      <c r="A236" t="str">
        <f>HYPERLINK("http://exon.niaid.nih.gov/transcriptome/T_rubida/S2/links/pep/Triru-528-pep.txt","Triru-528")</f>
        <v>Triru-528</v>
      </c>
      <c r="B236">
        <v>30</v>
      </c>
      <c r="C236" s="1" t="s">
        <v>18</v>
      </c>
      <c r="D236" s="1" t="s">
        <v>3</v>
      </c>
      <c r="E236" t="str">
        <f>HYPERLINK("http://exon.niaid.nih.gov/transcriptome/T_rubida/S2/links/cds/Triru-528-cds.txt","Triru-528")</f>
        <v>Triru-528</v>
      </c>
      <c r="F236">
        <v>93</v>
      </c>
      <c r="G236" s="2" t="s">
        <v>1698</v>
      </c>
      <c r="H236" s="1">
        <v>1</v>
      </c>
      <c r="I236" s="3" t="s">
        <v>1268</v>
      </c>
      <c r="J236" s="17" t="str">
        <f>HYPERLINK("http://exon.niaid.nih.gov/transcriptome/T_rubida/S2/links/Sigp/Triru-528-SigP.txt","CYT")</f>
        <v>CYT</v>
      </c>
      <c r="K236" t="s">
        <v>5</v>
      </c>
      <c r="L236" s="1">
        <v>3.738</v>
      </c>
      <c r="M236" s="1">
        <v>12.02</v>
      </c>
      <c r="P236" s="1">
        <v>0.22700000000000001</v>
      </c>
      <c r="Q236" s="1">
        <v>6.0999999999999999E-2</v>
      </c>
      <c r="R236" s="1">
        <v>0.76400000000000001</v>
      </c>
      <c r="S236" s="17" t="s">
        <v>1346</v>
      </c>
      <c r="T236">
        <v>3</v>
      </c>
      <c r="U236" t="s">
        <v>1348</v>
      </c>
      <c r="V236" s="17">
        <v>0</v>
      </c>
      <c r="W236" t="s">
        <v>5</v>
      </c>
      <c r="X236" t="s">
        <v>5</v>
      </c>
      <c r="Y236" t="s">
        <v>5</v>
      </c>
      <c r="Z236" t="s">
        <v>5</v>
      </c>
      <c r="AA236" t="s">
        <v>5</v>
      </c>
      <c r="AB236" s="17" t="str">
        <f>HYPERLINK("http://exon.niaid.nih.gov/transcriptome/T_rubida/S2/links/netoglyc/TRIRU-528-netoglyc.txt","0")</f>
        <v>0</v>
      </c>
      <c r="AC236">
        <v>10</v>
      </c>
      <c r="AD236" t="s">
        <v>1417</v>
      </c>
      <c r="AE236">
        <v>13.3</v>
      </c>
      <c r="AF236" s="17" t="s">
        <v>5</v>
      </c>
      <c r="AG236" s="2" t="str">
        <f>HYPERLINK("http://exon.niaid.nih.gov/transcriptome/T_rubida/S2/links/NR/Triru-528-NR.txt","60S ribosomal protein L18a")</f>
        <v>60S ribosomal protein L18a</v>
      </c>
      <c r="AH236" t="str">
        <f>HYPERLINK("http://www.ncbi.nlm.nih.gov/sutils/blink.cgi?pid=149898903","3E-009")</f>
        <v>3E-009</v>
      </c>
      <c r="AI236" t="str">
        <f>HYPERLINK("http://www.ncbi.nlm.nih.gov/protein/149898903","gi|149898903")</f>
        <v>gi|149898903</v>
      </c>
      <c r="AJ236">
        <v>65.099999999999994</v>
      </c>
      <c r="AK236">
        <v>29</v>
      </c>
      <c r="AL236">
        <v>177</v>
      </c>
      <c r="AM236">
        <v>100</v>
      </c>
      <c r="AN236">
        <v>17</v>
      </c>
      <c r="AO236" t="s">
        <v>80</v>
      </c>
      <c r="AP236" s="2" t="str">
        <f>HYPERLINK("http://exon.niaid.nih.gov/transcriptome/T_rubida/S2/links/SWISSP/Triru-528-SWISSP.txt","60S ribosomal protein L18a")</f>
        <v>60S ribosomal protein L18a</v>
      </c>
      <c r="AQ236" t="str">
        <f>HYPERLINK("http://www.uniprot.org/uniprot/Q90YU9","0.005")</f>
        <v>0.005</v>
      </c>
      <c r="AR236" t="s">
        <v>1190</v>
      </c>
      <c r="AS236">
        <v>39.700000000000003</v>
      </c>
      <c r="AT236">
        <v>28</v>
      </c>
      <c r="AU236">
        <v>176</v>
      </c>
      <c r="AV236">
        <v>48</v>
      </c>
      <c r="AW236">
        <v>16</v>
      </c>
      <c r="AX236">
        <v>15</v>
      </c>
      <c r="AY236">
        <v>0</v>
      </c>
      <c r="AZ236">
        <v>148</v>
      </c>
      <c r="BA236">
        <v>1</v>
      </c>
      <c r="BB236">
        <v>1</v>
      </c>
      <c r="BC236" t="s">
        <v>241</v>
      </c>
      <c r="BD236" s="2" t="s">
        <v>5</v>
      </c>
      <c r="BE236" t="s">
        <v>5</v>
      </c>
      <c r="BF236" t="s">
        <v>5</v>
      </c>
      <c r="BG236" t="s">
        <v>5</v>
      </c>
      <c r="BH236" t="s">
        <v>5</v>
      </c>
      <c r="BI236" s="2" t="s">
        <v>5</v>
      </c>
      <c r="BJ236" t="s">
        <v>5</v>
      </c>
      <c r="BK236" t="s">
        <v>5</v>
      </c>
      <c r="BL236" s="2" t="str">
        <f>HYPERLINK("http://exon.niaid.nih.gov/transcriptome/T_rubida/S2/links/KOG/Triru-528-KOG.txt","60S ribosomal protein L18A")</f>
        <v>60S ribosomal protein L18A</v>
      </c>
      <c r="BM236" t="str">
        <f>HYPERLINK("http://www.ncbi.nlm.nih.gov/COG/grace/shokog.cgi?KOG0829","0.029")</f>
        <v>0.029</v>
      </c>
      <c r="BN236" t="s">
        <v>84</v>
      </c>
      <c r="BO236" s="2" t="s">
        <v>5</v>
      </c>
      <c r="BP236" t="s">
        <v>5</v>
      </c>
      <c r="BQ236" s="2" t="str">
        <f>HYPERLINK("http://exon.niaid.nih.gov/transcriptome/T_rubida/S2/links/SMART/Triru-528-SMART.txt","CAP10")</f>
        <v>CAP10</v>
      </c>
      <c r="BR236" t="str">
        <f>HYPERLINK("http://smart.embl-heidelberg.de/smart/do_annotation.pl?DOMAIN=CAP10&amp;BLAST=DUMMY","1.2")</f>
        <v>1.2</v>
      </c>
      <c r="BS236" s="17">
        <f>HYPERLINK("http://exon.niaid.nih.gov/transcriptome/T_rubida/S2/links/cluster/Triru-pep-ext25-50-Sim-CLU1.txt", 1)</f>
        <v>1</v>
      </c>
      <c r="BT236" s="1">
        <f>HYPERLINK("http://exon.niaid.nih.gov/transcriptome/T_rubida/S2/links/cluster/Triru-pep-ext25-50-Sim-CLTL1.txt", 359)</f>
        <v>359</v>
      </c>
      <c r="BU236" s="17">
        <v>241</v>
      </c>
      <c r="BV236" s="1">
        <v>1</v>
      </c>
      <c r="BW236" s="17">
        <v>307</v>
      </c>
      <c r="BX236" s="1">
        <v>1</v>
      </c>
      <c r="BY236" s="17">
        <v>334</v>
      </c>
      <c r="BZ236" s="1">
        <v>1</v>
      </c>
      <c r="CA236" s="17">
        <v>346</v>
      </c>
      <c r="CB236" s="1">
        <v>1</v>
      </c>
      <c r="CC236" s="17">
        <v>358</v>
      </c>
      <c r="CD236" s="1">
        <v>1</v>
      </c>
      <c r="CE236" s="17">
        <v>372</v>
      </c>
      <c r="CF236" s="1">
        <v>1</v>
      </c>
      <c r="CG236" s="17">
        <v>378</v>
      </c>
      <c r="CH236" s="1">
        <v>1</v>
      </c>
      <c r="CI236" s="17">
        <v>390</v>
      </c>
      <c r="CJ236" s="1">
        <v>1</v>
      </c>
      <c r="CK236" s="17">
        <v>396</v>
      </c>
      <c r="CL236" s="1">
        <v>1</v>
      </c>
      <c r="CM236" s="17">
        <v>405</v>
      </c>
      <c r="CN236" s="1">
        <v>1</v>
      </c>
      <c r="CO236" s="17">
        <v>417</v>
      </c>
      <c r="CP236" s="1">
        <v>1</v>
      </c>
      <c r="CQ236" s="17">
        <v>427</v>
      </c>
      <c r="CR236" s="1">
        <v>1</v>
      </c>
      <c r="CS236" s="17">
        <v>440</v>
      </c>
      <c r="CT236" s="1">
        <v>1</v>
      </c>
      <c r="CU236" s="17">
        <v>451</v>
      </c>
      <c r="CV236" s="1">
        <v>1</v>
      </c>
    </row>
    <row r="237" spans="1:100">
      <c r="A237" t="str">
        <f>HYPERLINK("http://exon.niaid.nih.gov/transcriptome/T_rubida/S2/links/pep/Triru-536-pep.txt","Triru-536")</f>
        <v>Triru-536</v>
      </c>
      <c r="B237">
        <v>46</v>
      </c>
      <c r="C237" s="1" t="s">
        <v>17</v>
      </c>
      <c r="D237" s="1" t="s">
        <v>3</v>
      </c>
      <c r="E237" t="str">
        <f>HYPERLINK("http://exon.niaid.nih.gov/transcriptome/T_rubida/S2/links/cds/Triru-536-cds.txt","Triru-536")</f>
        <v>Triru-536</v>
      </c>
      <c r="F237">
        <v>141</v>
      </c>
      <c r="G237" s="2" t="s">
        <v>1699</v>
      </c>
      <c r="H237" s="1">
        <v>1</v>
      </c>
      <c r="I237" s="3" t="s">
        <v>1268</v>
      </c>
      <c r="J237" s="17" t="str">
        <f>HYPERLINK("http://exon.niaid.nih.gov/transcriptome/T_rubida/S2/links/Sigp/Triru-536-SigP.txt","CYT")</f>
        <v>CYT</v>
      </c>
      <c r="K237" t="s">
        <v>5</v>
      </c>
      <c r="L237" s="1">
        <v>5.3079999999999998</v>
      </c>
      <c r="M237" s="1">
        <v>11.73</v>
      </c>
      <c r="P237" s="1">
        <v>0.57999999999999996</v>
      </c>
      <c r="Q237" s="1">
        <v>2.9000000000000001E-2</v>
      </c>
      <c r="R237" s="1">
        <v>0.442</v>
      </c>
      <c r="S237" s="17" t="s">
        <v>9</v>
      </c>
      <c r="T237">
        <v>5</v>
      </c>
      <c r="U237" t="s">
        <v>1382</v>
      </c>
      <c r="V237" s="17">
        <v>0</v>
      </c>
      <c r="W237" t="s">
        <v>5</v>
      </c>
      <c r="X237" t="s">
        <v>5</v>
      </c>
      <c r="Y237" t="s">
        <v>5</v>
      </c>
      <c r="Z237" t="s">
        <v>5</v>
      </c>
      <c r="AA237" t="s">
        <v>5</v>
      </c>
      <c r="AB237" s="17" t="s">
        <v>5</v>
      </c>
      <c r="AC237" t="s">
        <v>5</v>
      </c>
      <c r="AD237" t="s">
        <v>5</v>
      </c>
      <c r="AE237" t="s">
        <v>5</v>
      </c>
      <c r="AF237" s="17" t="s">
        <v>5</v>
      </c>
      <c r="AG237" s="2" t="str">
        <f>HYPERLINK("http://exon.niaid.nih.gov/transcriptome/T_rubida/S2/links/NR/Triru-536-NR.txt","putative 40S ribosomal protein S6")</f>
        <v>putative 40S ribosomal protein S6</v>
      </c>
      <c r="AH237" t="str">
        <f>HYPERLINK("http://www.ncbi.nlm.nih.gov/sutils/blink.cgi?pid=307095100","2E-010")</f>
        <v>2E-010</v>
      </c>
      <c r="AI237" t="str">
        <f>HYPERLINK("http://www.ncbi.nlm.nih.gov/protein/307095100","gi|307095100")</f>
        <v>gi|307095100</v>
      </c>
      <c r="AJ237">
        <v>69.3</v>
      </c>
      <c r="AK237">
        <v>36</v>
      </c>
      <c r="AL237">
        <v>247</v>
      </c>
      <c r="AM237">
        <v>94</v>
      </c>
      <c r="AN237">
        <v>15</v>
      </c>
      <c r="AO237" t="s">
        <v>120</v>
      </c>
      <c r="AP237" s="2" t="str">
        <f>HYPERLINK("http://exon.niaid.nih.gov/transcriptome/T_rubida/S2/links/SWISSP/Triru-536-SWISSP.txt","40S ribosomal protein S6")</f>
        <v>40S ribosomal protein S6</v>
      </c>
      <c r="AQ237" t="str">
        <f>HYPERLINK("http://www.uniprot.org/uniprot/Q94624","7E-011")</f>
        <v>7E-011</v>
      </c>
      <c r="AR237" t="s">
        <v>1038</v>
      </c>
      <c r="AS237">
        <v>65.900000000000006</v>
      </c>
      <c r="AT237">
        <v>41</v>
      </c>
      <c r="AU237">
        <v>253</v>
      </c>
      <c r="AV237">
        <v>78</v>
      </c>
      <c r="AW237">
        <v>17</v>
      </c>
      <c r="AX237">
        <v>9</v>
      </c>
      <c r="AY237">
        <v>0</v>
      </c>
      <c r="AZ237">
        <v>207</v>
      </c>
      <c r="BA237">
        <v>4</v>
      </c>
      <c r="BB237">
        <v>1</v>
      </c>
      <c r="BC237" t="s">
        <v>612</v>
      </c>
      <c r="BD237" s="2" t="s">
        <v>1039</v>
      </c>
      <c r="BE237">
        <f>HYPERLINK("http://exon.niaid.nih.gov/transcriptome/T_rubida/S2/links/GO/Triru-536-GO.txt",0.000001)</f>
        <v>9.9999999999999995E-7</v>
      </c>
      <c r="BF237" t="s">
        <v>138</v>
      </c>
      <c r="BG237" t="s">
        <v>139</v>
      </c>
      <c r="BH237" t="s">
        <v>140</v>
      </c>
      <c r="BI237" s="2" t="str">
        <f>HYPERLINK("http://exon.niaid.nih.gov/transcriptome/T_rubida/S2/links/CDD/Triru-536-CDD.txt","PHA02697")</f>
        <v>PHA02697</v>
      </c>
      <c r="BJ237" t="str">
        <f>HYPERLINK("http://www.ncbi.nlm.nih.gov/Structure/cdd/cddsrv.cgi?uid=PHA02697&amp;version=v4.0","1.2")</f>
        <v>1.2</v>
      </c>
      <c r="BK237" t="s">
        <v>1040</v>
      </c>
      <c r="BL237" s="2" t="str">
        <f>HYPERLINK("http://exon.niaid.nih.gov/transcriptome/T_rubida/S2/links/KOG/Triru-536-KOG.txt","40S ribosomal protein S6")</f>
        <v>40S ribosomal protein S6</v>
      </c>
      <c r="BM237" t="str">
        <f>HYPERLINK("http://www.ncbi.nlm.nih.gov/COG/grace/shokog.cgi?KOG1646","0.23")</f>
        <v>0.23</v>
      </c>
      <c r="BN237" t="s">
        <v>84</v>
      </c>
      <c r="BO237" s="2" t="str">
        <f>HYPERLINK("http://exon.niaid.nih.gov/transcriptome/T_rubida/S2/links/PFAM/Triru-536-PFAM.txt","GAGA_bind")</f>
        <v>GAGA_bind</v>
      </c>
      <c r="BP237" t="str">
        <f>HYPERLINK("http://pfam.sanger.ac.uk/family?acc=PF06217","2.8")</f>
        <v>2.8</v>
      </c>
      <c r="BQ237" s="2" t="str">
        <f>HYPERLINK("http://exon.niaid.nih.gov/transcriptome/T_rubida/S2/links/SMART/Triru-536-SMART.txt","TOP2c")</f>
        <v>TOP2c</v>
      </c>
      <c r="BR237" t="str">
        <f>HYPERLINK("http://smart.embl-heidelberg.de/smart/do_annotation.pl?DOMAIN=TOP2c&amp;BLAST=DUMMY","5.6")</f>
        <v>5.6</v>
      </c>
      <c r="BS237" s="17">
        <f>HYPERLINK("http://exon.niaid.nih.gov/transcriptome/T_rubida/S2/links/cluster/Triru-pep-ext25-50-Sim-CLU1.txt", 1)</f>
        <v>1</v>
      </c>
      <c r="BT237" s="1">
        <f>HYPERLINK("http://exon.niaid.nih.gov/transcriptome/T_rubida/S2/links/cluster/Triru-pep-ext25-50-Sim-CLTL1.txt", 359)</f>
        <v>359</v>
      </c>
      <c r="BU237" s="17">
        <f>HYPERLINK("http://exon.niaid.nih.gov/transcriptome/T_rubida/S2/links/cluster/Triru-pep-ext30-50-Sim-CLU1.txt", 1)</f>
        <v>1</v>
      </c>
      <c r="BV237" s="1">
        <f>HYPERLINK("http://exon.niaid.nih.gov/transcriptome/T_rubida/S2/links/cluster/Triru-pep-ext30-50-Sim-CLTL1.txt", 225)</f>
        <v>225</v>
      </c>
      <c r="BW237" s="17">
        <v>311</v>
      </c>
      <c r="BX237" s="1">
        <v>1</v>
      </c>
      <c r="BY237" s="17">
        <v>339</v>
      </c>
      <c r="BZ237" s="1">
        <v>1</v>
      </c>
      <c r="CA237" s="17">
        <v>351</v>
      </c>
      <c r="CB237" s="1">
        <v>1</v>
      </c>
      <c r="CC237" s="17">
        <v>364</v>
      </c>
      <c r="CD237" s="1">
        <v>1</v>
      </c>
      <c r="CE237" s="17">
        <v>379</v>
      </c>
      <c r="CF237" s="1">
        <v>1</v>
      </c>
      <c r="CG237" s="17">
        <v>385</v>
      </c>
      <c r="CH237" s="1">
        <v>1</v>
      </c>
      <c r="CI237" s="17">
        <v>397</v>
      </c>
      <c r="CJ237" s="1">
        <v>1</v>
      </c>
      <c r="CK237" s="17">
        <v>403</v>
      </c>
      <c r="CL237" s="1">
        <v>1</v>
      </c>
      <c r="CM237" s="17">
        <v>413</v>
      </c>
      <c r="CN237" s="1">
        <v>1</v>
      </c>
      <c r="CO237" s="17">
        <v>425</v>
      </c>
      <c r="CP237" s="1">
        <v>1</v>
      </c>
      <c r="CQ237" s="17">
        <v>435</v>
      </c>
      <c r="CR237" s="1">
        <v>1</v>
      </c>
      <c r="CS237" s="17">
        <v>448</v>
      </c>
      <c r="CT237" s="1">
        <v>1</v>
      </c>
      <c r="CU237" s="17">
        <v>459</v>
      </c>
      <c r="CV237" s="1">
        <v>1</v>
      </c>
    </row>
    <row r="238" spans="1:100">
      <c r="A238" t="str">
        <f>HYPERLINK("http://exon.niaid.nih.gov/transcriptome/T_rubida/S2/links/pep/Triru-137-pep.txt","Triru-137")</f>
        <v>Triru-137</v>
      </c>
      <c r="B238">
        <v>110</v>
      </c>
      <c r="C238" s="1" t="s">
        <v>9</v>
      </c>
      <c r="D238" s="1" t="s">
        <v>5</v>
      </c>
      <c r="E238" t="str">
        <f>HYPERLINK("http://exon.niaid.nih.gov/transcriptome/T_rubida/S2/links/cds/Triru-137-cds.txt","Triru-137")</f>
        <v>Triru-137</v>
      </c>
      <c r="F238">
        <v>327</v>
      </c>
      <c r="G238" s="2" t="s">
        <v>1700</v>
      </c>
      <c r="H238" s="1">
        <v>2</v>
      </c>
      <c r="I238" s="3" t="s">
        <v>1268</v>
      </c>
      <c r="J238" s="17" t="str">
        <f>HYPERLINK("http://exon.niaid.nih.gov/transcriptome/T_rubida/S2/links/Sigp/Triru-137-SigP.txt","CYT")</f>
        <v>CYT</v>
      </c>
      <c r="K238" t="s">
        <v>5</v>
      </c>
      <c r="L238" s="1">
        <v>12.486000000000001</v>
      </c>
      <c r="M238" s="1">
        <v>6.1</v>
      </c>
      <c r="P238" s="1">
        <v>0.16500000000000001</v>
      </c>
      <c r="Q238" s="1">
        <v>4.2999999999999997E-2</v>
      </c>
      <c r="R238" s="1">
        <v>0.87</v>
      </c>
      <c r="S238" s="17" t="s">
        <v>1346</v>
      </c>
      <c r="T238">
        <v>2</v>
      </c>
      <c r="U238" t="s">
        <v>1348</v>
      </c>
      <c r="V238" s="17">
        <v>0</v>
      </c>
      <c r="W238" t="s">
        <v>5</v>
      </c>
      <c r="X238" t="s">
        <v>5</v>
      </c>
      <c r="Y238" t="s">
        <v>5</v>
      </c>
      <c r="Z238" t="s">
        <v>5</v>
      </c>
      <c r="AA238" t="s">
        <v>5</v>
      </c>
      <c r="AB238" s="17" t="str">
        <f>HYPERLINK("http://exon.niaid.nih.gov/transcriptome/T_rubida/S2/links/netoglyc/TRIRU-137-netoglyc.txt","0")</f>
        <v>0</v>
      </c>
      <c r="AC238">
        <v>15.5</v>
      </c>
      <c r="AD238">
        <v>4.5</v>
      </c>
      <c r="AE238">
        <v>2.7</v>
      </c>
      <c r="AF238" s="17" t="s">
        <v>5</v>
      </c>
      <c r="AG238" s="2" t="str">
        <f>HYPERLINK("http://exon.niaid.nih.gov/transcriptome/T_rubida/S2/links/NR/Triru-137-NR.txt","Elongation factor 2")</f>
        <v>Elongation factor 2</v>
      </c>
      <c r="AH238" t="str">
        <f>HYPERLINK("http://www.ncbi.nlm.nih.gov/sutils/blink.cgi?pid=307192568","1E-051")</f>
        <v>1E-051</v>
      </c>
      <c r="AI238" t="str">
        <f>HYPERLINK("http://www.ncbi.nlm.nih.gov/protein/307192568","gi|307192568")</f>
        <v>gi|307192568</v>
      </c>
      <c r="AJ238">
        <v>206</v>
      </c>
      <c r="AK238">
        <v>108</v>
      </c>
      <c r="AL238">
        <v>857</v>
      </c>
      <c r="AM238">
        <v>94</v>
      </c>
      <c r="AN238">
        <v>13</v>
      </c>
      <c r="AO238" t="s">
        <v>230</v>
      </c>
      <c r="AP238" s="2" t="str">
        <f>HYPERLINK("http://exon.niaid.nih.gov/transcriptome/T_rubida/S2/links/SWISSP/Triru-137-SWISSP.txt","Translation elongation factor 2")</f>
        <v>Translation elongation factor 2</v>
      </c>
      <c r="AQ238" t="str">
        <f>HYPERLINK("http://www.uniprot.org/uniprot/Q1HPK6","4E-052")</f>
        <v>4E-052</v>
      </c>
      <c r="AR238" t="s">
        <v>804</v>
      </c>
      <c r="AS238">
        <v>202</v>
      </c>
      <c r="AT238">
        <v>109</v>
      </c>
      <c r="AU238">
        <v>844</v>
      </c>
      <c r="AV238">
        <v>91</v>
      </c>
      <c r="AW238">
        <v>13</v>
      </c>
      <c r="AX238">
        <v>9</v>
      </c>
      <c r="AY238">
        <v>0</v>
      </c>
      <c r="AZ238">
        <v>1</v>
      </c>
      <c r="BA238">
        <v>1</v>
      </c>
      <c r="BB238">
        <v>1</v>
      </c>
      <c r="BC238" t="s">
        <v>144</v>
      </c>
      <c r="BD238" s="2" t="s">
        <v>805</v>
      </c>
      <c r="BE238">
        <f>HYPERLINK("http://exon.niaid.nih.gov/transcriptome/T_rubida/S2/links/GO/Triru-137-GO.txt",3E-52)</f>
        <v>3E-52</v>
      </c>
      <c r="BF238" t="s">
        <v>105</v>
      </c>
      <c r="BG238" t="s">
        <v>105</v>
      </c>
      <c r="BI238" s="2" t="str">
        <f>HYPERLINK("http://exon.niaid.nih.gov/transcriptome/T_rubida/S2/links/CDD/Triru-137-CDD.txt","PTZ00416")</f>
        <v>PTZ00416</v>
      </c>
      <c r="BJ238" t="str">
        <f>HYPERLINK("http://www.ncbi.nlm.nih.gov/Structure/cdd/cddsrv.cgi?uid=PTZ00416&amp;version=v4.0","1E-046")</f>
        <v>1E-046</v>
      </c>
      <c r="BK238" t="s">
        <v>806</v>
      </c>
      <c r="BL238" s="2" t="str">
        <f>HYPERLINK("http://exon.niaid.nih.gov/transcriptome/T_rubida/S2/links/KOG/Triru-137-KOG.txt","Elongation factor 2")</f>
        <v>Elongation factor 2</v>
      </c>
      <c r="BM238" t="str">
        <f>HYPERLINK("http://www.ncbi.nlm.nih.gov/COG/grace/shokog.cgi?KOG0469","1E-048")</f>
        <v>1E-048</v>
      </c>
      <c r="BN238" t="s">
        <v>84</v>
      </c>
      <c r="BO238" s="2" t="str">
        <f>HYPERLINK("http://exon.niaid.nih.gov/transcriptome/T_rubida/S2/links/PFAM/Triru-137-PFAM.txt","GTP_EFTU")</f>
        <v>GTP_EFTU</v>
      </c>
      <c r="BP238" t="str">
        <f>HYPERLINK("http://pfam.sanger.ac.uk/family?acc=PF00009","7E-017")</f>
        <v>7E-017</v>
      </c>
      <c r="BQ238" s="2" t="str">
        <f>HYPERLINK("http://exon.niaid.nih.gov/transcriptome/T_rubida/S2/links/SMART/Triru-137-SMART.txt","P4Hc")</f>
        <v>P4Hc</v>
      </c>
      <c r="BR238" t="str">
        <f>HYPERLINK("http://smart.embl-heidelberg.de/smart/do_annotation.pl?DOMAIN=P4Hc&amp;BLAST=DUMMY","0.51")</f>
        <v>0.51</v>
      </c>
      <c r="BS238" s="17">
        <f>HYPERLINK("http://exon.niaid.nih.gov/transcriptome/T_rubida/S2/links/cluster/Triru-pep-ext25-50-Sim-CLU1.txt", 1)</f>
        <v>1</v>
      </c>
      <c r="BT238" s="1">
        <f>HYPERLINK("http://exon.niaid.nih.gov/transcriptome/T_rubida/S2/links/cluster/Triru-pep-ext25-50-Sim-CLTL1.txt", 359)</f>
        <v>359</v>
      </c>
      <c r="BU238" s="17">
        <v>81</v>
      </c>
      <c r="BV238" s="1">
        <v>1</v>
      </c>
      <c r="BW238" s="17">
        <v>87</v>
      </c>
      <c r="BX238" s="1">
        <v>1</v>
      </c>
      <c r="BY238" s="17">
        <v>87</v>
      </c>
      <c r="BZ238" s="1">
        <v>1</v>
      </c>
      <c r="CA238" s="17">
        <v>85</v>
      </c>
      <c r="CB238" s="1">
        <v>1</v>
      </c>
      <c r="CC238" s="17">
        <v>84</v>
      </c>
      <c r="CD238" s="1">
        <v>1</v>
      </c>
      <c r="CE238" s="17">
        <v>78</v>
      </c>
      <c r="CF238" s="1">
        <v>1</v>
      </c>
      <c r="CG238" s="17">
        <v>78</v>
      </c>
      <c r="CH238" s="1">
        <v>1</v>
      </c>
      <c r="CI238" s="17">
        <v>84</v>
      </c>
      <c r="CJ238" s="1">
        <v>1</v>
      </c>
      <c r="CK238" s="17">
        <v>88</v>
      </c>
      <c r="CL238" s="1">
        <v>1</v>
      </c>
      <c r="CM238" s="17">
        <v>92</v>
      </c>
      <c r="CN238" s="1">
        <v>1</v>
      </c>
      <c r="CO238" s="17">
        <v>100</v>
      </c>
      <c r="CP238" s="1">
        <v>1</v>
      </c>
      <c r="CQ238" s="17">
        <v>110</v>
      </c>
      <c r="CR238" s="1">
        <v>1</v>
      </c>
      <c r="CS238" s="17">
        <v>115</v>
      </c>
      <c r="CT238" s="1">
        <v>1</v>
      </c>
      <c r="CU238" s="17">
        <v>126</v>
      </c>
      <c r="CV238" s="1">
        <v>1</v>
      </c>
    </row>
    <row r="239" spans="1:100">
      <c r="A239" t="str">
        <f>HYPERLINK("http://exon.niaid.nih.gov/transcriptome/T_rubida/S2/links/pep/Triru-364-pep.txt","Triru-364")</f>
        <v>Triru-364</v>
      </c>
      <c r="B239">
        <v>58</v>
      </c>
      <c r="C239" s="1" t="s">
        <v>15</v>
      </c>
      <c r="D239" s="1" t="s">
        <v>3</v>
      </c>
      <c r="E239" t="str">
        <f>HYPERLINK("http://exon.niaid.nih.gov/transcriptome/T_rubida/S2/links/cds/Triru-364-cds.txt","Triru-364")</f>
        <v>Triru-364</v>
      </c>
      <c r="F239">
        <v>177</v>
      </c>
      <c r="G239" s="2" t="s">
        <v>1701</v>
      </c>
      <c r="H239" s="1">
        <v>1</v>
      </c>
      <c r="I239" s="3" t="s">
        <v>1268</v>
      </c>
      <c r="J239" s="17" t="str">
        <f>HYPERLINK("http://exon.niaid.nih.gov/transcriptome/T_rubida/S2/links/Sigp/Triru-364-SigP.txt","BL")</f>
        <v>BL</v>
      </c>
      <c r="K239" t="s">
        <v>1317</v>
      </c>
      <c r="L239" s="1">
        <v>6.9169999999999998</v>
      </c>
      <c r="M239" s="1">
        <v>9.51</v>
      </c>
      <c r="N239" s="1">
        <v>4.2690000000000001</v>
      </c>
      <c r="O239" s="1">
        <v>10.130000000000001</v>
      </c>
      <c r="P239" s="1">
        <v>4.2999999999999997E-2</v>
      </c>
      <c r="Q239" s="1">
        <v>0.55800000000000005</v>
      </c>
      <c r="R239" s="1">
        <v>0.29799999999999999</v>
      </c>
      <c r="S239" s="17" t="s">
        <v>18</v>
      </c>
      <c r="T239">
        <v>4</v>
      </c>
      <c r="U239" t="s">
        <v>1462</v>
      </c>
      <c r="V239" s="17">
        <v>0</v>
      </c>
      <c r="W239" t="s">
        <v>5</v>
      </c>
      <c r="X239" t="s">
        <v>5</v>
      </c>
      <c r="Y239" t="s">
        <v>5</v>
      </c>
      <c r="Z239" t="s">
        <v>5</v>
      </c>
      <c r="AA239" t="s">
        <v>5</v>
      </c>
      <c r="AB239" s="17" t="str">
        <f>HYPERLINK("http://exon.niaid.nih.gov/transcriptome/T_rubida/S2/links/netoglyc/TRIRU-364-netoglyc.txt","0")</f>
        <v>0</v>
      </c>
      <c r="AC239">
        <v>10.3</v>
      </c>
      <c r="AD239">
        <v>5.2</v>
      </c>
      <c r="AE239">
        <v>3.4</v>
      </c>
      <c r="AF239" s="17" t="s">
        <v>5</v>
      </c>
      <c r="AG239" s="2" t="str">
        <f>HYPERLINK("http://exon.niaid.nih.gov/transcriptome/T_rubida/S2/links/NR/Triru-364-NR.txt","polysaccharide biosynthesis protein")</f>
        <v>polysaccharide biosynthesis protein</v>
      </c>
      <c r="AH239" t="str">
        <f>HYPERLINK("http://www.ncbi.nlm.nih.gov/sutils/blink.cgi?pid=298377669","87")</f>
        <v>87</v>
      </c>
      <c r="AI239" t="str">
        <f>HYPERLINK("http://www.ncbi.nlm.nih.gov/protein/298377669","gi|298377669")</f>
        <v>gi|298377669</v>
      </c>
      <c r="AJ239">
        <v>30.4</v>
      </c>
      <c r="AK239">
        <v>37</v>
      </c>
      <c r="AL239">
        <v>481</v>
      </c>
      <c r="AM239">
        <v>28</v>
      </c>
      <c r="AN239">
        <v>8</v>
      </c>
      <c r="AO239" t="s">
        <v>777</v>
      </c>
      <c r="AP239" s="2" t="str">
        <f>HYPERLINK("http://exon.niaid.nih.gov/transcriptome/T_rubida/S2/links/SWISSP/Triru-364-SWISSP.txt","Zinc transporter ZIP8")</f>
        <v>Zinc transporter ZIP8</v>
      </c>
      <c r="AQ239" t="str">
        <f>HYPERLINK("http://www.uniprot.org/uniprot/Q9C0K1","3.2")</f>
        <v>3.2</v>
      </c>
      <c r="AR239" t="s">
        <v>778</v>
      </c>
      <c r="AS239">
        <v>30.4</v>
      </c>
      <c r="AT239">
        <v>47</v>
      </c>
      <c r="AU239">
        <v>460</v>
      </c>
      <c r="AV239">
        <v>27</v>
      </c>
      <c r="AW239">
        <v>10</v>
      </c>
      <c r="AX239">
        <v>35</v>
      </c>
      <c r="AY239">
        <v>0</v>
      </c>
      <c r="AZ239">
        <v>88</v>
      </c>
      <c r="BA239">
        <v>6</v>
      </c>
      <c r="BB239">
        <v>1</v>
      </c>
      <c r="BC239" t="s">
        <v>208</v>
      </c>
      <c r="BD239" s="2" t="s">
        <v>5</v>
      </c>
      <c r="BE239" t="s">
        <v>5</v>
      </c>
      <c r="BF239" t="s">
        <v>5</v>
      </c>
      <c r="BG239" t="s">
        <v>5</v>
      </c>
      <c r="BH239" t="s">
        <v>5</v>
      </c>
      <c r="BI239" s="2" t="s">
        <v>5</v>
      </c>
      <c r="BJ239" t="s">
        <v>5</v>
      </c>
      <c r="BK239" t="s">
        <v>5</v>
      </c>
      <c r="BL239" s="2" t="str">
        <f>HYPERLINK("http://exon.niaid.nih.gov/transcriptome/T_rubida/S2/links/KOG/Triru-364-KOG.txt","Uncharacterized conserved protein")</f>
        <v>Uncharacterized conserved protein</v>
      </c>
      <c r="BM239" t="str">
        <f>HYPERLINK("http://www.ncbi.nlm.nih.gov/COG/grace/shokog.cgi?KOG2998","0.90")</f>
        <v>0.90</v>
      </c>
      <c r="BN239" t="s">
        <v>264</v>
      </c>
      <c r="BO239" s="2" t="str">
        <f>HYPERLINK("http://exon.niaid.nih.gov/transcriptome/T_rubida/S2/links/PFAM/Triru-364-PFAM.txt","SYF2")</f>
        <v>SYF2</v>
      </c>
      <c r="BP239" t="str">
        <f>HYPERLINK("http://pfam.sanger.ac.uk/family?acc=PF08231","4.1")</f>
        <v>4.1</v>
      </c>
      <c r="BQ239" s="2" t="str">
        <f>HYPERLINK("http://exon.niaid.nih.gov/transcriptome/T_rubida/S2/links/SMART/Triru-364-SMART.txt","MUTSd")</f>
        <v>MUTSd</v>
      </c>
      <c r="BR239" t="str">
        <f>HYPERLINK("http://smart.embl-heidelberg.de/smart/do_annotation.pl?DOMAIN=MUTSd&amp;BLAST=DUMMY","1.4")</f>
        <v>1.4</v>
      </c>
      <c r="BS239" s="17">
        <f>HYPERLINK("http://exon.niaid.nih.gov/transcriptome/T_rubida/S2/links/cluster/Triru-pep-ext25-50-Sim-CLU6.txt", 6)</f>
        <v>6</v>
      </c>
      <c r="BT239" s="1">
        <f>HYPERLINK("http://exon.niaid.nih.gov/transcriptome/T_rubida/S2/links/cluster/Triru-pep-ext25-50-Sim-CLTL6.txt", 3)</f>
        <v>3</v>
      </c>
      <c r="BU239" s="17">
        <f>HYPERLINK("http://exon.niaid.nih.gov/transcriptome/T_rubida/S2/links/cluster/Triru-pep-ext30-50-Sim-CLU13.txt", 13)</f>
        <v>13</v>
      </c>
      <c r="BV239" s="1">
        <f>HYPERLINK("http://exon.niaid.nih.gov/transcriptome/T_rubida/S2/links/cluster/Triru-pep-ext30-50-Sim-CLTL13.txt", 3)</f>
        <v>3</v>
      </c>
      <c r="BW239" s="17">
        <f>HYPERLINK("http://exon.niaid.nih.gov/transcriptome/T_rubida/S2/links/cluster/Triru-pep-ext35-50-Sim-CLU10.txt", 10)</f>
        <v>10</v>
      </c>
      <c r="BX239" s="1">
        <f>HYPERLINK("http://exon.niaid.nih.gov/transcriptome/T_rubida/S2/links/cluster/Triru-pep-ext35-50-Sim-CLTL10.txt", 3)</f>
        <v>3</v>
      </c>
      <c r="BY239" s="17">
        <f>HYPERLINK("http://exon.niaid.nih.gov/transcriptome/T_rubida/S2/links/cluster/Triru-pep-ext40-50-Sim-CLU32.txt", 32)</f>
        <v>32</v>
      </c>
      <c r="BZ239" s="1">
        <f>HYPERLINK("http://exon.niaid.nih.gov/transcriptome/T_rubida/S2/links/cluster/Triru-pep-ext40-50-Sim-CLTL32.txt", 2)</f>
        <v>2</v>
      </c>
      <c r="CA239" s="17">
        <f>HYPERLINK("http://exon.niaid.nih.gov/transcriptome/T_rubida/S2/links/cluster/Triru-pep-ext45-50-Sim-CLU27.txt", 27)</f>
        <v>27</v>
      </c>
      <c r="CB239" s="1">
        <f>HYPERLINK("http://exon.niaid.nih.gov/transcriptome/T_rubida/S2/links/cluster/Triru-pep-ext45-50-Sim-CLTL27.txt", 2)</f>
        <v>2</v>
      </c>
      <c r="CC239" s="17">
        <f>HYPERLINK("http://exon.niaid.nih.gov/transcriptome/T_rubida/S2/links/cluster/Triru-pep-ext50-50-Sim-CLU26.txt", 26)</f>
        <v>26</v>
      </c>
      <c r="CD239" s="1">
        <f>HYPERLINK("http://exon.niaid.nih.gov/transcriptome/T_rubida/S2/links/cluster/Triru-pep-ext50-50-Sim-CLTL26.txt", 2)</f>
        <v>2</v>
      </c>
      <c r="CE239" s="17">
        <f>HYPERLINK("http://exon.niaid.nih.gov/transcriptome/T_rubida/S2/links/cluster/Triru-pep-ext55-50-Sim-CLU21.txt", 21)</f>
        <v>21</v>
      </c>
      <c r="CF239" s="1">
        <f>HYPERLINK("http://exon.niaid.nih.gov/transcriptome/T_rubida/S2/links/cluster/Triru-pep-ext55-50-Sim-CLTL21.txt", 2)</f>
        <v>2</v>
      </c>
      <c r="CG239" s="17">
        <f>HYPERLINK("http://exon.niaid.nih.gov/transcriptome/T_rubida/S2/links/cluster/Triru-pep-ext60-50-Sim-CLU22.txt", 22)</f>
        <v>22</v>
      </c>
      <c r="CH239" s="1">
        <f>HYPERLINK("http://exon.niaid.nih.gov/transcriptome/T_rubida/S2/links/cluster/Triru-pep-ext60-50-Sim-CLTL22.txt", 2)</f>
        <v>2</v>
      </c>
      <c r="CI239" s="17">
        <f>HYPERLINK("http://exon.niaid.nih.gov/transcriptome/T_rubida/S2/links/cluster/Triru-pep-ext65-50-Sim-CLU21.txt", 21)</f>
        <v>21</v>
      </c>
      <c r="CJ239" s="1">
        <f>HYPERLINK("http://exon.niaid.nih.gov/transcriptome/T_rubida/S2/links/cluster/Triru-pep-ext65-50-Sim-CLTL21.txt", 2)</f>
        <v>2</v>
      </c>
      <c r="CK239" s="17">
        <f>HYPERLINK("http://exon.niaid.nih.gov/transcriptome/T_rubida/S2/links/cluster/Triru-pep-ext70-50-Sim-CLU21.txt", 21)</f>
        <v>21</v>
      </c>
      <c r="CL239" s="1">
        <f>HYPERLINK("http://exon.niaid.nih.gov/transcriptome/T_rubida/S2/links/cluster/Triru-pep-ext70-50-Sim-CLTL21.txt", 2)</f>
        <v>2</v>
      </c>
      <c r="CM239" s="17">
        <f>HYPERLINK("http://exon.niaid.nih.gov/transcriptome/T_rubida/S2/links/cluster/Triru-pep-ext75-50-Sim-CLU21.txt", 21)</f>
        <v>21</v>
      </c>
      <c r="CN239" s="1">
        <f>HYPERLINK("http://exon.niaid.nih.gov/transcriptome/T_rubida/S2/links/cluster/Triru-pep-ext75-50-Sim-CLTL21.txt", 2)</f>
        <v>2</v>
      </c>
      <c r="CO239" s="17">
        <f>HYPERLINK("http://exon.niaid.nih.gov/transcriptome/T_rubida/S2/links/cluster/Triru-pep-ext80-50-Sim-CLU18.txt", 18)</f>
        <v>18</v>
      </c>
      <c r="CP239" s="1">
        <f>HYPERLINK("http://exon.niaid.nih.gov/transcriptome/T_rubida/S2/links/cluster/Triru-pep-ext80-50-Sim-CLTL18.txt", 2)</f>
        <v>2</v>
      </c>
      <c r="CQ239" s="17">
        <f>HYPERLINK("http://exon.niaid.nih.gov/transcriptome/T_rubida/S2/links/cluster/Triru-pep-ext85-50-Sim-CLU16.txt", 16)</f>
        <v>16</v>
      </c>
      <c r="CR239" s="1">
        <f>HYPERLINK("http://exon.niaid.nih.gov/transcriptome/T_rubida/S2/links/cluster/Triru-pep-ext85-50-Sim-CLTL16.txt", 2)</f>
        <v>2</v>
      </c>
      <c r="CS239" s="17">
        <f>HYPERLINK("http://exon.niaid.nih.gov/transcriptome/T_rubida/S2/links/cluster/Triru-pep-ext90-50-Sim-CLU14.txt", 14)</f>
        <v>14</v>
      </c>
      <c r="CT239" s="1">
        <f>HYPERLINK("http://exon.niaid.nih.gov/transcriptome/T_rubida/S2/links/cluster/Triru-pep-ext90-50-Sim-CLTL14.txt", 2)</f>
        <v>2</v>
      </c>
      <c r="CU239" s="17">
        <f>HYPERLINK("http://exon.niaid.nih.gov/transcriptome/T_rubida/S2/links/cluster/Triru-pep-ext95-50-Sim-CLU11.txt", 11)</f>
        <v>11</v>
      </c>
      <c r="CV239" s="1">
        <f>HYPERLINK("http://exon.niaid.nih.gov/transcriptome/T_rubida/S2/links/cluster/Triru-pep-ext95-50-Sim-CLTL11.txt", 2)</f>
        <v>2</v>
      </c>
    </row>
    <row r="240" spans="1:100">
      <c r="A240" t="str">
        <f>HYPERLINK("http://exon.niaid.nih.gov/transcriptome/T_rubida/S2/links/pep/Triru-400-pep.txt","Triru-400")</f>
        <v>Triru-400</v>
      </c>
      <c r="B240">
        <v>58</v>
      </c>
      <c r="C240" s="1" t="s">
        <v>15</v>
      </c>
      <c r="D240" s="1" t="s">
        <v>3</v>
      </c>
      <c r="E240" t="str">
        <f>HYPERLINK("http://exon.niaid.nih.gov/transcriptome/T_rubida/S2/links/cds/Triru-400-cds.txt","Triru-400")</f>
        <v>Triru-400</v>
      </c>
      <c r="F240">
        <v>177</v>
      </c>
      <c r="G240" s="2" t="s">
        <v>1701</v>
      </c>
      <c r="H240" s="1">
        <v>1</v>
      </c>
      <c r="I240" s="3" t="s">
        <v>1268</v>
      </c>
      <c r="J240" s="17" t="str">
        <f>HYPERLINK("http://exon.niaid.nih.gov/transcriptome/T_rubida/S2/links/Sigp/Triru-400-SigP.txt","BL")</f>
        <v>BL</v>
      </c>
      <c r="K240" t="s">
        <v>1317</v>
      </c>
      <c r="L240" s="1">
        <v>6.9080000000000004</v>
      </c>
      <c r="M240" s="1">
        <v>9.51</v>
      </c>
      <c r="N240" s="1">
        <v>4.2690000000000001</v>
      </c>
      <c r="O240" s="1">
        <v>10.130000000000001</v>
      </c>
      <c r="P240" s="1">
        <v>4.2999999999999997E-2</v>
      </c>
      <c r="Q240" s="1">
        <v>0.55800000000000005</v>
      </c>
      <c r="R240" s="1">
        <v>0.29799999999999999</v>
      </c>
      <c r="S240" s="17" t="s">
        <v>18</v>
      </c>
      <c r="T240">
        <v>4</v>
      </c>
      <c r="U240" t="s">
        <v>1462</v>
      </c>
      <c r="V240" s="17">
        <v>0</v>
      </c>
      <c r="W240" t="s">
        <v>5</v>
      </c>
      <c r="X240" t="s">
        <v>5</v>
      </c>
      <c r="Y240" t="s">
        <v>5</v>
      </c>
      <c r="Z240" t="s">
        <v>5</v>
      </c>
      <c r="AA240" t="s">
        <v>5</v>
      </c>
      <c r="AB240" s="17" t="str">
        <f>HYPERLINK("http://exon.niaid.nih.gov/transcriptome/T_rubida/S2/links/netoglyc/TRIRU-400-netoglyc.txt","0")</f>
        <v>0</v>
      </c>
      <c r="AC240">
        <v>10.3</v>
      </c>
      <c r="AD240">
        <v>5.2</v>
      </c>
      <c r="AE240">
        <v>3.4</v>
      </c>
      <c r="AF240" s="17" t="s">
        <v>5</v>
      </c>
      <c r="AG240" s="2" t="str">
        <f>HYPERLINK("http://exon.niaid.nih.gov/transcriptome/T_rubida/S2/links/NR/Triru-400-NR.txt","polysaccharide biosynthesis protein")</f>
        <v>polysaccharide biosynthesis protein</v>
      </c>
      <c r="AH240" t="str">
        <f>HYPERLINK("http://www.ncbi.nlm.nih.gov/sutils/blink.cgi?pid=298377669","87")</f>
        <v>87</v>
      </c>
      <c r="AI240" t="str">
        <f>HYPERLINK("http://www.ncbi.nlm.nih.gov/protein/298377669","gi|298377669")</f>
        <v>gi|298377669</v>
      </c>
      <c r="AJ240">
        <v>30.4</v>
      </c>
      <c r="AK240">
        <v>37</v>
      </c>
      <c r="AL240">
        <v>481</v>
      </c>
      <c r="AM240">
        <v>28</v>
      </c>
      <c r="AN240">
        <v>8</v>
      </c>
      <c r="AO240" t="s">
        <v>777</v>
      </c>
      <c r="AP240" s="2" t="str">
        <f>HYPERLINK("http://exon.niaid.nih.gov/transcriptome/T_rubida/S2/links/SWISSP/Triru-400-SWISSP.txt","Zinc transporter ZIP8")</f>
        <v>Zinc transporter ZIP8</v>
      </c>
      <c r="AQ240" t="str">
        <f>HYPERLINK("http://www.uniprot.org/uniprot/Q9C0K1","3.2")</f>
        <v>3.2</v>
      </c>
      <c r="AR240" t="s">
        <v>778</v>
      </c>
      <c r="AS240">
        <v>30.4</v>
      </c>
      <c r="AT240">
        <v>47</v>
      </c>
      <c r="AU240">
        <v>460</v>
      </c>
      <c r="AV240">
        <v>27</v>
      </c>
      <c r="AW240">
        <v>10</v>
      </c>
      <c r="AX240">
        <v>35</v>
      </c>
      <c r="AY240">
        <v>0</v>
      </c>
      <c r="AZ240">
        <v>88</v>
      </c>
      <c r="BA240">
        <v>6</v>
      </c>
      <c r="BB240">
        <v>1</v>
      </c>
      <c r="BC240" t="s">
        <v>208</v>
      </c>
      <c r="BD240" s="2" t="s">
        <v>5</v>
      </c>
      <c r="BE240" t="s">
        <v>5</v>
      </c>
      <c r="BF240" t="s">
        <v>5</v>
      </c>
      <c r="BG240" t="s">
        <v>5</v>
      </c>
      <c r="BH240" t="s">
        <v>5</v>
      </c>
      <c r="BI240" s="2" t="s">
        <v>5</v>
      </c>
      <c r="BJ240" t="s">
        <v>5</v>
      </c>
      <c r="BK240" t="s">
        <v>5</v>
      </c>
      <c r="BL240" s="2" t="str">
        <f>HYPERLINK("http://exon.niaid.nih.gov/transcriptome/T_rubida/S2/links/KOG/Triru-400-KOG.txt","Uncharacterized conserved protein")</f>
        <v>Uncharacterized conserved protein</v>
      </c>
      <c r="BM240" t="str">
        <f>HYPERLINK("http://www.ncbi.nlm.nih.gov/COG/grace/shokog.cgi?KOG2998","0.90")</f>
        <v>0.90</v>
      </c>
      <c r="BN240" t="s">
        <v>264</v>
      </c>
      <c r="BO240" s="2" t="str">
        <f>HYPERLINK("http://exon.niaid.nih.gov/transcriptome/T_rubida/S2/links/PFAM/Triru-400-PFAM.txt","SYF2")</f>
        <v>SYF2</v>
      </c>
      <c r="BP240" t="str">
        <f>HYPERLINK("http://pfam.sanger.ac.uk/family?acc=PF08231","4.1")</f>
        <v>4.1</v>
      </c>
      <c r="BQ240" s="2" t="str">
        <f>HYPERLINK("http://exon.niaid.nih.gov/transcriptome/T_rubida/S2/links/SMART/Triru-400-SMART.txt","MUTSd")</f>
        <v>MUTSd</v>
      </c>
      <c r="BR240" t="str">
        <f>HYPERLINK("http://smart.embl-heidelberg.de/smart/do_annotation.pl?DOMAIN=MUTSd&amp;BLAST=DUMMY","1.4")</f>
        <v>1.4</v>
      </c>
      <c r="BS240" s="17">
        <f>HYPERLINK("http://exon.niaid.nih.gov/transcriptome/T_rubida/S2/links/cluster/Triru-pep-ext25-50-Sim-CLU6.txt", 6)</f>
        <v>6</v>
      </c>
      <c r="BT240" s="1">
        <f>HYPERLINK("http://exon.niaid.nih.gov/transcriptome/T_rubida/S2/links/cluster/Triru-pep-ext25-50-Sim-CLTL6.txt", 3)</f>
        <v>3</v>
      </c>
      <c r="BU240" s="17">
        <f>HYPERLINK("http://exon.niaid.nih.gov/transcriptome/T_rubida/S2/links/cluster/Triru-pep-ext30-50-Sim-CLU13.txt", 13)</f>
        <v>13</v>
      </c>
      <c r="BV240" s="1">
        <f>HYPERLINK("http://exon.niaid.nih.gov/transcriptome/T_rubida/S2/links/cluster/Triru-pep-ext30-50-Sim-CLTL13.txt", 3)</f>
        <v>3</v>
      </c>
      <c r="BW240" s="17">
        <f>HYPERLINK("http://exon.niaid.nih.gov/transcriptome/T_rubida/S2/links/cluster/Triru-pep-ext35-50-Sim-CLU10.txt", 10)</f>
        <v>10</v>
      </c>
      <c r="BX240" s="1">
        <f>HYPERLINK("http://exon.niaid.nih.gov/transcriptome/T_rubida/S2/links/cluster/Triru-pep-ext35-50-Sim-CLTL10.txt", 3)</f>
        <v>3</v>
      </c>
      <c r="BY240" s="17">
        <f>HYPERLINK("http://exon.niaid.nih.gov/transcriptome/T_rubida/S2/links/cluster/Triru-pep-ext40-50-Sim-CLU32.txt", 32)</f>
        <v>32</v>
      </c>
      <c r="BZ240" s="1">
        <f>HYPERLINK("http://exon.niaid.nih.gov/transcriptome/T_rubida/S2/links/cluster/Triru-pep-ext40-50-Sim-CLTL32.txt", 2)</f>
        <v>2</v>
      </c>
      <c r="CA240" s="17">
        <f>HYPERLINK("http://exon.niaid.nih.gov/transcriptome/T_rubida/S2/links/cluster/Triru-pep-ext45-50-Sim-CLU27.txt", 27)</f>
        <v>27</v>
      </c>
      <c r="CB240" s="1">
        <f>HYPERLINK("http://exon.niaid.nih.gov/transcriptome/T_rubida/S2/links/cluster/Triru-pep-ext45-50-Sim-CLTL27.txt", 2)</f>
        <v>2</v>
      </c>
      <c r="CC240" s="17">
        <f>HYPERLINK("http://exon.niaid.nih.gov/transcriptome/T_rubida/S2/links/cluster/Triru-pep-ext50-50-Sim-CLU26.txt", 26)</f>
        <v>26</v>
      </c>
      <c r="CD240" s="1">
        <f>HYPERLINK("http://exon.niaid.nih.gov/transcriptome/T_rubida/S2/links/cluster/Triru-pep-ext50-50-Sim-CLTL26.txt", 2)</f>
        <v>2</v>
      </c>
      <c r="CE240" s="17">
        <f>HYPERLINK("http://exon.niaid.nih.gov/transcriptome/T_rubida/S2/links/cluster/Triru-pep-ext55-50-Sim-CLU21.txt", 21)</f>
        <v>21</v>
      </c>
      <c r="CF240" s="1">
        <f>HYPERLINK("http://exon.niaid.nih.gov/transcriptome/T_rubida/S2/links/cluster/Triru-pep-ext55-50-Sim-CLTL21.txt", 2)</f>
        <v>2</v>
      </c>
      <c r="CG240" s="17">
        <f>HYPERLINK("http://exon.niaid.nih.gov/transcriptome/T_rubida/S2/links/cluster/Triru-pep-ext60-50-Sim-CLU22.txt", 22)</f>
        <v>22</v>
      </c>
      <c r="CH240" s="1">
        <f>HYPERLINK("http://exon.niaid.nih.gov/transcriptome/T_rubida/S2/links/cluster/Triru-pep-ext60-50-Sim-CLTL22.txt", 2)</f>
        <v>2</v>
      </c>
      <c r="CI240" s="17">
        <f>HYPERLINK("http://exon.niaid.nih.gov/transcriptome/T_rubida/S2/links/cluster/Triru-pep-ext65-50-Sim-CLU21.txt", 21)</f>
        <v>21</v>
      </c>
      <c r="CJ240" s="1">
        <f>HYPERLINK("http://exon.niaid.nih.gov/transcriptome/T_rubida/S2/links/cluster/Triru-pep-ext65-50-Sim-CLTL21.txt", 2)</f>
        <v>2</v>
      </c>
      <c r="CK240" s="17">
        <f>HYPERLINK("http://exon.niaid.nih.gov/transcriptome/T_rubida/S2/links/cluster/Triru-pep-ext70-50-Sim-CLU21.txt", 21)</f>
        <v>21</v>
      </c>
      <c r="CL240" s="1">
        <f>HYPERLINK("http://exon.niaid.nih.gov/transcriptome/T_rubida/S2/links/cluster/Triru-pep-ext70-50-Sim-CLTL21.txt", 2)</f>
        <v>2</v>
      </c>
      <c r="CM240" s="17">
        <f>HYPERLINK("http://exon.niaid.nih.gov/transcriptome/T_rubida/S2/links/cluster/Triru-pep-ext75-50-Sim-CLU21.txt", 21)</f>
        <v>21</v>
      </c>
      <c r="CN240" s="1">
        <f>HYPERLINK("http://exon.niaid.nih.gov/transcriptome/T_rubida/S2/links/cluster/Triru-pep-ext75-50-Sim-CLTL21.txt", 2)</f>
        <v>2</v>
      </c>
      <c r="CO240" s="17">
        <f>HYPERLINK("http://exon.niaid.nih.gov/transcriptome/T_rubida/S2/links/cluster/Triru-pep-ext80-50-Sim-CLU18.txt", 18)</f>
        <v>18</v>
      </c>
      <c r="CP240" s="1">
        <f>HYPERLINK("http://exon.niaid.nih.gov/transcriptome/T_rubida/S2/links/cluster/Triru-pep-ext80-50-Sim-CLTL18.txt", 2)</f>
        <v>2</v>
      </c>
      <c r="CQ240" s="17">
        <f>HYPERLINK("http://exon.niaid.nih.gov/transcriptome/T_rubida/S2/links/cluster/Triru-pep-ext85-50-Sim-CLU16.txt", 16)</f>
        <v>16</v>
      </c>
      <c r="CR240" s="1">
        <f>HYPERLINK("http://exon.niaid.nih.gov/transcriptome/T_rubida/S2/links/cluster/Triru-pep-ext85-50-Sim-CLTL16.txt", 2)</f>
        <v>2</v>
      </c>
      <c r="CS240" s="17">
        <f>HYPERLINK("http://exon.niaid.nih.gov/transcriptome/T_rubida/S2/links/cluster/Triru-pep-ext90-50-Sim-CLU14.txt", 14)</f>
        <v>14</v>
      </c>
      <c r="CT240" s="1">
        <f>HYPERLINK("http://exon.niaid.nih.gov/transcriptome/T_rubida/S2/links/cluster/Triru-pep-ext90-50-Sim-CLTL14.txt", 2)</f>
        <v>2</v>
      </c>
      <c r="CU240" s="17">
        <f>HYPERLINK("http://exon.niaid.nih.gov/transcriptome/T_rubida/S2/links/cluster/Triru-pep-ext95-50-Sim-CLU11.txt", 11)</f>
        <v>11</v>
      </c>
      <c r="CV240" s="1">
        <f>HYPERLINK("http://exon.niaid.nih.gov/transcriptome/T_rubida/S2/links/cluster/Triru-pep-ext95-50-Sim-CLTL11.txt", 2)</f>
        <v>2</v>
      </c>
    </row>
    <row r="241" spans="1:100">
      <c r="A241" t="str">
        <f>HYPERLINK("http://exon.niaid.nih.gov/transcriptome/T_rubida/S2/links/pep/Triru-247-pep.txt","Triru-247")</f>
        <v>Triru-247</v>
      </c>
      <c r="B241">
        <v>39</v>
      </c>
      <c r="C241" s="1" t="s">
        <v>21</v>
      </c>
      <c r="D241" s="1" t="s">
        <v>3</v>
      </c>
      <c r="E241" t="str">
        <f>HYPERLINK("http://exon.niaid.nih.gov/transcriptome/T_rubida/S2/links/cds/Triru-247-cds.txt","Triru-247")</f>
        <v>Triru-247</v>
      </c>
      <c r="F241">
        <v>120</v>
      </c>
      <c r="G241" s="2" t="s">
        <v>1702</v>
      </c>
      <c r="H241" s="1">
        <v>1</v>
      </c>
      <c r="I241" s="3" t="s">
        <v>1268</v>
      </c>
      <c r="J241" s="17" t="str">
        <f>HYPERLINK("http://exon.niaid.nih.gov/transcriptome/T_rubida/S2/links/Sigp/Triru-247-SigP.txt","CYT")</f>
        <v>CYT</v>
      </c>
      <c r="K241" t="s">
        <v>5</v>
      </c>
      <c r="L241" s="1">
        <v>4.008</v>
      </c>
      <c r="M241" s="1">
        <v>4.75</v>
      </c>
      <c r="P241" s="1">
        <v>0.126</v>
      </c>
      <c r="Q241" s="1">
        <v>8.7999999999999995E-2</v>
      </c>
      <c r="R241" s="1">
        <v>0.77700000000000002</v>
      </c>
      <c r="S241" s="17" t="s">
        <v>1346</v>
      </c>
      <c r="T241">
        <v>2</v>
      </c>
      <c r="U241" t="s">
        <v>1347</v>
      </c>
      <c r="V241" s="17">
        <v>0</v>
      </c>
      <c r="W241" t="s">
        <v>5</v>
      </c>
      <c r="X241" t="s">
        <v>5</v>
      </c>
      <c r="Y241" t="s">
        <v>5</v>
      </c>
      <c r="Z241" t="s">
        <v>5</v>
      </c>
      <c r="AA241" t="s">
        <v>5</v>
      </c>
      <c r="AB241" s="17" t="str">
        <f>HYPERLINK("http://exon.niaid.nih.gov/transcriptome/T_rubida/S2/links/netoglyc/TRIRU-247-netoglyc.txt","0")</f>
        <v>0</v>
      </c>
      <c r="AC241">
        <v>2.6</v>
      </c>
      <c r="AD241">
        <v>12.8</v>
      </c>
      <c r="AE241">
        <v>10.3</v>
      </c>
      <c r="AF241" s="17" t="s">
        <v>5</v>
      </c>
      <c r="AG241" s="2" t="str">
        <f>HYPERLINK("http://exon.niaid.nih.gov/transcriptome/T_rubida/S2/links/NR/Triru-247-NR.txt","phenylalanyl-tRNA synthetase, beta subunit")</f>
        <v>phenylalanyl-tRNA synthetase, beta subunit</v>
      </c>
      <c r="AH241" t="str">
        <f>HYPERLINK("http://www.ncbi.nlm.nih.gov/sutils/blink.cgi?pid=148226986","4E-007")</f>
        <v>4E-007</v>
      </c>
      <c r="AI241" t="str">
        <f>HYPERLINK("http://www.ncbi.nlm.nih.gov/protein/148226986","gi|148226986")</f>
        <v>gi|148226986</v>
      </c>
      <c r="AJ241">
        <v>58.2</v>
      </c>
      <c r="AK241">
        <v>34</v>
      </c>
      <c r="AL241">
        <v>588</v>
      </c>
      <c r="AM241">
        <v>68</v>
      </c>
      <c r="AN241">
        <v>6</v>
      </c>
      <c r="AO241" t="s">
        <v>109</v>
      </c>
      <c r="AP241" s="2" t="str">
        <f>HYPERLINK("http://exon.niaid.nih.gov/transcriptome/T_rubida/S2/links/SWISSP/Triru-247-SWISSP.txt","Phenylalanyl-tRNA synthetase beta chain")</f>
        <v>Phenylalanyl-tRNA synthetase beta chain</v>
      </c>
      <c r="AQ241" t="str">
        <f>HYPERLINK("http://www.uniprot.org/uniprot/Q9WUA2","2E-008")</f>
        <v>2E-008</v>
      </c>
      <c r="AR241" t="s">
        <v>1236</v>
      </c>
      <c r="AS241">
        <v>57.8</v>
      </c>
      <c r="AT241">
        <v>35</v>
      </c>
      <c r="AU241">
        <v>589</v>
      </c>
      <c r="AV241">
        <v>66</v>
      </c>
      <c r="AW241">
        <v>6</v>
      </c>
      <c r="AX241">
        <v>12</v>
      </c>
      <c r="AY241">
        <v>0</v>
      </c>
      <c r="AZ241">
        <v>554</v>
      </c>
      <c r="BA241">
        <v>4</v>
      </c>
      <c r="BB241">
        <v>1</v>
      </c>
      <c r="BC241" t="s">
        <v>75</v>
      </c>
      <c r="BD241" s="2" t="s">
        <v>1237</v>
      </c>
      <c r="BE241">
        <f>HYPERLINK("http://exon.niaid.nih.gov/transcriptome/T_rubida/S2/links/GO/Triru-247-GO.txt",0.00000001)</f>
        <v>1E-8</v>
      </c>
      <c r="BF241" t="s">
        <v>268</v>
      </c>
      <c r="BG241" t="s">
        <v>153</v>
      </c>
      <c r="BH241" t="s">
        <v>269</v>
      </c>
      <c r="BI241" s="2" t="str">
        <f>HYPERLINK("http://exon.niaid.nih.gov/transcriptome/T_rubida/S2/links/CDD/Triru-247-CDD.txt","PLN02265")</f>
        <v>PLN02265</v>
      </c>
      <c r="BJ241" t="str">
        <f>HYPERLINK("http://www.ncbi.nlm.nih.gov/Structure/cdd/cddsrv.cgi?uid=PLN02265&amp;version=v4.0","1E-009")</f>
        <v>1E-009</v>
      </c>
      <c r="BK241" t="s">
        <v>1238</v>
      </c>
      <c r="BL241" s="2" t="str">
        <f>HYPERLINK("http://exon.niaid.nih.gov/transcriptome/T_rubida/S2/links/KOG/Triru-247-KOG.txt","Phenylalanyl-tRNA synthetase beta subunit")</f>
        <v>Phenylalanyl-tRNA synthetase beta subunit</v>
      </c>
      <c r="BM241" t="str">
        <f>HYPERLINK("http://www.ncbi.nlm.nih.gov/COG/grace/shokog.cgi?KOG2472","2E-010")</f>
        <v>2E-010</v>
      </c>
      <c r="BN241" t="s">
        <v>84</v>
      </c>
      <c r="BO241" s="2" t="s">
        <v>5</v>
      </c>
      <c r="BP241" t="s">
        <v>5</v>
      </c>
      <c r="BQ241" s="2" t="str">
        <f>HYPERLINK("http://exon.niaid.nih.gov/transcriptome/T_rubida/S2/links/SMART/Triru-247-SMART.txt","BAH")</f>
        <v>BAH</v>
      </c>
      <c r="BR241" t="str">
        <f>HYPERLINK("http://smart.embl-heidelberg.de/smart/do_annotation.pl?DOMAIN=BAH&amp;BLAST=DUMMY","7.0")</f>
        <v>7.0</v>
      </c>
      <c r="BS241" s="17">
        <f>HYPERLINK("http://exon.niaid.nih.gov/transcriptome/T_rubida/S2/links/cluster/Triru-pep-ext25-50-Sim-CLU1.txt", 1)</f>
        <v>1</v>
      </c>
      <c r="BT241" s="1">
        <f>HYPERLINK("http://exon.niaid.nih.gov/transcriptome/T_rubida/S2/links/cluster/Triru-pep-ext25-50-Sim-CLTL1.txt", 359)</f>
        <v>359</v>
      </c>
      <c r="BU241" s="17">
        <f>HYPERLINK("http://exon.niaid.nih.gov/transcriptome/T_rubida/S2/links/cluster/Triru-pep-ext30-50-Sim-CLU11.txt", 11)</f>
        <v>11</v>
      </c>
      <c r="BV241" s="1">
        <f>HYPERLINK("http://exon.niaid.nih.gov/transcriptome/T_rubida/S2/links/cluster/Triru-pep-ext30-50-Sim-CLTL11.txt", 3)</f>
        <v>3</v>
      </c>
      <c r="BW241" s="17">
        <v>142</v>
      </c>
      <c r="BX241" s="1">
        <v>1</v>
      </c>
      <c r="BY241" s="17">
        <v>149</v>
      </c>
      <c r="BZ241" s="1">
        <v>1</v>
      </c>
      <c r="CA241" s="17">
        <v>152</v>
      </c>
      <c r="CB241" s="1">
        <v>1</v>
      </c>
      <c r="CC241" s="17">
        <v>155</v>
      </c>
      <c r="CD241" s="1">
        <v>1</v>
      </c>
      <c r="CE241" s="17">
        <v>155</v>
      </c>
      <c r="CF241" s="1">
        <v>1</v>
      </c>
      <c r="CG241" s="17">
        <v>157</v>
      </c>
      <c r="CH241" s="1">
        <v>1</v>
      </c>
      <c r="CI241" s="17">
        <v>164</v>
      </c>
      <c r="CJ241" s="1">
        <v>1</v>
      </c>
      <c r="CK241" s="17">
        <v>169</v>
      </c>
      <c r="CL241" s="1">
        <v>1</v>
      </c>
      <c r="CM241" s="17">
        <v>175</v>
      </c>
      <c r="CN241" s="1">
        <v>1</v>
      </c>
      <c r="CO241" s="17">
        <v>185</v>
      </c>
      <c r="CP241" s="1">
        <v>1</v>
      </c>
      <c r="CQ241" s="17">
        <v>195</v>
      </c>
      <c r="CR241" s="1">
        <v>1</v>
      </c>
      <c r="CS241" s="17">
        <v>200</v>
      </c>
      <c r="CT241" s="1">
        <v>1</v>
      </c>
      <c r="CU241" s="17">
        <v>211</v>
      </c>
      <c r="CV241" s="1">
        <v>1</v>
      </c>
    </row>
    <row r="242" spans="1:100" s="4" customFormat="1">
      <c r="A242" s="16" t="s">
        <v>1907</v>
      </c>
      <c r="I242" s="5"/>
      <c r="P242" s="4" t="s">
        <v>5</v>
      </c>
      <c r="Q242" s="4" t="s">
        <v>5</v>
      </c>
      <c r="R242" s="4" t="s">
        <v>5</v>
      </c>
      <c r="S242" s="4" t="s">
        <v>5</v>
      </c>
      <c r="T242" s="4" t="s">
        <v>5</v>
      </c>
      <c r="U242" s="4" t="s">
        <v>5</v>
      </c>
      <c r="V242" s="4" t="s">
        <v>5</v>
      </c>
      <c r="W242" s="4" t="s">
        <v>5</v>
      </c>
      <c r="X242" s="4" t="s">
        <v>5</v>
      </c>
      <c r="Y242" s="4" t="s">
        <v>5</v>
      </c>
      <c r="Z242" s="4" t="s">
        <v>5</v>
      </c>
      <c r="AA242" s="4" t="s">
        <v>5</v>
      </c>
      <c r="AB242" s="4" t="s">
        <v>5</v>
      </c>
      <c r="AC242" s="4" t="s">
        <v>5</v>
      </c>
      <c r="AD242" s="4" t="s">
        <v>5</v>
      </c>
      <c r="AE242" s="4" t="s">
        <v>5</v>
      </c>
      <c r="AF242" s="4" t="s">
        <v>5</v>
      </c>
    </row>
    <row r="243" spans="1:100">
      <c r="A243" t="str">
        <f>HYPERLINK("http://exon.niaid.nih.gov/transcriptome/T_rubida/S2/links/pep/Triru-121-pep.txt","Triru-121")</f>
        <v>Triru-121</v>
      </c>
      <c r="B243">
        <v>301</v>
      </c>
      <c r="C243" s="1" t="s">
        <v>17</v>
      </c>
      <c r="D243" s="1" t="s">
        <v>3</v>
      </c>
      <c r="E243" t="str">
        <f>HYPERLINK("http://exon.niaid.nih.gov/transcriptome/T_rubida/S2/links/cds/Triru-121-cds.txt","Triru-121")</f>
        <v>Triru-121</v>
      </c>
      <c r="F243">
        <v>906</v>
      </c>
      <c r="G243" s="2" t="s">
        <v>1703</v>
      </c>
      <c r="H243" s="1">
        <v>3</v>
      </c>
      <c r="I243" s="3" t="s">
        <v>1274</v>
      </c>
      <c r="J243" s="17" t="str">
        <f>HYPERLINK("http://exon.niaid.nih.gov/transcriptome/T_rubida/S2/links/Sigp/Triru-121-SigP.txt","CYT")</f>
        <v>CYT</v>
      </c>
      <c r="K243" t="s">
        <v>5</v>
      </c>
      <c r="L243" s="1">
        <v>33.93</v>
      </c>
      <c r="M243" s="1">
        <v>8.0500000000000007</v>
      </c>
      <c r="P243" s="1">
        <v>0.23400000000000001</v>
      </c>
      <c r="Q243" s="1">
        <v>5.6000000000000001E-2</v>
      </c>
      <c r="R243" s="1">
        <v>0.77</v>
      </c>
      <c r="S243" s="17" t="s">
        <v>1346</v>
      </c>
      <c r="T243">
        <v>3</v>
      </c>
      <c r="U243" t="s">
        <v>1348</v>
      </c>
      <c r="V243" s="17">
        <v>0</v>
      </c>
      <c r="W243" t="s">
        <v>5</v>
      </c>
      <c r="X243" t="s">
        <v>5</v>
      </c>
      <c r="Y243" t="s">
        <v>5</v>
      </c>
      <c r="Z243" t="s">
        <v>5</v>
      </c>
      <c r="AA243" t="s">
        <v>5</v>
      </c>
      <c r="AB243" s="17" t="str">
        <f>HYPERLINK("http://exon.niaid.nih.gov/transcriptome/T_rubida/S2/links/netoglyc/TRIRU-121-netoglyc.txt","1")</f>
        <v>1</v>
      </c>
      <c r="AC243">
        <v>15.9</v>
      </c>
      <c r="AD243">
        <v>5</v>
      </c>
      <c r="AE243">
        <v>4</v>
      </c>
      <c r="AF243" s="17" t="s">
        <v>5</v>
      </c>
      <c r="AG243" s="2" t="str">
        <f>HYPERLINK("http://exon.niaid.nih.gov/transcriptome/T_rubida/S2/links/NR/Triru-121-NR.txt","receptor for activated protein kinase C-like")</f>
        <v>receptor for activated protein kinase C-like</v>
      </c>
      <c r="AH243" t="str">
        <f>HYPERLINK("http://www.ncbi.nlm.nih.gov/sutils/blink.cgi?pid=114319093","1E-169")</f>
        <v>1E-169</v>
      </c>
      <c r="AI243" t="str">
        <f>HYPERLINK("http://www.ncbi.nlm.nih.gov/protein/114319093","gi|114319093")</f>
        <v>gi|114319093</v>
      </c>
      <c r="AJ243">
        <v>599</v>
      </c>
      <c r="AK243">
        <v>299</v>
      </c>
      <c r="AL243">
        <v>317</v>
      </c>
      <c r="AM243">
        <v>94</v>
      </c>
      <c r="AN243">
        <v>95</v>
      </c>
      <c r="AO243" t="s">
        <v>171</v>
      </c>
      <c r="AP243" s="2" t="str">
        <f>HYPERLINK("http://exon.niaid.nih.gov/transcriptome/T_rubida/S2/links/SWISSP/Triru-121-SWISSP.txt","Guanine nucleotide-binding protein subunit beta-like protein")</f>
        <v>Guanine nucleotide-binding protein subunit beta-like protein</v>
      </c>
      <c r="AQ243" t="str">
        <f>HYPERLINK("http://www.uniprot.org/uniprot/O18640","1E-152")</f>
        <v>1E-152</v>
      </c>
      <c r="AR243" t="s">
        <v>1177</v>
      </c>
      <c r="AS243">
        <v>537</v>
      </c>
      <c r="AT243">
        <v>298</v>
      </c>
      <c r="AU243">
        <v>318</v>
      </c>
      <c r="AV243">
        <v>84</v>
      </c>
      <c r="AW243">
        <v>94</v>
      </c>
      <c r="AX243">
        <v>47</v>
      </c>
      <c r="AY243">
        <v>1</v>
      </c>
      <c r="AZ243">
        <v>18</v>
      </c>
      <c r="BA243">
        <v>2</v>
      </c>
      <c r="BB243">
        <v>1</v>
      </c>
      <c r="BC243" t="s">
        <v>150</v>
      </c>
      <c r="BD243" s="2" t="s">
        <v>1178</v>
      </c>
      <c r="BE243">
        <f>HYPERLINK("http://exon.niaid.nih.gov/transcriptome/T_rubida/S2/links/GO/Triru-121-GO.txt",0)</f>
        <v>0</v>
      </c>
      <c r="BF243" t="s">
        <v>1179</v>
      </c>
      <c r="BG243" t="s">
        <v>153</v>
      </c>
      <c r="BH243" t="s">
        <v>174</v>
      </c>
      <c r="BI243" s="2" t="str">
        <f>HYPERLINK("http://exon.niaid.nih.gov/transcriptome/T_rubida/S2/links/CDD/Triru-121-CDD.txt","WD40")</f>
        <v>WD40</v>
      </c>
      <c r="BJ243" t="str">
        <f>HYPERLINK("http://www.ncbi.nlm.nih.gov/Structure/cdd/cddsrv.cgi?uid=cd00200&amp;version=v4.0","8E-062")</f>
        <v>8E-062</v>
      </c>
      <c r="BK243" t="s">
        <v>1180</v>
      </c>
      <c r="BL243" s="2" t="str">
        <f>HYPERLINK("http://exon.niaid.nih.gov/transcriptome/T_rubida/S2/links/KOG/Triru-121-KOG.txt","G protein beta subunit-like protein")</f>
        <v>G protein beta subunit-like protein</v>
      </c>
      <c r="BM243" t="str">
        <f>HYPERLINK("http://www.ncbi.nlm.nih.gov/COG/grace/shokog.cgi?KOG0279","1E-130")</f>
        <v>1E-130</v>
      </c>
      <c r="BN243" t="s">
        <v>179</v>
      </c>
      <c r="BO243" s="2" t="str">
        <f>HYPERLINK("http://exon.niaid.nih.gov/transcriptome/T_rubida/S2/links/PFAM/Triru-121-PFAM.txt","WD40")</f>
        <v>WD40</v>
      </c>
      <c r="BP243" t="str">
        <f>HYPERLINK("http://pfam.sanger.ac.uk/family?acc=PF00400","2E-006")</f>
        <v>2E-006</v>
      </c>
      <c r="BQ243" s="2" t="str">
        <f>HYPERLINK("http://exon.niaid.nih.gov/transcriptome/T_rubida/S2/links/SMART/Triru-121-SMART.txt","WD40")</f>
        <v>WD40</v>
      </c>
      <c r="BR243" t="str">
        <f>HYPERLINK("http://smart.embl-heidelberg.de/smart/do_annotation.pl?DOMAIN=WD40&amp;BLAST=DUMMY","4E-007")</f>
        <v>4E-007</v>
      </c>
      <c r="BS243" s="17">
        <v>49</v>
      </c>
      <c r="BT243" s="1">
        <v>1</v>
      </c>
      <c r="BU243" s="17">
        <v>67</v>
      </c>
      <c r="BV243" s="1">
        <v>1</v>
      </c>
      <c r="BW243" s="17">
        <v>73</v>
      </c>
      <c r="BX243" s="1">
        <v>1</v>
      </c>
      <c r="BY243" s="17">
        <v>73</v>
      </c>
      <c r="BZ243" s="1">
        <v>1</v>
      </c>
      <c r="CA243" s="17">
        <v>71</v>
      </c>
      <c r="CB243" s="1">
        <v>1</v>
      </c>
      <c r="CC243" s="17">
        <v>70</v>
      </c>
      <c r="CD243" s="1">
        <v>1</v>
      </c>
      <c r="CE243" s="17">
        <v>64</v>
      </c>
      <c r="CF243" s="1">
        <v>1</v>
      </c>
      <c r="CG243" s="17">
        <v>64</v>
      </c>
      <c r="CH243" s="1">
        <v>1</v>
      </c>
      <c r="CI243" s="17">
        <v>70</v>
      </c>
      <c r="CJ243" s="1">
        <v>1</v>
      </c>
      <c r="CK243" s="17">
        <v>74</v>
      </c>
      <c r="CL243" s="1">
        <v>1</v>
      </c>
      <c r="CM243" s="17">
        <v>78</v>
      </c>
      <c r="CN243" s="1">
        <v>1</v>
      </c>
      <c r="CO243" s="17">
        <v>86</v>
      </c>
      <c r="CP243" s="1">
        <v>1</v>
      </c>
      <c r="CQ243" s="17">
        <v>96</v>
      </c>
      <c r="CR243" s="1">
        <v>1</v>
      </c>
      <c r="CS243" s="17">
        <v>101</v>
      </c>
      <c r="CT243" s="1">
        <v>1</v>
      </c>
      <c r="CU243" s="17">
        <v>112</v>
      </c>
      <c r="CV243" s="1">
        <v>1</v>
      </c>
    </row>
    <row r="244" spans="1:100">
      <c r="A244" t="str">
        <f>HYPERLINK("http://exon.niaid.nih.gov/transcriptome/T_rubida/S2/links/pep/Triru-323-pep.txt","Triru-323")</f>
        <v>Triru-323</v>
      </c>
      <c r="B244">
        <v>141</v>
      </c>
      <c r="C244" s="1" t="s">
        <v>6</v>
      </c>
      <c r="D244" s="1" t="s">
        <v>3</v>
      </c>
      <c r="E244" t="str">
        <f>HYPERLINK("http://exon.niaid.nih.gov/transcriptome/T_rubida/S2/links/cds/Triru-323-cds.txt","Triru-323")</f>
        <v>Triru-323</v>
      </c>
      <c r="F244">
        <v>426</v>
      </c>
      <c r="G244" s="2" t="s">
        <v>1704</v>
      </c>
      <c r="H244" s="1">
        <v>1</v>
      </c>
      <c r="I244" s="3" t="s">
        <v>1274</v>
      </c>
      <c r="J244" s="17" t="str">
        <f>HYPERLINK("http://exon.niaid.nih.gov/transcriptome/T_rubida/S2/links/Sigp/Triru-323-SigP.txt","CYT")</f>
        <v>CYT</v>
      </c>
      <c r="K244" t="s">
        <v>5</v>
      </c>
      <c r="L244" s="1">
        <v>16.315000000000001</v>
      </c>
      <c r="M244" s="1">
        <v>5.25</v>
      </c>
      <c r="P244" s="1">
        <v>0.183</v>
      </c>
      <c r="Q244" s="1">
        <v>4.2000000000000003E-2</v>
      </c>
      <c r="R244" s="1">
        <v>0.85499999999999998</v>
      </c>
      <c r="S244" s="17" t="s">
        <v>1346</v>
      </c>
      <c r="T244">
        <v>2</v>
      </c>
      <c r="U244" t="s">
        <v>1348</v>
      </c>
      <c r="V244" s="17">
        <v>0</v>
      </c>
      <c r="W244" t="s">
        <v>5</v>
      </c>
      <c r="X244" t="s">
        <v>5</v>
      </c>
      <c r="Y244" t="s">
        <v>5</v>
      </c>
      <c r="Z244" t="s">
        <v>5</v>
      </c>
      <c r="AA244" t="s">
        <v>5</v>
      </c>
      <c r="AB244" s="17" t="str">
        <f>HYPERLINK("http://exon.niaid.nih.gov/transcriptome/T_rubida/S2/links/netoglyc/TRIRU-323-netoglyc.txt","0")</f>
        <v>0</v>
      </c>
      <c r="AC244">
        <v>9.9</v>
      </c>
      <c r="AD244">
        <v>3.5</v>
      </c>
      <c r="AE244">
        <v>2.8</v>
      </c>
      <c r="AF244" s="17" t="s">
        <v>5</v>
      </c>
      <c r="AG244" s="2" t="str">
        <f>HYPERLINK("http://exon.niaid.nih.gov/transcriptome/T_rubida/S2/links/NR/Triru-323-NR.txt","putative calcium-binding protein p22")</f>
        <v>putative calcium-binding protein p22</v>
      </c>
      <c r="AH244" t="str">
        <f>HYPERLINK("http://www.ncbi.nlm.nih.gov/sutils/blink.cgi?pid=121543871","1E-056")</f>
        <v>1E-056</v>
      </c>
      <c r="AI244" t="str">
        <f>HYPERLINK("http://www.ncbi.nlm.nih.gov/protein/121543871","gi|121543871")</f>
        <v>gi|121543871</v>
      </c>
      <c r="AJ244">
        <v>222</v>
      </c>
      <c r="AK244">
        <v>142</v>
      </c>
      <c r="AL244">
        <v>190</v>
      </c>
      <c r="AM244">
        <v>81</v>
      </c>
      <c r="AN244">
        <v>75</v>
      </c>
      <c r="AO244" t="s">
        <v>156</v>
      </c>
      <c r="AP244" s="2" t="str">
        <f>HYPERLINK("http://exon.niaid.nih.gov/transcriptome/T_rubida/S2/links/SWISSP/Triru-323-SWISSP.txt","Calcium-binding protein p22")</f>
        <v>Calcium-binding protein p22</v>
      </c>
      <c r="AQ244" t="str">
        <f>HYPERLINK("http://www.uniprot.org/uniprot/P61023","8E-045")</f>
        <v>8E-045</v>
      </c>
      <c r="AR244" t="s">
        <v>644</v>
      </c>
      <c r="AS244">
        <v>178</v>
      </c>
      <c r="AT244">
        <v>147</v>
      </c>
      <c r="AU244">
        <v>195</v>
      </c>
      <c r="AV244">
        <v>64</v>
      </c>
      <c r="AW244">
        <v>76</v>
      </c>
      <c r="AX244">
        <v>52</v>
      </c>
      <c r="AY244">
        <v>8</v>
      </c>
      <c r="AZ244">
        <v>48</v>
      </c>
      <c r="BA244">
        <v>2</v>
      </c>
      <c r="BB244">
        <v>1</v>
      </c>
      <c r="BC244" t="s">
        <v>130</v>
      </c>
      <c r="BD244" s="2" t="s">
        <v>645</v>
      </c>
      <c r="BE244">
        <f>HYPERLINK("http://exon.niaid.nih.gov/transcriptome/T_rubida/S2/links/GO/Triru-323-GO.txt",2E-51)</f>
        <v>2E-51</v>
      </c>
      <c r="BF244" t="s">
        <v>544</v>
      </c>
      <c r="BG244" t="s">
        <v>153</v>
      </c>
      <c r="BH244" t="s">
        <v>293</v>
      </c>
      <c r="BI244" s="2" t="str">
        <f>HYPERLINK("http://exon.niaid.nih.gov/transcriptome/T_rubida/S2/links/CDD/Triru-323-CDD.txt","FRQ1")</f>
        <v>FRQ1</v>
      </c>
      <c r="BJ244" t="str">
        <f>HYPERLINK("http://www.ncbi.nlm.nih.gov/Structure/cdd/cddsrv.cgi?uid=COG5126&amp;version=v4.0","6E-008")</f>
        <v>6E-008</v>
      </c>
      <c r="BK244" t="s">
        <v>646</v>
      </c>
      <c r="BL244" s="2" t="str">
        <f>HYPERLINK("http://exon.niaid.nih.gov/transcriptome/T_rubida/S2/links/KOG/Triru-323-KOG.txt","Ca2+/calmodulin-dependent protein phosphatase (calcineurin subunit B), EF-Hand superfamily protein")</f>
        <v>Ca2+/calmodulin-dependent protein phosphatase (calcineurin subunit B), EF-Hand superfamily protein</v>
      </c>
      <c r="BM244" t="str">
        <f>HYPERLINK("http://www.ncbi.nlm.nih.gov/COG/grace/shokog.cgi?KOG0034","8E-028")</f>
        <v>8E-028</v>
      </c>
      <c r="BN244" t="s">
        <v>179</v>
      </c>
      <c r="BO244" s="2" t="str">
        <f>HYPERLINK("http://exon.niaid.nih.gov/transcriptome/T_rubida/S2/links/PFAM/Triru-323-PFAM.txt","efhand")</f>
        <v>efhand</v>
      </c>
      <c r="BP244" t="str">
        <f>HYPERLINK("http://pfam.sanger.ac.uk/family?acc=PF00036","0.099")</f>
        <v>0.099</v>
      </c>
      <c r="BQ244" s="2" t="str">
        <f>HYPERLINK("http://exon.niaid.nih.gov/transcriptome/T_rubida/S2/links/SMART/Triru-323-SMART.txt","EFh")</f>
        <v>EFh</v>
      </c>
      <c r="BR244" t="str">
        <f>HYPERLINK("http://smart.embl-heidelberg.de/smart/do_annotation.pl?DOMAIN=EFh&amp;BLAST=DUMMY","0.008")</f>
        <v>0.008</v>
      </c>
      <c r="BS244" s="17">
        <f>HYPERLINK("http://exon.niaid.nih.gov/transcriptome/T_rubida/S2/links/cluster/Triru-pep-ext25-50-Sim-CLU21.txt", 21)</f>
        <v>21</v>
      </c>
      <c r="BT244" s="1">
        <f>HYPERLINK("http://exon.niaid.nih.gov/transcriptome/T_rubida/S2/links/cluster/Triru-pep-ext25-50-Sim-CLTL21.txt", 2)</f>
        <v>2</v>
      </c>
      <c r="BU244" s="17">
        <f>HYPERLINK("http://exon.niaid.nih.gov/transcriptome/T_rubida/S2/links/cluster/Triru-pep-ext30-50-Sim-CLU27.txt", 27)</f>
        <v>27</v>
      </c>
      <c r="BV244" s="1">
        <f>HYPERLINK("http://exon.niaid.nih.gov/transcriptome/T_rubida/S2/links/cluster/Triru-pep-ext30-50-Sim-CLTL27.txt", 2)</f>
        <v>2</v>
      </c>
      <c r="BW244" s="17">
        <f>HYPERLINK("http://exon.niaid.nih.gov/transcriptome/T_rubida/S2/links/cluster/Triru-pep-ext35-50-Sim-CLU29.txt", 29)</f>
        <v>29</v>
      </c>
      <c r="BX244" s="1">
        <f>HYPERLINK("http://exon.niaid.nih.gov/transcriptome/T_rubida/S2/links/cluster/Triru-pep-ext35-50-Sim-CLTL29.txt", 2)</f>
        <v>2</v>
      </c>
      <c r="BY244" s="17">
        <f>HYPERLINK("http://exon.niaid.nih.gov/transcriptome/T_rubida/S2/links/cluster/Triru-pep-ext40-50-Sim-CLU26.txt", 26)</f>
        <v>26</v>
      </c>
      <c r="BZ244" s="1">
        <f>HYPERLINK("http://exon.niaid.nih.gov/transcriptome/T_rubida/S2/links/cluster/Triru-pep-ext40-50-Sim-CLTL26.txt", 2)</f>
        <v>2</v>
      </c>
      <c r="CA244" s="17">
        <f>HYPERLINK("http://exon.niaid.nih.gov/transcriptome/T_rubida/S2/links/cluster/Triru-pep-ext45-50-Sim-CLU21.txt", 21)</f>
        <v>21</v>
      </c>
      <c r="CB244" s="1">
        <f>HYPERLINK("http://exon.niaid.nih.gov/transcriptome/T_rubida/S2/links/cluster/Triru-pep-ext45-50-Sim-CLTL21.txt", 2)</f>
        <v>2</v>
      </c>
      <c r="CC244" s="17">
        <f>HYPERLINK("http://exon.niaid.nih.gov/transcriptome/T_rubida/S2/links/cluster/Triru-pep-ext50-50-Sim-CLU20.txt", 20)</f>
        <v>20</v>
      </c>
      <c r="CD244" s="1">
        <f>HYPERLINK("http://exon.niaid.nih.gov/transcriptome/T_rubida/S2/links/cluster/Triru-pep-ext50-50-Sim-CLTL20.txt", 2)</f>
        <v>2</v>
      </c>
      <c r="CE244" s="17">
        <f>HYPERLINK("http://exon.niaid.nih.gov/transcriptome/T_rubida/S2/links/cluster/Triru-pep-ext55-50-Sim-CLU15.txt", 15)</f>
        <v>15</v>
      </c>
      <c r="CF244" s="1">
        <f>HYPERLINK("http://exon.niaid.nih.gov/transcriptome/T_rubida/S2/links/cluster/Triru-pep-ext55-50-Sim-CLTL15.txt", 2)</f>
        <v>2</v>
      </c>
      <c r="CG244" s="17">
        <f>HYPERLINK("http://exon.niaid.nih.gov/transcriptome/T_rubida/S2/links/cluster/Triru-pep-ext60-50-Sim-CLU16.txt", 16)</f>
        <v>16</v>
      </c>
      <c r="CH244" s="1">
        <f>HYPERLINK("http://exon.niaid.nih.gov/transcriptome/T_rubida/S2/links/cluster/Triru-pep-ext60-50-Sim-CLTL16.txt", 2)</f>
        <v>2</v>
      </c>
      <c r="CI244" s="17">
        <f>HYPERLINK("http://exon.niaid.nih.gov/transcriptome/T_rubida/S2/links/cluster/Triru-pep-ext65-50-Sim-CLU16.txt", 16)</f>
        <v>16</v>
      </c>
      <c r="CJ244" s="1">
        <f>HYPERLINK("http://exon.niaid.nih.gov/transcriptome/T_rubida/S2/links/cluster/Triru-pep-ext65-50-Sim-CLTL16.txt", 2)</f>
        <v>2</v>
      </c>
      <c r="CK244" s="17">
        <f>HYPERLINK("http://exon.niaid.nih.gov/transcriptome/T_rubida/S2/links/cluster/Triru-pep-ext70-50-Sim-CLU16.txt", 16)</f>
        <v>16</v>
      </c>
      <c r="CL244" s="1">
        <f>HYPERLINK("http://exon.niaid.nih.gov/transcriptome/T_rubida/S2/links/cluster/Triru-pep-ext70-50-Sim-CLTL16.txt", 2)</f>
        <v>2</v>
      </c>
      <c r="CM244" s="17">
        <f>HYPERLINK("http://exon.niaid.nih.gov/transcriptome/T_rubida/S2/links/cluster/Triru-pep-ext75-50-Sim-CLU18.txt", 18)</f>
        <v>18</v>
      </c>
      <c r="CN244" s="1">
        <f>HYPERLINK("http://exon.niaid.nih.gov/transcriptome/T_rubida/S2/links/cluster/Triru-pep-ext75-50-Sim-CLTL18.txt", 2)</f>
        <v>2</v>
      </c>
      <c r="CO244" s="17">
        <f>HYPERLINK("http://exon.niaid.nih.gov/transcriptome/T_rubida/S2/links/cluster/Triru-pep-ext80-50-Sim-CLU15.txt", 15)</f>
        <v>15</v>
      </c>
      <c r="CP244" s="1">
        <f>HYPERLINK("http://exon.niaid.nih.gov/transcriptome/T_rubida/S2/links/cluster/Triru-pep-ext80-50-Sim-CLTL15.txt", 2)</f>
        <v>2</v>
      </c>
      <c r="CQ244" s="17">
        <f>HYPERLINK("http://exon.niaid.nih.gov/transcriptome/T_rubida/S2/links/cluster/Triru-pep-ext85-50-Sim-CLU13.txt", 13)</f>
        <v>13</v>
      </c>
      <c r="CR244" s="1">
        <f>HYPERLINK("http://exon.niaid.nih.gov/transcriptome/T_rubida/S2/links/cluster/Triru-pep-ext85-50-Sim-CLTL13.txt", 2)</f>
        <v>2</v>
      </c>
      <c r="CS244" s="17">
        <v>263</v>
      </c>
      <c r="CT244" s="1">
        <v>1</v>
      </c>
      <c r="CU244" s="17">
        <v>274</v>
      </c>
      <c r="CV244" s="1">
        <v>1</v>
      </c>
    </row>
    <row r="245" spans="1:100">
      <c r="A245" t="str">
        <f>HYPERLINK("http://exon.niaid.nih.gov/transcriptome/T_rubida/S2/links/pep/Triru-296-pep.txt","Triru-296")</f>
        <v>Triru-296</v>
      </c>
      <c r="B245">
        <v>132</v>
      </c>
      <c r="C245" s="1" t="s">
        <v>20</v>
      </c>
      <c r="D245" s="1" t="s">
        <v>3</v>
      </c>
      <c r="E245" t="str">
        <f>HYPERLINK("http://exon.niaid.nih.gov/transcriptome/T_rubida/S2/links/cds/Triru-296-cds.txt","Triru-296")</f>
        <v>Triru-296</v>
      </c>
      <c r="F245">
        <v>399</v>
      </c>
      <c r="G245" s="2" t="s">
        <v>1704</v>
      </c>
      <c r="H245" s="1">
        <v>1</v>
      </c>
      <c r="I245" s="3" t="s">
        <v>1274</v>
      </c>
      <c r="J245" s="17" t="str">
        <f>HYPERLINK("http://exon.niaid.nih.gov/transcriptome/T_rubida/S2/links/Sigp/Triru-296-SigP.txt","CYT")</f>
        <v>CYT</v>
      </c>
      <c r="K245" t="s">
        <v>5</v>
      </c>
      <c r="L245" s="1">
        <v>15.321999999999999</v>
      </c>
      <c r="M245" s="1">
        <v>5.38</v>
      </c>
      <c r="P245" s="1">
        <v>0.14899999999999999</v>
      </c>
      <c r="Q245" s="1">
        <v>6.6000000000000003E-2</v>
      </c>
      <c r="R245" s="1">
        <v>0.84899999999999998</v>
      </c>
      <c r="S245" s="17" t="s">
        <v>1346</v>
      </c>
      <c r="T245">
        <v>2</v>
      </c>
      <c r="U245" t="s">
        <v>1348</v>
      </c>
      <c r="V245" s="17">
        <v>0</v>
      </c>
      <c r="W245" t="s">
        <v>5</v>
      </c>
      <c r="X245" t="s">
        <v>5</v>
      </c>
      <c r="Y245" t="s">
        <v>5</v>
      </c>
      <c r="Z245" t="s">
        <v>5</v>
      </c>
      <c r="AA245" t="s">
        <v>5</v>
      </c>
      <c r="AB245" s="17" t="str">
        <f>HYPERLINK("http://exon.niaid.nih.gov/transcriptome/T_rubida/S2/links/netoglyc/TRIRU-296-netoglyc.txt","0")</f>
        <v>0</v>
      </c>
      <c r="AC245">
        <v>10.6</v>
      </c>
      <c r="AD245">
        <v>3</v>
      </c>
      <c r="AE245">
        <v>2.2999999999999998</v>
      </c>
      <c r="AF245" s="17" t="s">
        <v>5</v>
      </c>
      <c r="AG245" s="2" t="str">
        <f>HYPERLINK("http://exon.niaid.nih.gov/transcriptome/T_rubida/S2/links/NR/Triru-296-NR.txt","putative calcium-binding protein p22")</f>
        <v>putative calcium-binding protein p22</v>
      </c>
      <c r="AH245" t="str">
        <f>HYPERLINK("http://www.ncbi.nlm.nih.gov/sutils/blink.cgi?pid=121543871","1E-047")</f>
        <v>1E-047</v>
      </c>
      <c r="AI245" t="str">
        <f>HYPERLINK("http://www.ncbi.nlm.nih.gov/protein/121543871","gi|121543871")</f>
        <v>gi|121543871</v>
      </c>
      <c r="AJ245">
        <v>192</v>
      </c>
      <c r="AK245">
        <v>127</v>
      </c>
      <c r="AL245">
        <v>190</v>
      </c>
      <c r="AM245">
        <v>78</v>
      </c>
      <c r="AN245">
        <v>67</v>
      </c>
      <c r="AO245" t="s">
        <v>156</v>
      </c>
      <c r="AP245" s="2" t="str">
        <f>HYPERLINK("http://exon.niaid.nih.gov/transcriptome/T_rubida/S2/links/SWISSP/Triru-296-SWISSP.txt","Calcium-binding protein p22")</f>
        <v>Calcium-binding protein p22</v>
      </c>
      <c r="AQ245" t="str">
        <f>HYPERLINK("http://www.uniprot.org/uniprot/P61023","2E-036")</f>
        <v>2E-036</v>
      </c>
      <c r="AR245" t="s">
        <v>644</v>
      </c>
      <c r="AS245">
        <v>150</v>
      </c>
      <c r="AT245">
        <v>132</v>
      </c>
      <c r="AU245">
        <v>195</v>
      </c>
      <c r="AV245">
        <v>61</v>
      </c>
      <c r="AW245">
        <v>68</v>
      </c>
      <c r="AX245">
        <v>51</v>
      </c>
      <c r="AY245">
        <v>8</v>
      </c>
      <c r="AZ245">
        <v>63</v>
      </c>
      <c r="BA245">
        <v>8</v>
      </c>
      <c r="BB245">
        <v>1</v>
      </c>
      <c r="BC245" t="s">
        <v>130</v>
      </c>
      <c r="BD245" s="2" t="s">
        <v>645</v>
      </c>
      <c r="BE245">
        <f>HYPERLINK("http://exon.niaid.nih.gov/transcriptome/T_rubida/S2/links/GO/Triru-296-GO.txt",8E-44)</f>
        <v>7.9999999999999996E-44</v>
      </c>
      <c r="BF245" t="s">
        <v>544</v>
      </c>
      <c r="BG245" t="s">
        <v>153</v>
      </c>
      <c r="BH245" t="s">
        <v>293</v>
      </c>
      <c r="BI245" s="2" t="str">
        <f>HYPERLINK("http://exon.niaid.nih.gov/transcriptome/T_rubida/S2/links/CDD/Triru-296-CDD.txt","FRQ1")</f>
        <v>FRQ1</v>
      </c>
      <c r="BJ245" t="str">
        <f>HYPERLINK("http://www.ncbi.nlm.nih.gov/Structure/cdd/cddsrv.cgi?uid=COG5126&amp;version=v4.0","4E-007")</f>
        <v>4E-007</v>
      </c>
      <c r="BK245" t="s">
        <v>909</v>
      </c>
      <c r="BL245" s="2" t="str">
        <f>HYPERLINK("http://exon.niaid.nih.gov/transcriptome/T_rubida/S2/links/KOG/Triru-296-KOG.txt","Ca2+/calmodulin-dependent protein phosphatase (calcineurin subunit B), EF-Hand superfamily protein")</f>
        <v>Ca2+/calmodulin-dependent protein phosphatase (calcineurin subunit B), EF-Hand superfamily protein</v>
      </c>
      <c r="BM245" t="str">
        <f>HYPERLINK("http://www.ncbi.nlm.nih.gov/COG/grace/shokog.cgi?KOG0034","8E-023")</f>
        <v>8E-023</v>
      </c>
      <c r="BN245" t="s">
        <v>179</v>
      </c>
      <c r="BO245" s="2" t="str">
        <f>HYPERLINK("http://exon.niaid.nih.gov/transcriptome/T_rubida/S2/links/PFAM/Triru-296-PFAM.txt","efhand_3")</f>
        <v>efhand_3</v>
      </c>
      <c r="BP245" t="str">
        <f>HYPERLINK("http://pfam.sanger.ac.uk/family?acc=PF12763","0.22")</f>
        <v>0.22</v>
      </c>
      <c r="BQ245" s="2" t="str">
        <f>HYPERLINK("http://exon.niaid.nih.gov/transcriptome/T_rubida/S2/links/SMART/Triru-296-SMART.txt","EFh")</f>
        <v>EFh</v>
      </c>
      <c r="BR245" t="str">
        <f>HYPERLINK("http://smart.embl-heidelberg.de/smart/do_annotation.pl?DOMAIN=EFh&amp;BLAST=DUMMY","0.090")</f>
        <v>0.090</v>
      </c>
      <c r="BS245" s="17">
        <f>HYPERLINK("http://exon.niaid.nih.gov/transcriptome/T_rubida/S2/links/cluster/Triru-pep-ext25-50-Sim-CLU21.txt", 21)</f>
        <v>21</v>
      </c>
      <c r="BT245" s="1">
        <f>HYPERLINK("http://exon.niaid.nih.gov/transcriptome/T_rubida/S2/links/cluster/Triru-pep-ext25-50-Sim-CLTL21.txt", 2)</f>
        <v>2</v>
      </c>
      <c r="BU245" s="17">
        <f>HYPERLINK("http://exon.niaid.nih.gov/transcriptome/T_rubida/S2/links/cluster/Triru-pep-ext30-50-Sim-CLU27.txt", 27)</f>
        <v>27</v>
      </c>
      <c r="BV245" s="1">
        <f>HYPERLINK("http://exon.niaid.nih.gov/transcriptome/T_rubida/S2/links/cluster/Triru-pep-ext30-50-Sim-CLTL27.txt", 2)</f>
        <v>2</v>
      </c>
      <c r="BW245" s="17">
        <f>HYPERLINK("http://exon.niaid.nih.gov/transcriptome/T_rubida/S2/links/cluster/Triru-pep-ext35-50-Sim-CLU29.txt", 29)</f>
        <v>29</v>
      </c>
      <c r="BX245" s="1">
        <f>HYPERLINK("http://exon.niaid.nih.gov/transcriptome/T_rubida/S2/links/cluster/Triru-pep-ext35-50-Sim-CLTL29.txt", 2)</f>
        <v>2</v>
      </c>
      <c r="BY245" s="17">
        <f>HYPERLINK("http://exon.niaid.nih.gov/transcriptome/T_rubida/S2/links/cluster/Triru-pep-ext40-50-Sim-CLU26.txt", 26)</f>
        <v>26</v>
      </c>
      <c r="BZ245" s="1">
        <f>HYPERLINK("http://exon.niaid.nih.gov/transcriptome/T_rubida/S2/links/cluster/Triru-pep-ext40-50-Sim-CLTL26.txt", 2)</f>
        <v>2</v>
      </c>
      <c r="CA245" s="17">
        <f>HYPERLINK("http://exon.niaid.nih.gov/transcriptome/T_rubida/S2/links/cluster/Triru-pep-ext45-50-Sim-CLU21.txt", 21)</f>
        <v>21</v>
      </c>
      <c r="CB245" s="1">
        <f>HYPERLINK("http://exon.niaid.nih.gov/transcriptome/T_rubida/S2/links/cluster/Triru-pep-ext45-50-Sim-CLTL21.txt", 2)</f>
        <v>2</v>
      </c>
      <c r="CC245" s="17">
        <f>HYPERLINK("http://exon.niaid.nih.gov/transcriptome/T_rubida/S2/links/cluster/Triru-pep-ext50-50-Sim-CLU20.txt", 20)</f>
        <v>20</v>
      </c>
      <c r="CD245" s="1">
        <f>HYPERLINK("http://exon.niaid.nih.gov/transcriptome/T_rubida/S2/links/cluster/Triru-pep-ext50-50-Sim-CLTL20.txt", 2)</f>
        <v>2</v>
      </c>
      <c r="CE245" s="17">
        <f>HYPERLINK("http://exon.niaid.nih.gov/transcriptome/T_rubida/S2/links/cluster/Triru-pep-ext55-50-Sim-CLU15.txt", 15)</f>
        <v>15</v>
      </c>
      <c r="CF245" s="1">
        <f>HYPERLINK("http://exon.niaid.nih.gov/transcriptome/T_rubida/S2/links/cluster/Triru-pep-ext55-50-Sim-CLTL15.txt", 2)</f>
        <v>2</v>
      </c>
      <c r="CG245" s="17">
        <f>HYPERLINK("http://exon.niaid.nih.gov/transcriptome/T_rubida/S2/links/cluster/Triru-pep-ext60-50-Sim-CLU16.txt", 16)</f>
        <v>16</v>
      </c>
      <c r="CH245" s="1">
        <f>HYPERLINK("http://exon.niaid.nih.gov/transcriptome/T_rubida/S2/links/cluster/Triru-pep-ext60-50-Sim-CLTL16.txt", 2)</f>
        <v>2</v>
      </c>
      <c r="CI245" s="17">
        <f>HYPERLINK("http://exon.niaid.nih.gov/transcriptome/T_rubida/S2/links/cluster/Triru-pep-ext65-50-Sim-CLU16.txt", 16)</f>
        <v>16</v>
      </c>
      <c r="CJ245" s="1">
        <f>HYPERLINK("http://exon.niaid.nih.gov/transcriptome/T_rubida/S2/links/cluster/Triru-pep-ext65-50-Sim-CLTL16.txt", 2)</f>
        <v>2</v>
      </c>
      <c r="CK245" s="17">
        <f>HYPERLINK("http://exon.niaid.nih.gov/transcriptome/T_rubida/S2/links/cluster/Triru-pep-ext70-50-Sim-CLU16.txt", 16)</f>
        <v>16</v>
      </c>
      <c r="CL245" s="1">
        <f>HYPERLINK("http://exon.niaid.nih.gov/transcriptome/T_rubida/S2/links/cluster/Triru-pep-ext70-50-Sim-CLTL16.txt", 2)</f>
        <v>2</v>
      </c>
      <c r="CM245" s="17">
        <f>HYPERLINK("http://exon.niaid.nih.gov/transcriptome/T_rubida/S2/links/cluster/Triru-pep-ext75-50-Sim-CLU18.txt", 18)</f>
        <v>18</v>
      </c>
      <c r="CN245" s="1">
        <f>HYPERLINK("http://exon.niaid.nih.gov/transcriptome/T_rubida/S2/links/cluster/Triru-pep-ext75-50-Sim-CLTL18.txt", 2)</f>
        <v>2</v>
      </c>
      <c r="CO245" s="17">
        <f>HYPERLINK("http://exon.niaid.nih.gov/transcriptome/T_rubida/S2/links/cluster/Triru-pep-ext80-50-Sim-CLU15.txt", 15)</f>
        <v>15</v>
      </c>
      <c r="CP245" s="1">
        <f>HYPERLINK("http://exon.niaid.nih.gov/transcriptome/T_rubida/S2/links/cluster/Triru-pep-ext80-50-Sim-CLTL15.txt", 2)</f>
        <v>2</v>
      </c>
      <c r="CQ245" s="17">
        <f>HYPERLINK("http://exon.niaid.nih.gov/transcriptome/T_rubida/S2/links/cluster/Triru-pep-ext85-50-Sim-CLU13.txt", 13)</f>
        <v>13</v>
      </c>
      <c r="CR245" s="1">
        <f>HYPERLINK("http://exon.niaid.nih.gov/transcriptome/T_rubida/S2/links/cluster/Triru-pep-ext85-50-Sim-CLTL13.txt", 2)</f>
        <v>2</v>
      </c>
      <c r="CS245" s="17">
        <v>240</v>
      </c>
      <c r="CT245" s="1">
        <v>1</v>
      </c>
      <c r="CU245" s="17">
        <v>251</v>
      </c>
      <c r="CV245" s="1">
        <v>1</v>
      </c>
    </row>
    <row r="246" spans="1:100">
      <c r="A246" t="str">
        <f>HYPERLINK("http://exon.niaid.nih.gov/transcriptome/T_rubida/S2/links/pep/Triru-130-pep.txt","Triru-130")</f>
        <v>Triru-130</v>
      </c>
      <c r="B246">
        <v>216</v>
      </c>
      <c r="C246" s="1" t="s">
        <v>4</v>
      </c>
      <c r="D246" s="1" t="s">
        <v>3</v>
      </c>
      <c r="E246" t="str">
        <f>HYPERLINK("http://exon.niaid.nih.gov/transcriptome/T_rubida/S2/links/cds/Triru-130-cds.txt","Triru-130")</f>
        <v>Triru-130</v>
      </c>
      <c r="F246">
        <v>651</v>
      </c>
      <c r="G246" s="2" t="s">
        <v>1705</v>
      </c>
      <c r="H246" s="1">
        <v>3</v>
      </c>
      <c r="I246" s="3" t="s">
        <v>1274</v>
      </c>
      <c r="J246" s="17" t="str">
        <f>HYPERLINK("http://exon.niaid.nih.gov/transcriptome/T_rubida/S2/links/Sigp/Triru-130-SigP.txt","CYT")</f>
        <v>CYT</v>
      </c>
      <c r="K246" t="s">
        <v>5</v>
      </c>
      <c r="L246" s="1">
        <v>24.831</v>
      </c>
      <c r="M246" s="1">
        <v>9.9</v>
      </c>
      <c r="P246" s="1">
        <v>4.0000000000000001E-3</v>
      </c>
      <c r="Q246" s="1">
        <v>0.95499999999999996</v>
      </c>
      <c r="R246" s="1">
        <v>0.36799999999999999</v>
      </c>
      <c r="S246" s="17" t="s">
        <v>18</v>
      </c>
      <c r="T246">
        <v>3</v>
      </c>
      <c r="U246" t="s">
        <v>1463</v>
      </c>
      <c r="V246" s="17" t="str">
        <f>HYPERLINK("http://exon.niaid.nih.gov/transcriptome/T_rubida/S2/links/tmhmm/TRIRU-130-tmhmm.txt","3")</f>
        <v>3</v>
      </c>
      <c r="W246">
        <v>26.4</v>
      </c>
      <c r="X246">
        <v>19.399999999999999</v>
      </c>
      <c r="Y246">
        <v>54.2</v>
      </c>
      <c r="Z246" t="s">
        <v>5</v>
      </c>
      <c r="AA246" t="s">
        <v>5</v>
      </c>
      <c r="AB246" s="17" t="str">
        <f>HYPERLINK("http://exon.niaid.nih.gov/transcriptome/T_rubida/S2/links/netoglyc/TRIRU-130-netoglyc.txt","1")</f>
        <v>1</v>
      </c>
      <c r="AC246">
        <v>19.399999999999999</v>
      </c>
      <c r="AD246">
        <v>4.5999999999999996</v>
      </c>
      <c r="AE246">
        <v>5.6</v>
      </c>
      <c r="AF246" s="17" t="s">
        <v>5</v>
      </c>
      <c r="AG246" s="2" t="str">
        <f>HYPERLINK("http://exon.niaid.nih.gov/transcriptome/T_rubida/S2/links/NR/Triru-130-NR.txt","gamma-aminobutyric acid receptor subunit rho-3-like")</f>
        <v>gamma-aminobutyric acid receptor subunit rho-3-like</v>
      </c>
      <c r="AH246" t="str">
        <f>HYPERLINK("http://www.ncbi.nlm.nih.gov/sutils/blink.cgi?pid=328698853","1E-070")</f>
        <v>1E-070</v>
      </c>
      <c r="AI246" t="str">
        <f>HYPERLINK("http://www.ncbi.nlm.nih.gov/protein/328698853","gi|328698853")</f>
        <v>gi|328698853</v>
      </c>
      <c r="AJ246">
        <v>270</v>
      </c>
      <c r="AK246">
        <v>224</v>
      </c>
      <c r="AL246">
        <v>509</v>
      </c>
      <c r="AM246">
        <v>61</v>
      </c>
      <c r="AN246">
        <v>44</v>
      </c>
      <c r="AO246" t="s">
        <v>89</v>
      </c>
      <c r="AP246" s="2" t="str">
        <f>HYPERLINK("http://exon.niaid.nih.gov/transcriptome/T_rubida/S2/links/SWISSP/Triru-130-SWISSP.txt","Glycine receptor subunit alpha-2")</f>
        <v>Glycine receptor subunit alpha-2</v>
      </c>
      <c r="AQ246" t="str">
        <f>HYPERLINK("http://www.uniprot.org/uniprot/P23416","3E-027")</f>
        <v>3E-027</v>
      </c>
      <c r="AR246" t="s">
        <v>272</v>
      </c>
      <c r="AS246">
        <v>121</v>
      </c>
      <c r="AT246">
        <v>186</v>
      </c>
      <c r="AU246">
        <v>452</v>
      </c>
      <c r="AV246">
        <v>32</v>
      </c>
      <c r="AW246">
        <v>41</v>
      </c>
      <c r="AX246">
        <v>142</v>
      </c>
      <c r="AY246">
        <v>24</v>
      </c>
      <c r="AZ246">
        <v>253</v>
      </c>
      <c r="BA246">
        <v>4</v>
      </c>
      <c r="BB246">
        <v>1</v>
      </c>
      <c r="BC246" t="s">
        <v>208</v>
      </c>
      <c r="BD246" s="2" t="s">
        <v>273</v>
      </c>
      <c r="BE246">
        <f>HYPERLINK("http://exon.niaid.nih.gov/transcriptome/T_rubida/S2/links/GO/Triru-130-GO.txt",7E-54)</f>
        <v>6.9999999999999996E-54</v>
      </c>
      <c r="BF246" t="s">
        <v>1935</v>
      </c>
      <c r="BG246" t="s">
        <v>63</v>
      </c>
      <c r="BH246" t="s">
        <v>1922</v>
      </c>
      <c r="BI246" s="2" t="str">
        <f>HYPERLINK("http://exon.niaid.nih.gov/transcriptome/T_rubida/S2/links/CDD/Triru-130-CDD.txt","LIC")</f>
        <v>LIC</v>
      </c>
      <c r="BJ246" t="str">
        <f>HYPERLINK("http://www.ncbi.nlm.nih.gov/Structure/cdd/cddsrv.cgi?uid=TIGR00860&amp;version=v4.0","1E-032")</f>
        <v>1E-032</v>
      </c>
      <c r="BK246" t="s">
        <v>274</v>
      </c>
      <c r="BL246" s="2" t="str">
        <f>HYPERLINK("http://exon.niaid.nih.gov/transcriptome/T_rubida/S2/links/KOG/Triru-130-KOG.txt","Ligand-gated ion channel")</f>
        <v>Ligand-gated ion channel</v>
      </c>
      <c r="BM246" t="str">
        <f>HYPERLINK("http://www.ncbi.nlm.nih.gov/COG/grace/shokog.cgi?KOG3644","2E-046")</f>
        <v>2E-046</v>
      </c>
      <c r="BN246" t="s">
        <v>179</v>
      </c>
      <c r="BO246" s="2" t="str">
        <f>HYPERLINK("http://exon.niaid.nih.gov/transcriptome/T_rubida/S2/links/PFAM/Triru-130-PFAM.txt","Neur_chan_memb")</f>
        <v>Neur_chan_memb</v>
      </c>
      <c r="BP246" t="str">
        <f>HYPERLINK("http://pfam.sanger.ac.uk/family?acc=PF02932","1E-025")</f>
        <v>1E-025</v>
      </c>
      <c r="BQ246" s="2" t="str">
        <f>HYPERLINK("http://exon.niaid.nih.gov/transcriptome/T_rubida/S2/links/SMART/Triru-130-SMART.txt","btg1")</f>
        <v>btg1</v>
      </c>
      <c r="BR246" t="str">
        <f>HYPERLINK("http://smart.embl-heidelberg.de/smart/do_annotation.pl?DOMAIN=btg1&amp;BLAST=DUMMY","0.68")</f>
        <v>0.68</v>
      </c>
      <c r="BS246" s="17">
        <v>54</v>
      </c>
      <c r="BT246" s="1">
        <v>1</v>
      </c>
      <c r="BU246" s="17">
        <v>75</v>
      </c>
      <c r="BV246" s="1">
        <v>1</v>
      </c>
      <c r="BW246" s="17">
        <v>81</v>
      </c>
      <c r="BX246" s="1">
        <v>1</v>
      </c>
      <c r="BY246" s="17">
        <v>81</v>
      </c>
      <c r="BZ246" s="1">
        <v>1</v>
      </c>
      <c r="CA246" s="17">
        <v>79</v>
      </c>
      <c r="CB246" s="1">
        <v>1</v>
      </c>
      <c r="CC246" s="17">
        <v>78</v>
      </c>
      <c r="CD246" s="1">
        <v>1</v>
      </c>
      <c r="CE246" s="17">
        <v>72</v>
      </c>
      <c r="CF246" s="1">
        <v>1</v>
      </c>
      <c r="CG246" s="17">
        <v>72</v>
      </c>
      <c r="CH246" s="1">
        <v>1</v>
      </c>
      <c r="CI246" s="17">
        <v>78</v>
      </c>
      <c r="CJ246" s="1">
        <v>1</v>
      </c>
      <c r="CK246" s="17">
        <v>82</v>
      </c>
      <c r="CL246" s="1">
        <v>1</v>
      </c>
      <c r="CM246" s="17">
        <v>86</v>
      </c>
      <c r="CN246" s="1">
        <v>1</v>
      </c>
      <c r="CO246" s="17">
        <v>94</v>
      </c>
      <c r="CP246" s="1">
        <v>1</v>
      </c>
      <c r="CQ246" s="17">
        <v>104</v>
      </c>
      <c r="CR246" s="1">
        <v>1</v>
      </c>
      <c r="CS246" s="17">
        <v>109</v>
      </c>
      <c r="CT246" s="1">
        <v>1</v>
      </c>
      <c r="CU246" s="17">
        <v>120</v>
      </c>
      <c r="CV246" s="1">
        <v>1</v>
      </c>
    </row>
    <row r="247" spans="1:100">
      <c r="A247" t="str">
        <f>HYPERLINK("http://exon.niaid.nih.gov/transcriptome/T_rubida/S2/links/pep/Triru-587-pep.txt","Triru-587")</f>
        <v>Triru-587</v>
      </c>
      <c r="B247">
        <v>206</v>
      </c>
      <c r="C247" s="1" t="s">
        <v>6</v>
      </c>
      <c r="D247" s="1" t="s">
        <v>3</v>
      </c>
      <c r="E247" t="str">
        <f>HYPERLINK("http://exon.niaid.nih.gov/transcriptome/T_rubida/S2/links/cds/Triru-587-cds.txt","Triru-587")</f>
        <v>Triru-587</v>
      </c>
      <c r="F247">
        <v>621</v>
      </c>
      <c r="G247" s="2" t="s">
        <v>1706</v>
      </c>
      <c r="H247" s="1">
        <v>1</v>
      </c>
      <c r="I247" s="3" t="s">
        <v>1274</v>
      </c>
      <c r="J247" s="17" t="str">
        <f>HYPERLINK("http://exon.niaid.nih.gov/transcriptome/T_rubida/S2/links/Sigp/Triru-587-SigP.txt","CYT")</f>
        <v>CYT</v>
      </c>
      <c r="K247" t="s">
        <v>5</v>
      </c>
      <c r="L247" s="1">
        <v>23.181999999999999</v>
      </c>
      <c r="M247" s="1">
        <v>9.9700000000000006</v>
      </c>
      <c r="P247" s="1">
        <v>0.77400000000000002</v>
      </c>
      <c r="Q247" s="1">
        <v>2.1999999999999999E-2</v>
      </c>
      <c r="R247" s="1">
        <v>0.32200000000000001</v>
      </c>
      <c r="S247" s="17" t="s">
        <v>9</v>
      </c>
      <c r="T247">
        <v>3</v>
      </c>
      <c r="U247" t="s">
        <v>1464</v>
      </c>
      <c r="V247" s="17">
        <v>0</v>
      </c>
      <c r="W247" t="s">
        <v>5</v>
      </c>
      <c r="X247" t="s">
        <v>5</v>
      </c>
      <c r="Y247" t="s">
        <v>5</v>
      </c>
      <c r="Z247" t="s">
        <v>5</v>
      </c>
      <c r="AA247" t="s">
        <v>5</v>
      </c>
      <c r="AB247" s="17" t="str">
        <f>HYPERLINK("http://exon.niaid.nih.gov/transcriptome/T_rubida/S2/links/netoglyc/TRIRU-587-netoglyc.txt","14")</f>
        <v>14</v>
      </c>
      <c r="AC247">
        <v>19.899999999999999</v>
      </c>
      <c r="AD247">
        <v>5.8</v>
      </c>
      <c r="AE247">
        <v>7.3</v>
      </c>
      <c r="AF247" s="17" t="s">
        <v>5</v>
      </c>
      <c r="AG247" s="2" t="str">
        <f>HYPERLINK("http://exon.niaid.nih.gov/transcriptome/T_rubida/S2/links/NR/Triru-587-NR.txt","similar to UBX domain containing 2")</f>
        <v>similar to UBX domain containing 2</v>
      </c>
      <c r="AH247" t="str">
        <f>HYPERLINK("http://www.ncbi.nlm.nih.gov/sutils/blink.cgi?pid=91085705","2E-034")</f>
        <v>2E-034</v>
      </c>
      <c r="AI247" t="str">
        <f>HYPERLINK("http://www.ncbi.nlm.nih.gov/protein/91085705","gi|91085705")</f>
        <v>gi|91085705</v>
      </c>
      <c r="AJ247">
        <v>149</v>
      </c>
      <c r="AK247">
        <v>190</v>
      </c>
      <c r="AL247">
        <v>460</v>
      </c>
      <c r="AM247">
        <v>41</v>
      </c>
      <c r="AN247">
        <v>42</v>
      </c>
      <c r="AO247" t="s">
        <v>671</v>
      </c>
      <c r="AP247" s="2" t="str">
        <f>HYPERLINK("http://exon.niaid.nih.gov/transcriptome/T_rubida/S2/links/SWISSP/Triru-587-SWISSP.txt","UBX domain-containing protein 4")</f>
        <v>UBX domain-containing protein 4</v>
      </c>
      <c r="AQ247" t="str">
        <f>HYPERLINK("http://www.uniprot.org/uniprot/Q8VCH8","2E-030")</f>
        <v>2E-030</v>
      </c>
      <c r="AR247" t="s">
        <v>679</v>
      </c>
      <c r="AS247">
        <v>132</v>
      </c>
      <c r="AT247">
        <v>191</v>
      </c>
      <c r="AU247">
        <v>506</v>
      </c>
      <c r="AV247">
        <v>39</v>
      </c>
      <c r="AW247">
        <v>38</v>
      </c>
      <c r="AX247">
        <v>120</v>
      </c>
      <c r="AY247">
        <v>10</v>
      </c>
      <c r="AZ247">
        <v>315</v>
      </c>
      <c r="BA247">
        <v>15</v>
      </c>
      <c r="BB247">
        <v>1</v>
      </c>
      <c r="BC247" t="s">
        <v>75</v>
      </c>
      <c r="BD247" s="2" t="s">
        <v>680</v>
      </c>
      <c r="BE247">
        <f>HYPERLINK("http://exon.niaid.nih.gov/transcriptome/T_rubida/S2/links/GO/Triru-587-GO.txt",2E-30)</f>
        <v>2.0000000000000002E-30</v>
      </c>
      <c r="BF247" t="s">
        <v>105</v>
      </c>
      <c r="BG247" t="s">
        <v>105</v>
      </c>
      <c r="BI247" s="2" t="str">
        <f>HYPERLINK("http://exon.niaid.nih.gov/transcriptome/T_rubida/S2/links/CDD/Triru-587-CDD.txt","UBX")</f>
        <v>UBX</v>
      </c>
      <c r="BJ247" t="str">
        <f>HYPERLINK("http://www.ncbi.nlm.nih.gov/Structure/cdd/cddsrv.cgi?uid=smart00166&amp;version=v4.0","9E-014")</f>
        <v>9E-014</v>
      </c>
      <c r="BK247" t="s">
        <v>681</v>
      </c>
      <c r="BL247" s="2" t="str">
        <f>HYPERLINK("http://exon.niaid.nih.gov/transcriptome/T_rubida/S2/links/KOG/Triru-587-KOG.txt","Ubiquitin regulatory protein UBXD2, contains UAS and UBX domains")</f>
        <v>Ubiquitin regulatory protein UBXD2, contains UAS and UBX domains</v>
      </c>
      <c r="BM247" t="str">
        <f>HYPERLINK("http://www.ncbi.nlm.nih.gov/COG/grace/shokog.cgi?KOG2507","1E-026")</f>
        <v>1E-026</v>
      </c>
      <c r="BN247" t="s">
        <v>96</v>
      </c>
      <c r="BO247" s="2" t="str">
        <f>HYPERLINK("http://exon.niaid.nih.gov/transcriptome/T_rubida/S2/links/PFAM/Triru-587-PFAM.txt","UBX")</f>
        <v>UBX</v>
      </c>
      <c r="BP247" t="str">
        <f>HYPERLINK("http://pfam.sanger.ac.uk/family?acc=PF00789","4E-012")</f>
        <v>4E-012</v>
      </c>
      <c r="BQ247" s="2" t="str">
        <f>HYPERLINK("http://exon.niaid.nih.gov/transcriptome/T_rubida/S2/links/SMART/Triru-587-SMART.txt","UBX")</f>
        <v>UBX</v>
      </c>
      <c r="BR247" t="str">
        <f>HYPERLINK("http://smart.embl-heidelberg.de/smart/do_annotation.pl?DOMAIN=UBX&amp;BLAST=DUMMY","8E-016")</f>
        <v>8E-016</v>
      </c>
      <c r="BS247" s="17">
        <v>174</v>
      </c>
      <c r="BT247" s="1">
        <v>1</v>
      </c>
      <c r="BU247" s="17">
        <v>267</v>
      </c>
      <c r="BV247" s="1">
        <v>1</v>
      </c>
      <c r="BW247" s="17">
        <v>341</v>
      </c>
      <c r="BX247" s="1">
        <v>1</v>
      </c>
      <c r="BY247" s="17">
        <v>374</v>
      </c>
      <c r="BZ247" s="1">
        <v>1</v>
      </c>
      <c r="CA247" s="17">
        <v>389</v>
      </c>
      <c r="CB247" s="1">
        <v>1</v>
      </c>
      <c r="CC247" s="17">
        <v>403</v>
      </c>
      <c r="CD247" s="1">
        <v>1</v>
      </c>
      <c r="CE247" s="17">
        <v>418</v>
      </c>
      <c r="CF247" s="1">
        <v>1</v>
      </c>
      <c r="CG247" s="17">
        <v>425</v>
      </c>
      <c r="CH247" s="1">
        <v>1</v>
      </c>
      <c r="CI247" s="17">
        <v>437</v>
      </c>
      <c r="CJ247" s="1">
        <v>1</v>
      </c>
      <c r="CK247" s="17">
        <v>443</v>
      </c>
      <c r="CL247" s="1">
        <v>1</v>
      </c>
      <c r="CM247" s="17">
        <v>455</v>
      </c>
      <c r="CN247" s="1">
        <v>1</v>
      </c>
      <c r="CO247" s="17">
        <v>467</v>
      </c>
      <c r="CP247" s="1">
        <v>1</v>
      </c>
      <c r="CQ247" s="17">
        <v>477</v>
      </c>
      <c r="CR247" s="1">
        <v>1</v>
      </c>
      <c r="CS247" s="17">
        <v>490</v>
      </c>
      <c r="CT247" s="1">
        <v>1</v>
      </c>
      <c r="CU247" s="17">
        <v>502</v>
      </c>
      <c r="CV247" s="1">
        <v>1</v>
      </c>
    </row>
    <row r="248" spans="1:100">
      <c r="A248" t="str">
        <f>HYPERLINK("http://exon.niaid.nih.gov/transcriptome/T_rubida/S2/links/pep/Triru-571-pep.txt","Triru-571")</f>
        <v>Triru-571</v>
      </c>
      <c r="B248">
        <v>339</v>
      </c>
      <c r="C248" s="1" t="s">
        <v>6</v>
      </c>
      <c r="D248" s="1" t="s">
        <v>3</v>
      </c>
      <c r="E248" t="str">
        <f>HYPERLINK("http://exon.niaid.nih.gov/transcriptome/T_rubida/S2/links/cds/Triru-571-cds.txt","Triru-571")</f>
        <v>Triru-571</v>
      </c>
      <c r="F248">
        <v>1020</v>
      </c>
      <c r="G248" s="2" t="s">
        <v>1707</v>
      </c>
      <c r="H248" s="1">
        <v>1</v>
      </c>
      <c r="I248" s="3" t="s">
        <v>1274</v>
      </c>
      <c r="J248" s="17" t="str">
        <f>HYPERLINK("http://exon.niaid.nih.gov/transcriptome/T_rubida/S2/links/Sigp/Triru-571-SigP.txt","CYT")</f>
        <v>CYT</v>
      </c>
      <c r="K248" t="s">
        <v>5</v>
      </c>
      <c r="L248" s="1">
        <v>37.779000000000003</v>
      </c>
      <c r="M248" s="1">
        <v>8.01</v>
      </c>
      <c r="P248" s="1">
        <v>0.27800000000000002</v>
      </c>
      <c r="Q248" s="1">
        <v>4.7E-2</v>
      </c>
      <c r="R248" s="1">
        <v>0.749</v>
      </c>
      <c r="S248" s="17" t="s">
        <v>1346</v>
      </c>
      <c r="T248">
        <v>3</v>
      </c>
      <c r="U248" t="s">
        <v>1348</v>
      </c>
      <c r="V248" s="17">
        <v>0</v>
      </c>
      <c r="W248" t="s">
        <v>5</v>
      </c>
      <c r="X248" t="s">
        <v>5</v>
      </c>
      <c r="Y248" t="s">
        <v>5</v>
      </c>
      <c r="Z248" t="s">
        <v>5</v>
      </c>
      <c r="AA248" t="s">
        <v>5</v>
      </c>
      <c r="AB248" s="17" t="str">
        <f>HYPERLINK("http://exon.niaid.nih.gov/transcriptome/T_rubida/S2/links/netoglyc/TRIRU-571-netoglyc.txt","0")</f>
        <v>0</v>
      </c>
      <c r="AC248">
        <v>12.4</v>
      </c>
      <c r="AD248">
        <v>3.8</v>
      </c>
      <c r="AE248">
        <v>4.4000000000000004</v>
      </c>
      <c r="AF248" s="17" t="s">
        <v>5</v>
      </c>
      <c r="AG248" s="2" t="str">
        <f>HYPERLINK("http://exon.niaid.nih.gov/transcriptome/T_rubida/S2/links/NR/Triru-571-NR.txt","LOW QUALITY PROTEIN: protein ECT2")</f>
        <v>LOW QUALITY PROTEIN: protein ECT2</v>
      </c>
      <c r="AH248" t="str">
        <f>HYPERLINK("http://www.ncbi.nlm.nih.gov/sutils/blink.cgi?pid=328790834","1E-139")</f>
        <v>1E-139</v>
      </c>
      <c r="AI248" t="str">
        <f>HYPERLINK("http://www.ncbi.nlm.nih.gov/protein/328790834","gi|328790834")</f>
        <v>gi|328790834</v>
      </c>
      <c r="AJ248">
        <v>499</v>
      </c>
      <c r="AK248">
        <v>324</v>
      </c>
      <c r="AL248">
        <v>898</v>
      </c>
      <c r="AM248">
        <v>74</v>
      </c>
      <c r="AN248">
        <v>36</v>
      </c>
      <c r="AO248" t="s">
        <v>302</v>
      </c>
      <c r="AP248" s="2" t="str">
        <f>HYPERLINK("http://exon.niaid.nih.gov/transcriptome/T_rubida/S2/links/SWISSP/Triru-571-SWISSP.txt","Protein ECT2")</f>
        <v>Protein ECT2</v>
      </c>
      <c r="AQ248" t="str">
        <f>HYPERLINK("http://www.uniprot.org/uniprot/Q9H8V3","6E-089")</f>
        <v>6E-089</v>
      </c>
      <c r="AR248" t="s">
        <v>700</v>
      </c>
      <c r="AS248">
        <v>327</v>
      </c>
      <c r="AT248">
        <v>319</v>
      </c>
      <c r="AU248">
        <v>883</v>
      </c>
      <c r="AV248">
        <v>48</v>
      </c>
      <c r="AW248">
        <v>36</v>
      </c>
      <c r="AX248">
        <v>166</v>
      </c>
      <c r="AY248">
        <v>5</v>
      </c>
      <c r="AZ248">
        <v>481</v>
      </c>
      <c r="BA248">
        <v>12</v>
      </c>
      <c r="BB248">
        <v>1</v>
      </c>
      <c r="BC248" t="s">
        <v>208</v>
      </c>
      <c r="BD248" s="2" t="s">
        <v>701</v>
      </c>
      <c r="BE248">
        <f>HYPERLINK("http://exon.niaid.nih.gov/transcriptome/T_rubida/S2/links/GO/Triru-571-GO.txt",1E-94)</f>
        <v>9.9999999999999996E-95</v>
      </c>
      <c r="BF248" t="s">
        <v>1936</v>
      </c>
      <c r="BG248" t="s">
        <v>702</v>
      </c>
      <c r="BH248" t="s">
        <v>1937</v>
      </c>
      <c r="BI248" s="2" t="str">
        <f>HYPERLINK("http://exon.niaid.nih.gov/transcriptome/T_rubida/S2/links/CDD/Triru-571-CDD.txt","PH_etc2")</f>
        <v>PH_etc2</v>
      </c>
      <c r="BJ248" t="str">
        <f>HYPERLINK("http://www.ncbi.nlm.nih.gov/Structure/cdd/cddsrv.cgi?uid=cd01229&amp;version=v4.0","5E-037")</f>
        <v>5E-037</v>
      </c>
      <c r="BK248" t="s">
        <v>703</v>
      </c>
      <c r="BL248" s="2" t="str">
        <f>HYPERLINK("http://exon.niaid.nih.gov/transcriptome/T_rubida/S2/links/KOG/Triru-571-KOG.txt","Predicted guanine nucleotide exchange factor (PEBBLE)")</f>
        <v>Predicted guanine nucleotide exchange factor (PEBBLE)</v>
      </c>
      <c r="BM248" t="str">
        <f>HYPERLINK("http://www.ncbi.nlm.nih.gov/COG/grace/shokog.cgi?KOG3524","3E-090")</f>
        <v>3E-090</v>
      </c>
      <c r="BN248" t="s">
        <v>179</v>
      </c>
      <c r="BO248" s="2" t="str">
        <f>HYPERLINK("http://exon.niaid.nih.gov/transcriptome/T_rubida/S2/links/PFAM/Triru-571-PFAM.txt","RhoGEF")</f>
        <v>RhoGEF</v>
      </c>
      <c r="BP248" t="str">
        <f>HYPERLINK("http://pfam.sanger.ac.uk/family?acc=PF00621","4E-029")</f>
        <v>4E-029</v>
      </c>
      <c r="BQ248" s="2" t="str">
        <f>HYPERLINK("http://exon.niaid.nih.gov/transcriptome/T_rubida/S2/links/SMART/Triru-571-SMART.txt","RhoGEF")</f>
        <v>RhoGEF</v>
      </c>
      <c r="BR248" t="str">
        <f>HYPERLINK("http://smart.embl-heidelberg.de/smart/do_annotation.pl?DOMAIN=RhoGEF&amp;BLAST=DUMMY","3E-025")</f>
        <v>3E-025</v>
      </c>
      <c r="BS248" s="17">
        <v>172</v>
      </c>
      <c r="BT248" s="1">
        <v>1</v>
      </c>
      <c r="BU248" s="17">
        <v>259</v>
      </c>
      <c r="BV248" s="1">
        <v>1</v>
      </c>
      <c r="BW248" s="17">
        <v>332</v>
      </c>
      <c r="BX248" s="1">
        <v>1</v>
      </c>
      <c r="BY248" s="17">
        <v>364</v>
      </c>
      <c r="BZ248" s="1">
        <v>1</v>
      </c>
      <c r="CA248" s="17">
        <v>378</v>
      </c>
      <c r="CB248" s="1">
        <v>1</v>
      </c>
      <c r="CC248" s="17">
        <v>391</v>
      </c>
      <c r="CD248" s="1">
        <v>1</v>
      </c>
      <c r="CE248" s="17">
        <v>406</v>
      </c>
      <c r="CF248" s="1">
        <v>1</v>
      </c>
      <c r="CG248" s="17">
        <v>412</v>
      </c>
      <c r="CH248" s="1">
        <v>1</v>
      </c>
      <c r="CI248" s="17">
        <v>424</v>
      </c>
      <c r="CJ248" s="1">
        <v>1</v>
      </c>
      <c r="CK248" s="17">
        <v>430</v>
      </c>
      <c r="CL248" s="1">
        <v>1</v>
      </c>
      <c r="CM248" s="17">
        <v>441</v>
      </c>
      <c r="CN248" s="1">
        <v>1</v>
      </c>
      <c r="CO248" s="17">
        <v>453</v>
      </c>
      <c r="CP248" s="1">
        <v>1</v>
      </c>
      <c r="CQ248" s="17">
        <v>463</v>
      </c>
      <c r="CR248" s="1">
        <v>1</v>
      </c>
      <c r="CS248" s="17">
        <v>476</v>
      </c>
      <c r="CT248" s="1">
        <v>1</v>
      </c>
      <c r="CU248" s="17">
        <v>488</v>
      </c>
      <c r="CV248" s="1">
        <v>1</v>
      </c>
    </row>
    <row r="249" spans="1:100">
      <c r="A249" t="str">
        <f>HYPERLINK("http://exon.niaid.nih.gov/transcriptome/T_rubida/S2/links/pep/Triru-278-pep.txt","Triru-278")</f>
        <v>Triru-278</v>
      </c>
      <c r="B249">
        <v>103</v>
      </c>
      <c r="C249" s="1" t="s">
        <v>17</v>
      </c>
      <c r="D249" s="1" t="s">
        <v>3</v>
      </c>
      <c r="E249" t="str">
        <f>HYPERLINK("http://exon.niaid.nih.gov/transcriptome/T_rubida/S2/links/cds/Triru-278-cds.txt","Triru-278")</f>
        <v>Triru-278</v>
      </c>
      <c r="F249">
        <v>312</v>
      </c>
      <c r="G249" s="2" t="s">
        <v>1708</v>
      </c>
      <c r="H249" s="1">
        <v>1</v>
      </c>
      <c r="I249" s="3" t="s">
        <v>1274</v>
      </c>
      <c r="J249" s="17" t="str">
        <f>HYPERLINK("http://exon.niaid.nih.gov/transcriptome/T_rubida/S2/links/Sigp/Triru-278-SigP.txt","BL/SIG")</f>
        <v>BL/SIG</v>
      </c>
      <c r="K249" t="s">
        <v>5</v>
      </c>
      <c r="L249" s="1">
        <v>11.121</v>
      </c>
      <c r="M249" s="1">
        <v>9.81</v>
      </c>
      <c r="P249" s="1">
        <v>0.49299999999999999</v>
      </c>
      <c r="Q249" s="1">
        <v>0.50800000000000001</v>
      </c>
      <c r="R249" s="1">
        <v>6.6000000000000003E-2</v>
      </c>
      <c r="S249" s="17" t="s">
        <v>18</v>
      </c>
      <c r="T249">
        <v>5</v>
      </c>
      <c r="U249" t="s">
        <v>1465</v>
      </c>
      <c r="V249" s="17" t="str">
        <f>HYPERLINK("http://exon.niaid.nih.gov/transcriptome/T_rubida/S2/links/tmhmm/TRIRU-278-tmhmm.txt","1")</f>
        <v>1</v>
      </c>
      <c r="W249">
        <v>21.4</v>
      </c>
      <c r="X249">
        <v>28.2</v>
      </c>
      <c r="Y249">
        <v>50.5</v>
      </c>
      <c r="Z249" t="s">
        <v>5</v>
      </c>
      <c r="AA249">
        <v>52</v>
      </c>
      <c r="AB249" s="17" t="s">
        <v>5</v>
      </c>
      <c r="AC249" t="s">
        <v>5</v>
      </c>
      <c r="AD249" t="s">
        <v>5</v>
      </c>
      <c r="AE249" t="s">
        <v>5</v>
      </c>
      <c r="AF249" s="17" t="s">
        <v>5</v>
      </c>
      <c r="AG249" s="2" t="str">
        <f>HYPERLINK("http://exon.niaid.nih.gov/transcriptome/T_rubida/S2/links/NR/Triru-278-NR.txt","GL18256")</f>
        <v>GL18256</v>
      </c>
      <c r="AH249" t="str">
        <f>HYPERLINK("http://www.ncbi.nlm.nih.gov/sutils/blink.cgi?pid=195169971","3E-032")</f>
        <v>3E-032</v>
      </c>
      <c r="AI249" t="str">
        <f>HYPERLINK("http://www.ncbi.nlm.nih.gov/protein/195169971","gi|195169971")</f>
        <v>gi|195169971</v>
      </c>
      <c r="AJ249">
        <v>141</v>
      </c>
      <c r="AK249">
        <v>98</v>
      </c>
      <c r="AL249">
        <v>338</v>
      </c>
      <c r="AM249">
        <v>71</v>
      </c>
      <c r="AN249">
        <v>29</v>
      </c>
      <c r="AO249" t="s">
        <v>489</v>
      </c>
      <c r="AP249" s="2" t="str">
        <f>HYPERLINK("http://exon.niaid.nih.gov/transcriptome/T_rubida/S2/links/SWISSP/Triru-278-SWISSP.txt","Growth hormone-inducible transmembrane protein")</f>
        <v>Growth hormone-inducible transmembrane protein</v>
      </c>
      <c r="AQ249" t="str">
        <f>HYPERLINK("http://www.uniprot.org/uniprot/Q5XIA8","8E-028")</f>
        <v>8E-028</v>
      </c>
      <c r="AR249" t="s">
        <v>1117</v>
      </c>
      <c r="AS249">
        <v>122</v>
      </c>
      <c r="AT249">
        <v>93</v>
      </c>
      <c r="AU249">
        <v>346</v>
      </c>
      <c r="AV249">
        <v>57</v>
      </c>
      <c r="AW249">
        <v>27</v>
      </c>
      <c r="AX249">
        <v>40</v>
      </c>
      <c r="AY249">
        <v>0</v>
      </c>
      <c r="AZ249">
        <v>252</v>
      </c>
      <c r="BA249">
        <v>10</v>
      </c>
      <c r="BB249">
        <v>1</v>
      </c>
      <c r="BC249" t="s">
        <v>130</v>
      </c>
      <c r="BD249" s="2" t="s">
        <v>1118</v>
      </c>
      <c r="BE249">
        <f>HYPERLINK("http://exon.niaid.nih.gov/transcriptome/T_rubida/S2/links/GO/Triru-278-GO.txt",6E-28)</f>
        <v>6.0000000000000001E-28</v>
      </c>
      <c r="BF249" t="s">
        <v>105</v>
      </c>
      <c r="BG249" t="s">
        <v>105</v>
      </c>
      <c r="BI249" s="2" t="str">
        <f>HYPERLINK("http://exon.niaid.nih.gov/transcriptome/T_rubida/S2/links/CDD/Triru-278-CDD.txt","BI-1-like")</f>
        <v>BI-1-like</v>
      </c>
      <c r="BJ249" t="str">
        <f>HYPERLINK("http://www.ncbi.nlm.nih.gov/Structure/cdd/cddsrv.cgi?uid=cd06181&amp;version=v4.0","2E-011")</f>
        <v>2E-011</v>
      </c>
      <c r="BK249" t="s">
        <v>1119</v>
      </c>
      <c r="BL249" s="2" t="str">
        <f>HYPERLINK("http://exon.niaid.nih.gov/transcriptome/T_rubida/S2/links/KOG/Triru-278-KOG.txt","Growth hormone-induced protein and related proteins")</f>
        <v>Growth hormone-induced protein and related proteins</v>
      </c>
      <c r="BM249" t="str">
        <f>HYPERLINK("http://www.ncbi.nlm.nih.gov/COG/grace/shokog.cgi?KOG1630","7E-032")</f>
        <v>7E-032</v>
      </c>
      <c r="BN249" t="s">
        <v>179</v>
      </c>
      <c r="BO249" s="2" t="str">
        <f>HYPERLINK("http://exon.niaid.nih.gov/transcriptome/T_rubida/S2/links/PFAM/Triru-278-PFAM.txt","Bax1-I")</f>
        <v>Bax1-I</v>
      </c>
      <c r="BP249" t="str">
        <f>HYPERLINK("http://pfam.sanger.ac.uk/family?acc=PF01027","3E-009")</f>
        <v>3E-009</v>
      </c>
      <c r="BQ249" s="2" t="str">
        <f>HYPERLINK("http://exon.niaid.nih.gov/transcriptome/T_rubida/S2/links/SMART/Triru-278-SMART.txt","AIP3")</f>
        <v>AIP3</v>
      </c>
      <c r="BR249" t="str">
        <f>HYPERLINK("http://smart.embl-heidelberg.de/smart/do_annotation.pl?DOMAIN=AIP3&amp;BLAST=DUMMY","0.45")</f>
        <v>0.45</v>
      </c>
      <c r="BS249" s="17">
        <v>83</v>
      </c>
      <c r="BT249" s="1">
        <v>1</v>
      </c>
      <c r="BU249" s="17">
        <v>130</v>
      </c>
      <c r="BV249" s="1">
        <v>1</v>
      </c>
      <c r="BW249" s="17">
        <v>155</v>
      </c>
      <c r="BX249" s="1">
        <v>1</v>
      </c>
      <c r="BY249" s="17">
        <v>164</v>
      </c>
      <c r="BZ249" s="1">
        <v>1</v>
      </c>
      <c r="CA249" s="17">
        <v>168</v>
      </c>
      <c r="CB249" s="1">
        <v>1</v>
      </c>
      <c r="CC249" s="17">
        <v>172</v>
      </c>
      <c r="CD249" s="1">
        <v>1</v>
      </c>
      <c r="CE249" s="17">
        <v>177</v>
      </c>
      <c r="CF249" s="1">
        <v>1</v>
      </c>
      <c r="CG249" s="17">
        <v>179</v>
      </c>
      <c r="CH249" s="1">
        <v>1</v>
      </c>
      <c r="CI249" s="17">
        <v>186</v>
      </c>
      <c r="CJ249" s="1">
        <v>1</v>
      </c>
      <c r="CK249" s="17">
        <v>191</v>
      </c>
      <c r="CL249" s="1">
        <v>1</v>
      </c>
      <c r="CM249" s="17">
        <v>197</v>
      </c>
      <c r="CN249" s="1">
        <v>1</v>
      </c>
      <c r="CO249" s="17">
        <v>207</v>
      </c>
      <c r="CP249" s="1">
        <v>1</v>
      </c>
      <c r="CQ249" s="17">
        <v>217</v>
      </c>
      <c r="CR249" s="1">
        <v>1</v>
      </c>
      <c r="CS249" s="17">
        <v>223</v>
      </c>
      <c r="CT249" s="1">
        <v>1</v>
      </c>
      <c r="CU249" s="17">
        <v>234</v>
      </c>
      <c r="CV249" s="1">
        <v>1</v>
      </c>
    </row>
    <row r="250" spans="1:100">
      <c r="A250" t="str">
        <f>HYPERLINK("http://exon.niaid.nih.gov/transcriptome/T_rubida/S2/links/pep/Triru-517-pep.txt","Triru-517")</f>
        <v>Triru-517</v>
      </c>
      <c r="B250">
        <v>98</v>
      </c>
      <c r="C250" s="1" t="s">
        <v>17</v>
      </c>
      <c r="D250" s="1" t="s">
        <v>3</v>
      </c>
      <c r="E250" t="str">
        <f>HYPERLINK("http://exon.niaid.nih.gov/transcriptome/T_rubida/S2/links/cds/Triru-517-cds.txt","Triru-517")</f>
        <v>Triru-517</v>
      </c>
      <c r="F250">
        <v>297</v>
      </c>
      <c r="G250" s="2" t="s">
        <v>1709</v>
      </c>
      <c r="H250" s="1">
        <v>1</v>
      </c>
      <c r="I250" s="3" t="s">
        <v>1274</v>
      </c>
      <c r="J250" s="17" t="str">
        <f>HYPERLINK("http://exon.niaid.nih.gov/transcriptome/T_rubida/S2/links/Sigp/Triru-517-SigP.txt","CYT")</f>
        <v>CYT</v>
      </c>
      <c r="K250" t="s">
        <v>5</v>
      </c>
      <c r="L250" s="1">
        <v>11.147</v>
      </c>
      <c r="M250" s="1">
        <v>9.16</v>
      </c>
      <c r="P250" s="1">
        <v>0.32200000000000001</v>
      </c>
      <c r="Q250" s="1">
        <v>5.8000000000000003E-2</v>
      </c>
      <c r="R250" s="1">
        <v>0.60799999999999998</v>
      </c>
      <c r="S250" s="17" t="s">
        <v>1346</v>
      </c>
      <c r="T250">
        <v>4</v>
      </c>
      <c r="U250" t="s">
        <v>1382</v>
      </c>
      <c r="V250" s="17">
        <v>0</v>
      </c>
      <c r="W250" t="s">
        <v>5</v>
      </c>
      <c r="X250" t="s">
        <v>5</v>
      </c>
      <c r="Y250" t="s">
        <v>5</v>
      </c>
      <c r="Z250" t="s">
        <v>5</v>
      </c>
      <c r="AA250" t="s">
        <v>5</v>
      </c>
      <c r="AB250" s="17" t="str">
        <f>HYPERLINK("http://exon.niaid.nih.gov/transcriptome/T_rubida/S2/links/netoglyc/TRIRU-517-netoglyc.txt","0")</f>
        <v>0</v>
      </c>
      <c r="AC250">
        <v>9.1999999999999993</v>
      </c>
      <c r="AD250">
        <v>8.1999999999999993</v>
      </c>
      <c r="AE250">
        <v>5.0999999999999996</v>
      </c>
      <c r="AF250" s="17" t="s">
        <v>5</v>
      </c>
      <c r="AG250" s="2" t="str">
        <f>HYPERLINK("http://exon.niaid.nih.gov/transcriptome/T_rubida/S2/links/NR/Triru-517-NR.txt","hypothetical protein TcasGA2_TC008406")</f>
        <v>hypothetical protein TcasGA2_TC008406</v>
      </c>
      <c r="AH250" t="str">
        <f>HYPERLINK("http://www.ncbi.nlm.nih.gov/sutils/blink.cgi?pid=270006237","8E-045")</f>
        <v>8E-045</v>
      </c>
      <c r="AI250" t="str">
        <f>HYPERLINK("http://www.ncbi.nlm.nih.gov/protein/270006237","gi|270006237")</f>
        <v>gi|270006237</v>
      </c>
      <c r="AJ250">
        <v>183</v>
      </c>
      <c r="AK250">
        <v>93</v>
      </c>
      <c r="AL250">
        <v>354</v>
      </c>
      <c r="AM250">
        <v>91</v>
      </c>
      <c r="AN250">
        <v>27</v>
      </c>
      <c r="AO250" t="s">
        <v>671</v>
      </c>
      <c r="AP250" s="2" t="str">
        <f>HYPERLINK("http://exon.niaid.nih.gov/transcriptome/T_rubida/S2/links/SWISSP/Triru-517-SWISSP.txt","Serine/threonine-protein phosphatase PP1-beta catalytic subunit")</f>
        <v>Serine/threonine-protein phosphatase PP1-beta catalytic subunit</v>
      </c>
      <c r="AQ250" t="str">
        <f>HYPERLINK("http://www.uniprot.org/uniprot/Q5I085","1E-044")</f>
        <v>1E-044</v>
      </c>
      <c r="AR250" t="s">
        <v>1109</v>
      </c>
      <c r="AS250">
        <v>178</v>
      </c>
      <c r="AT250">
        <v>93</v>
      </c>
      <c r="AU250">
        <v>327</v>
      </c>
      <c r="AV250">
        <v>91</v>
      </c>
      <c r="AW250">
        <v>29</v>
      </c>
      <c r="AX250">
        <v>8</v>
      </c>
      <c r="AY250">
        <v>2</v>
      </c>
      <c r="AZ250">
        <v>233</v>
      </c>
      <c r="BA250">
        <v>5</v>
      </c>
      <c r="BB250">
        <v>1</v>
      </c>
      <c r="BC250" t="s">
        <v>357</v>
      </c>
      <c r="BD250" s="2" t="s">
        <v>1110</v>
      </c>
      <c r="BE250">
        <f>HYPERLINK("http://exon.niaid.nih.gov/transcriptome/T_rubida/S2/links/GO/Triru-517-GO.txt",7E-45)</f>
        <v>7E-45</v>
      </c>
      <c r="BF250" t="s">
        <v>1938</v>
      </c>
      <c r="BG250" t="s">
        <v>77</v>
      </c>
      <c r="BH250" t="s">
        <v>590</v>
      </c>
      <c r="BI250" s="2" t="str">
        <f>HYPERLINK("http://exon.niaid.nih.gov/transcriptome/T_rubida/S2/links/CDD/Triru-517-CDD.txt","MPP_PP1_PPKL")</f>
        <v>MPP_PP1_PPKL</v>
      </c>
      <c r="BJ250" t="str">
        <f>HYPERLINK("http://www.ncbi.nlm.nih.gov/Structure/cdd/cddsrv.cgi?uid=cd07414&amp;version=v4.0","1E-041")</f>
        <v>1E-041</v>
      </c>
      <c r="BK250" t="s">
        <v>1111</v>
      </c>
      <c r="BL250" s="2" t="str">
        <f>HYPERLINK("http://exon.niaid.nih.gov/transcriptome/T_rubida/S2/links/KOG/Triru-517-KOG.txt","Serine/threonine specific protein phosphatase PP1, catalytic subunit")</f>
        <v>Serine/threonine specific protein phosphatase PP1, catalytic subunit</v>
      </c>
      <c r="BM250" t="str">
        <f>HYPERLINK("http://www.ncbi.nlm.nih.gov/COG/grace/shokog.cgi?KOG0374","4E-032")</f>
        <v>4E-032</v>
      </c>
      <c r="BN250" t="s">
        <v>1112</v>
      </c>
      <c r="BO250" s="2" t="str">
        <f>HYPERLINK("http://exon.niaid.nih.gov/transcriptome/T_rubida/S2/links/PFAM/Triru-517-PFAM.txt","Glyco_hydro_77")</f>
        <v>Glyco_hydro_77</v>
      </c>
      <c r="BP250" t="str">
        <f>HYPERLINK("http://pfam.sanger.ac.uk/family?acc=PF02446","4.2")</f>
        <v>4.2</v>
      </c>
      <c r="BQ250" s="2" t="str">
        <f>HYPERLINK("http://exon.niaid.nih.gov/transcriptome/T_rubida/S2/links/SMART/Triru-517-SMART.txt","PP2Ac")</f>
        <v>PP2Ac</v>
      </c>
      <c r="BR250" t="str">
        <f>HYPERLINK("http://smart.embl-heidelberg.de/smart/do_annotation.pl?DOMAIN=PP2Ac&amp;BLAST=DUMMY","4E-027")</f>
        <v>4E-027</v>
      </c>
      <c r="BS250" s="17">
        <v>160</v>
      </c>
      <c r="BT250" s="1">
        <v>1</v>
      </c>
      <c r="BU250" s="17">
        <v>237</v>
      </c>
      <c r="BV250" s="1">
        <v>1</v>
      </c>
      <c r="BW250" s="17">
        <v>303</v>
      </c>
      <c r="BX250" s="1">
        <v>1</v>
      </c>
      <c r="BY250" s="17">
        <v>329</v>
      </c>
      <c r="BZ250" s="1">
        <v>1</v>
      </c>
      <c r="CA250" s="17">
        <v>340</v>
      </c>
      <c r="CB250" s="1">
        <v>1</v>
      </c>
      <c r="CC250" s="17">
        <v>352</v>
      </c>
      <c r="CD250" s="1">
        <v>1</v>
      </c>
      <c r="CE250" s="17">
        <v>364</v>
      </c>
      <c r="CF250" s="1">
        <v>1</v>
      </c>
      <c r="CG250" s="17">
        <v>370</v>
      </c>
      <c r="CH250" s="1">
        <v>1</v>
      </c>
      <c r="CI250" s="17">
        <v>382</v>
      </c>
      <c r="CJ250" s="1">
        <v>1</v>
      </c>
      <c r="CK250" s="17">
        <v>388</v>
      </c>
      <c r="CL250" s="1">
        <v>1</v>
      </c>
      <c r="CM250" s="17">
        <v>396</v>
      </c>
      <c r="CN250" s="1">
        <v>1</v>
      </c>
      <c r="CO250" s="17">
        <v>408</v>
      </c>
      <c r="CP250" s="1">
        <v>1</v>
      </c>
      <c r="CQ250" s="17">
        <v>418</v>
      </c>
      <c r="CR250" s="1">
        <v>1</v>
      </c>
      <c r="CS250" s="17">
        <v>431</v>
      </c>
      <c r="CT250" s="1">
        <v>1</v>
      </c>
      <c r="CU250" s="17">
        <v>442</v>
      </c>
      <c r="CV250" s="1">
        <v>1</v>
      </c>
    </row>
    <row r="251" spans="1:100">
      <c r="A251" t="str">
        <f>HYPERLINK("http://exon.niaid.nih.gov/transcriptome/T_rubida/S2/links/pep/Triru-422-pep.txt","Triru-422")</f>
        <v>Triru-422</v>
      </c>
      <c r="B251">
        <v>89</v>
      </c>
      <c r="C251" s="1" t="s">
        <v>9</v>
      </c>
      <c r="D251" s="1" t="s">
        <v>3</v>
      </c>
      <c r="E251" t="str">
        <f>HYPERLINK("http://exon.niaid.nih.gov/transcriptome/T_rubida/S2/links/cds/Triru-422-cds.txt","Triru-422")</f>
        <v>Triru-422</v>
      </c>
      <c r="F251">
        <v>270</v>
      </c>
      <c r="G251" s="2" t="s">
        <v>1710</v>
      </c>
      <c r="H251" s="1">
        <v>1</v>
      </c>
      <c r="I251" s="3" t="s">
        <v>1282</v>
      </c>
      <c r="J251" s="17" t="str">
        <f>HYPERLINK("http://exon.niaid.nih.gov/transcriptome/T_rubida/S2/links/Sigp/Triru-422-SigP.txt","CYT")</f>
        <v>CYT</v>
      </c>
      <c r="K251" t="s">
        <v>5</v>
      </c>
      <c r="L251" s="1">
        <v>10.385</v>
      </c>
      <c r="M251" s="1">
        <v>6.82</v>
      </c>
      <c r="P251" s="1">
        <v>6.5000000000000002E-2</v>
      </c>
      <c r="Q251" s="1">
        <v>9.6000000000000002E-2</v>
      </c>
      <c r="R251" s="1">
        <v>0.92100000000000004</v>
      </c>
      <c r="S251" s="17" t="s">
        <v>1346</v>
      </c>
      <c r="T251">
        <v>1</v>
      </c>
      <c r="U251" t="s">
        <v>1466</v>
      </c>
      <c r="V251" s="17">
        <v>0</v>
      </c>
      <c r="W251" t="s">
        <v>5</v>
      </c>
      <c r="X251" t="s">
        <v>5</v>
      </c>
      <c r="Y251" t="s">
        <v>5</v>
      </c>
      <c r="Z251" t="s">
        <v>5</v>
      </c>
      <c r="AA251" t="s">
        <v>5</v>
      </c>
      <c r="AB251" s="17" t="s">
        <v>5</v>
      </c>
      <c r="AC251" t="s">
        <v>5</v>
      </c>
      <c r="AD251" t="s">
        <v>5</v>
      </c>
      <c r="AE251" t="s">
        <v>5</v>
      </c>
      <c r="AF251" s="17" t="s">
        <v>5</v>
      </c>
      <c r="AG251" s="2" t="str">
        <f>HYPERLINK("http://exon.niaid.nih.gov/transcriptome/T_rubida/S2/links/NR/Triru-422-NR.txt","Chain A, Structural Analysis Of A Cytoplasmic Dynein Light Chain- Intermediate")</f>
        <v>Chain A, Structural Analysis Of A Cytoplasmic Dynein Light Chain- Intermediate</v>
      </c>
      <c r="AH251" t="str">
        <f>HYPERLINK("http://www.ncbi.nlm.nih.gov/sutils/blink.cgi?pid=149243127","5E-045")</f>
        <v>5E-045</v>
      </c>
      <c r="AI251" t="str">
        <f>HYPERLINK("http://www.ncbi.nlm.nih.gov/protein/149243127","gi|149243127")</f>
        <v>gi|149243127</v>
      </c>
      <c r="AJ251">
        <v>184</v>
      </c>
      <c r="AK251">
        <v>88</v>
      </c>
      <c r="AL251">
        <v>91</v>
      </c>
      <c r="AM251">
        <v>97</v>
      </c>
      <c r="AN251">
        <v>98</v>
      </c>
      <c r="AO251" t="s">
        <v>5</v>
      </c>
      <c r="AP251" s="2" t="str">
        <f>HYPERLINK("http://exon.niaid.nih.gov/transcriptome/T_rubida/S2/links/SWISSP/Triru-422-SWISSP.txt","Dynein light chain 1, cytoplasmic")</f>
        <v>Dynein light chain 1, cytoplasmic</v>
      </c>
      <c r="AQ251" t="str">
        <f>HYPERLINK("http://www.uniprot.org/uniprot/Q24117","2E-046")</f>
        <v>2E-046</v>
      </c>
      <c r="AR251" t="s">
        <v>816</v>
      </c>
      <c r="AS251">
        <v>184</v>
      </c>
      <c r="AT251">
        <v>88</v>
      </c>
      <c r="AU251">
        <v>89</v>
      </c>
      <c r="AV251">
        <v>97</v>
      </c>
      <c r="AW251">
        <v>100</v>
      </c>
      <c r="AX251">
        <v>2</v>
      </c>
      <c r="AY251">
        <v>0</v>
      </c>
      <c r="AZ251">
        <v>1</v>
      </c>
      <c r="BA251">
        <v>1</v>
      </c>
      <c r="BB251">
        <v>1</v>
      </c>
      <c r="BC251" t="s">
        <v>150</v>
      </c>
      <c r="BD251" s="2" t="s">
        <v>817</v>
      </c>
      <c r="BE251">
        <f>HYPERLINK("http://exon.niaid.nih.gov/transcriptome/T_rubida/S2/links/GO/Triru-422-GO.txt",1E-46)</f>
        <v>1E-46</v>
      </c>
      <c r="BF251" t="s">
        <v>1939</v>
      </c>
      <c r="BG251" t="s">
        <v>77</v>
      </c>
      <c r="BH251" t="s">
        <v>590</v>
      </c>
      <c r="BI251" s="2" t="str">
        <f>HYPERLINK("http://exon.niaid.nih.gov/transcriptome/T_rubida/S2/links/CDD/Triru-422-CDD.txt","PTZ00059")</f>
        <v>PTZ00059</v>
      </c>
      <c r="BJ251" t="str">
        <f>HYPERLINK("http://www.ncbi.nlm.nih.gov/Structure/cdd/cddsrv.cgi?uid=PTZ00059&amp;version=v4.0","9E-049")</f>
        <v>9E-049</v>
      </c>
      <c r="BK251" t="s">
        <v>818</v>
      </c>
      <c r="BL251" s="2" t="str">
        <f>HYPERLINK("http://exon.niaid.nih.gov/transcriptome/T_rubida/S2/links/KOG/Triru-422-KOG.txt","Dynein light chain type 1")</f>
        <v>Dynein light chain type 1</v>
      </c>
      <c r="BM251" t="str">
        <f>HYPERLINK("http://www.ncbi.nlm.nih.gov/COG/grace/shokog.cgi?KOG3430","4E-034")</f>
        <v>4E-034</v>
      </c>
      <c r="BN251" t="s">
        <v>147</v>
      </c>
      <c r="BO251" s="2" t="str">
        <f>HYPERLINK("http://exon.niaid.nih.gov/transcriptome/T_rubida/S2/links/PFAM/Triru-422-PFAM.txt","Dynein_light")</f>
        <v>Dynein_light</v>
      </c>
      <c r="BP251" t="str">
        <f>HYPERLINK("http://pfam.sanger.ac.uk/family?acc=PF01221","3E-044")</f>
        <v>3E-044</v>
      </c>
      <c r="BQ251" s="2" t="str">
        <f>HYPERLINK("http://exon.niaid.nih.gov/transcriptome/T_rubida/S2/links/SMART/Triru-422-SMART.txt","RAN")</f>
        <v>RAN</v>
      </c>
      <c r="BR251" t="str">
        <f>HYPERLINK("http://smart.embl-heidelberg.de/smart/do_annotation.pl?DOMAIN=RAN&amp;BLAST=DUMMY","1.1")</f>
        <v>1.1</v>
      </c>
      <c r="BS251" s="17">
        <v>129</v>
      </c>
      <c r="BT251" s="1">
        <v>1</v>
      </c>
      <c r="BU251" s="17">
        <v>193</v>
      </c>
      <c r="BV251" s="1">
        <v>1</v>
      </c>
      <c r="BW251" s="17">
        <v>242</v>
      </c>
      <c r="BX251" s="1">
        <v>1</v>
      </c>
      <c r="BY251" s="17">
        <v>261</v>
      </c>
      <c r="BZ251" s="1">
        <v>1</v>
      </c>
      <c r="CA251" s="17">
        <v>269</v>
      </c>
      <c r="CB251" s="1">
        <v>1</v>
      </c>
      <c r="CC251" s="17">
        <v>276</v>
      </c>
      <c r="CD251" s="1">
        <v>1</v>
      </c>
      <c r="CE251" s="17">
        <v>285</v>
      </c>
      <c r="CF251" s="1">
        <v>1</v>
      </c>
      <c r="CG251" s="17">
        <v>288</v>
      </c>
      <c r="CH251" s="1">
        <v>1</v>
      </c>
      <c r="CI251" s="17">
        <v>298</v>
      </c>
      <c r="CJ251" s="1">
        <v>1</v>
      </c>
      <c r="CK251" s="17">
        <v>304</v>
      </c>
      <c r="CL251" s="1">
        <v>1</v>
      </c>
      <c r="CM251" s="17">
        <v>312</v>
      </c>
      <c r="CN251" s="1">
        <v>1</v>
      </c>
      <c r="CO251" s="17">
        <v>324</v>
      </c>
      <c r="CP251" s="1">
        <v>1</v>
      </c>
      <c r="CQ251" s="17">
        <v>334</v>
      </c>
      <c r="CR251" s="1">
        <v>1</v>
      </c>
      <c r="CS251" s="17">
        <v>346</v>
      </c>
      <c r="CT251" s="1">
        <v>1</v>
      </c>
      <c r="CU251" s="17">
        <v>357</v>
      </c>
      <c r="CV251" s="1">
        <v>1</v>
      </c>
    </row>
    <row r="252" spans="1:100">
      <c r="A252" t="str">
        <f>HYPERLINK("http://exon.niaid.nih.gov/transcriptome/T_rubida/S2/links/pep/Triru-537-pep.txt","Triru-537")</f>
        <v>Triru-537</v>
      </c>
      <c r="B252">
        <v>109</v>
      </c>
      <c r="C252" s="1" t="s">
        <v>17</v>
      </c>
      <c r="D252" s="1" t="s">
        <v>3</v>
      </c>
      <c r="E252" t="str">
        <f>HYPERLINK("http://exon.niaid.nih.gov/transcriptome/T_rubida/S2/links/cds/Triru-537-cds.txt","Triru-537")</f>
        <v>Triru-537</v>
      </c>
      <c r="F252">
        <v>330</v>
      </c>
      <c r="G252" s="2" t="s">
        <v>1711</v>
      </c>
      <c r="H252" s="1">
        <v>1</v>
      </c>
      <c r="I252" s="3" t="s">
        <v>1282</v>
      </c>
      <c r="J252" s="17" t="str">
        <f>HYPERLINK("http://exon.niaid.nih.gov/transcriptome/T_rubida/S2/links/Sigp/Triru-537-SigP.txt","ANC")</f>
        <v>ANC</v>
      </c>
      <c r="K252" t="s">
        <v>5</v>
      </c>
      <c r="L252" s="1">
        <v>12.282</v>
      </c>
      <c r="M252" s="1">
        <v>9.4700000000000006</v>
      </c>
      <c r="P252" s="1">
        <v>0.13100000000000001</v>
      </c>
      <c r="Q252" s="1">
        <v>0.76100000000000001</v>
      </c>
      <c r="R252" s="1">
        <v>0.21299999999999999</v>
      </c>
      <c r="S252" s="17" t="s">
        <v>18</v>
      </c>
      <c r="T252">
        <v>3</v>
      </c>
      <c r="U252" t="s">
        <v>1467</v>
      </c>
      <c r="V252" s="17" t="str">
        <f>HYPERLINK("http://exon.niaid.nih.gov/transcriptome/T_rubida/S2/links/tmhmm/TRIRU-537-tmhmm.txt","3")</f>
        <v>3</v>
      </c>
      <c r="W252">
        <v>53.2</v>
      </c>
      <c r="X252">
        <v>5.5</v>
      </c>
      <c r="Y252">
        <v>41.3</v>
      </c>
      <c r="Z252" t="s">
        <v>5</v>
      </c>
      <c r="AA252" t="s">
        <v>5</v>
      </c>
      <c r="AB252" s="17" t="str">
        <f>HYPERLINK("http://exon.niaid.nih.gov/transcriptome/T_rubida/S2/links/netoglyc/TRIRU-537-netoglyc.txt","0")</f>
        <v>0</v>
      </c>
      <c r="AC252">
        <v>11</v>
      </c>
      <c r="AD252">
        <v>5.5</v>
      </c>
      <c r="AE252">
        <v>2.8</v>
      </c>
      <c r="AF252" s="17" t="s">
        <v>5</v>
      </c>
      <c r="AG252" s="2" t="str">
        <f>HYPERLINK("http://exon.niaid.nih.gov/transcriptome/T_rubida/S2/links/NR/Triru-537-NR.txt","similar to CG13393 CG13393-PA")</f>
        <v>similar to CG13393 CG13393-PA</v>
      </c>
      <c r="AH252" t="str">
        <f>HYPERLINK("http://www.ncbi.nlm.nih.gov/sutils/blink.cgi?pid=91093935","3E-044")</f>
        <v>3E-044</v>
      </c>
      <c r="AI252" t="str">
        <f>HYPERLINK("http://www.ncbi.nlm.nih.gov/protein/91093935","gi|91093935")</f>
        <v>gi|91093935</v>
      </c>
      <c r="AJ252">
        <v>181</v>
      </c>
      <c r="AK252">
        <v>106</v>
      </c>
      <c r="AL252">
        <v>112</v>
      </c>
      <c r="AM252">
        <v>80</v>
      </c>
      <c r="AN252">
        <v>96</v>
      </c>
      <c r="AO252" t="s">
        <v>671</v>
      </c>
      <c r="AP252" s="2" t="str">
        <f>HYPERLINK("http://exon.niaid.nih.gov/transcriptome/T_rubida/S2/links/SWISSP/Triru-537-SWISSP.txt","Dolichyl-diphosphooligosaccharide--protein glycosyltransferase subunit DAD1")</f>
        <v>Dolichyl-diphosphooligosaccharide--protein glycosyltransferase subunit DAD1</v>
      </c>
      <c r="AQ252" t="str">
        <f>HYPERLINK("http://www.uniprot.org/uniprot/Q9VLM5","6E-044")</f>
        <v>6E-044</v>
      </c>
      <c r="AR252" t="s">
        <v>1132</v>
      </c>
      <c r="AS252">
        <v>175</v>
      </c>
      <c r="AT252">
        <v>107</v>
      </c>
      <c r="AU252">
        <v>112</v>
      </c>
      <c r="AV252">
        <v>75</v>
      </c>
      <c r="AW252">
        <v>96</v>
      </c>
      <c r="AX252">
        <v>26</v>
      </c>
      <c r="AY252">
        <v>0</v>
      </c>
      <c r="AZ252">
        <v>5</v>
      </c>
      <c r="BA252">
        <v>2</v>
      </c>
      <c r="BB252">
        <v>1</v>
      </c>
      <c r="BC252" t="s">
        <v>150</v>
      </c>
      <c r="BD252" s="2" t="s">
        <v>1133</v>
      </c>
      <c r="BE252">
        <f>HYPERLINK("http://exon.niaid.nih.gov/transcriptome/T_rubida/S2/links/GO/Triru-537-GO.txt",4E-44)</f>
        <v>3.9999999999999998E-44</v>
      </c>
      <c r="BF252" t="s">
        <v>1940</v>
      </c>
      <c r="BG252" t="s">
        <v>77</v>
      </c>
      <c r="BH252" t="s">
        <v>470</v>
      </c>
      <c r="BI252" s="2" t="str">
        <f>HYPERLINK("http://exon.niaid.nih.gov/transcriptome/T_rubida/S2/links/CDD/Triru-537-CDD.txt","DAD")</f>
        <v>DAD</v>
      </c>
      <c r="BJ252" t="str">
        <f>HYPERLINK("http://www.ncbi.nlm.nih.gov/Structure/cdd/cddsrv.cgi?uid=pfam02109&amp;version=v4.0","8E-042")</f>
        <v>8E-042</v>
      </c>
      <c r="BK252" t="s">
        <v>1134</v>
      </c>
      <c r="BL252" s="2" t="str">
        <f>HYPERLINK("http://exon.niaid.nih.gov/transcriptome/T_rubida/S2/links/KOG/Triru-537-KOG.txt","Defender against cell death protein/oligosaccharyltransferase, epsilon subunit")</f>
        <v>Defender against cell death protein/oligosaccharyltransferase, epsilon subunit</v>
      </c>
      <c r="BM252" t="str">
        <f>HYPERLINK("http://www.ncbi.nlm.nih.gov/COG/grace/shokog.cgi?KOG1746","2E-035")</f>
        <v>2E-035</v>
      </c>
      <c r="BN252" t="s">
        <v>1135</v>
      </c>
      <c r="BO252" s="2" t="str">
        <f>HYPERLINK("http://exon.niaid.nih.gov/transcriptome/T_rubida/S2/links/PFAM/Triru-537-PFAM.txt","DAD")</f>
        <v>DAD</v>
      </c>
      <c r="BP252" t="str">
        <f>HYPERLINK("http://pfam.sanger.ac.uk/family?acc=PF02109","2E-042")</f>
        <v>2E-042</v>
      </c>
      <c r="BQ252" s="2" t="str">
        <f>HYPERLINK("http://exon.niaid.nih.gov/transcriptome/T_rubida/S2/links/SMART/Triru-537-SMART.txt","53EXOc")</f>
        <v>53EXOc</v>
      </c>
      <c r="BR252" t="str">
        <f>HYPERLINK("http://smart.embl-heidelberg.de/smart/do_annotation.pl?DOMAIN=53EXOc&amp;BLAST=DUMMY","1.3")</f>
        <v>1.3</v>
      </c>
      <c r="BS252" s="17">
        <v>166</v>
      </c>
      <c r="BT252" s="1">
        <v>1</v>
      </c>
      <c r="BU252" s="17">
        <v>245</v>
      </c>
      <c r="BV252" s="1">
        <v>1</v>
      </c>
      <c r="BW252" s="17">
        <v>312</v>
      </c>
      <c r="BX252" s="1">
        <v>1</v>
      </c>
      <c r="BY252" s="17">
        <v>340</v>
      </c>
      <c r="BZ252" s="1">
        <v>1</v>
      </c>
      <c r="CA252" s="17">
        <v>352</v>
      </c>
      <c r="CB252" s="1">
        <v>1</v>
      </c>
      <c r="CC252" s="17">
        <v>365</v>
      </c>
      <c r="CD252" s="1">
        <v>1</v>
      </c>
      <c r="CE252" s="17">
        <v>380</v>
      </c>
      <c r="CF252" s="1">
        <v>1</v>
      </c>
      <c r="CG252" s="17">
        <v>386</v>
      </c>
      <c r="CH252" s="1">
        <v>1</v>
      </c>
      <c r="CI252" s="17">
        <v>398</v>
      </c>
      <c r="CJ252" s="1">
        <v>1</v>
      </c>
      <c r="CK252" s="17">
        <v>404</v>
      </c>
      <c r="CL252" s="1">
        <v>1</v>
      </c>
      <c r="CM252" s="17">
        <v>414</v>
      </c>
      <c r="CN252" s="1">
        <v>1</v>
      </c>
      <c r="CO252" s="17">
        <v>426</v>
      </c>
      <c r="CP252" s="1">
        <v>1</v>
      </c>
      <c r="CQ252" s="17">
        <v>436</v>
      </c>
      <c r="CR252" s="1">
        <v>1</v>
      </c>
      <c r="CS252" s="17">
        <v>449</v>
      </c>
      <c r="CT252" s="1">
        <v>1</v>
      </c>
      <c r="CU252" s="17">
        <v>460</v>
      </c>
      <c r="CV252" s="1">
        <v>1</v>
      </c>
    </row>
    <row r="253" spans="1:100">
      <c r="A253" t="str">
        <f>HYPERLINK("http://exon.niaid.nih.gov/transcriptome/T_rubida/S2/links/pep/Triru-417-pep.txt","Triru-417")</f>
        <v>Triru-417</v>
      </c>
      <c r="B253">
        <v>85</v>
      </c>
      <c r="C253" s="1" t="s">
        <v>6</v>
      </c>
      <c r="D253" s="1" t="s">
        <v>3</v>
      </c>
      <c r="E253" t="str">
        <f>HYPERLINK("http://exon.niaid.nih.gov/transcriptome/T_rubida/S2/links/cds/Triru-417-cds.txt","Triru-417")</f>
        <v>Triru-417</v>
      </c>
      <c r="F253">
        <v>258</v>
      </c>
      <c r="G253" s="2" t="s">
        <v>1712</v>
      </c>
      <c r="H253" s="1">
        <v>1</v>
      </c>
      <c r="I253" s="3" t="s">
        <v>1282</v>
      </c>
      <c r="J253" s="17" t="str">
        <f>HYPERLINK("http://exon.niaid.nih.gov/transcriptome/T_rubida/S2/links/Sigp/Triru-417-SigP.txt","CYT")</f>
        <v>CYT</v>
      </c>
      <c r="K253" t="s">
        <v>5</v>
      </c>
      <c r="L253" s="1">
        <v>9.7200000000000006</v>
      </c>
      <c r="M253" s="1">
        <v>6.43</v>
      </c>
      <c r="P253" s="1">
        <v>0.28599999999999998</v>
      </c>
      <c r="Q253" s="1">
        <v>0.107</v>
      </c>
      <c r="R253" s="1">
        <v>0.55500000000000005</v>
      </c>
      <c r="S253" s="17" t="s">
        <v>1346</v>
      </c>
      <c r="T253">
        <v>4</v>
      </c>
      <c r="U253" t="s">
        <v>1468</v>
      </c>
      <c r="V253" s="17">
        <v>0</v>
      </c>
      <c r="W253" t="s">
        <v>5</v>
      </c>
      <c r="X253" t="s">
        <v>5</v>
      </c>
      <c r="Y253" t="s">
        <v>5</v>
      </c>
      <c r="Z253" t="s">
        <v>5</v>
      </c>
      <c r="AA253" t="s">
        <v>5</v>
      </c>
      <c r="AB253" s="17" t="str">
        <f>HYPERLINK("http://exon.niaid.nih.gov/transcriptome/T_rubida/S2/links/netoglyc/TRIRU-417-netoglyc.txt","0")</f>
        <v>0</v>
      </c>
      <c r="AC253">
        <v>15.3</v>
      </c>
      <c r="AD253">
        <v>7.1</v>
      </c>
      <c r="AE253">
        <v>1.2</v>
      </c>
      <c r="AF253" s="17" t="s">
        <v>5</v>
      </c>
      <c r="AG253" s="2" t="str">
        <f>HYPERLINK("http://exon.niaid.nih.gov/transcriptome/T_rubida/S2/links/NR/Triru-417-NR.txt","apoptosis-linked protein 2")</f>
        <v>apoptosis-linked protein 2</v>
      </c>
      <c r="AH253" t="str">
        <f>HYPERLINK("http://www.ncbi.nlm.nih.gov/sutils/blink.cgi?pid=124365239","7E-030")</f>
        <v>7E-030</v>
      </c>
      <c r="AI253" t="str">
        <f>HYPERLINK("http://www.ncbi.nlm.nih.gov/protein/124365239","gi|124365239")</f>
        <v>gi|124365239</v>
      </c>
      <c r="AJ253">
        <v>133</v>
      </c>
      <c r="AK253">
        <v>151</v>
      </c>
      <c r="AL253">
        <v>177</v>
      </c>
      <c r="AM253">
        <v>78</v>
      </c>
      <c r="AN253">
        <v>86</v>
      </c>
      <c r="AO253" t="s">
        <v>144</v>
      </c>
      <c r="AP253" s="2" t="str">
        <f>HYPERLINK("http://exon.niaid.nih.gov/transcriptome/T_rubida/S2/links/SWISSP/Triru-417-SWISSP.txt","Programmed cell death protein 6")</f>
        <v>Programmed cell death protein 6</v>
      </c>
      <c r="AQ253" t="str">
        <f>HYPERLINK("http://www.uniprot.org/uniprot/P12815","2E-021")</f>
        <v>2E-021</v>
      </c>
      <c r="AR253" t="s">
        <v>542</v>
      </c>
      <c r="AS253">
        <v>100</v>
      </c>
      <c r="AT253">
        <v>149</v>
      </c>
      <c r="AU253">
        <v>191</v>
      </c>
      <c r="AV253">
        <v>59</v>
      </c>
      <c r="AW253">
        <v>79</v>
      </c>
      <c r="AX253">
        <v>34</v>
      </c>
      <c r="AY253">
        <v>0</v>
      </c>
      <c r="AZ253">
        <v>41</v>
      </c>
      <c r="BA253">
        <v>1</v>
      </c>
      <c r="BB253">
        <v>2</v>
      </c>
      <c r="BC253" t="s">
        <v>75</v>
      </c>
      <c r="BD253" s="2" t="s">
        <v>543</v>
      </c>
      <c r="BE253">
        <f>HYPERLINK("http://exon.niaid.nih.gov/transcriptome/T_rubida/S2/links/GO/Triru-417-GO.txt",1E-22)</f>
        <v>1E-22</v>
      </c>
      <c r="BF253" t="s">
        <v>544</v>
      </c>
      <c r="BG253" t="s">
        <v>153</v>
      </c>
      <c r="BH253" t="s">
        <v>293</v>
      </c>
      <c r="BI253" s="2" t="str">
        <f>HYPERLINK("http://exon.niaid.nih.gov/transcriptome/T_rubida/S2/links/CDD/Triru-417-CDD.txt","FRQ1")</f>
        <v>FRQ1</v>
      </c>
      <c r="BJ253" t="str">
        <f>HYPERLINK("http://www.ncbi.nlm.nih.gov/Structure/cdd/cddsrv.cgi?uid=COG5126&amp;version=v4.0","6E-004")</f>
        <v>6E-004</v>
      </c>
      <c r="BK253" t="s">
        <v>545</v>
      </c>
      <c r="BL253" s="2" t="str">
        <f>HYPERLINK("http://exon.niaid.nih.gov/transcriptome/T_rubida/S2/links/KOG/Triru-417-KOG.txt","Ca2+-binding protein, EF-Hand protein superfamily")</f>
        <v>Ca2+-binding protein, EF-Hand protein superfamily</v>
      </c>
      <c r="BM253" t="str">
        <f>HYPERLINK("http://www.ncbi.nlm.nih.gov/COG/grace/shokog.cgi?KOG0037","8E-025")</f>
        <v>8E-025</v>
      </c>
      <c r="BN253" t="s">
        <v>179</v>
      </c>
      <c r="BO253" s="2" t="str">
        <f>HYPERLINK("http://exon.niaid.nih.gov/transcriptome/T_rubida/S2/links/PFAM/Triru-417-PFAM.txt","efhand")</f>
        <v>efhand</v>
      </c>
      <c r="BP253" t="str">
        <f>HYPERLINK("http://pfam.sanger.ac.uk/family?acc=PF00036","0.20")</f>
        <v>0.20</v>
      </c>
      <c r="BQ253" s="2" t="str">
        <f>HYPERLINK("http://exon.niaid.nih.gov/transcriptome/T_rubida/S2/links/SMART/Triru-417-SMART.txt","EFh")</f>
        <v>EFh</v>
      </c>
      <c r="BR253" t="str">
        <f>HYPERLINK("http://smart.embl-heidelberg.de/smart/do_annotation.pl?DOMAIN=EFh&amp;BLAST=DUMMY","0.035")</f>
        <v>0.035</v>
      </c>
      <c r="BS253" s="17">
        <v>126</v>
      </c>
      <c r="BT253" s="1">
        <v>1</v>
      </c>
      <c r="BU253" s="17">
        <v>190</v>
      </c>
      <c r="BV253" s="1">
        <v>1</v>
      </c>
      <c r="BW253" s="17">
        <v>238</v>
      </c>
      <c r="BX253" s="1">
        <v>1</v>
      </c>
      <c r="BY253" s="17">
        <v>257</v>
      </c>
      <c r="BZ253" s="1">
        <v>1</v>
      </c>
      <c r="CA253" s="17">
        <v>265</v>
      </c>
      <c r="CB253" s="1">
        <v>1</v>
      </c>
      <c r="CC253" s="17">
        <v>272</v>
      </c>
      <c r="CD253" s="1">
        <v>1</v>
      </c>
      <c r="CE253" s="17">
        <v>280</v>
      </c>
      <c r="CF253" s="1">
        <v>1</v>
      </c>
      <c r="CG253" s="17">
        <v>283</v>
      </c>
      <c r="CH253" s="1">
        <v>1</v>
      </c>
      <c r="CI253" s="17">
        <v>293</v>
      </c>
      <c r="CJ253" s="1">
        <v>1</v>
      </c>
      <c r="CK253" s="17">
        <v>299</v>
      </c>
      <c r="CL253" s="1">
        <v>1</v>
      </c>
      <c r="CM253" s="17">
        <v>307</v>
      </c>
      <c r="CN253" s="1">
        <v>1</v>
      </c>
      <c r="CO253" s="17">
        <v>319</v>
      </c>
      <c r="CP253" s="1">
        <v>1</v>
      </c>
      <c r="CQ253" s="17">
        <v>329</v>
      </c>
      <c r="CR253" s="1">
        <v>1</v>
      </c>
      <c r="CS253" s="17">
        <v>341</v>
      </c>
      <c r="CT253" s="1">
        <v>1</v>
      </c>
      <c r="CU253" s="17">
        <v>352</v>
      </c>
      <c r="CV253" s="1">
        <v>1</v>
      </c>
    </row>
    <row r="254" spans="1:100">
      <c r="A254" t="str">
        <f>HYPERLINK("http://exon.niaid.nih.gov/transcriptome/T_rubida/S2/links/pep/Triru-97-pep.txt","Triru-97")</f>
        <v>Triru-97</v>
      </c>
      <c r="B254">
        <v>130</v>
      </c>
      <c r="C254" s="1" t="s">
        <v>6</v>
      </c>
      <c r="D254" s="1" t="s">
        <v>3</v>
      </c>
      <c r="E254" t="str">
        <f>HYPERLINK("http://exon.niaid.nih.gov/transcriptome/T_rubida/S2/links/cds/Triru-97-cds.txt","Triru-97")</f>
        <v>Triru-97</v>
      </c>
      <c r="F254">
        <v>393</v>
      </c>
      <c r="G254" s="2" t="s">
        <v>1713</v>
      </c>
      <c r="H254" s="1">
        <v>5</v>
      </c>
      <c r="I254" s="3" t="s">
        <v>1282</v>
      </c>
      <c r="J254" s="17" t="str">
        <f>HYPERLINK("http://exon.niaid.nih.gov/transcriptome/T_rubida/S2/links/Sigp/Triru-97-SigP.txt","CYT")</f>
        <v>CYT</v>
      </c>
      <c r="K254" t="s">
        <v>5</v>
      </c>
      <c r="L254" s="1">
        <v>14.333</v>
      </c>
      <c r="M254" s="1">
        <v>10.4</v>
      </c>
      <c r="P254" s="1">
        <v>0.31</v>
      </c>
      <c r="Q254" s="1">
        <v>5.2999999999999999E-2</v>
      </c>
      <c r="R254" s="1">
        <v>0.72499999999999998</v>
      </c>
      <c r="S254" s="17" t="s">
        <v>1346</v>
      </c>
      <c r="T254">
        <v>3</v>
      </c>
      <c r="U254" t="s">
        <v>1348</v>
      </c>
      <c r="V254" s="17">
        <v>0</v>
      </c>
      <c r="W254" t="s">
        <v>5</v>
      </c>
      <c r="X254" t="s">
        <v>5</v>
      </c>
      <c r="Y254" t="s">
        <v>5</v>
      </c>
      <c r="Z254" t="s">
        <v>5</v>
      </c>
      <c r="AA254" t="s">
        <v>5</v>
      </c>
      <c r="AB254" s="17" t="str">
        <f>HYPERLINK("http://exon.niaid.nih.gov/transcriptome/T_rubida/S2/links/netoglyc/TRIRU-97-netoglyc.txt","3")</f>
        <v>3</v>
      </c>
      <c r="AC254">
        <v>6.2</v>
      </c>
      <c r="AD254">
        <v>5.4</v>
      </c>
      <c r="AE254">
        <v>10</v>
      </c>
      <c r="AF254" s="17" t="s">
        <v>5</v>
      </c>
      <c r="AG254" s="2" t="str">
        <f>HYPERLINK("http://exon.niaid.nih.gov/transcriptome/T_rubida/S2/links/NR/Triru-97-NR.txt","predicted protein")</f>
        <v>predicted protein</v>
      </c>
      <c r="AH254" t="str">
        <f>HYPERLINK("http://www.ncbi.nlm.nih.gov/sutils/blink.cgi?pid=167999534","9E-009")</f>
        <v>9E-009</v>
      </c>
      <c r="AI254" t="str">
        <f>HYPERLINK("http://www.ncbi.nlm.nih.gov/protein/167999534","gi|167999534")</f>
        <v>gi|167999534</v>
      </c>
      <c r="AJ254">
        <v>63.5</v>
      </c>
      <c r="AK254">
        <v>107</v>
      </c>
      <c r="AL254">
        <v>357</v>
      </c>
      <c r="AM254">
        <v>36</v>
      </c>
      <c r="AN254">
        <v>30</v>
      </c>
      <c r="AO254" t="s">
        <v>628</v>
      </c>
      <c r="AP254" s="2" t="str">
        <f>HYPERLINK("http://exon.niaid.nih.gov/transcriptome/T_rubida/S2/links/SWISSP/Triru-97-SWISSP.txt","Neurofilament heavy polypeptide")</f>
        <v>Neurofilament heavy polypeptide</v>
      </c>
      <c r="AQ254" t="str">
        <f>HYPERLINK("http://www.uniprot.org/uniprot/P12036","3E-009")</f>
        <v>3E-009</v>
      </c>
      <c r="AR254" t="s">
        <v>629</v>
      </c>
      <c r="AS254">
        <v>60.5</v>
      </c>
      <c r="AT254">
        <v>567</v>
      </c>
      <c r="AU254">
        <v>1026</v>
      </c>
      <c r="AV254">
        <v>40</v>
      </c>
      <c r="AW254">
        <v>55</v>
      </c>
      <c r="AX254">
        <v>75</v>
      </c>
      <c r="AY254">
        <v>8</v>
      </c>
      <c r="AZ254">
        <v>459</v>
      </c>
      <c r="BA254">
        <v>9</v>
      </c>
      <c r="BB254">
        <v>20</v>
      </c>
      <c r="BC254" t="s">
        <v>208</v>
      </c>
      <c r="BD254" s="2" t="s">
        <v>630</v>
      </c>
      <c r="BE254">
        <f>HYPERLINK("http://exon.niaid.nih.gov/transcriptome/T_rubida/S2/links/GO/Triru-97-GO.txt",0.000000002)</f>
        <v>2.0000000000000001E-9</v>
      </c>
      <c r="BF254" t="s">
        <v>105</v>
      </c>
      <c r="BG254" t="s">
        <v>105</v>
      </c>
      <c r="BI254" s="2" t="str">
        <f>HYPERLINK("http://exon.niaid.nih.gov/transcriptome/T_rubida/S2/links/CDD/Triru-97-CDD.txt","PRK05035")</f>
        <v>PRK05035</v>
      </c>
      <c r="BJ254" t="str">
        <f>HYPERLINK("http://www.ncbi.nlm.nih.gov/Structure/cdd/cddsrv.cgi?uid=PRK05035&amp;version=v4.0","0.024")</f>
        <v>0.024</v>
      </c>
      <c r="BK254" t="s">
        <v>631</v>
      </c>
      <c r="BL254" s="2" t="str">
        <f>HYPERLINK("http://exon.niaid.nih.gov/transcriptome/T_rubida/S2/links/KOG/Triru-97-KOG.txt","Cyclic nucleotide-gated cation channel CNCG4")</f>
        <v>Cyclic nucleotide-gated cation channel CNCG4</v>
      </c>
      <c r="BM254" t="str">
        <f>HYPERLINK("http://www.ncbi.nlm.nih.gov/COG/grace/shokog.cgi?KOG0499","0.038")</f>
        <v>0.038</v>
      </c>
      <c r="BN254" t="s">
        <v>58</v>
      </c>
      <c r="BO254" s="2" t="str">
        <f>HYPERLINK("http://exon.niaid.nih.gov/transcriptome/T_rubida/S2/links/PFAM/Triru-97-PFAM.txt","HRP1")</f>
        <v>HRP1</v>
      </c>
      <c r="BP254" t="str">
        <f>HYPERLINK("http://pfam.sanger.ac.uk/family?acc=PF09433","0.016")</f>
        <v>0.016</v>
      </c>
      <c r="BQ254" s="2" t="str">
        <f>HYPERLINK("http://exon.niaid.nih.gov/transcriptome/T_rubida/S2/links/SMART/Triru-97-SMART.txt","FH2")</f>
        <v>FH2</v>
      </c>
      <c r="BR254" t="str">
        <f>HYPERLINK("http://smart.embl-heidelberg.de/smart/do_annotation.pl?DOMAIN=FH2&amp;BLAST=DUMMY","0.098")</f>
        <v>0.098</v>
      </c>
      <c r="BS254" s="17">
        <f>HYPERLINK("http://exon.niaid.nih.gov/transcriptome/T_rubida/S2/links/cluster/Triru-pep-ext25-50-Sim-CLU1.txt", 1)</f>
        <v>1</v>
      </c>
      <c r="BT254" s="1">
        <f>HYPERLINK("http://exon.niaid.nih.gov/transcriptome/T_rubida/S2/links/cluster/Triru-pep-ext25-50-Sim-CLTL1.txt", 359)</f>
        <v>359</v>
      </c>
      <c r="BU254" s="17">
        <f>HYPERLINK("http://exon.niaid.nih.gov/transcriptome/T_rubida/S2/links/cluster/Triru-pep-ext30-50-Sim-CLU1.txt", 1)</f>
        <v>1</v>
      </c>
      <c r="BV254" s="1">
        <f>HYPERLINK("http://exon.niaid.nih.gov/transcriptome/T_rubida/S2/links/cluster/Triru-pep-ext30-50-Sim-CLTL1.txt", 225)</f>
        <v>225</v>
      </c>
      <c r="BW254" s="17">
        <f>HYPERLINK("http://exon.niaid.nih.gov/transcriptome/T_rubida/S2/links/cluster/Triru-pep-ext35-50-Sim-CLU13.txt", 13)</f>
        <v>13</v>
      </c>
      <c r="BX254" s="1">
        <f>HYPERLINK("http://exon.niaid.nih.gov/transcriptome/T_rubida/S2/links/cluster/Triru-pep-ext35-50-Sim-CLTL13.txt", 2)</f>
        <v>2</v>
      </c>
      <c r="BY254" s="17">
        <f>HYPERLINK("http://exon.niaid.nih.gov/transcriptome/T_rubida/S2/links/cluster/Triru-pep-ext40-50-Sim-CLU11.txt", 11)</f>
        <v>11</v>
      </c>
      <c r="BZ254" s="1">
        <f>HYPERLINK("http://exon.niaid.nih.gov/transcriptome/T_rubida/S2/links/cluster/Triru-pep-ext40-50-Sim-CLTL11.txt", 2)</f>
        <v>2</v>
      </c>
      <c r="CA254" s="17">
        <f>HYPERLINK("http://exon.niaid.nih.gov/transcriptome/T_rubida/S2/links/cluster/Triru-pep-ext45-50-Sim-CLU10.txt", 10)</f>
        <v>10</v>
      </c>
      <c r="CB254" s="1">
        <f>HYPERLINK("http://exon.niaid.nih.gov/transcriptome/T_rubida/S2/links/cluster/Triru-pep-ext45-50-Sim-CLTL10.txt", 2)</f>
        <v>2</v>
      </c>
      <c r="CC254" s="17">
        <f>HYPERLINK("http://exon.niaid.nih.gov/transcriptome/T_rubida/S2/links/cluster/Triru-pep-ext50-50-Sim-CLU10.txt", 10)</f>
        <v>10</v>
      </c>
      <c r="CD254" s="1">
        <f>HYPERLINK("http://exon.niaid.nih.gov/transcriptome/T_rubida/S2/links/cluster/Triru-pep-ext50-50-Sim-CLTL10.txt", 2)</f>
        <v>2</v>
      </c>
      <c r="CE254" s="17">
        <f>HYPERLINK("http://exon.niaid.nih.gov/transcriptome/T_rubida/S2/links/cluster/Triru-pep-ext55-50-Sim-CLU10.txt", 10)</f>
        <v>10</v>
      </c>
      <c r="CF254" s="1">
        <f>HYPERLINK("http://exon.niaid.nih.gov/transcriptome/T_rubida/S2/links/cluster/Triru-pep-ext55-50-Sim-CLTL10.txt", 2)</f>
        <v>2</v>
      </c>
      <c r="CG254" s="17">
        <f>HYPERLINK("http://exon.niaid.nih.gov/transcriptome/T_rubida/S2/links/cluster/Triru-pep-ext60-50-Sim-CLU11.txt", 11)</f>
        <v>11</v>
      </c>
      <c r="CH254" s="1">
        <f>HYPERLINK("http://exon.niaid.nih.gov/transcriptome/T_rubida/S2/links/cluster/Triru-pep-ext60-50-Sim-CLTL11.txt", 2)</f>
        <v>2</v>
      </c>
      <c r="CI254" s="17">
        <v>49</v>
      </c>
      <c r="CJ254" s="1">
        <v>1</v>
      </c>
      <c r="CK254" s="17">
        <v>53</v>
      </c>
      <c r="CL254" s="1">
        <v>1</v>
      </c>
      <c r="CM254" s="17">
        <v>57</v>
      </c>
      <c r="CN254" s="1">
        <v>1</v>
      </c>
      <c r="CO254" s="17">
        <v>65</v>
      </c>
      <c r="CP254" s="1">
        <v>1</v>
      </c>
      <c r="CQ254" s="17">
        <v>75</v>
      </c>
      <c r="CR254" s="1">
        <v>1</v>
      </c>
      <c r="CS254" s="17">
        <v>80</v>
      </c>
      <c r="CT254" s="1">
        <v>1</v>
      </c>
      <c r="CU254" s="17">
        <v>91</v>
      </c>
      <c r="CV254" s="1">
        <v>1</v>
      </c>
    </row>
    <row r="255" spans="1:100">
      <c r="A255" t="str">
        <f>HYPERLINK("http://exon.niaid.nih.gov/transcriptome/T_rubida/S2/links/pep/Triru-327-pep.txt","Triru-327")</f>
        <v>Triru-327</v>
      </c>
      <c r="B255">
        <v>89</v>
      </c>
      <c r="C255" s="1" t="s">
        <v>6</v>
      </c>
      <c r="D255" s="1" t="s">
        <v>3</v>
      </c>
      <c r="E255" t="str">
        <f>HYPERLINK("http://exon.niaid.nih.gov/transcriptome/T_rubida/S2/links/cds/Triru-327-cds.txt","Triru-327")</f>
        <v>Triru-327</v>
      </c>
      <c r="F255">
        <v>270</v>
      </c>
      <c r="G255" s="2" t="s">
        <v>1714</v>
      </c>
      <c r="H255" s="1">
        <v>1</v>
      </c>
      <c r="I255" s="3" t="s">
        <v>1284</v>
      </c>
      <c r="J255" s="17" t="str">
        <f>HYPERLINK("http://exon.niaid.nih.gov/transcriptome/T_rubida/S2/links/Sigp/Triru-327-SigP.txt","CYT")</f>
        <v>CYT</v>
      </c>
      <c r="K255" t="s">
        <v>5</v>
      </c>
      <c r="L255" s="1">
        <v>9.9060000000000006</v>
      </c>
      <c r="M255" s="1">
        <v>5.75</v>
      </c>
      <c r="P255" s="1">
        <v>7.1999999999999995E-2</v>
      </c>
      <c r="Q255" s="1">
        <v>7.2999999999999995E-2</v>
      </c>
      <c r="R255" s="1">
        <v>0.93300000000000005</v>
      </c>
      <c r="S255" s="17" t="s">
        <v>1346</v>
      </c>
      <c r="T255">
        <v>1</v>
      </c>
      <c r="U255" t="s">
        <v>1348</v>
      </c>
      <c r="V255" s="17">
        <v>0</v>
      </c>
      <c r="W255" t="s">
        <v>5</v>
      </c>
      <c r="X255" t="s">
        <v>5</v>
      </c>
      <c r="Y255" t="s">
        <v>5</v>
      </c>
      <c r="Z255" t="s">
        <v>5</v>
      </c>
      <c r="AA255" t="s">
        <v>5</v>
      </c>
      <c r="AB255" s="17" t="str">
        <f>HYPERLINK("http://exon.niaid.nih.gov/transcriptome/T_rubida/S2/links/netoglyc/TRIRU-327-netoglyc.txt","0")</f>
        <v>0</v>
      </c>
      <c r="AC255">
        <v>4.5</v>
      </c>
      <c r="AD255">
        <v>11.2</v>
      </c>
      <c r="AE255">
        <v>2.2000000000000002</v>
      </c>
      <c r="AF255" s="17" t="s">
        <v>5</v>
      </c>
      <c r="AG255" s="2" t="str">
        <f>HYPERLINK("http://exon.niaid.nih.gov/transcriptome/T_rubida/S2/links/NR/Triru-327-NR.txt","ferritin")</f>
        <v>ferritin</v>
      </c>
      <c r="AH255" t="str">
        <f>HYPERLINK("http://www.ncbi.nlm.nih.gov/sutils/blink.cgi?pid=289629282","6E-029")</f>
        <v>6E-029</v>
      </c>
      <c r="AI255" t="str">
        <f>HYPERLINK("http://www.ncbi.nlm.nih.gov/protein/289629282","gi|289629282")</f>
        <v>gi|289629282</v>
      </c>
      <c r="AJ255">
        <v>130</v>
      </c>
      <c r="AK255">
        <v>88</v>
      </c>
      <c r="AL255">
        <v>215</v>
      </c>
      <c r="AM255">
        <v>70</v>
      </c>
      <c r="AN255">
        <v>41</v>
      </c>
      <c r="AO255" t="s">
        <v>288</v>
      </c>
      <c r="AP255" s="2" t="str">
        <f>HYPERLINK("http://exon.niaid.nih.gov/transcriptome/T_rubida/S2/links/SWISSP/Triru-327-SWISSP.txt","Ferritin subunit")</f>
        <v>Ferritin subunit</v>
      </c>
      <c r="AQ255" t="str">
        <f>HYPERLINK("http://www.uniprot.org/uniprot/P41822","3E-018")</f>
        <v>3E-018</v>
      </c>
      <c r="AR255" t="s">
        <v>555</v>
      </c>
      <c r="AS255">
        <v>90.5</v>
      </c>
      <c r="AT255">
        <v>77</v>
      </c>
      <c r="AU255">
        <v>209</v>
      </c>
      <c r="AV255">
        <v>58</v>
      </c>
      <c r="AW255">
        <v>37</v>
      </c>
      <c r="AX255">
        <v>34</v>
      </c>
      <c r="AY255">
        <v>4</v>
      </c>
      <c r="AZ255">
        <v>129</v>
      </c>
      <c r="BA255">
        <v>1</v>
      </c>
      <c r="BB255">
        <v>1</v>
      </c>
      <c r="BC255" t="s">
        <v>191</v>
      </c>
      <c r="BD255" s="2" t="s">
        <v>556</v>
      </c>
      <c r="BE255">
        <f>HYPERLINK("http://exon.niaid.nih.gov/transcriptome/T_rubida/S2/links/GO/Triru-327-GO.txt",3E-20)</f>
        <v>3.0000000000000003E-20</v>
      </c>
      <c r="BF255" t="s">
        <v>557</v>
      </c>
      <c r="BG255" t="s">
        <v>153</v>
      </c>
      <c r="BH255" t="s">
        <v>293</v>
      </c>
      <c r="BI255" s="2" t="str">
        <f>HYPERLINK("http://exon.niaid.nih.gov/transcriptome/T_rubida/S2/links/CDD/Triru-327-CDD.txt","Euk_Ferritin")</f>
        <v>Euk_Ferritin</v>
      </c>
      <c r="BJ255" t="str">
        <f>HYPERLINK("http://www.ncbi.nlm.nih.gov/Structure/cdd/cddsrv.cgi?uid=cd01056&amp;version=v4.0","7E-017")</f>
        <v>7E-017</v>
      </c>
      <c r="BK255" t="s">
        <v>558</v>
      </c>
      <c r="BL255" s="2" t="str">
        <f>HYPERLINK("http://exon.niaid.nih.gov/transcriptome/T_rubida/S2/links/KOG/Triru-327-KOG.txt","Ferritin")</f>
        <v>Ferritin</v>
      </c>
      <c r="BM255" t="str">
        <f>HYPERLINK("http://www.ncbi.nlm.nih.gov/COG/grace/shokog.cgi?KOG2332","1E-011")</f>
        <v>1E-011</v>
      </c>
      <c r="BN255" t="s">
        <v>117</v>
      </c>
      <c r="BO255" s="2" t="str">
        <f>HYPERLINK("http://exon.niaid.nih.gov/transcriptome/T_rubida/S2/links/PFAM/Triru-327-PFAM.txt","Ferritin")</f>
        <v>Ferritin</v>
      </c>
      <c r="BP255" t="str">
        <f>HYPERLINK("http://pfam.sanger.ac.uk/family?acc=PF00210","3E-004")</f>
        <v>3E-004</v>
      </c>
      <c r="BQ255" s="2" t="str">
        <f>HYPERLINK("http://exon.niaid.nih.gov/transcriptome/T_rubida/S2/links/SMART/Triru-327-SMART.txt","Brix")</f>
        <v>Brix</v>
      </c>
      <c r="BR255" t="str">
        <f>HYPERLINK("http://smart.embl-heidelberg.de/smart/do_annotation.pl?DOMAIN=Brix&amp;BLAST=DUMMY","0.54")</f>
        <v>0.54</v>
      </c>
      <c r="BS255" s="17">
        <v>96</v>
      </c>
      <c r="BT255" s="1">
        <v>1</v>
      </c>
      <c r="BU255" s="17">
        <v>150</v>
      </c>
      <c r="BV255" s="1">
        <v>1</v>
      </c>
      <c r="BW255" s="17">
        <v>182</v>
      </c>
      <c r="BX255" s="1">
        <v>1</v>
      </c>
      <c r="BY255" s="17">
        <v>194</v>
      </c>
      <c r="BZ255" s="1">
        <v>1</v>
      </c>
      <c r="CA255" s="17">
        <v>200</v>
      </c>
      <c r="CB255" s="1">
        <v>1</v>
      </c>
      <c r="CC255" s="17">
        <v>205</v>
      </c>
      <c r="CD255" s="1">
        <v>1</v>
      </c>
      <c r="CE255" s="17">
        <v>211</v>
      </c>
      <c r="CF255" s="1">
        <v>1</v>
      </c>
      <c r="CG255" s="17">
        <v>213</v>
      </c>
      <c r="CH255" s="1">
        <v>1</v>
      </c>
      <c r="CI255" s="17">
        <v>223</v>
      </c>
      <c r="CJ255" s="1">
        <v>1</v>
      </c>
      <c r="CK255" s="17">
        <v>228</v>
      </c>
      <c r="CL255" s="1">
        <v>1</v>
      </c>
      <c r="CM255" s="17">
        <v>235</v>
      </c>
      <c r="CN255" s="1">
        <v>1</v>
      </c>
      <c r="CO255" s="17">
        <v>246</v>
      </c>
      <c r="CP255" s="1">
        <v>1</v>
      </c>
      <c r="CQ255" s="17">
        <v>256</v>
      </c>
      <c r="CR255" s="1">
        <v>1</v>
      </c>
      <c r="CS255" s="17">
        <v>266</v>
      </c>
      <c r="CT255" s="1">
        <v>1</v>
      </c>
      <c r="CU255" s="17">
        <v>277</v>
      </c>
      <c r="CV255" s="1">
        <v>1</v>
      </c>
    </row>
    <row r="256" spans="1:100">
      <c r="A256" t="str">
        <f>HYPERLINK("http://exon.niaid.nih.gov/transcriptome/T_rubida/S2/links/pep/Triru-160-pep.txt","Triru-160")</f>
        <v>Triru-160</v>
      </c>
      <c r="B256">
        <v>160</v>
      </c>
      <c r="C256" s="1" t="s">
        <v>6</v>
      </c>
      <c r="D256" s="1" t="s">
        <v>3</v>
      </c>
      <c r="E256" t="str">
        <f>HYPERLINK("http://exon.niaid.nih.gov/transcriptome/T_rubida/S2/links/cds/Triru-160-cds.txt","Triru-160")</f>
        <v>Triru-160</v>
      </c>
      <c r="F256">
        <v>483</v>
      </c>
      <c r="G256" s="2" t="s">
        <v>1715</v>
      </c>
      <c r="H256" s="1">
        <v>2</v>
      </c>
      <c r="I256" s="3" t="s">
        <v>1284</v>
      </c>
      <c r="J256" s="17" t="str">
        <f>HYPERLINK("http://exon.niaid.nih.gov/transcriptome/T_rubida/S2/links/Sigp/Triru-160-SigP.txt","CYT")</f>
        <v>CYT</v>
      </c>
      <c r="K256" t="s">
        <v>5</v>
      </c>
      <c r="L256" s="1">
        <v>17.934000000000001</v>
      </c>
      <c r="M256" s="1">
        <v>9.07</v>
      </c>
      <c r="P256" s="1">
        <v>7.3999999999999996E-2</v>
      </c>
      <c r="Q256" s="1">
        <v>5.6000000000000001E-2</v>
      </c>
      <c r="R256" s="1">
        <v>0.91900000000000004</v>
      </c>
      <c r="S256" s="17" t="s">
        <v>1346</v>
      </c>
      <c r="T256">
        <v>1</v>
      </c>
      <c r="U256" t="s">
        <v>1348</v>
      </c>
      <c r="V256" s="17">
        <v>0</v>
      </c>
      <c r="W256" t="s">
        <v>5</v>
      </c>
      <c r="X256" t="s">
        <v>5</v>
      </c>
      <c r="Y256" t="s">
        <v>5</v>
      </c>
      <c r="Z256" t="s">
        <v>5</v>
      </c>
      <c r="AA256" t="s">
        <v>5</v>
      </c>
      <c r="AB256" s="17" t="str">
        <f>HYPERLINK("http://exon.niaid.nih.gov/transcriptome/T_rubida/S2/links/netoglyc/TRIRU-160-netoglyc.txt","0")</f>
        <v>0</v>
      </c>
      <c r="AC256">
        <v>13.8</v>
      </c>
      <c r="AD256">
        <v>6.3</v>
      </c>
      <c r="AE256">
        <v>6.3</v>
      </c>
      <c r="AF256" s="17" t="s">
        <v>5</v>
      </c>
      <c r="AG256" s="2" t="str">
        <f>HYPERLINK("http://exon.niaid.nih.gov/transcriptome/T_rubida/S2/links/NR/Triru-160-NR.txt","vitellogenin-3")</f>
        <v>vitellogenin-3</v>
      </c>
      <c r="AH256" t="str">
        <f>HYPERLINK("http://www.ncbi.nlm.nih.gov/sutils/blink.cgi?pid=6526700","6E-038")</f>
        <v>6E-038</v>
      </c>
      <c r="AI256" t="str">
        <f>HYPERLINK("http://www.ncbi.nlm.nih.gov/protein/6526700","gi|6526700")</f>
        <v>gi|6526700</v>
      </c>
      <c r="AJ256">
        <v>160</v>
      </c>
      <c r="AK256">
        <v>152</v>
      </c>
      <c r="AL256">
        <v>1903</v>
      </c>
      <c r="AM256">
        <v>45</v>
      </c>
      <c r="AN256">
        <v>8</v>
      </c>
      <c r="AO256" t="s">
        <v>659</v>
      </c>
      <c r="AP256" s="2" t="str">
        <f>HYPERLINK("http://exon.niaid.nih.gov/transcriptome/T_rubida/S2/links/SWISSP/Triru-160-SWISSP.txt","Vitellogenin")</f>
        <v>Vitellogenin</v>
      </c>
      <c r="AQ256" t="str">
        <f>HYPERLINK("http://www.uniprot.org/uniprot/Q868N5","1E-016")</f>
        <v>1E-016</v>
      </c>
      <c r="AR256" t="s">
        <v>660</v>
      </c>
      <c r="AS256">
        <v>85.9</v>
      </c>
      <c r="AT256">
        <v>148</v>
      </c>
      <c r="AU256">
        <v>1770</v>
      </c>
      <c r="AV256">
        <v>30</v>
      </c>
      <c r="AW256">
        <v>8</v>
      </c>
      <c r="AX256">
        <v>108</v>
      </c>
      <c r="AY256">
        <v>8</v>
      </c>
      <c r="AZ256">
        <v>1620</v>
      </c>
      <c r="BA256">
        <v>3</v>
      </c>
      <c r="BB256">
        <v>1</v>
      </c>
      <c r="BC256" t="s">
        <v>302</v>
      </c>
      <c r="BD256" s="2" t="s">
        <v>661</v>
      </c>
      <c r="BE256">
        <f>HYPERLINK("http://exon.niaid.nih.gov/transcriptome/T_rubida/S2/links/GO/Triru-160-GO.txt",0.000000000001)</f>
        <v>9.9999999999999998E-13</v>
      </c>
      <c r="BF256" t="s">
        <v>105</v>
      </c>
      <c r="BG256" t="s">
        <v>105</v>
      </c>
      <c r="BI256" s="2" t="str">
        <f>HYPERLINK("http://exon.niaid.nih.gov/transcriptome/T_rubida/S2/links/CDD/Triru-160-CDD.txt","PLN02896")</f>
        <v>PLN02896</v>
      </c>
      <c r="BJ256" t="str">
        <f>HYPERLINK("http://www.ncbi.nlm.nih.gov/Structure/cdd/cddsrv.cgi?uid=PLN02896&amp;version=v4.0","1.8")</f>
        <v>1.8</v>
      </c>
      <c r="BK256" t="s">
        <v>662</v>
      </c>
      <c r="BL256" s="2" t="str">
        <f>HYPERLINK("http://exon.niaid.nih.gov/transcriptome/T_rubida/S2/links/KOG/Triru-160-KOG.txt","Daxx-interacting protein MSP58/p78, contains FHA domain")</f>
        <v>Daxx-interacting protein MSP58/p78, contains FHA domain</v>
      </c>
      <c r="BM256" t="str">
        <f>HYPERLINK("http://www.ncbi.nlm.nih.gov/COG/grace/shokog.cgi?KOG2293","0.84")</f>
        <v>0.84</v>
      </c>
      <c r="BN256" t="s">
        <v>663</v>
      </c>
      <c r="BO256" s="2" t="str">
        <f>HYPERLINK("http://exon.niaid.nih.gov/transcriptome/T_rubida/S2/links/PFAM/Triru-160-PFAM.txt","Phycobilisome")</f>
        <v>Phycobilisome</v>
      </c>
      <c r="BP256" t="str">
        <f>HYPERLINK("http://pfam.sanger.ac.uk/family?acc=PF00502","0.51")</f>
        <v>0.51</v>
      </c>
      <c r="BQ256" s="2" t="str">
        <f>HYPERLINK("http://exon.niaid.nih.gov/transcriptome/T_rubida/S2/links/SMART/Triru-160-SMART.txt","GIYc")</f>
        <v>GIYc</v>
      </c>
      <c r="BR256" t="str">
        <f>HYPERLINK("http://smart.embl-heidelberg.de/smart/do_annotation.pl?DOMAIN=GIYc&amp;BLAST=DUMMY","0.12")</f>
        <v>0.12</v>
      </c>
      <c r="BS256" s="17">
        <v>60</v>
      </c>
      <c r="BT256" s="1">
        <v>1</v>
      </c>
      <c r="BU256" s="17">
        <v>85</v>
      </c>
      <c r="BV256" s="1">
        <v>1</v>
      </c>
      <c r="BW256" s="17">
        <v>96</v>
      </c>
      <c r="BX256" s="1">
        <v>1</v>
      </c>
      <c r="BY256" s="17">
        <v>100</v>
      </c>
      <c r="BZ256" s="1">
        <v>1</v>
      </c>
      <c r="CA256" s="17">
        <v>98</v>
      </c>
      <c r="CB256" s="1">
        <v>1</v>
      </c>
      <c r="CC256" s="17">
        <v>97</v>
      </c>
      <c r="CD256" s="1">
        <v>1</v>
      </c>
      <c r="CE256" s="17">
        <v>92</v>
      </c>
      <c r="CF256" s="1">
        <v>1</v>
      </c>
      <c r="CG256" s="17">
        <v>93</v>
      </c>
      <c r="CH256" s="1">
        <v>1</v>
      </c>
      <c r="CI256" s="17">
        <v>99</v>
      </c>
      <c r="CJ256" s="1">
        <v>1</v>
      </c>
      <c r="CK256" s="17">
        <v>103</v>
      </c>
      <c r="CL256" s="1">
        <v>1</v>
      </c>
      <c r="CM256" s="17">
        <v>108</v>
      </c>
      <c r="CN256" s="1">
        <v>1</v>
      </c>
      <c r="CO256" s="17">
        <v>116</v>
      </c>
      <c r="CP256" s="1">
        <v>1</v>
      </c>
      <c r="CQ256" s="17">
        <v>126</v>
      </c>
      <c r="CR256" s="1">
        <v>1</v>
      </c>
      <c r="CS256" s="17">
        <v>131</v>
      </c>
      <c r="CT256" s="1">
        <v>1</v>
      </c>
      <c r="CU256" s="17">
        <v>142</v>
      </c>
      <c r="CV256" s="1">
        <v>1</v>
      </c>
    </row>
    <row r="257" spans="1:100" s="4" customFormat="1">
      <c r="A257" s="16" t="s">
        <v>1909</v>
      </c>
      <c r="I257" s="5"/>
      <c r="P257" s="4" t="s">
        <v>5</v>
      </c>
      <c r="Q257" s="4" t="s">
        <v>5</v>
      </c>
      <c r="R257" s="4" t="s">
        <v>5</v>
      </c>
      <c r="S257" s="4" t="s">
        <v>5</v>
      </c>
      <c r="T257" s="4" t="s">
        <v>5</v>
      </c>
      <c r="U257" s="4" t="s">
        <v>5</v>
      </c>
      <c r="V257" s="4" t="s">
        <v>5</v>
      </c>
      <c r="W257" s="4" t="s">
        <v>5</v>
      </c>
      <c r="X257" s="4" t="s">
        <v>5</v>
      </c>
      <c r="Y257" s="4" t="s">
        <v>5</v>
      </c>
      <c r="Z257" s="4" t="s">
        <v>5</v>
      </c>
      <c r="AA257" s="4" t="s">
        <v>5</v>
      </c>
      <c r="AB257" s="4" t="s">
        <v>5</v>
      </c>
      <c r="AC257" s="4" t="s">
        <v>5</v>
      </c>
      <c r="AD257" s="4" t="s">
        <v>5</v>
      </c>
      <c r="AE257" s="4" t="s">
        <v>5</v>
      </c>
      <c r="AF257" s="4" t="s">
        <v>5</v>
      </c>
    </row>
    <row r="258" spans="1:100">
      <c r="A258" t="str">
        <f>HYPERLINK("http://exon.niaid.nih.gov/transcriptome/T_rubida/S2/links/pep/Triru-531-pep.txt","Triru-531")</f>
        <v>Triru-531</v>
      </c>
      <c r="B258">
        <v>145</v>
      </c>
      <c r="C258" s="1" t="s">
        <v>9</v>
      </c>
      <c r="D258" s="1" t="s">
        <v>3</v>
      </c>
      <c r="E258" t="str">
        <f>HYPERLINK("http://exon.niaid.nih.gov/transcriptome/T_rubida/S2/links/cds/Triru-531-cds.txt","Triru-531")</f>
        <v>Triru-531</v>
      </c>
      <c r="F258">
        <v>438</v>
      </c>
      <c r="G258" s="2" t="s">
        <v>1717</v>
      </c>
      <c r="H258" s="1">
        <v>1</v>
      </c>
      <c r="I258" s="3" t="s">
        <v>1275</v>
      </c>
      <c r="J258" s="17" t="str">
        <f>HYPERLINK("http://exon.niaid.nih.gov/transcriptome/T_rubida/S2/links/Sigp/Triru-531-SigP.txt","CYT")</f>
        <v>CYT</v>
      </c>
      <c r="K258" t="s">
        <v>5</v>
      </c>
      <c r="L258" s="1">
        <v>16.082000000000001</v>
      </c>
      <c r="M258" s="1">
        <v>10.039999999999999</v>
      </c>
      <c r="P258" s="1">
        <v>0.122</v>
      </c>
      <c r="Q258" s="1">
        <v>4.9000000000000002E-2</v>
      </c>
      <c r="R258" s="1">
        <v>0.877</v>
      </c>
      <c r="S258" s="17" t="s">
        <v>1346</v>
      </c>
      <c r="T258">
        <v>2</v>
      </c>
      <c r="U258" t="s">
        <v>1348</v>
      </c>
      <c r="V258" s="17">
        <v>0</v>
      </c>
      <c r="W258" t="s">
        <v>5</v>
      </c>
      <c r="X258" t="s">
        <v>5</v>
      </c>
      <c r="Y258" t="s">
        <v>5</v>
      </c>
      <c r="Z258" t="s">
        <v>5</v>
      </c>
      <c r="AA258" t="s">
        <v>5</v>
      </c>
      <c r="AB258" s="17" t="str">
        <f>HYPERLINK("http://exon.niaid.nih.gov/transcriptome/T_rubida/S2/links/netoglyc/TRIRU-531-netoglyc.txt","0")</f>
        <v>0</v>
      </c>
      <c r="AC258">
        <v>9.6999999999999993</v>
      </c>
      <c r="AD258">
        <v>9.6999999999999993</v>
      </c>
      <c r="AE258">
        <v>4.8</v>
      </c>
      <c r="AF258" s="17" t="s">
        <v>1470</v>
      </c>
      <c r="AG258" s="2" t="str">
        <f>HYPERLINK("http://exon.niaid.nih.gov/transcriptome/T_rubida/S2/links/NR/Triru-531-NR.txt","similar to Multiprotein bridging factor 1 isoform 1")</f>
        <v>similar to Multiprotein bridging factor 1 isoform 1</v>
      </c>
      <c r="AH258" t="str">
        <f>HYPERLINK("http://www.ncbi.nlm.nih.gov/sutils/blink.cgi?pid=91092834","2E-059")</f>
        <v>2E-059</v>
      </c>
      <c r="AI258" t="str">
        <f>HYPERLINK("http://www.ncbi.nlm.nih.gov/protein/91092834","gi|91092834")</f>
        <v>gi|91092834</v>
      </c>
      <c r="AJ258">
        <v>232</v>
      </c>
      <c r="AK258">
        <v>144</v>
      </c>
      <c r="AL258">
        <v>146</v>
      </c>
      <c r="AM258">
        <v>75</v>
      </c>
      <c r="AN258">
        <v>99</v>
      </c>
      <c r="AO258" t="s">
        <v>671</v>
      </c>
      <c r="AP258" s="2" t="str">
        <f>HYPERLINK("http://exon.niaid.nih.gov/transcriptome/T_rubida/S2/links/SWISSP/Triru-531-SWISSP.txt","Endothelial differentiation-related factor 1 homolog")</f>
        <v>Endothelial differentiation-related factor 1 homolog</v>
      </c>
      <c r="AQ258" t="str">
        <f>HYPERLINK("http://www.uniprot.org/uniprot/Q6GPQ6","4E-048")</f>
        <v>4E-048</v>
      </c>
      <c r="AR258" t="s">
        <v>830</v>
      </c>
      <c r="AS258">
        <v>189</v>
      </c>
      <c r="AT258">
        <v>143</v>
      </c>
      <c r="AU258">
        <v>147</v>
      </c>
      <c r="AV258">
        <v>61</v>
      </c>
      <c r="AW258">
        <v>98</v>
      </c>
      <c r="AX258">
        <v>56</v>
      </c>
      <c r="AY258">
        <v>0</v>
      </c>
      <c r="AZ258">
        <v>4</v>
      </c>
      <c r="BA258">
        <v>2</v>
      </c>
      <c r="BB258">
        <v>1</v>
      </c>
      <c r="BC258" t="s">
        <v>109</v>
      </c>
      <c r="BD258" s="2" t="s">
        <v>831</v>
      </c>
      <c r="BE258">
        <f>HYPERLINK("http://exon.niaid.nih.gov/transcriptome/T_rubida/S2/links/GO/Triru-531-GO.txt",8E-48)</f>
        <v>7.9999999999999998E-48</v>
      </c>
      <c r="BF258" t="s">
        <v>832</v>
      </c>
      <c r="BG258" t="s">
        <v>153</v>
      </c>
      <c r="BH258" t="s">
        <v>174</v>
      </c>
      <c r="BI258" s="2" t="str">
        <f>HYPERLINK("http://exon.niaid.nih.gov/transcriptome/T_rubida/S2/links/CDD/Triru-531-CDD.txt","MBF1")</f>
        <v>MBF1</v>
      </c>
      <c r="BJ258" t="str">
        <f>HYPERLINK("http://www.ncbi.nlm.nih.gov/Structure/cdd/cddsrv.cgi?uid=pfam08523&amp;version=v4.0","2E-019")</f>
        <v>2E-019</v>
      </c>
      <c r="BK258" t="s">
        <v>833</v>
      </c>
      <c r="BL258" s="2" t="str">
        <f>HYPERLINK("http://exon.niaid.nih.gov/transcriptome/T_rubida/S2/links/KOG/Triru-531-KOG.txt","Transcription factor MBF1")</f>
        <v>Transcription factor MBF1</v>
      </c>
      <c r="BM258" t="str">
        <f>HYPERLINK("http://www.ncbi.nlm.nih.gov/COG/grace/shokog.cgi?KOG3398","3E-037")</f>
        <v>3E-037</v>
      </c>
      <c r="BN258" t="s">
        <v>251</v>
      </c>
      <c r="BO258" s="2" t="str">
        <f>HYPERLINK("http://exon.niaid.nih.gov/transcriptome/T_rubida/S2/links/PFAM/Triru-531-PFAM.txt","MBF1")</f>
        <v>MBF1</v>
      </c>
      <c r="BP258" t="str">
        <f>HYPERLINK("http://pfam.sanger.ac.uk/family?acc=PF08523","4E-020")</f>
        <v>4E-020</v>
      </c>
      <c r="BQ258" s="2" t="str">
        <f>HYPERLINK("http://exon.niaid.nih.gov/transcriptome/T_rubida/S2/links/SMART/Triru-531-SMART.txt","HTH_XRE")</f>
        <v>HTH_XRE</v>
      </c>
      <c r="BR258" t="str">
        <f>HYPERLINK("http://smart.embl-heidelberg.de/smart/do_annotation.pl?DOMAIN=HTH_XRE&amp;BLAST=DUMMY","1E-008")</f>
        <v>1E-008</v>
      </c>
      <c r="BS258" s="17">
        <f>HYPERLINK("http://exon.niaid.nih.gov/transcriptome/T_rubida/S2/links/cluster/Triru-pep-ext25-50-Sim-CLU3.txt", 3)</f>
        <v>3</v>
      </c>
      <c r="BT258" s="1">
        <f>HYPERLINK("http://exon.niaid.nih.gov/transcriptome/T_rubida/S2/links/cluster/Triru-pep-ext25-50-Sim-CLTL3.txt", 3)</f>
        <v>3</v>
      </c>
      <c r="BU258" s="17">
        <f>HYPERLINK("http://exon.niaid.nih.gov/transcriptome/T_rubida/S2/links/cluster/Triru-pep-ext30-50-Sim-CLU37.txt", 37)</f>
        <v>37</v>
      </c>
      <c r="BV258" s="1">
        <f>HYPERLINK("http://exon.niaid.nih.gov/transcriptome/T_rubida/S2/links/cluster/Triru-pep-ext30-50-Sim-CLTL37.txt", 2)</f>
        <v>2</v>
      </c>
      <c r="BW258" s="17">
        <f>HYPERLINK("http://exon.niaid.nih.gov/transcriptome/T_rubida/S2/links/cluster/Triru-pep-ext35-50-Sim-CLU37.txt", 37)</f>
        <v>37</v>
      </c>
      <c r="BX258" s="1">
        <f>HYPERLINK("http://exon.niaid.nih.gov/transcriptome/T_rubida/S2/links/cluster/Triru-pep-ext35-50-Sim-CLTL37.txt", 2)</f>
        <v>2</v>
      </c>
      <c r="BY258" s="17">
        <f>HYPERLINK("http://exon.niaid.nih.gov/transcriptome/T_rubida/S2/links/cluster/Triru-pep-ext40-50-Sim-CLU34.txt", 34)</f>
        <v>34</v>
      </c>
      <c r="BZ258" s="1">
        <f>HYPERLINK("http://exon.niaid.nih.gov/transcriptome/T_rubida/S2/links/cluster/Triru-pep-ext40-50-Sim-CLTL34.txt", 2)</f>
        <v>2</v>
      </c>
      <c r="CA258" s="17">
        <f>HYPERLINK("http://exon.niaid.nih.gov/transcriptome/T_rubida/S2/links/cluster/Triru-pep-ext45-50-Sim-CLU29.txt", 29)</f>
        <v>29</v>
      </c>
      <c r="CB258" s="1">
        <f>HYPERLINK("http://exon.niaid.nih.gov/transcriptome/T_rubida/S2/links/cluster/Triru-pep-ext45-50-Sim-CLTL29.txt", 2)</f>
        <v>2</v>
      </c>
      <c r="CC258" s="17">
        <v>360</v>
      </c>
      <c r="CD258" s="1">
        <v>1</v>
      </c>
      <c r="CE258" s="17">
        <v>375</v>
      </c>
      <c r="CF258" s="1">
        <v>1</v>
      </c>
      <c r="CG258" s="17">
        <v>381</v>
      </c>
      <c r="CH258" s="1">
        <v>1</v>
      </c>
      <c r="CI258" s="17">
        <v>393</v>
      </c>
      <c r="CJ258" s="1">
        <v>1</v>
      </c>
      <c r="CK258" s="17">
        <v>399</v>
      </c>
      <c r="CL258" s="1">
        <v>1</v>
      </c>
      <c r="CM258" s="17">
        <v>408</v>
      </c>
      <c r="CN258" s="1">
        <v>1</v>
      </c>
      <c r="CO258" s="17">
        <v>420</v>
      </c>
      <c r="CP258" s="1">
        <v>1</v>
      </c>
      <c r="CQ258" s="17">
        <v>430</v>
      </c>
      <c r="CR258" s="1">
        <v>1</v>
      </c>
      <c r="CS258" s="17">
        <v>443</v>
      </c>
      <c r="CT258" s="1">
        <v>1</v>
      </c>
      <c r="CU258" s="17">
        <v>454</v>
      </c>
      <c r="CV258" s="1">
        <v>1</v>
      </c>
    </row>
    <row r="259" spans="1:100">
      <c r="A259" t="str">
        <f>HYPERLINK("http://exon.niaid.nih.gov/transcriptome/T_rubida/S2/links/pep/Triru-401-pep.txt","Triru-401")</f>
        <v>Triru-401</v>
      </c>
      <c r="B259">
        <v>75</v>
      </c>
      <c r="C259" s="1" t="s">
        <v>17</v>
      </c>
      <c r="D259" s="1" t="s">
        <v>3</v>
      </c>
      <c r="E259" t="str">
        <f>HYPERLINK("http://exon.niaid.nih.gov/transcriptome/T_rubida/S2/links/cds/Triru-401-cds.txt","Triru-401")</f>
        <v>Triru-401</v>
      </c>
      <c r="F259">
        <v>228</v>
      </c>
      <c r="G259" s="2" t="s">
        <v>1717</v>
      </c>
      <c r="H259" s="1">
        <v>1</v>
      </c>
      <c r="I259" s="3" t="s">
        <v>1275</v>
      </c>
      <c r="J259" s="17" t="str">
        <f>HYPERLINK("http://exon.niaid.nih.gov/transcriptome/T_rubida/S2/links/Sigp/Triru-401-SigP.txt","CYT")</f>
        <v>CYT</v>
      </c>
      <c r="K259" t="s">
        <v>5</v>
      </c>
      <c r="L259" s="1">
        <v>8.2829999999999995</v>
      </c>
      <c r="M259" s="1">
        <v>10.4</v>
      </c>
      <c r="P259" s="1">
        <v>0.57399999999999995</v>
      </c>
      <c r="Q259" s="1">
        <v>5.3999999999999999E-2</v>
      </c>
      <c r="R259" s="1">
        <v>0.41799999999999998</v>
      </c>
      <c r="S259" s="17" t="s">
        <v>9</v>
      </c>
      <c r="T259">
        <v>5</v>
      </c>
      <c r="U259" t="s">
        <v>1348</v>
      </c>
      <c r="V259" s="17">
        <v>0</v>
      </c>
      <c r="W259" t="s">
        <v>5</v>
      </c>
      <c r="X259" t="s">
        <v>5</v>
      </c>
      <c r="Y259" t="s">
        <v>5</v>
      </c>
      <c r="Z259" t="s">
        <v>5</v>
      </c>
      <c r="AA259" t="s">
        <v>5</v>
      </c>
      <c r="AB259" s="17" t="str">
        <f>HYPERLINK("http://exon.niaid.nih.gov/transcriptome/T_rubida/S2/links/netoglyc/TRIRU-401-netoglyc.txt","0")</f>
        <v>0</v>
      </c>
      <c r="AC259">
        <v>4</v>
      </c>
      <c r="AD259">
        <v>13.3</v>
      </c>
      <c r="AE259">
        <v>6.7</v>
      </c>
      <c r="AF259" s="17" t="s">
        <v>5</v>
      </c>
      <c r="AG259" s="2" t="str">
        <f>HYPERLINK("http://exon.niaid.nih.gov/transcriptome/T_rubida/S2/links/NR/Triru-401-NR.txt","conserved hypothetical protein")</f>
        <v>conserved hypothetical protein</v>
      </c>
      <c r="AH259" t="str">
        <f>HYPERLINK("http://www.ncbi.nlm.nih.gov/sutils/blink.cgi?pid=242007348","2E-026")</f>
        <v>2E-026</v>
      </c>
      <c r="AI259" t="str">
        <f>HYPERLINK("http://www.ncbi.nlm.nih.gov/protein/242007348","gi|242007348")</f>
        <v>gi|242007348</v>
      </c>
      <c r="AJ259">
        <v>122</v>
      </c>
      <c r="AK259">
        <v>70</v>
      </c>
      <c r="AL259">
        <v>146</v>
      </c>
      <c r="AM259">
        <v>78</v>
      </c>
      <c r="AN259">
        <v>49</v>
      </c>
      <c r="AO259" t="s">
        <v>54</v>
      </c>
      <c r="AP259" s="2" t="str">
        <f>HYPERLINK("http://exon.niaid.nih.gov/transcriptome/T_rubida/S2/links/SWISSP/Triru-401-SWISSP.txt","Endothelial differentiation-related factor 1 homolog")</f>
        <v>Endothelial differentiation-related factor 1 homolog</v>
      </c>
      <c r="AQ259" t="str">
        <f>HYPERLINK("http://www.uniprot.org/uniprot/Q6GPQ6","2E-022")</f>
        <v>2E-022</v>
      </c>
      <c r="AR259" t="s">
        <v>830</v>
      </c>
      <c r="AS259">
        <v>103</v>
      </c>
      <c r="AT259">
        <v>72</v>
      </c>
      <c r="AU259">
        <v>147</v>
      </c>
      <c r="AV259">
        <v>63</v>
      </c>
      <c r="AW259">
        <v>50</v>
      </c>
      <c r="AX259">
        <v>27</v>
      </c>
      <c r="AY259">
        <v>0</v>
      </c>
      <c r="AZ259">
        <v>75</v>
      </c>
      <c r="BA259">
        <v>3</v>
      </c>
      <c r="BB259">
        <v>1</v>
      </c>
      <c r="BC259" t="s">
        <v>109</v>
      </c>
      <c r="BD259" s="2" t="s">
        <v>1087</v>
      </c>
      <c r="BE259">
        <f>HYPERLINK("http://exon.niaid.nih.gov/transcriptome/T_rubida/S2/links/GO/Triru-401-GO.txt",3E-22)</f>
        <v>2.9999999999999999E-22</v>
      </c>
      <c r="BF259" t="s">
        <v>186</v>
      </c>
      <c r="BG259" t="s">
        <v>153</v>
      </c>
      <c r="BH259" t="s">
        <v>154</v>
      </c>
      <c r="BI259" s="2" t="str">
        <f>HYPERLINK("http://exon.niaid.nih.gov/transcriptome/T_rubida/S2/links/CDD/Triru-401-CDD.txt","COG1813")</f>
        <v>COG1813</v>
      </c>
      <c r="BJ259" t="str">
        <f>HYPERLINK("http://www.ncbi.nlm.nih.gov/Structure/cdd/cddsrv.cgi?uid=COG1813&amp;version=v4.0","4E-011")</f>
        <v>4E-011</v>
      </c>
      <c r="BK259" t="s">
        <v>1088</v>
      </c>
      <c r="BL259" s="2" t="str">
        <f>HYPERLINK("http://exon.niaid.nih.gov/transcriptome/T_rubida/S2/links/KOG/Triru-401-KOG.txt","Transcription factor MBF1")</f>
        <v>Transcription factor MBF1</v>
      </c>
      <c r="BM259" t="str">
        <f>HYPERLINK("http://www.ncbi.nlm.nih.gov/COG/grace/shokog.cgi?KOG3398","2E-019")</f>
        <v>2E-019</v>
      </c>
      <c r="BN259" t="s">
        <v>251</v>
      </c>
      <c r="BO259" s="2" t="str">
        <f>HYPERLINK("http://exon.niaid.nih.gov/transcriptome/T_rubida/S2/links/PFAM/Triru-401-PFAM.txt","HTH_3")</f>
        <v>HTH_3</v>
      </c>
      <c r="BP259" t="str">
        <f>HYPERLINK("http://pfam.sanger.ac.uk/family?acc=PF01381","2E-008")</f>
        <v>2E-008</v>
      </c>
      <c r="BQ259" s="2" t="str">
        <f>HYPERLINK("http://exon.niaid.nih.gov/transcriptome/T_rubida/S2/links/SMART/Triru-401-SMART.txt","HTH_XRE")</f>
        <v>HTH_XRE</v>
      </c>
      <c r="BR259" t="str">
        <f>HYPERLINK("http://smart.embl-heidelberg.de/smart/do_annotation.pl?DOMAIN=HTH_XRE&amp;BLAST=DUMMY","1E-009")</f>
        <v>1E-009</v>
      </c>
      <c r="BS259" s="17">
        <f>HYPERLINK("http://exon.niaid.nih.gov/transcriptome/T_rubida/S2/links/cluster/Triru-pep-ext25-50-Sim-CLU3.txt", 3)</f>
        <v>3</v>
      </c>
      <c r="BT259" s="1">
        <f>HYPERLINK("http://exon.niaid.nih.gov/transcriptome/T_rubida/S2/links/cluster/Triru-pep-ext25-50-Sim-CLTL3.txt", 3)</f>
        <v>3</v>
      </c>
      <c r="BU259" s="17">
        <f>HYPERLINK("http://exon.niaid.nih.gov/transcriptome/T_rubida/S2/links/cluster/Triru-pep-ext30-50-Sim-CLU37.txt", 37)</f>
        <v>37</v>
      </c>
      <c r="BV259" s="1">
        <f>HYPERLINK("http://exon.niaid.nih.gov/transcriptome/T_rubida/S2/links/cluster/Triru-pep-ext30-50-Sim-CLTL37.txt", 2)</f>
        <v>2</v>
      </c>
      <c r="BW259" s="17">
        <f>HYPERLINK("http://exon.niaid.nih.gov/transcriptome/T_rubida/S2/links/cluster/Triru-pep-ext35-50-Sim-CLU37.txt", 37)</f>
        <v>37</v>
      </c>
      <c r="BX259" s="1">
        <f>HYPERLINK("http://exon.niaid.nih.gov/transcriptome/T_rubida/S2/links/cluster/Triru-pep-ext35-50-Sim-CLTL37.txt", 2)</f>
        <v>2</v>
      </c>
      <c r="BY259" s="17">
        <f>HYPERLINK("http://exon.niaid.nih.gov/transcriptome/T_rubida/S2/links/cluster/Triru-pep-ext40-50-Sim-CLU34.txt", 34)</f>
        <v>34</v>
      </c>
      <c r="BZ259" s="1">
        <f>HYPERLINK("http://exon.niaid.nih.gov/transcriptome/T_rubida/S2/links/cluster/Triru-pep-ext40-50-Sim-CLTL34.txt", 2)</f>
        <v>2</v>
      </c>
      <c r="CA259" s="17">
        <f>HYPERLINK("http://exon.niaid.nih.gov/transcriptome/T_rubida/S2/links/cluster/Triru-pep-ext45-50-Sim-CLU29.txt", 29)</f>
        <v>29</v>
      </c>
      <c r="CB259" s="1">
        <f>HYPERLINK("http://exon.niaid.nih.gov/transcriptome/T_rubida/S2/links/cluster/Triru-pep-ext45-50-Sim-CLTL29.txt", 2)</f>
        <v>2</v>
      </c>
      <c r="CC259" s="17">
        <v>259</v>
      </c>
      <c r="CD259" s="1">
        <v>1</v>
      </c>
      <c r="CE259" s="17">
        <v>266</v>
      </c>
      <c r="CF259" s="1">
        <v>1</v>
      </c>
      <c r="CG259" s="17">
        <v>269</v>
      </c>
      <c r="CH259" s="1">
        <v>1</v>
      </c>
      <c r="CI259" s="17">
        <v>279</v>
      </c>
      <c r="CJ259" s="1">
        <v>1</v>
      </c>
      <c r="CK259" s="17">
        <v>285</v>
      </c>
      <c r="CL259" s="1">
        <v>1</v>
      </c>
      <c r="CM259" s="17">
        <v>293</v>
      </c>
      <c r="CN259" s="1">
        <v>1</v>
      </c>
      <c r="CO259" s="17">
        <v>305</v>
      </c>
      <c r="CP259" s="1">
        <v>1</v>
      </c>
      <c r="CQ259" s="17">
        <v>315</v>
      </c>
      <c r="CR259" s="1">
        <v>1</v>
      </c>
      <c r="CS259" s="17">
        <v>327</v>
      </c>
      <c r="CT259" s="1">
        <v>1</v>
      </c>
      <c r="CU259" s="17">
        <v>338</v>
      </c>
      <c r="CV259" s="1">
        <v>1</v>
      </c>
    </row>
    <row r="260" spans="1:100">
      <c r="A260" t="str">
        <f>HYPERLINK("http://exon.niaid.nih.gov/transcriptome/T_rubida/S2/links/pep/Triru-352-pep.txt","Triru-352")</f>
        <v>Triru-352</v>
      </c>
      <c r="B260">
        <v>121</v>
      </c>
      <c r="C260" s="1" t="s">
        <v>16</v>
      </c>
      <c r="D260" s="1" t="s">
        <v>3</v>
      </c>
      <c r="E260" t="str">
        <f>HYPERLINK("http://exon.niaid.nih.gov/transcriptome/T_rubida/S2/links/cds/Triru-352-cds.txt","Triru-352")</f>
        <v>Triru-352</v>
      </c>
      <c r="F260">
        <v>366</v>
      </c>
      <c r="G260" s="2" t="s">
        <v>1718</v>
      </c>
      <c r="H260" s="1">
        <v>1</v>
      </c>
      <c r="I260" s="3" t="s">
        <v>1275</v>
      </c>
      <c r="J260" s="17" t="str">
        <f>HYPERLINK("http://exon.niaid.nih.gov/transcriptome/T_rubida/S2/links/Sigp/Triru-352-SigP.txt","CYT")</f>
        <v>CYT</v>
      </c>
      <c r="K260" t="s">
        <v>5</v>
      </c>
      <c r="L260" s="1">
        <v>13.317</v>
      </c>
      <c r="M260" s="1">
        <v>9.89</v>
      </c>
      <c r="P260" s="1">
        <v>0.437</v>
      </c>
      <c r="Q260" s="1">
        <v>6.2E-2</v>
      </c>
      <c r="R260" s="1">
        <v>0.59099999999999997</v>
      </c>
      <c r="S260" s="17" t="s">
        <v>1346</v>
      </c>
      <c r="T260">
        <v>5</v>
      </c>
      <c r="U260" t="s">
        <v>1347</v>
      </c>
      <c r="V260" s="17">
        <v>0</v>
      </c>
      <c r="W260" t="s">
        <v>5</v>
      </c>
      <c r="X260" t="s">
        <v>5</v>
      </c>
      <c r="Y260" t="s">
        <v>5</v>
      </c>
      <c r="Z260" t="s">
        <v>5</v>
      </c>
      <c r="AA260" t="s">
        <v>5</v>
      </c>
      <c r="AB260" s="17" t="str">
        <f>HYPERLINK("http://exon.niaid.nih.gov/transcriptome/T_rubida/S2/links/netoglyc/TRIRU-352-netoglyc.txt","14")</f>
        <v>14</v>
      </c>
      <c r="AC260">
        <v>21.5</v>
      </c>
      <c r="AD260">
        <v>5</v>
      </c>
      <c r="AE260">
        <v>6.6</v>
      </c>
      <c r="AF260" s="17" t="s">
        <v>5</v>
      </c>
      <c r="AG260" s="2" t="str">
        <f>HYPERLINK("http://exon.niaid.nih.gov/transcriptome/T_rubida/S2/links/NR/Triru-352-NR.txt","similar to conserved hypothetical protein")</f>
        <v>similar to conserved hypothetical protein</v>
      </c>
      <c r="AH260" t="str">
        <f>HYPERLINK("http://www.ncbi.nlm.nih.gov/sutils/blink.cgi?pid=156555370","7E-044")</f>
        <v>7E-044</v>
      </c>
      <c r="AI260" t="str">
        <f>HYPERLINK("http://www.ncbi.nlm.nih.gov/protein/156555370","gi|156555370")</f>
        <v>gi|156555370</v>
      </c>
      <c r="AJ260">
        <v>180</v>
      </c>
      <c r="AK260">
        <v>103</v>
      </c>
      <c r="AL260">
        <v>1086</v>
      </c>
      <c r="AM260">
        <v>82</v>
      </c>
      <c r="AN260">
        <v>10</v>
      </c>
      <c r="AO260" t="s">
        <v>288</v>
      </c>
      <c r="AP260" s="2" t="str">
        <f>HYPERLINK("http://exon.niaid.nih.gov/transcriptome/T_rubida/S2/links/SWISSP/Triru-352-SWISSP.txt","MOG interacting and ectopic P-granules protein 1")</f>
        <v>MOG interacting and ectopic P-granules protein 1</v>
      </c>
      <c r="AQ260" t="str">
        <f>HYPERLINK("http://www.uniprot.org/uniprot/Q61SK8","9E-008")</f>
        <v>9E-008</v>
      </c>
      <c r="AR260" t="s">
        <v>289</v>
      </c>
      <c r="AS260">
        <v>55.5</v>
      </c>
      <c r="AT260">
        <v>427</v>
      </c>
      <c r="AU260">
        <v>880</v>
      </c>
      <c r="AV260">
        <v>39</v>
      </c>
      <c r="AW260">
        <v>49</v>
      </c>
      <c r="AX260">
        <v>35</v>
      </c>
      <c r="AY260">
        <v>0</v>
      </c>
      <c r="AZ260">
        <v>437</v>
      </c>
      <c r="BA260">
        <v>1</v>
      </c>
      <c r="BB260">
        <v>2</v>
      </c>
      <c r="BC260" t="s">
        <v>290</v>
      </c>
      <c r="BD260" s="2" t="s">
        <v>291</v>
      </c>
      <c r="BE260">
        <f>HYPERLINK("http://exon.niaid.nih.gov/transcriptome/T_rubida/S2/links/GO/Triru-352-GO.txt",2E-40)</f>
        <v>1.9999999999999999E-40</v>
      </c>
      <c r="BF260" t="s">
        <v>292</v>
      </c>
      <c r="BG260" t="s">
        <v>153</v>
      </c>
      <c r="BH260" t="s">
        <v>293</v>
      </c>
      <c r="BI260" s="2" t="str">
        <f>HYPERLINK("http://exon.niaid.nih.gov/transcriptome/T_rubida/S2/links/CDD/Triru-352-CDD.txt","FlgH")</f>
        <v>FlgH</v>
      </c>
      <c r="BJ260" t="str">
        <f>HYPERLINK("http://www.ncbi.nlm.nih.gov/Structure/cdd/cddsrv.cgi?uid=COG2063&amp;version=v4.0","0.12")</f>
        <v>0.12</v>
      </c>
      <c r="BK260" t="s">
        <v>294</v>
      </c>
      <c r="BL260" s="2" t="str">
        <f>HYPERLINK("http://exon.niaid.nih.gov/transcriptome/T_rubida/S2/links/KOG/Triru-352-KOG.txt","Zn finger proteins")</f>
        <v>Zn finger proteins</v>
      </c>
      <c r="BM260" t="str">
        <f>HYPERLINK("http://www.ncbi.nlm.nih.gov/COG/grace/shokog.cgi?KOG3608","0.055")</f>
        <v>0.055</v>
      </c>
      <c r="BN260" t="s">
        <v>96</v>
      </c>
      <c r="BO260" s="2" t="str">
        <f>HYPERLINK("http://exon.niaid.nih.gov/transcriptome/T_rubida/S2/links/PFAM/Triru-352-PFAM.txt","DUF82")</f>
        <v>DUF82</v>
      </c>
      <c r="BP260" t="str">
        <f>HYPERLINK("http://pfam.sanger.ac.uk/family?acc=PF01927","0.42")</f>
        <v>0.42</v>
      </c>
      <c r="BQ260" s="2" t="str">
        <f>HYPERLINK("http://exon.niaid.nih.gov/transcriptome/T_rubida/S2/links/SMART/Triru-352-SMART.txt","ZnF_C2H2")</f>
        <v>ZnF_C2H2</v>
      </c>
      <c r="BR260" t="str">
        <f>HYPERLINK("http://smart.embl-heidelberg.de/smart/do_annotation.pl?DOMAIN=ZnF_C2H2&amp;BLAST=DUMMY","0.14")</f>
        <v>0.14</v>
      </c>
      <c r="BS260" s="17">
        <v>106</v>
      </c>
      <c r="BT260" s="1">
        <v>1</v>
      </c>
      <c r="BU260" s="17">
        <v>164</v>
      </c>
      <c r="BV260" s="1">
        <v>1</v>
      </c>
      <c r="BW260" s="17">
        <v>199</v>
      </c>
      <c r="BX260" s="1">
        <v>1</v>
      </c>
      <c r="BY260" s="17">
        <v>212</v>
      </c>
      <c r="BZ260" s="1">
        <v>1</v>
      </c>
      <c r="CA260" s="17">
        <v>219</v>
      </c>
      <c r="CB260" s="1">
        <v>1</v>
      </c>
      <c r="CC260" s="17">
        <v>224</v>
      </c>
      <c r="CD260" s="1">
        <v>1</v>
      </c>
      <c r="CE260" s="17">
        <v>230</v>
      </c>
      <c r="CF260" s="1">
        <v>1</v>
      </c>
      <c r="CG260" s="17">
        <v>232</v>
      </c>
      <c r="CH260" s="1">
        <v>1</v>
      </c>
      <c r="CI260" s="17">
        <v>242</v>
      </c>
      <c r="CJ260" s="1">
        <v>1</v>
      </c>
      <c r="CK260" s="17">
        <v>247</v>
      </c>
      <c r="CL260" s="1">
        <v>1</v>
      </c>
      <c r="CM260" s="17">
        <v>255</v>
      </c>
      <c r="CN260" s="1">
        <v>1</v>
      </c>
      <c r="CO260" s="17">
        <v>266</v>
      </c>
      <c r="CP260" s="1">
        <v>1</v>
      </c>
      <c r="CQ260" s="17">
        <v>276</v>
      </c>
      <c r="CR260" s="1">
        <v>1</v>
      </c>
      <c r="CS260" s="17">
        <v>286</v>
      </c>
      <c r="CT260" s="1">
        <v>1</v>
      </c>
      <c r="CU260" s="17">
        <v>297</v>
      </c>
      <c r="CV260" s="1">
        <v>1</v>
      </c>
    </row>
    <row r="261" spans="1:100" s="4" customFormat="1">
      <c r="A261" s="16" t="s">
        <v>1910</v>
      </c>
      <c r="I261" s="5"/>
      <c r="P261" s="4" t="s">
        <v>5</v>
      </c>
      <c r="Q261" s="4" t="s">
        <v>5</v>
      </c>
      <c r="R261" s="4" t="s">
        <v>5</v>
      </c>
      <c r="S261" s="4" t="s">
        <v>5</v>
      </c>
      <c r="T261" s="4" t="s">
        <v>5</v>
      </c>
      <c r="U261" s="4" t="s">
        <v>5</v>
      </c>
      <c r="V261" s="4" t="s">
        <v>5</v>
      </c>
      <c r="W261" s="4" t="s">
        <v>5</v>
      </c>
      <c r="X261" s="4" t="s">
        <v>5</v>
      </c>
      <c r="Y261" s="4" t="s">
        <v>5</v>
      </c>
      <c r="Z261" s="4" t="s">
        <v>5</v>
      </c>
      <c r="AA261" s="4" t="s">
        <v>5</v>
      </c>
      <c r="AB261" s="4" t="s">
        <v>5</v>
      </c>
      <c r="AC261" s="4" t="s">
        <v>5</v>
      </c>
      <c r="AD261" s="4" t="s">
        <v>5</v>
      </c>
      <c r="AE261" s="4" t="s">
        <v>5</v>
      </c>
      <c r="AF261" s="4" t="s">
        <v>5</v>
      </c>
    </row>
    <row r="262" spans="1:100">
      <c r="A262" t="str">
        <f>HYPERLINK("http://exon.niaid.nih.gov/transcriptome/T_rubida/S2/links/pep/Triru-478-pep.txt","Triru-478")</f>
        <v>Triru-478</v>
      </c>
      <c r="B262">
        <v>106</v>
      </c>
      <c r="C262" s="1" t="s">
        <v>17</v>
      </c>
      <c r="D262" s="1" t="s">
        <v>3</v>
      </c>
      <c r="E262" t="str">
        <f>HYPERLINK("http://exon.niaid.nih.gov/transcriptome/T_rubida/S2/links/cds/Triru-478-cds.txt","Triru-478")</f>
        <v>Triru-478</v>
      </c>
      <c r="F262">
        <v>321</v>
      </c>
      <c r="G262" s="2" t="s">
        <v>1719</v>
      </c>
      <c r="H262" s="1">
        <v>1</v>
      </c>
      <c r="I262" s="3" t="s">
        <v>1276</v>
      </c>
      <c r="J262" s="17" t="str">
        <f>HYPERLINK("http://exon.niaid.nih.gov/transcriptome/T_rubida/S2/links/Sigp/Triru-478-SigP.txt","CYT")</f>
        <v>CYT</v>
      </c>
      <c r="K262" t="s">
        <v>5</v>
      </c>
      <c r="L262" s="1">
        <v>12.298999999999999</v>
      </c>
      <c r="M262" s="1">
        <v>5.82</v>
      </c>
      <c r="P262" s="1">
        <v>6.9000000000000006E-2</v>
      </c>
      <c r="Q262" s="1">
        <v>5.2999999999999999E-2</v>
      </c>
      <c r="R262" s="1">
        <v>0.94699999999999995</v>
      </c>
      <c r="S262" s="17" t="s">
        <v>1346</v>
      </c>
      <c r="T262">
        <v>1</v>
      </c>
      <c r="U262" t="s">
        <v>1348</v>
      </c>
      <c r="V262" s="17">
        <v>0</v>
      </c>
      <c r="W262" t="s">
        <v>5</v>
      </c>
      <c r="X262" t="s">
        <v>5</v>
      </c>
      <c r="Y262" t="s">
        <v>5</v>
      </c>
      <c r="Z262" t="s">
        <v>5</v>
      </c>
      <c r="AA262" t="s">
        <v>5</v>
      </c>
      <c r="AB262" s="17" t="str">
        <f>HYPERLINK("http://exon.niaid.nih.gov/transcriptome/T_rubida/S2/links/netoglyc/TRIRU-478-netoglyc.txt","2")</f>
        <v>2</v>
      </c>
      <c r="AC262">
        <v>8.5</v>
      </c>
      <c r="AD262">
        <v>3.8</v>
      </c>
      <c r="AE262">
        <v>3.8</v>
      </c>
      <c r="AF262" s="17" t="s">
        <v>5</v>
      </c>
      <c r="AG262" s="2" t="str">
        <f>HYPERLINK("http://exon.niaid.nih.gov/transcriptome/T_rubida/S2/links/NR/Triru-478-NR.txt","similar to CG3224 CG3224-PA")</f>
        <v>similar to CG3224 CG3224-PA</v>
      </c>
      <c r="AH262" t="str">
        <f>HYPERLINK("http://www.ncbi.nlm.nih.gov/sutils/blink.cgi?pid=91080729","5E-036")</f>
        <v>5E-036</v>
      </c>
      <c r="AI262" t="str">
        <f>HYPERLINK("http://www.ncbi.nlm.nih.gov/protein/91080729","gi|91080729")</f>
        <v>gi|91080729</v>
      </c>
      <c r="AJ262">
        <v>154</v>
      </c>
      <c r="AK262">
        <v>101</v>
      </c>
      <c r="AL262">
        <v>133</v>
      </c>
      <c r="AM262">
        <v>71</v>
      </c>
      <c r="AN262">
        <v>77</v>
      </c>
      <c r="AO262" t="s">
        <v>671</v>
      </c>
      <c r="AP262" s="2" t="str">
        <f>HYPERLINK("http://exon.niaid.nih.gov/transcriptome/T_rubida/S2/links/SWISSP/Triru-478-SWISSP.txt","Zinc finger protein 593 homolog")</f>
        <v>Zinc finger protein 593 homolog</v>
      </c>
      <c r="AQ262" t="str">
        <f>HYPERLINK("http://www.uniprot.org/uniprot/Q9W3Y0","2E-034")</f>
        <v>2E-034</v>
      </c>
      <c r="AR262" t="s">
        <v>1126</v>
      </c>
      <c r="AS262">
        <v>144</v>
      </c>
      <c r="AT262">
        <v>93</v>
      </c>
      <c r="AU262">
        <v>162</v>
      </c>
      <c r="AV262">
        <v>71</v>
      </c>
      <c r="AW262">
        <v>58</v>
      </c>
      <c r="AX262">
        <v>27</v>
      </c>
      <c r="AY262">
        <v>1</v>
      </c>
      <c r="AZ262">
        <v>27</v>
      </c>
      <c r="BA262">
        <v>6</v>
      </c>
      <c r="BB262">
        <v>1</v>
      </c>
      <c r="BC262" t="s">
        <v>150</v>
      </c>
      <c r="BD262" s="2" t="s">
        <v>1127</v>
      </c>
      <c r="BE262">
        <f>HYPERLINK("http://exon.niaid.nih.gov/transcriptome/T_rubida/S2/links/GO/Triru-478-GO.txt",1E-34)</f>
        <v>9.9999999999999993E-35</v>
      </c>
      <c r="BF262" t="s">
        <v>1128</v>
      </c>
      <c r="BG262" t="s">
        <v>153</v>
      </c>
      <c r="BH262" t="s">
        <v>154</v>
      </c>
      <c r="BI262" s="2" t="str">
        <f>HYPERLINK("http://exon.niaid.nih.gov/transcriptome/T_rubida/S2/links/CDD/Triru-478-CDD.txt","UFD2")</f>
        <v>UFD2</v>
      </c>
      <c r="BJ262" t="str">
        <f>HYPERLINK("http://www.ncbi.nlm.nih.gov/Structure/cdd/cddsrv.cgi?uid=COG5112&amp;version=v4.0","2E-014")</f>
        <v>2E-014</v>
      </c>
      <c r="BK262" t="s">
        <v>1129</v>
      </c>
      <c r="BL262" s="2" t="str">
        <f>HYPERLINK("http://exon.niaid.nih.gov/transcriptome/T_rubida/S2/links/KOG/Triru-478-KOG.txt","U1-like Zn-finger-containing protein, probabl erole in RNA processing/splicing")</f>
        <v>U1-like Zn-finger-containing protein, probabl erole in RNA processing/splicing</v>
      </c>
      <c r="BM262" t="str">
        <f>HYPERLINK("http://www.ncbi.nlm.nih.gov/COG/grace/shokog.cgi?KOG3408","3E-027")</f>
        <v>3E-027</v>
      </c>
      <c r="BN262" t="s">
        <v>206</v>
      </c>
      <c r="BO262" s="2" t="str">
        <f>HYPERLINK("http://exon.niaid.nih.gov/transcriptome/T_rubida/S2/links/PFAM/Triru-478-PFAM.txt","zf-C2H2_jaz")</f>
        <v>zf-C2H2_jaz</v>
      </c>
      <c r="BP262" t="str">
        <f>HYPERLINK("http://pfam.sanger.ac.uk/family?acc=PF12171","8E-007")</f>
        <v>8E-007</v>
      </c>
      <c r="BQ262" s="2" t="str">
        <f>HYPERLINK("http://exon.niaid.nih.gov/transcriptome/T_rubida/S2/links/SMART/Triru-478-SMART.txt","ZnF_U1")</f>
        <v>ZnF_U1</v>
      </c>
      <c r="BR262" t="str">
        <f>HYPERLINK("http://smart.embl-heidelberg.de/smart/do_annotation.pl?DOMAIN=ZnF_U1&amp;BLAST=DUMMY","7E-006")</f>
        <v>7E-006</v>
      </c>
      <c r="BS262" s="17">
        <v>145</v>
      </c>
      <c r="BT262" s="1">
        <v>1</v>
      </c>
      <c r="BU262" s="17">
        <v>214</v>
      </c>
      <c r="BV262" s="1">
        <v>1</v>
      </c>
      <c r="BW262" s="17">
        <v>278</v>
      </c>
      <c r="BX262" s="1">
        <v>1</v>
      </c>
      <c r="BY262" s="17">
        <v>300</v>
      </c>
      <c r="BZ262" s="1">
        <v>1</v>
      </c>
      <c r="CA262" s="17">
        <v>310</v>
      </c>
      <c r="CB262" s="1">
        <v>1</v>
      </c>
      <c r="CC262" s="17">
        <v>321</v>
      </c>
      <c r="CD262" s="1">
        <v>1</v>
      </c>
      <c r="CE262" s="17">
        <v>333</v>
      </c>
      <c r="CF262" s="1">
        <v>1</v>
      </c>
      <c r="CG262" s="17">
        <v>338</v>
      </c>
      <c r="CH262" s="1">
        <v>1</v>
      </c>
      <c r="CI262" s="17">
        <v>349</v>
      </c>
      <c r="CJ262" s="1">
        <v>1</v>
      </c>
      <c r="CK262" s="17">
        <v>355</v>
      </c>
      <c r="CL262" s="1">
        <v>1</v>
      </c>
      <c r="CM262" s="17">
        <v>363</v>
      </c>
      <c r="CN262" s="1">
        <v>1</v>
      </c>
      <c r="CO262" s="17">
        <v>375</v>
      </c>
      <c r="CP262" s="1">
        <v>1</v>
      </c>
      <c r="CQ262" s="17">
        <v>385</v>
      </c>
      <c r="CR262" s="1">
        <v>1</v>
      </c>
      <c r="CS262" s="17">
        <v>398</v>
      </c>
      <c r="CT262" s="1">
        <v>1</v>
      </c>
      <c r="CU262" s="17">
        <v>409</v>
      </c>
      <c r="CV262" s="1">
        <v>1</v>
      </c>
    </row>
    <row r="263" spans="1:100">
      <c r="A263" t="str">
        <f>HYPERLINK("http://exon.niaid.nih.gov/transcriptome/T_rubida/S2/links/pep/Triru-494-pep.txt","Triru-494")</f>
        <v>Triru-494</v>
      </c>
      <c r="B263">
        <v>67</v>
      </c>
      <c r="C263" s="1" t="s">
        <v>6</v>
      </c>
      <c r="D263" s="1" t="s">
        <v>3</v>
      </c>
      <c r="E263" t="str">
        <f>HYPERLINK("http://exon.niaid.nih.gov/transcriptome/T_rubida/S2/links/cds/Triru-494-cds.txt","Triru-494")</f>
        <v>Triru-494</v>
      </c>
      <c r="F263">
        <v>204</v>
      </c>
      <c r="G263" s="2" t="s">
        <v>1720</v>
      </c>
      <c r="H263" s="1">
        <v>1</v>
      </c>
      <c r="I263" s="3" t="s">
        <v>1276</v>
      </c>
      <c r="J263" s="17" t="str">
        <f>HYPERLINK("http://exon.niaid.nih.gov/transcriptome/T_rubida/S2/links/Sigp/Triru-494-SigP.txt","CYT")</f>
        <v>CYT</v>
      </c>
      <c r="K263" t="s">
        <v>5</v>
      </c>
      <c r="L263" s="1">
        <v>7.3860000000000001</v>
      </c>
      <c r="M263" s="1">
        <v>5.08</v>
      </c>
      <c r="P263" s="1">
        <v>0.16500000000000001</v>
      </c>
      <c r="Q263" s="1">
        <v>5.1999999999999998E-2</v>
      </c>
      <c r="R263" s="1">
        <v>0.84699999999999998</v>
      </c>
      <c r="S263" s="17" t="s">
        <v>1346</v>
      </c>
      <c r="T263">
        <v>2</v>
      </c>
      <c r="U263" t="s">
        <v>1348</v>
      </c>
      <c r="V263" s="17">
        <v>0</v>
      </c>
      <c r="W263" t="s">
        <v>5</v>
      </c>
      <c r="X263" t="s">
        <v>5</v>
      </c>
      <c r="Y263" t="s">
        <v>5</v>
      </c>
      <c r="Z263" t="s">
        <v>5</v>
      </c>
      <c r="AA263" t="s">
        <v>5</v>
      </c>
      <c r="AB263" s="17" t="str">
        <f>HYPERLINK("http://exon.niaid.nih.gov/transcriptome/T_rubida/S2/links/netoglyc/TRIRU-494-netoglyc.txt","0")</f>
        <v>0</v>
      </c>
      <c r="AC263">
        <v>17.899999999999999</v>
      </c>
      <c r="AD263">
        <v>10.4</v>
      </c>
      <c r="AE263">
        <v>6</v>
      </c>
      <c r="AF263" s="17" t="s">
        <v>5</v>
      </c>
      <c r="AG263" s="2" t="str">
        <f>HYPERLINK("http://exon.niaid.nih.gov/transcriptome/T_rubida/S2/links/NR/Triru-494-NR.txt","WD repeat protein 57")</f>
        <v>WD repeat protein 57</v>
      </c>
      <c r="AH263" t="str">
        <f>HYPERLINK("http://www.ncbi.nlm.nih.gov/sutils/blink.cgi?pid=170032381","1E-024")</f>
        <v>1E-024</v>
      </c>
      <c r="AI263" t="str">
        <f>HYPERLINK("http://www.ncbi.nlm.nih.gov/protein/170032381","gi|170032381")</f>
        <v>gi|170032381</v>
      </c>
      <c r="AJ263">
        <v>116</v>
      </c>
      <c r="AK263">
        <v>239</v>
      </c>
      <c r="AL263">
        <v>353</v>
      </c>
      <c r="AM263">
        <v>76</v>
      </c>
      <c r="AN263">
        <v>68</v>
      </c>
      <c r="AO263" t="s">
        <v>275</v>
      </c>
      <c r="AP263" s="2" t="str">
        <f>HYPERLINK("http://exon.niaid.nih.gov/transcriptome/T_rubida/S2/links/SWISSP/Triru-494-SWISSP.txt","U5 small nuclear ribonucleoprotein 40 kDa protein")</f>
        <v>U5 small nuclear ribonucleoprotein 40 kDa protein</v>
      </c>
      <c r="AQ263" t="str">
        <f>HYPERLINK("http://www.uniprot.org/uniprot/Q96DI7","5E-023")</f>
        <v>5E-023</v>
      </c>
      <c r="AR263" t="s">
        <v>507</v>
      </c>
      <c r="AS263">
        <v>106</v>
      </c>
      <c r="AT263">
        <v>295</v>
      </c>
      <c r="AU263">
        <v>357</v>
      </c>
      <c r="AV263">
        <v>70</v>
      </c>
      <c r="AW263">
        <v>83</v>
      </c>
      <c r="AX263">
        <v>19</v>
      </c>
      <c r="AY263">
        <v>0</v>
      </c>
      <c r="AZ263">
        <v>62</v>
      </c>
      <c r="BA263">
        <v>2</v>
      </c>
      <c r="BB263">
        <v>5</v>
      </c>
      <c r="BC263" t="s">
        <v>208</v>
      </c>
      <c r="BD263" s="2" t="s">
        <v>508</v>
      </c>
      <c r="BE263">
        <f>HYPERLINK("http://exon.niaid.nih.gov/transcriptome/T_rubida/S2/links/GO/Triru-494-GO.txt",3E-23)</f>
        <v>3E-23</v>
      </c>
      <c r="BF263" t="s">
        <v>173</v>
      </c>
      <c r="BG263" t="s">
        <v>153</v>
      </c>
      <c r="BH263" t="s">
        <v>174</v>
      </c>
      <c r="BI263" s="2" t="str">
        <f>HYPERLINK("http://exon.niaid.nih.gov/transcriptome/T_rubida/S2/links/CDD/Triru-494-CDD.txt","WD40")</f>
        <v>WD40</v>
      </c>
      <c r="BJ263" t="str">
        <f>HYPERLINK("http://www.ncbi.nlm.nih.gov/Structure/cdd/cddsrv.cgi?uid=cd00200&amp;version=v4.0","7E-011")</f>
        <v>7E-011</v>
      </c>
      <c r="BK263" t="s">
        <v>509</v>
      </c>
      <c r="BL263" s="2" t="str">
        <f>HYPERLINK("http://exon.niaid.nih.gov/transcriptome/T_rubida/S2/links/KOG/Triru-494-KOG.txt","U5 snRNP-specific protein-like factor and related proteins")</f>
        <v>U5 snRNP-specific protein-like factor and related proteins</v>
      </c>
      <c r="BM263" t="str">
        <f>HYPERLINK("http://www.ncbi.nlm.nih.gov/COG/grace/shokog.cgi?KOG0265","1E-022")</f>
        <v>1E-022</v>
      </c>
      <c r="BN263" t="s">
        <v>206</v>
      </c>
      <c r="BO263" s="2" t="str">
        <f>HYPERLINK("http://exon.niaid.nih.gov/transcriptome/T_rubida/S2/links/PFAM/Triru-494-PFAM.txt","WD40")</f>
        <v>WD40</v>
      </c>
      <c r="BP263" t="str">
        <f>HYPERLINK("http://pfam.sanger.ac.uk/family?acc=PF00400","3E-006")</f>
        <v>3E-006</v>
      </c>
      <c r="BQ263" s="2" t="str">
        <f>HYPERLINK("http://exon.niaid.nih.gov/transcriptome/T_rubida/S2/links/SMART/Triru-494-SMART.txt","WD40")</f>
        <v>WD40</v>
      </c>
      <c r="BR263" t="str">
        <f>HYPERLINK("http://smart.embl-heidelberg.de/smart/do_annotation.pl?DOMAIN=WD40&amp;BLAST=DUMMY","1E-007")</f>
        <v>1E-007</v>
      </c>
      <c r="BS263" s="17">
        <v>148</v>
      </c>
      <c r="BT263" s="1">
        <v>1</v>
      </c>
      <c r="BU263" s="17">
        <v>223</v>
      </c>
      <c r="BV263" s="1">
        <v>1</v>
      </c>
      <c r="BW263" s="17">
        <v>287</v>
      </c>
      <c r="BX263" s="1">
        <v>1</v>
      </c>
      <c r="BY263" s="17">
        <v>310</v>
      </c>
      <c r="BZ263" s="1">
        <v>1</v>
      </c>
      <c r="CA263" s="17">
        <v>320</v>
      </c>
      <c r="CB263" s="1">
        <v>1</v>
      </c>
      <c r="CC263" s="17">
        <v>332</v>
      </c>
      <c r="CD263" s="1">
        <v>1</v>
      </c>
      <c r="CE263" s="17">
        <v>344</v>
      </c>
      <c r="CF263" s="1">
        <v>1</v>
      </c>
      <c r="CG263" s="17">
        <v>350</v>
      </c>
      <c r="CH263" s="1">
        <v>1</v>
      </c>
      <c r="CI263" s="17">
        <v>361</v>
      </c>
      <c r="CJ263" s="1">
        <v>1</v>
      </c>
      <c r="CK263" s="17">
        <v>367</v>
      </c>
      <c r="CL263" s="1">
        <v>1</v>
      </c>
      <c r="CM263" s="17">
        <v>375</v>
      </c>
      <c r="CN263" s="1">
        <v>1</v>
      </c>
      <c r="CO263" s="17">
        <v>387</v>
      </c>
      <c r="CP263" s="1">
        <v>1</v>
      </c>
      <c r="CQ263" s="17">
        <v>397</v>
      </c>
      <c r="CR263" s="1">
        <v>1</v>
      </c>
      <c r="CS263" s="17">
        <v>410</v>
      </c>
      <c r="CT263" s="1">
        <v>1</v>
      </c>
      <c r="CU263" s="17">
        <v>421</v>
      </c>
      <c r="CV263" s="1">
        <v>1</v>
      </c>
    </row>
    <row r="264" spans="1:100">
      <c r="A264" t="str">
        <f>HYPERLINK("http://exon.niaid.nih.gov/transcriptome/T_rubida/S2/links/pep/Triru-656-pep.txt","Triru-656")</f>
        <v>Triru-656</v>
      </c>
      <c r="B264">
        <v>78</v>
      </c>
      <c r="C264" s="1" t="s">
        <v>17</v>
      </c>
      <c r="D264" s="1" t="s">
        <v>3</v>
      </c>
      <c r="E264" t="str">
        <f>HYPERLINK("http://exon.niaid.nih.gov/transcriptome/T_rubida/S2/links/cds/Triru-656-cds.txt","Triru-656")</f>
        <v>Triru-656</v>
      </c>
      <c r="F264">
        <v>237</v>
      </c>
      <c r="G264" s="2" t="s">
        <v>1721</v>
      </c>
      <c r="H264" s="1">
        <v>1</v>
      </c>
      <c r="I264" s="3" t="s">
        <v>1276</v>
      </c>
      <c r="J264" s="17" t="str">
        <f>HYPERLINK("http://exon.niaid.nih.gov/transcriptome/T_rubida/S2/links/Sigp/Triru-656-SigP.txt","CYT")</f>
        <v>CYT</v>
      </c>
      <c r="K264" t="s">
        <v>5</v>
      </c>
      <c r="L264" s="1">
        <v>9.2170000000000005</v>
      </c>
      <c r="M264" s="1">
        <v>8.18</v>
      </c>
      <c r="P264" s="1">
        <v>0.20499999999999999</v>
      </c>
      <c r="Q264" s="1">
        <v>7.0999999999999994E-2</v>
      </c>
      <c r="R264" s="1">
        <v>0.76300000000000001</v>
      </c>
      <c r="S264" s="17" t="s">
        <v>1346</v>
      </c>
      <c r="T264">
        <v>3</v>
      </c>
      <c r="U264" t="s">
        <v>1382</v>
      </c>
      <c r="V264" s="17">
        <v>0</v>
      </c>
      <c r="W264" t="s">
        <v>5</v>
      </c>
      <c r="X264" t="s">
        <v>5</v>
      </c>
      <c r="Y264" t="s">
        <v>5</v>
      </c>
      <c r="Z264" t="s">
        <v>5</v>
      </c>
      <c r="AA264" t="s">
        <v>5</v>
      </c>
      <c r="AB264" s="17" t="str">
        <f>HYPERLINK("http://exon.niaid.nih.gov/transcriptome/T_rubida/S2/links/netoglyc/TRIRU-656-netoglyc.txt","0")</f>
        <v>0</v>
      </c>
      <c r="AC264">
        <v>3.8</v>
      </c>
      <c r="AD264">
        <v>2.6</v>
      </c>
      <c r="AE264">
        <v>1.3</v>
      </c>
      <c r="AF264" s="17" t="s">
        <v>1471</v>
      </c>
      <c r="AG264" s="2" t="str">
        <f>HYPERLINK("http://exon.niaid.nih.gov/transcriptome/T_rubida/S2/links/NR/Triru-656-NR.txt","probable pterin-4-alpha-carbinolamine dehydratase-like")</f>
        <v>probable pterin-4-alpha-carbinolamine dehydratase-like</v>
      </c>
      <c r="AH264" t="str">
        <f>HYPERLINK("http://www.ncbi.nlm.nih.gov/sutils/blink.cgi?pid=340722574","5E-025")</f>
        <v>5E-025</v>
      </c>
      <c r="AI264" t="str">
        <f>HYPERLINK("http://www.ncbi.nlm.nih.gov/protein/340722574","gi|340722574")</f>
        <v>gi|340722574</v>
      </c>
      <c r="AJ264">
        <v>117</v>
      </c>
      <c r="AK264">
        <v>74</v>
      </c>
      <c r="AL264">
        <v>139</v>
      </c>
      <c r="AM264">
        <v>72</v>
      </c>
      <c r="AN264">
        <v>54</v>
      </c>
      <c r="AO264" t="s">
        <v>265</v>
      </c>
      <c r="AP264" s="2" t="str">
        <f>HYPERLINK("http://exon.niaid.nih.gov/transcriptome/T_rubida/S2/links/SWISSP/Triru-656-SWISSP.txt","Pterin-4-alpha-carbinolamine dehydratase 2")</f>
        <v>Pterin-4-alpha-carbinolamine dehydratase 2</v>
      </c>
      <c r="AQ264" t="str">
        <f>HYPERLINK("http://www.uniprot.org/uniprot/Q9CZL5","6E-024")</f>
        <v>6E-024</v>
      </c>
      <c r="AR264" t="s">
        <v>1092</v>
      </c>
      <c r="AS264">
        <v>109</v>
      </c>
      <c r="AT264">
        <v>70</v>
      </c>
      <c r="AU264">
        <v>136</v>
      </c>
      <c r="AV264">
        <v>73</v>
      </c>
      <c r="AW264">
        <v>52</v>
      </c>
      <c r="AX264">
        <v>19</v>
      </c>
      <c r="AY264">
        <v>0</v>
      </c>
      <c r="AZ264">
        <v>64</v>
      </c>
      <c r="BA264">
        <v>4</v>
      </c>
      <c r="BB264">
        <v>1</v>
      </c>
      <c r="BC264" t="s">
        <v>75</v>
      </c>
      <c r="BD264" s="2" t="s">
        <v>1093</v>
      </c>
      <c r="BE264">
        <f>HYPERLINK("http://exon.niaid.nih.gov/transcriptome/T_rubida/S2/links/GO/Triru-656-GO.txt",2E-24)</f>
        <v>1.9999999999999998E-24</v>
      </c>
      <c r="BF264" t="s">
        <v>1941</v>
      </c>
      <c r="BG264" t="s">
        <v>77</v>
      </c>
      <c r="BH264" t="s">
        <v>193</v>
      </c>
      <c r="BI264" s="2" t="str">
        <f>HYPERLINK("http://exon.niaid.nih.gov/transcriptome/T_rubida/S2/links/CDD/Triru-656-CDD.txt","PCD_DCoH_subfam")</f>
        <v>PCD_DCoH_subfam</v>
      </c>
      <c r="BJ264" t="str">
        <f>HYPERLINK("http://www.ncbi.nlm.nih.gov/Structure/cdd/cddsrv.cgi?uid=cd00914&amp;version=v4.0","2E-025")</f>
        <v>2E-025</v>
      </c>
      <c r="BK264" t="s">
        <v>1094</v>
      </c>
      <c r="BL264" s="2" t="str">
        <f>HYPERLINK("http://exon.niaid.nih.gov/transcriptome/T_rubida/S2/links/KOG/Triru-656-KOG.txt","Pterin carbinolamine dehydratase PCBD/dimerization cofactor of HNF1")</f>
        <v>Pterin carbinolamine dehydratase PCBD/dimerization cofactor of HNF1</v>
      </c>
      <c r="BM264" t="str">
        <f>HYPERLINK("http://www.ncbi.nlm.nih.gov/COG/grace/shokog.cgi?KOG4073","4E-024")</f>
        <v>4E-024</v>
      </c>
      <c r="BN264" t="s">
        <v>251</v>
      </c>
      <c r="BO264" s="2" t="str">
        <f>HYPERLINK("http://exon.niaid.nih.gov/transcriptome/T_rubida/S2/links/PFAM/Triru-656-PFAM.txt","Pterin_4a")</f>
        <v>Pterin_4a</v>
      </c>
      <c r="BP264" t="str">
        <f>HYPERLINK("http://pfam.sanger.ac.uk/family?acc=PF01329","5E-024")</f>
        <v>5E-024</v>
      </c>
      <c r="BQ264" s="2" t="str">
        <f>HYPERLINK("http://exon.niaid.nih.gov/transcriptome/T_rubida/S2/links/SMART/Triru-656-SMART.txt","TSPN")</f>
        <v>TSPN</v>
      </c>
      <c r="BR264" t="str">
        <f>HYPERLINK("http://smart.embl-heidelberg.de/smart/do_annotation.pl?DOMAIN=TSPN&amp;BLAST=DUMMY","0.090")</f>
        <v>0.090</v>
      </c>
      <c r="BS264" s="17">
        <f>HYPERLINK("http://exon.niaid.nih.gov/transcriptome/T_rubida/S2/links/cluster/Triru-pep-ext25-50-Sim-CLU1.txt", 1)</f>
        <v>1</v>
      </c>
      <c r="BT264" s="1">
        <f>HYPERLINK("http://exon.niaid.nih.gov/transcriptome/T_rubida/S2/links/cluster/Triru-pep-ext25-50-Sim-CLTL1.txt", 359)</f>
        <v>359</v>
      </c>
      <c r="BU264" s="17">
        <v>287</v>
      </c>
      <c r="BV264" s="1">
        <v>1</v>
      </c>
      <c r="BW264" s="17">
        <v>372</v>
      </c>
      <c r="BX264" s="1">
        <v>1</v>
      </c>
      <c r="BY264" s="17">
        <v>414</v>
      </c>
      <c r="BZ264" s="1">
        <v>1</v>
      </c>
      <c r="CA264" s="17">
        <v>432</v>
      </c>
      <c r="CB264" s="1">
        <v>1</v>
      </c>
      <c r="CC264" s="17">
        <v>449</v>
      </c>
      <c r="CD264" s="1">
        <v>1</v>
      </c>
      <c r="CE264" s="17">
        <v>468</v>
      </c>
      <c r="CF264" s="1">
        <v>1</v>
      </c>
      <c r="CG264" s="17">
        <v>477</v>
      </c>
      <c r="CH264" s="1">
        <v>1</v>
      </c>
      <c r="CI264" s="17">
        <v>492</v>
      </c>
      <c r="CJ264" s="1">
        <v>1</v>
      </c>
      <c r="CK264" s="17">
        <v>498</v>
      </c>
      <c r="CL264" s="1">
        <v>1</v>
      </c>
      <c r="CM264" s="17">
        <v>511</v>
      </c>
      <c r="CN264" s="1">
        <v>1</v>
      </c>
      <c r="CO264" s="17">
        <v>523</v>
      </c>
      <c r="CP264" s="1">
        <v>1</v>
      </c>
      <c r="CQ264" s="17">
        <v>533</v>
      </c>
      <c r="CR264" s="1">
        <v>1</v>
      </c>
      <c r="CS264" s="17">
        <v>546</v>
      </c>
      <c r="CT264" s="1">
        <v>1</v>
      </c>
      <c r="CU264" s="17">
        <v>559</v>
      </c>
      <c r="CV264" s="1">
        <v>1</v>
      </c>
    </row>
    <row r="265" spans="1:100">
      <c r="A265" t="str">
        <f>HYPERLINK("http://exon.niaid.nih.gov/transcriptome/T_rubida/S2/links/pep/Triru-219-pep.txt","Triru-219")</f>
        <v>Triru-219</v>
      </c>
      <c r="B265">
        <v>158</v>
      </c>
      <c r="C265" s="1" t="s">
        <v>10</v>
      </c>
      <c r="D265" s="1" t="s">
        <v>3</v>
      </c>
      <c r="E265" t="str">
        <f>HYPERLINK("http://exon.niaid.nih.gov/transcriptome/T_rubida/S2/links/cds/Triru-219-cds.txt","Triru-219")</f>
        <v>Triru-219</v>
      </c>
      <c r="F265">
        <v>477</v>
      </c>
      <c r="G265" s="2" t="s">
        <v>1722</v>
      </c>
      <c r="H265" s="1">
        <v>1</v>
      </c>
      <c r="I265" s="3" t="s">
        <v>1276</v>
      </c>
      <c r="J265" s="17" t="str">
        <f>HYPERLINK("http://exon.niaid.nih.gov/transcriptome/T_rubida/S2/links/Sigp/Triru-219-SigP.txt","CYT")</f>
        <v>CYT</v>
      </c>
      <c r="K265" t="s">
        <v>5</v>
      </c>
      <c r="L265" s="1">
        <v>16.545000000000002</v>
      </c>
      <c r="M265" s="1">
        <v>6.23</v>
      </c>
      <c r="P265" s="1">
        <v>7.9000000000000001E-2</v>
      </c>
      <c r="Q265" s="1">
        <v>0.16900000000000001</v>
      </c>
      <c r="R265" s="1">
        <v>0.67300000000000004</v>
      </c>
      <c r="S265" s="17" t="s">
        <v>1346</v>
      </c>
      <c r="T265">
        <v>3</v>
      </c>
      <c r="U265" t="s">
        <v>1373</v>
      </c>
      <c r="V265" s="17">
        <v>0</v>
      </c>
      <c r="W265" t="s">
        <v>5</v>
      </c>
      <c r="X265" t="s">
        <v>5</v>
      </c>
      <c r="Y265" t="s">
        <v>5</v>
      </c>
      <c r="Z265" t="s">
        <v>5</v>
      </c>
      <c r="AA265" t="s">
        <v>5</v>
      </c>
      <c r="AB265" s="17" t="str">
        <f>HYPERLINK("http://exon.niaid.nih.gov/transcriptome/T_rubida/S2/links/netoglyc/TRIRU-219-netoglyc.txt","15")</f>
        <v>15</v>
      </c>
      <c r="AC265">
        <v>15.2</v>
      </c>
      <c r="AD265">
        <v>6.3</v>
      </c>
      <c r="AE265">
        <v>16.5</v>
      </c>
      <c r="AF265" s="17" t="s">
        <v>5</v>
      </c>
      <c r="AG265" s="2" t="str">
        <f>HYPERLINK("http://exon.niaid.nih.gov/transcriptome/T_rubida/S2/links/NR/Triru-219-NR.txt","similar to 2-hydroxyacid dehydrogenase")</f>
        <v>similar to 2-hydroxyacid dehydrogenase</v>
      </c>
      <c r="AH265" t="str">
        <f>HYPERLINK("http://www.ncbi.nlm.nih.gov/sutils/blink.cgi?pid=91090312","2E-044")</f>
        <v>2E-044</v>
      </c>
      <c r="AI265" t="str">
        <f>HYPERLINK("http://www.ncbi.nlm.nih.gov/protein/91090312","gi|91090312")</f>
        <v>gi|91090312</v>
      </c>
      <c r="AJ265">
        <v>181</v>
      </c>
      <c r="AK265">
        <v>140</v>
      </c>
      <c r="AL265">
        <v>444</v>
      </c>
      <c r="AM265">
        <v>59</v>
      </c>
      <c r="AN265">
        <v>32</v>
      </c>
      <c r="AO265" t="s">
        <v>671</v>
      </c>
      <c r="AP265" s="2" t="str">
        <f>HYPERLINK("http://exon.niaid.nih.gov/transcriptome/T_rubida/S2/links/SWISSP/Triru-219-SWISSP.txt","C-terminal-binding protein")</f>
        <v>C-terminal-binding protein</v>
      </c>
      <c r="AQ265" t="str">
        <f>HYPERLINK("http://www.uniprot.org/uniprot/O46036","1E-023")</f>
        <v>1E-023</v>
      </c>
      <c r="AR265" t="s">
        <v>1006</v>
      </c>
      <c r="AS265">
        <v>108</v>
      </c>
      <c r="AT265">
        <v>161</v>
      </c>
      <c r="AU265">
        <v>476</v>
      </c>
      <c r="AV265">
        <v>41</v>
      </c>
      <c r="AW265">
        <v>34</v>
      </c>
      <c r="AX265">
        <v>94</v>
      </c>
      <c r="AY265">
        <v>12</v>
      </c>
      <c r="AZ265">
        <v>304</v>
      </c>
      <c r="BA265">
        <v>4</v>
      </c>
      <c r="BB265">
        <v>1</v>
      </c>
      <c r="BC265" t="s">
        <v>150</v>
      </c>
      <c r="BD265" s="2" t="s">
        <v>1007</v>
      </c>
      <c r="BE265">
        <f>HYPERLINK("http://exon.niaid.nih.gov/transcriptome/T_rubida/S2/links/GO/Triru-219-GO.txt",1E-23)</f>
        <v>9.9999999999999996E-24</v>
      </c>
      <c r="BF265" t="s">
        <v>173</v>
      </c>
      <c r="BG265" t="s">
        <v>153</v>
      </c>
      <c r="BH265" t="s">
        <v>174</v>
      </c>
      <c r="BI265" s="2" t="str">
        <f>HYPERLINK("http://exon.niaid.nih.gov/transcriptome/T_rubida/S2/links/CDD/Triru-219-CDD.txt","2-Hacid_dh")</f>
        <v>2-Hacid_dh</v>
      </c>
      <c r="BJ265" t="str">
        <f>HYPERLINK("http://www.ncbi.nlm.nih.gov/Structure/cdd/cddsrv.cgi?uid=pfam00389&amp;version=v4.0","3E-007")</f>
        <v>3E-007</v>
      </c>
      <c r="BK265" t="s">
        <v>1008</v>
      </c>
      <c r="BL265" s="2" t="str">
        <f>HYPERLINK("http://exon.niaid.nih.gov/transcriptome/T_rubida/S2/links/KOG/Triru-219-KOG.txt","Transcription factor CtBP")</f>
        <v>Transcription factor CtBP</v>
      </c>
      <c r="BM265" t="str">
        <f>HYPERLINK("http://www.ncbi.nlm.nih.gov/COG/grace/shokog.cgi?KOG0067","8E-016")</f>
        <v>8E-016</v>
      </c>
      <c r="BN265" t="s">
        <v>251</v>
      </c>
      <c r="BO265" s="2" t="str">
        <f>HYPERLINK("http://exon.niaid.nih.gov/transcriptome/T_rubida/S2/links/PFAM/Triru-219-PFAM.txt","2-Hacid_dh")</f>
        <v>2-Hacid_dh</v>
      </c>
      <c r="BP265" t="str">
        <f>HYPERLINK("http://pfam.sanger.ac.uk/family?acc=PF00389","6E-008")</f>
        <v>6E-008</v>
      </c>
      <c r="BQ265" s="2" t="str">
        <f>HYPERLINK("http://exon.niaid.nih.gov/transcriptome/T_rubida/S2/links/SMART/Triru-219-SMART.txt","GAF")</f>
        <v>GAF</v>
      </c>
      <c r="BR265" t="str">
        <f>HYPERLINK("http://smart.embl-heidelberg.de/smart/do_annotation.pl?DOMAIN=GAF&amp;BLAST=DUMMY","0.21")</f>
        <v>0.21</v>
      </c>
      <c r="BS265" s="17">
        <v>74</v>
      </c>
      <c r="BT265" s="1">
        <v>1</v>
      </c>
      <c r="BU265" s="17">
        <v>107</v>
      </c>
      <c r="BV265" s="1">
        <v>1</v>
      </c>
      <c r="BW265" s="17">
        <v>124</v>
      </c>
      <c r="BX265" s="1">
        <v>1</v>
      </c>
      <c r="BY265" s="17">
        <v>129</v>
      </c>
      <c r="BZ265" s="1">
        <v>1</v>
      </c>
      <c r="CA265" s="17">
        <v>131</v>
      </c>
      <c r="CB265" s="1">
        <v>1</v>
      </c>
      <c r="CC265" s="17">
        <v>134</v>
      </c>
      <c r="CD265" s="1">
        <v>1</v>
      </c>
      <c r="CE265" s="17">
        <v>133</v>
      </c>
      <c r="CF265" s="1">
        <v>1</v>
      </c>
      <c r="CG265" s="17">
        <v>135</v>
      </c>
      <c r="CH265" s="1">
        <v>1</v>
      </c>
      <c r="CI265" s="17">
        <v>141</v>
      </c>
      <c r="CJ265" s="1">
        <v>1</v>
      </c>
      <c r="CK265" s="17">
        <v>146</v>
      </c>
      <c r="CL265" s="1">
        <v>1</v>
      </c>
      <c r="CM265" s="17">
        <v>152</v>
      </c>
      <c r="CN265" s="1">
        <v>1</v>
      </c>
      <c r="CO265" s="17">
        <v>162</v>
      </c>
      <c r="CP265" s="1">
        <v>1</v>
      </c>
      <c r="CQ265" s="17">
        <v>172</v>
      </c>
      <c r="CR265" s="1">
        <v>1</v>
      </c>
      <c r="CS265" s="17">
        <v>177</v>
      </c>
      <c r="CT265" s="1">
        <v>1</v>
      </c>
      <c r="CU265" s="17">
        <v>188</v>
      </c>
      <c r="CV265" s="1">
        <v>1</v>
      </c>
    </row>
    <row r="266" spans="1:100">
      <c r="A266" t="str">
        <f>HYPERLINK("http://exon.niaid.nih.gov/transcriptome/T_rubida/S2/links/pep/Triru-131-pep.txt","Triru-131")</f>
        <v>Triru-131</v>
      </c>
      <c r="B266">
        <v>96</v>
      </c>
      <c r="C266" s="1" t="s">
        <v>6</v>
      </c>
      <c r="D266" s="1" t="s">
        <v>3</v>
      </c>
      <c r="E266" t="str">
        <f>HYPERLINK("http://exon.niaid.nih.gov/transcriptome/T_rubida/S2/links/cds/Triru-131-cds.txt","Triru-131")</f>
        <v>Triru-131</v>
      </c>
      <c r="F266">
        <v>291</v>
      </c>
      <c r="G266" s="2" t="s">
        <v>1723</v>
      </c>
      <c r="H266" s="1">
        <v>2</v>
      </c>
      <c r="I266" s="3" t="s">
        <v>1276</v>
      </c>
      <c r="J266" s="17" t="str">
        <f>HYPERLINK("http://exon.niaid.nih.gov/transcriptome/T_rubida/S2/links/Sigp/Triru-131-SigP.txt","CYT")</f>
        <v>CYT</v>
      </c>
      <c r="K266" t="s">
        <v>5</v>
      </c>
      <c r="L266" s="1">
        <v>10.759</v>
      </c>
      <c r="M266" s="1">
        <v>4.55</v>
      </c>
      <c r="P266" s="1">
        <v>7.4999999999999997E-2</v>
      </c>
      <c r="Q266" s="1">
        <v>9.6000000000000002E-2</v>
      </c>
      <c r="R266" s="1">
        <v>0.91700000000000004</v>
      </c>
      <c r="S266" s="17" t="s">
        <v>1346</v>
      </c>
      <c r="T266">
        <v>1</v>
      </c>
      <c r="U266" t="s">
        <v>1347</v>
      </c>
      <c r="V266" s="17">
        <v>0</v>
      </c>
      <c r="W266" t="s">
        <v>5</v>
      </c>
      <c r="X266" t="s">
        <v>5</v>
      </c>
      <c r="Y266" t="s">
        <v>5</v>
      </c>
      <c r="Z266" t="s">
        <v>5</v>
      </c>
      <c r="AA266" t="s">
        <v>5</v>
      </c>
      <c r="AB266" s="17" t="str">
        <f>HYPERLINK("http://exon.niaid.nih.gov/transcriptome/T_rubida/S2/links/netoglyc/TRIRU-131-netoglyc.txt","3")</f>
        <v>3</v>
      </c>
      <c r="AC266">
        <v>15.6</v>
      </c>
      <c r="AD266">
        <v>7.3</v>
      </c>
      <c r="AE266">
        <v>5.2</v>
      </c>
      <c r="AF266" s="17" t="s">
        <v>5</v>
      </c>
      <c r="AG266" s="2" t="str">
        <f>HYPERLINK("http://exon.niaid.nih.gov/transcriptome/T_rubida/S2/links/NR/Triru-131-NR.txt","Alkylated DNA repair protein alkB-like protein 1")</f>
        <v>Alkylated DNA repair protein alkB-like protein 1</v>
      </c>
      <c r="AH266" t="str">
        <f>HYPERLINK("http://www.ncbi.nlm.nih.gov/sutils/blink.cgi?pid=307202053","1E-012")</f>
        <v>1E-012</v>
      </c>
      <c r="AI266" t="str">
        <f>HYPERLINK("http://www.ncbi.nlm.nih.gov/protein/307202053","gi|307202053")</f>
        <v>gi|307202053</v>
      </c>
      <c r="AJ266">
        <v>76.3</v>
      </c>
      <c r="AK266">
        <v>88</v>
      </c>
      <c r="AL266">
        <v>308</v>
      </c>
      <c r="AM266">
        <v>41</v>
      </c>
      <c r="AN266">
        <v>29</v>
      </c>
      <c r="AO266" t="s">
        <v>230</v>
      </c>
      <c r="AP266" s="2" t="str">
        <f>HYPERLINK("http://exon.niaid.nih.gov/transcriptome/T_rubida/S2/links/SWISSP/Triru-131-SWISSP.txt","Alpha-ketoglutarate-dependent dioxygenase alkB")</f>
        <v>Alpha-ketoglutarate-dependent dioxygenase alkB</v>
      </c>
      <c r="AQ266" t="str">
        <f>HYPERLINK("http://www.uniprot.org/uniprot/Q9SA98","3E-008")</f>
        <v>3E-008</v>
      </c>
      <c r="AR266" t="s">
        <v>576</v>
      </c>
      <c r="AS266">
        <v>57</v>
      </c>
      <c r="AT266">
        <v>74</v>
      </c>
      <c r="AU266">
        <v>345</v>
      </c>
      <c r="AV266">
        <v>38</v>
      </c>
      <c r="AW266">
        <v>22</v>
      </c>
      <c r="AX266">
        <v>50</v>
      </c>
      <c r="AY266">
        <v>9</v>
      </c>
      <c r="AZ266">
        <v>270</v>
      </c>
      <c r="BA266">
        <v>9</v>
      </c>
      <c r="BB266">
        <v>1</v>
      </c>
      <c r="BC266" t="s">
        <v>71</v>
      </c>
      <c r="BD266" s="2" t="s">
        <v>577</v>
      </c>
      <c r="BE266">
        <f>HYPERLINK("http://exon.niaid.nih.gov/transcriptome/T_rubida/S2/links/GO/Triru-131-GO.txt",0.000000005)</f>
        <v>5.0000000000000001E-9</v>
      </c>
      <c r="BF266" t="s">
        <v>1934</v>
      </c>
      <c r="BG266" t="s">
        <v>77</v>
      </c>
      <c r="BH266" t="s">
        <v>253</v>
      </c>
      <c r="BI266" s="2" t="str">
        <f>HYPERLINK("http://exon.niaid.nih.gov/transcriptome/T_rubida/S2/links/CDD/Triru-131-CDD.txt","alkb")</f>
        <v>alkb</v>
      </c>
      <c r="BJ266" t="str">
        <f>HYPERLINK("http://www.ncbi.nlm.nih.gov/Structure/cdd/cddsrv.cgi?uid=TIGR00568&amp;version=v4.0","2E-004")</f>
        <v>2E-004</v>
      </c>
      <c r="BK266" t="s">
        <v>578</v>
      </c>
      <c r="BL266" s="2" t="str">
        <f>HYPERLINK("http://exon.niaid.nih.gov/transcriptome/T_rubida/S2/links/KOG/Triru-131-KOG.txt","DNA alkylation damage repair protein")</f>
        <v>DNA alkylation damage repair protein</v>
      </c>
      <c r="BM266" t="str">
        <f>HYPERLINK("http://www.ncbi.nlm.nih.gov/COG/grace/shokog.cgi?KOG2731","2E-006")</f>
        <v>2E-006</v>
      </c>
      <c r="BN266" t="s">
        <v>206</v>
      </c>
      <c r="BO266" s="2" t="str">
        <f>HYPERLINK("http://exon.niaid.nih.gov/transcriptome/T_rubida/S2/links/PFAM/Triru-131-PFAM.txt","DUF694")</f>
        <v>DUF694</v>
      </c>
      <c r="BP266" t="str">
        <f>HYPERLINK("http://pfam.sanger.ac.uk/family?acc=PF05107","1.6")</f>
        <v>1.6</v>
      </c>
      <c r="BQ266" s="2" t="str">
        <f>HYPERLINK("http://exon.niaid.nih.gov/transcriptome/T_rubida/S2/links/SMART/Triru-131-SMART.txt","RAS")</f>
        <v>RAS</v>
      </c>
      <c r="BR266" t="str">
        <f>HYPERLINK("http://smart.embl-heidelberg.de/smart/do_annotation.pl?DOMAIN=RAS&amp;BLAST=DUMMY","0.25")</f>
        <v>0.25</v>
      </c>
      <c r="BS266" s="17">
        <v>55</v>
      </c>
      <c r="BT266" s="1">
        <v>1</v>
      </c>
      <c r="BU266" s="17">
        <v>76</v>
      </c>
      <c r="BV266" s="1">
        <v>1</v>
      </c>
      <c r="BW266" s="17">
        <v>82</v>
      </c>
      <c r="BX266" s="1">
        <v>1</v>
      </c>
      <c r="BY266" s="17">
        <v>82</v>
      </c>
      <c r="BZ266" s="1">
        <v>1</v>
      </c>
      <c r="CA266" s="17">
        <v>80</v>
      </c>
      <c r="CB266" s="1">
        <v>1</v>
      </c>
      <c r="CC266" s="17">
        <v>79</v>
      </c>
      <c r="CD266" s="1">
        <v>1</v>
      </c>
      <c r="CE266" s="17">
        <v>73</v>
      </c>
      <c r="CF266" s="1">
        <v>1</v>
      </c>
      <c r="CG266" s="17">
        <v>73</v>
      </c>
      <c r="CH266" s="1">
        <v>1</v>
      </c>
      <c r="CI266" s="17">
        <v>79</v>
      </c>
      <c r="CJ266" s="1">
        <v>1</v>
      </c>
      <c r="CK266" s="17">
        <v>83</v>
      </c>
      <c r="CL266" s="1">
        <v>1</v>
      </c>
      <c r="CM266" s="17">
        <v>87</v>
      </c>
      <c r="CN266" s="1">
        <v>1</v>
      </c>
      <c r="CO266" s="17">
        <v>95</v>
      </c>
      <c r="CP266" s="1">
        <v>1</v>
      </c>
      <c r="CQ266" s="17">
        <v>105</v>
      </c>
      <c r="CR266" s="1">
        <v>1</v>
      </c>
      <c r="CS266" s="17">
        <v>110</v>
      </c>
      <c r="CT266" s="1">
        <v>1</v>
      </c>
      <c r="CU266" s="17">
        <v>121</v>
      </c>
      <c r="CV266" s="1">
        <v>1</v>
      </c>
    </row>
    <row r="267" spans="1:100">
      <c r="A267" t="str">
        <f>HYPERLINK("http://exon.niaid.nih.gov/transcriptome/T_rubida/S2/links/pep/Triru-382-pep.txt","Triru-382")</f>
        <v>Triru-382</v>
      </c>
      <c r="B267">
        <v>118</v>
      </c>
      <c r="C267" s="1" t="s">
        <v>19</v>
      </c>
      <c r="D267" s="1" t="s">
        <v>3</v>
      </c>
      <c r="E267" t="str">
        <f>HYPERLINK("http://exon.niaid.nih.gov/transcriptome/T_rubida/S2/links/cds/Triru-382-cds.txt","Triru-382")</f>
        <v>Triru-382</v>
      </c>
      <c r="F267">
        <v>357</v>
      </c>
      <c r="G267" s="2" t="s">
        <v>1724</v>
      </c>
      <c r="H267" s="1">
        <v>1</v>
      </c>
      <c r="I267" s="3" t="s">
        <v>1276</v>
      </c>
      <c r="J267" s="17" t="str">
        <f>HYPERLINK("http://exon.niaid.nih.gov/transcriptome/T_rubida/S2/links/Sigp/Triru-382-SigP.txt","CYT")</f>
        <v>CYT</v>
      </c>
      <c r="K267" t="s">
        <v>5</v>
      </c>
      <c r="L267" s="1">
        <v>13.786</v>
      </c>
      <c r="M267" s="1">
        <v>5.74</v>
      </c>
      <c r="P267" s="1">
        <v>8.2000000000000003E-2</v>
      </c>
      <c r="Q267" s="1">
        <v>0.11</v>
      </c>
      <c r="R267" s="1">
        <v>0.9</v>
      </c>
      <c r="S267" s="17" t="s">
        <v>1346</v>
      </c>
      <c r="T267">
        <v>2</v>
      </c>
      <c r="U267" t="s">
        <v>1379</v>
      </c>
      <c r="V267" s="17">
        <v>0</v>
      </c>
      <c r="W267" t="s">
        <v>5</v>
      </c>
      <c r="X267" t="s">
        <v>5</v>
      </c>
      <c r="Y267" t="s">
        <v>5</v>
      </c>
      <c r="Z267" t="s">
        <v>5</v>
      </c>
      <c r="AA267" t="s">
        <v>5</v>
      </c>
      <c r="AB267" s="17" t="str">
        <f>HYPERLINK("http://exon.niaid.nih.gov/transcriptome/T_rubida/S2/links/netoglyc/TRIRU-382-netoglyc.txt","0")</f>
        <v>0</v>
      </c>
      <c r="AC267">
        <v>6.8</v>
      </c>
      <c r="AD267">
        <v>3.4</v>
      </c>
      <c r="AE267">
        <v>4.2</v>
      </c>
      <c r="AF267" s="17" t="s">
        <v>5</v>
      </c>
      <c r="AG267" s="2" t="str">
        <f>HYPERLINK("http://exon.niaid.nih.gov/transcriptome/T_rubida/S2/links/NR/Triru-382-NR.txt","RNA-binding protein 25")</f>
        <v>RNA-binding protein 25</v>
      </c>
      <c r="AH267" t="str">
        <f>HYPERLINK("http://www.ncbi.nlm.nih.gov/sutils/blink.cgi?pid=332023857","2E-055")</f>
        <v>2E-055</v>
      </c>
      <c r="AI267" t="str">
        <f>HYPERLINK("http://www.ncbi.nlm.nih.gov/protein/332023857","gi|332023857")</f>
        <v>gi|332023857</v>
      </c>
      <c r="AJ267">
        <v>218</v>
      </c>
      <c r="AK267">
        <v>117</v>
      </c>
      <c r="AL267">
        <v>918</v>
      </c>
      <c r="AM267">
        <v>88</v>
      </c>
      <c r="AN267">
        <v>13</v>
      </c>
      <c r="AO267" t="s">
        <v>300</v>
      </c>
      <c r="AP267" s="2" t="str">
        <f>HYPERLINK("http://exon.niaid.nih.gov/transcriptome/T_rubida/S2/links/SWISSP/Triru-382-SWISSP.txt","RNA-binding protein 25")</f>
        <v>RNA-binding protein 25</v>
      </c>
      <c r="AQ267" t="str">
        <f>HYPERLINK("http://www.uniprot.org/uniprot/B2RY56","8E-047")</f>
        <v>8E-047</v>
      </c>
      <c r="AR267" t="s">
        <v>321</v>
      </c>
      <c r="AS267">
        <v>185</v>
      </c>
      <c r="AT267">
        <v>111</v>
      </c>
      <c r="AU267">
        <v>841</v>
      </c>
      <c r="AV267">
        <v>81</v>
      </c>
      <c r="AW267">
        <v>13</v>
      </c>
      <c r="AX267">
        <v>21</v>
      </c>
      <c r="AY267">
        <v>0</v>
      </c>
      <c r="AZ267">
        <v>730</v>
      </c>
      <c r="BA267">
        <v>7</v>
      </c>
      <c r="BB267">
        <v>1</v>
      </c>
      <c r="BC267" t="s">
        <v>75</v>
      </c>
      <c r="BD267" s="2" t="s">
        <v>322</v>
      </c>
      <c r="BE267">
        <f>HYPERLINK("http://exon.niaid.nih.gov/transcriptome/T_rubida/S2/links/GO/Triru-382-GO.txt",3E-47)</f>
        <v>3.0000000000000002E-47</v>
      </c>
      <c r="BF267" t="s">
        <v>323</v>
      </c>
      <c r="BG267" t="s">
        <v>153</v>
      </c>
      <c r="BH267" t="s">
        <v>154</v>
      </c>
      <c r="BI267" s="2" t="str">
        <f>HYPERLINK("http://exon.niaid.nih.gov/transcriptome/T_rubida/S2/links/CDD/Triru-382-CDD.txt","PWI")</f>
        <v>PWI</v>
      </c>
      <c r="BJ267" t="str">
        <f>HYPERLINK("http://www.ncbi.nlm.nih.gov/Structure/cdd/cddsrv.cgi?uid=smart00311&amp;version=v4.0","7E-020")</f>
        <v>7E-020</v>
      </c>
      <c r="BK267" t="s">
        <v>324</v>
      </c>
      <c r="BL267" s="2" t="str">
        <f>HYPERLINK("http://exon.niaid.nih.gov/transcriptome/T_rubida/S2/links/KOG/Triru-382-KOG.txt","U1 snRNP complex, subunit SNU71 and related PWI-motif proteins")</f>
        <v>U1 snRNP complex, subunit SNU71 and related PWI-motif proteins</v>
      </c>
      <c r="BM267" t="str">
        <f>HYPERLINK("http://www.ncbi.nlm.nih.gov/COG/grace/shokog.cgi?KOG2253","2E-041")</f>
        <v>2E-041</v>
      </c>
      <c r="BN267" t="s">
        <v>206</v>
      </c>
      <c r="BO267" s="2" t="str">
        <f>HYPERLINK("http://exon.niaid.nih.gov/transcriptome/T_rubida/S2/links/PFAM/Triru-382-PFAM.txt","PWI")</f>
        <v>PWI</v>
      </c>
      <c r="BP267" t="str">
        <f>HYPERLINK("http://pfam.sanger.ac.uk/family?acc=PF01480","4E-016")</f>
        <v>4E-016</v>
      </c>
      <c r="BQ267" s="2" t="str">
        <f>HYPERLINK("http://exon.niaid.nih.gov/transcriptome/T_rubida/S2/links/SMART/Triru-382-SMART.txt","PWI")</f>
        <v>PWI</v>
      </c>
      <c r="BR267" t="str">
        <f>HYPERLINK("http://smart.embl-heidelberg.de/smart/do_annotation.pl?DOMAIN=PWI&amp;BLAST=DUMMY","1E-021")</f>
        <v>1E-021</v>
      </c>
      <c r="BS267" s="17">
        <f>HYPERLINK("http://exon.niaid.nih.gov/transcriptome/T_rubida/S2/links/cluster/Triru-pep-ext25-50-Sim-CLU1.txt", 1)</f>
        <v>1</v>
      </c>
      <c r="BT267" s="1">
        <f>HYPERLINK("http://exon.niaid.nih.gov/transcriptome/T_rubida/S2/links/cluster/Triru-pep-ext25-50-Sim-CLTL1.txt", 359)</f>
        <v>359</v>
      </c>
      <c r="BU267" s="17">
        <v>176</v>
      </c>
      <c r="BV267" s="1">
        <v>1</v>
      </c>
      <c r="BW267" s="17">
        <v>217</v>
      </c>
      <c r="BX267" s="1">
        <v>1</v>
      </c>
      <c r="BY267" s="17">
        <v>233</v>
      </c>
      <c r="BZ267" s="1">
        <v>1</v>
      </c>
      <c r="CA267" s="17">
        <v>240</v>
      </c>
      <c r="CB267" s="1">
        <v>1</v>
      </c>
      <c r="CC267" s="17">
        <v>245</v>
      </c>
      <c r="CD267" s="1">
        <v>1</v>
      </c>
      <c r="CE267" s="17">
        <v>252</v>
      </c>
      <c r="CF267" s="1">
        <v>1</v>
      </c>
      <c r="CG267" s="17">
        <v>254</v>
      </c>
      <c r="CH267" s="1">
        <v>1</v>
      </c>
      <c r="CI267" s="17">
        <v>264</v>
      </c>
      <c r="CJ267" s="1">
        <v>1</v>
      </c>
      <c r="CK267" s="17">
        <v>269</v>
      </c>
      <c r="CL267" s="1">
        <v>1</v>
      </c>
      <c r="CM267" s="17">
        <v>277</v>
      </c>
      <c r="CN267" s="1">
        <v>1</v>
      </c>
      <c r="CO267" s="17">
        <v>289</v>
      </c>
      <c r="CP267" s="1">
        <v>1</v>
      </c>
      <c r="CQ267" s="17">
        <v>299</v>
      </c>
      <c r="CR267" s="1">
        <v>1</v>
      </c>
      <c r="CS267" s="17">
        <v>311</v>
      </c>
      <c r="CT267" s="1">
        <v>1</v>
      </c>
      <c r="CU267" s="17">
        <v>322</v>
      </c>
      <c r="CV267" s="1">
        <v>1</v>
      </c>
    </row>
    <row r="268" spans="1:100" s="4" customFormat="1">
      <c r="A268" s="16" t="s">
        <v>1911</v>
      </c>
      <c r="I268" s="5"/>
      <c r="P268" s="4" t="s">
        <v>5</v>
      </c>
      <c r="Q268" s="4" t="s">
        <v>5</v>
      </c>
      <c r="R268" s="4" t="s">
        <v>5</v>
      </c>
      <c r="S268" s="4" t="s">
        <v>5</v>
      </c>
      <c r="T268" s="4" t="s">
        <v>5</v>
      </c>
      <c r="U268" s="4" t="s">
        <v>5</v>
      </c>
      <c r="V268" s="4" t="s">
        <v>5</v>
      </c>
      <c r="W268" s="4" t="s">
        <v>5</v>
      </c>
      <c r="X268" s="4" t="s">
        <v>5</v>
      </c>
      <c r="Y268" s="4" t="s">
        <v>5</v>
      </c>
      <c r="Z268" s="4" t="s">
        <v>5</v>
      </c>
      <c r="AA268" s="4" t="s">
        <v>5</v>
      </c>
      <c r="AB268" s="4" t="s">
        <v>5</v>
      </c>
      <c r="AC268" s="4" t="s">
        <v>5</v>
      </c>
      <c r="AD268" s="4" t="s">
        <v>5</v>
      </c>
      <c r="AE268" s="4" t="s">
        <v>5</v>
      </c>
      <c r="AF268" s="4" t="s">
        <v>5</v>
      </c>
    </row>
    <row r="269" spans="1:100">
      <c r="A269" t="str">
        <f>HYPERLINK("http://exon.niaid.nih.gov/transcriptome/T_rubida/S2/links/pep/Triru-266-pep.txt","Triru-266")</f>
        <v>Triru-266</v>
      </c>
      <c r="B269">
        <v>171</v>
      </c>
      <c r="C269" s="1" t="s">
        <v>4</v>
      </c>
      <c r="D269" s="1" t="s">
        <v>3</v>
      </c>
      <c r="E269" t="str">
        <f>HYPERLINK("http://exon.niaid.nih.gov/transcriptome/T_rubida/S2/links/cds/Triru-266-cds.txt","Triru-266")</f>
        <v>Triru-266</v>
      </c>
      <c r="F269">
        <v>516</v>
      </c>
      <c r="G269" s="2" t="s">
        <v>1725</v>
      </c>
      <c r="H269" s="1">
        <v>1</v>
      </c>
      <c r="I269" s="3" t="s">
        <v>1273</v>
      </c>
      <c r="J269" s="17" t="str">
        <f>HYPERLINK("http://exon.niaid.nih.gov/transcriptome/T_rubida/S2/links/Sigp/Triru-266-SigP.txt","CYT")</f>
        <v>CYT</v>
      </c>
      <c r="K269" t="s">
        <v>5</v>
      </c>
      <c r="L269" s="1">
        <v>19.908000000000001</v>
      </c>
      <c r="M269" s="1">
        <v>9.73</v>
      </c>
      <c r="P269" s="1">
        <v>0.55800000000000005</v>
      </c>
      <c r="Q269" s="1">
        <v>0.16700000000000001</v>
      </c>
      <c r="R269" s="1">
        <v>0.215</v>
      </c>
      <c r="S269" s="17" t="s">
        <v>9</v>
      </c>
      <c r="T269">
        <v>4</v>
      </c>
      <c r="U269" t="s">
        <v>1472</v>
      </c>
      <c r="V269" s="17">
        <v>0</v>
      </c>
      <c r="W269" t="s">
        <v>5</v>
      </c>
      <c r="X269" t="s">
        <v>5</v>
      </c>
      <c r="Y269" t="s">
        <v>5</v>
      </c>
      <c r="Z269" t="s">
        <v>5</v>
      </c>
      <c r="AA269" t="s">
        <v>5</v>
      </c>
      <c r="AB269" s="17" t="str">
        <f>HYPERLINK("http://exon.niaid.nih.gov/transcriptome/T_rubida/S2/links/netoglyc/TRIRU-266-netoglyc.txt","0")</f>
        <v>0</v>
      </c>
      <c r="AC269">
        <v>12.9</v>
      </c>
      <c r="AD269">
        <v>5.8</v>
      </c>
      <c r="AE269">
        <v>1.8</v>
      </c>
      <c r="AF269" s="17" t="s">
        <v>5</v>
      </c>
      <c r="AG269" s="2" t="str">
        <f>HYPERLINK("http://exon.niaid.nih.gov/transcriptome/T_rubida/S2/links/NR/Triru-266-NR.txt","hypothetical protein AaeL_AAEL008025")</f>
        <v>hypothetical protein AaeL_AAEL008025</v>
      </c>
      <c r="AH269" t="str">
        <f>HYPERLINK("http://www.ncbi.nlm.nih.gov/sutils/blink.cgi?pid=157117564","2E-043")</f>
        <v>2E-043</v>
      </c>
      <c r="AI269" t="str">
        <f>HYPERLINK("http://www.ncbi.nlm.nih.gov/protein/157117564","gi|157117564")</f>
        <v>gi|157117564</v>
      </c>
      <c r="AJ269">
        <v>179</v>
      </c>
      <c r="AK269">
        <v>126</v>
      </c>
      <c r="AL269">
        <v>296</v>
      </c>
      <c r="AM269">
        <v>62</v>
      </c>
      <c r="AN269">
        <v>43</v>
      </c>
      <c r="AO269" t="s">
        <v>191</v>
      </c>
      <c r="AP269" s="2" t="str">
        <f>HYPERLINK("http://exon.niaid.nih.gov/transcriptome/T_rubida/S2/links/SWISSP/Triru-266-SWISSP.txt","Uncharacterized protein C6orf136")</f>
        <v>Uncharacterized protein C6orf136</v>
      </c>
      <c r="AQ269" t="str">
        <f>HYPERLINK("http://www.uniprot.org/uniprot/Q5SQH8","2E-009")</f>
        <v>2E-009</v>
      </c>
      <c r="AR269" t="s">
        <v>261</v>
      </c>
      <c r="AS269">
        <v>62</v>
      </c>
      <c r="AT269">
        <v>95</v>
      </c>
      <c r="AU269">
        <v>315</v>
      </c>
      <c r="AV269">
        <v>33</v>
      </c>
      <c r="AW269">
        <v>30</v>
      </c>
      <c r="AX269">
        <v>68</v>
      </c>
      <c r="AY269">
        <v>7</v>
      </c>
      <c r="AZ269">
        <v>186</v>
      </c>
      <c r="BA269">
        <v>3</v>
      </c>
      <c r="BB269">
        <v>1</v>
      </c>
      <c r="BC269" t="s">
        <v>208</v>
      </c>
      <c r="BD269" s="2" t="s">
        <v>262</v>
      </c>
      <c r="BE269">
        <f>HYPERLINK("http://exon.niaid.nih.gov/transcriptome/T_rubida/S2/links/GO/Triru-266-GO.txt",0.000000001)</f>
        <v>1.0000000000000001E-9</v>
      </c>
      <c r="BF269" t="s">
        <v>5</v>
      </c>
      <c r="BG269" t="s">
        <v>5</v>
      </c>
      <c r="BH269" t="s">
        <v>5</v>
      </c>
      <c r="BI269" s="2" t="str">
        <f>HYPERLINK("http://exon.niaid.nih.gov/transcriptome/T_rubida/S2/links/CDD/Triru-266-CDD.txt","DUF2358")</f>
        <v>DUF2358</v>
      </c>
      <c r="BJ269" t="str">
        <f>HYPERLINK("http://www.ncbi.nlm.nih.gov/Structure/cdd/cddsrv.cgi?uid=pfam10184&amp;version=v4.0","7E-014")</f>
        <v>7E-014</v>
      </c>
      <c r="BK269" t="s">
        <v>263</v>
      </c>
      <c r="BL269" s="2" t="str">
        <f>HYPERLINK("http://exon.niaid.nih.gov/transcriptome/T_rubida/S2/links/KOG/Triru-266-KOG.txt","Uncharacterized conserved protein")</f>
        <v>Uncharacterized conserved protein</v>
      </c>
      <c r="BM269" t="str">
        <f>HYPERLINK("http://www.ncbi.nlm.nih.gov/COG/grace/shokog.cgi?KOG4457","7E-031")</f>
        <v>7E-031</v>
      </c>
      <c r="BN269" t="s">
        <v>264</v>
      </c>
      <c r="BO269" s="2" t="str">
        <f>HYPERLINK("http://exon.niaid.nih.gov/transcriptome/T_rubida/S2/links/PFAM/Triru-266-PFAM.txt","DUF2358")</f>
        <v>DUF2358</v>
      </c>
      <c r="BP269" t="str">
        <f>HYPERLINK("http://pfam.sanger.ac.uk/family?acc=PF10184","1E-014")</f>
        <v>1E-014</v>
      </c>
      <c r="BQ269" s="2" t="str">
        <f>HYPERLINK("http://exon.niaid.nih.gov/transcriptome/T_rubida/S2/links/SMART/Triru-266-SMART.txt","CY")</f>
        <v>CY</v>
      </c>
      <c r="BR269" t="str">
        <f>HYPERLINK("http://smart.embl-heidelberg.de/smart/do_annotation.pl?DOMAIN=CY&amp;BLAST=DUMMY","0.40")</f>
        <v>0.40</v>
      </c>
      <c r="BS269" s="17">
        <v>81</v>
      </c>
      <c r="BT269" s="1">
        <v>1</v>
      </c>
      <c r="BU269" s="17">
        <v>125</v>
      </c>
      <c r="BV269" s="1">
        <v>1</v>
      </c>
      <c r="BW269" s="17">
        <v>149</v>
      </c>
      <c r="BX269" s="1">
        <v>1</v>
      </c>
      <c r="BY269" s="17">
        <v>157</v>
      </c>
      <c r="BZ269" s="1">
        <v>1</v>
      </c>
      <c r="CA269" s="17">
        <v>161</v>
      </c>
      <c r="CB269" s="1">
        <v>1</v>
      </c>
      <c r="CC269" s="17">
        <v>165</v>
      </c>
      <c r="CD269" s="1">
        <v>1</v>
      </c>
      <c r="CE269" s="17">
        <v>170</v>
      </c>
      <c r="CF269" s="1">
        <v>1</v>
      </c>
      <c r="CG269" s="17">
        <v>172</v>
      </c>
      <c r="CH269" s="1">
        <v>1</v>
      </c>
      <c r="CI269" s="17">
        <v>179</v>
      </c>
      <c r="CJ269" s="1">
        <v>1</v>
      </c>
      <c r="CK269" s="17">
        <v>184</v>
      </c>
      <c r="CL269" s="1">
        <v>1</v>
      </c>
      <c r="CM269" s="17">
        <v>190</v>
      </c>
      <c r="CN269" s="1">
        <v>1</v>
      </c>
      <c r="CO269" s="17">
        <v>200</v>
      </c>
      <c r="CP269" s="1">
        <v>1</v>
      </c>
      <c r="CQ269" s="17">
        <v>210</v>
      </c>
      <c r="CR269" s="1">
        <v>1</v>
      </c>
      <c r="CS269" s="17">
        <v>215</v>
      </c>
      <c r="CT269" s="1">
        <v>1</v>
      </c>
      <c r="CU269" s="17">
        <v>226</v>
      </c>
      <c r="CV269" s="1">
        <v>1</v>
      </c>
    </row>
    <row r="270" spans="1:100">
      <c r="A270" t="str">
        <f>HYPERLINK("http://exon.niaid.nih.gov/transcriptome/T_rubida/S2/links/pep/Triru-157-pep.txt","Triru-157")</f>
        <v>Triru-157</v>
      </c>
      <c r="B270">
        <v>139</v>
      </c>
      <c r="C270" s="1" t="s">
        <v>17</v>
      </c>
      <c r="D270" s="1" t="s">
        <v>3</v>
      </c>
      <c r="E270" t="str">
        <f>HYPERLINK("http://exon.niaid.nih.gov/transcriptome/T_rubida/S2/links/cds/Triru-157-cds.txt","Triru-157")</f>
        <v>Triru-157</v>
      </c>
      <c r="F270">
        <v>420</v>
      </c>
      <c r="G270" s="2" t="s">
        <v>1726</v>
      </c>
      <c r="H270" s="1">
        <v>1</v>
      </c>
      <c r="I270" s="3" t="s">
        <v>1273</v>
      </c>
      <c r="J270" s="17" t="str">
        <f>HYPERLINK("http://exon.niaid.nih.gov/transcriptome/T_rubida/S2/links/Sigp/Triru-157-SigP.txt","CYT")</f>
        <v>CYT</v>
      </c>
      <c r="K270" t="s">
        <v>5</v>
      </c>
      <c r="L270" s="1">
        <v>16.077000000000002</v>
      </c>
      <c r="M270" s="1">
        <v>6.48</v>
      </c>
      <c r="P270" s="1">
        <v>0.129</v>
      </c>
      <c r="Q270" s="1">
        <v>0.16500000000000001</v>
      </c>
      <c r="R270" s="1">
        <v>0.77700000000000002</v>
      </c>
      <c r="S270" s="17" t="s">
        <v>1346</v>
      </c>
      <c r="T270">
        <v>2</v>
      </c>
      <c r="U270" t="s">
        <v>1473</v>
      </c>
      <c r="V270" s="17">
        <v>0</v>
      </c>
      <c r="W270" t="s">
        <v>5</v>
      </c>
      <c r="X270" t="s">
        <v>5</v>
      </c>
      <c r="Y270" t="s">
        <v>5</v>
      </c>
      <c r="Z270" t="s">
        <v>5</v>
      </c>
      <c r="AA270" t="s">
        <v>5</v>
      </c>
      <c r="AB270" s="17" t="str">
        <f>HYPERLINK("http://exon.niaid.nih.gov/transcriptome/T_rubida/S2/links/netoglyc/TRIRU-157-netoglyc.txt","1")</f>
        <v>1</v>
      </c>
      <c r="AC270">
        <v>8.6</v>
      </c>
      <c r="AD270">
        <v>3.6</v>
      </c>
      <c r="AE270">
        <v>7.2</v>
      </c>
      <c r="AF270" s="17" t="s">
        <v>5</v>
      </c>
      <c r="AG270" s="2" t="str">
        <f>HYPERLINK("http://exon.niaid.nih.gov/transcriptome/T_rubida/S2/links/NR/Triru-157-NR.txt","hypothetical protein SINV_05020")</f>
        <v>hypothetical protein SINV_05020</v>
      </c>
      <c r="AH270" t="str">
        <f>HYPERLINK("http://www.ncbi.nlm.nih.gov/sutils/blink.cgi?pid=322785125","2E-007")</f>
        <v>2E-007</v>
      </c>
      <c r="AI270" t="str">
        <f>HYPERLINK("http://www.ncbi.nlm.nih.gov/protein/322785125","gi|322785125")</f>
        <v>gi|322785125</v>
      </c>
      <c r="AJ270">
        <v>59.3</v>
      </c>
      <c r="AK270">
        <v>121</v>
      </c>
      <c r="AL270">
        <v>288</v>
      </c>
      <c r="AM270">
        <v>34</v>
      </c>
      <c r="AN270">
        <v>42</v>
      </c>
      <c r="AO270" t="s">
        <v>218</v>
      </c>
      <c r="AP270" s="2" t="str">
        <f>HYPERLINK("http://exon.niaid.nih.gov/transcriptome/T_rubida/S2/links/SWISSP/Triru-157-SWISSP.txt","Melanoma-associated antigen G1")</f>
        <v>Melanoma-associated antigen G1</v>
      </c>
      <c r="AQ270" t="str">
        <f>HYPERLINK("http://www.uniprot.org/uniprot/Q96MG7","4E-006")</f>
        <v>4E-006</v>
      </c>
      <c r="AR270" t="s">
        <v>1150</v>
      </c>
      <c r="AS270">
        <v>50.1</v>
      </c>
      <c r="AT270">
        <v>140</v>
      </c>
      <c r="AU270">
        <v>304</v>
      </c>
      <c r="AV270">
        <v>29</v>
      </c>
      <c r="AW270">
        <v>46</v>
      </c>
      <c r="AX270">
        <v>101</v>
      </c>
      <c r="AY270">
        <v>8</v>
      </c>
      <c r="AZ270">
        <v>149</v>
      </c>
      <c r="BA270">
        <v>3</v>
      </c>
      <c r="BB270">
        <v>1</v>
      </c>
      <c r="BC270" t="s">
        <v>208</v>
      </c>
      <c r="BD270" s="2" t="s">
        <v>1151</v>
      </c>
      <c r="BE270">
        <f>HYPERLINK("http://exon.niaid.nih.gov/transcriptome/T_rubida/S2/links/GO/Triru-157-GO.txt",0.000002)</f>
        <v>1.9999999999999999E-6</v>
      </c>
      <c r="BF270" t="s">
        <v>105</v>
      </c>
      <c r="BG270" t="s">
        <v>105</v>
      </c>
      <c r="BI270" s="2" t="str">
        <f>HYPERLINK("http://exon.niaid.nih.gov/transcriptome/T_rubida/S2/links/CDD/Triru-157-CDD.txt","MAGE")</f>
        <v>MAGE</v>
      </c>
      <c r="BJ270" t="str">
        <f>HYPERLINK("http://www.ncbi.nlm.nih.gov/Structure/cdd/cddsrv.cgi?uid=pfam01454&amp;version=v4.0","4E-008")</f>
        <v>4E-008</v>
      </c>
      <c r="BK270" t="s">
        <v>1152</v>
      </c>
      <c r="BL270" s="2" t="str">
        <f>HYPERLINK("http://exon.niaid.nih.gov/transcriptome/T_rubida/S2/links/KOG/Triru-157-KOG.txt","Uncharacterized conserved protein (tumor-rejection antigen MAGE in humans)")</f>
        <v>Uncharacterized conserved protein (tumor-rejection antigen MAGE in humans)</v>
      </c>
      <c r="BM270" t="str">
        <f>HYPERLINK("http://www.ncbi.nlm.nih.gov/COG/grace/shokog.cgi?KOG4562","4E-009")</f>
        <v>4E-009</v>
      </c>
      <c r="BN270" t="s">
        <v>264</v>
      </c>
      <c r="BO270" s="2" t="str">
        <f>HYPERLINK("http://exon.niaid.nih.gov/transcriptome/T_rubida/S2/links/PFAM/Triru-157-PFAM.txt","MAGE")</f>
        <v>MAGE</v>
      </c>
      <c r="BP270" t="str">
        <f>HYPERLINK("http://pfam.sanger.ac.uk/family?acc=PF01454","8E-009")</f>
        <v>8E-009</v>
      </c>
      <c r="BQ270" s="2" t="str">
        <f>HYPERLINK("http://exon.niaid.nih.gov/transcriptome/T_rubida/S2/links/SMART/Triru-157-SMART.txt","Amelin")</f>
        <v>Amelin</v>
      </c>
      <c r="BR270" t="str">
        <f>HYPERLINK("http://smart.embl-heidelberg.de/smart/do_annotation.pl?DOMAIN=Amelin&amp;BLAST=DUMMY","0.70")</f>
        <v>0.70</v>
      </c>
      <c r="BS270" s="17">
        <f>HYPERLINK("http://exon.niaid.nih.gov/transcriptome/T_rubida/S2/links/cluster/Triru-pep-ext25-50-Sim-CLU17.txt", 17)</f>
        <v>17</v>
      </c>
      <c r="BT270" s="1">
        <f>HYPERLINK("http://exon.niaid.nih.gov/transcriptome/T_rubida/S2/links/cluster/Triru-pep-ext25-50-Sim-CLTL17.txt", 2)</f>
        <v>2</v>
      </c>
      <c r="BU270" s="17">
        <v>84</v>
      </c>
      <c r="BV270" s="1">
        <v>1</v>
      </c>
      <c r="BW270" s="17">
        <v>95</v>
      </c>
      <c r="BX270" s="1">
        <v>1</v>
      </c>
      <c r="BY270" s="17">
        <v>98</v>
      </c>
      <c r="BZ270" s="1">
        <v>1</v>
      </c>
      <c r="CA270" s="17">
        <v>96</v>
      </c>
      <c r="CB270" s="1">
        <v>1</v>
      </c>
      <c r="CC270" s="17">
        <v>95</v>
      </c>
      <c r="CD270" s="1">
        <v>1</v>
      </c>
      <c r="CE270" s="17">
        <v>90</v>
      </c>
      <c r="CF270" s="1">
        <v>1</v>
      </c>
      <c r="CG270" s="17">
        <v>91</v>
      </c>
      <c r="CH270" s="1">
        <v>1</v>
      </c>
      <c r="CI270" s="17">
        <v>97</v>
      </c>
      <c r="CJ270" s="1">
        <v>1</v>
      </c>
      <c r="CK270" s="17">
        <v>101</v>
      </c>
      <c r="CL270" s="1">
        <v>1</v>
      </c>
      <c r="CM270" s="17">
        <v>106</v>
      </c>
      <c r="CN270" s="1">
        <v>1</v>
      </c>
      <c r="CO270" s="17">
        <v>114</v>
      </c>
      <c r="CP270" s="1">
        <v>1</v>
      </c>
      <c r="CQ270" s="17">
        <v>124</v>
      </c>
      <c r="CR270" s="1">
        <v>1</v>
      </c>
      <c r="CS270" s="17">
        <v>129</v>
      </c>
      <c r="CT270" s="1">
        <v>1</v>
      </c>
      <c r="CU270" s="17">
        <v>140</v>
      </c>
      <c r="CV270" s="1">
        <v>1</v>
      </c>
    </row>
    <row r="271" spans="1:100">
      <c r="A271" t="str">
        <f>HYPERLINK("http://exon.niaid.nih.gov/transcriptome/T_rubida/S2/links/pep/Triru-185-pep.txt","Triru-185")</f>
        <v>Triru-185</v>
      </c>
      <c r="B271">
        <v>74</v>
      </c>
      <c r="C271" s="1" t="s">
        <v>17</v>
      </c>
      <c r="D271" s="1" t="s">
        <v>3</v>
      </c>
      <c r="E271" t="str">
        <f>HYPERLINK("http://exon.niaid.nih.gov/transcriptome/T_rubida/S2/links/cds/Triru-185-cds.txt","Triru-185")</f>
        <v>Triru-185</v>
      </c>
      <c r="F271">
        <v>225</v>
      </c>
      <c r="G271" s="2" t="s">
        <v>1727</v>
      </c>
      <c r="H271" s="1">
        <v>1</v>
      </c>
      <c r="I271" s="3" t="s">
        <v>1273</v>
      </c>
      <c r="J271" s="17" t="str">
        <f>HYPERLINK("http://exon.niaid.nih.gov/transcriptome/T_rubida/S2/links/Sigp/Triru-185-SigP.txt","CYT")</f>
        <v>CYT</v>
      </c>
      <c r="K271" t="s">
        <v>5</v>
      </c>
      <c r="L271" s="1">
        <v>8.3490000000000002</v>
      </c>
      <c r="M271" s="1">
        <v>4.5999999999999996</v>
      </c>
      <c r="P271" s="1">
        <v>2.3E-2</v>
      </c>
      <c r="Q271" s="1">
        <v>0.91400000000000003</v>
      </c>
      <c r="R271" s="1">
        <v>0.17100000000000001</v>
      </c>
      <c r="S271" s="17" t="s">
        <v>18</v>
      </c>
      <c r="T271">
        <v>2</v>
      </c>
      <c r="U271" t="s">
        <v>1474</v>
      </c>
      <c r="V271" s="17" t="str">
        <f>HYPERLINK("http://exon.niaid.nih.gov/transcriptome/T_rubida/S2/links/tmhmm/TRIRU-185-tmhmm.txt","1")</f>
        <v>1</v>
      </c>
      <c r="W271">
        <v>29.7</v>
      </c>
      <c r="X271">
        <v>52.7</v>
      </c>
      <c r="Y271">
        <v>17.600000000000001</v>
      </c>
      <c r="Z271" t="s">
        <v>5</v>
      </c>
      <c r="AA271">
        <v>39</v>
      </c>
      <c r="AB271" s="17" t="str">
        <f>HYPERLINK("http://exon.niaid.nih.gov/transcriptome/T_rubida/S2/links/netoglyc/TRIRU-185-netoglyc.txt","2")</f>
        <v>2</v>
      </c>
      <c r="AC271">
        <v>10.8</v>
      </c>
      <c r="AD271">
        <v>10.8</v>
      </c>
      <c r="AE271">
        <v>6.8</v>
      </c>
      <c r="AF271" s="17" t="s">
        <v>5</v>
      </c>
      <c r="AG271" s="2" t="str">
        <f>HYPERLINK("http://exon.niaid.nih.gov/transcriptome/T_rubida/S2/links/NR/Triru-185-NR.txt","TM2 domain-containing protein 1-like")</f>
        <v>TM2 domain-containing protein 1-like</v>
      </c>
      <c r="AH271" t="str">
        <f>HYPERLINK("http://www.ncbi.nlm.nih.gov/sutils/blink.cgi?pid=242247445","5E-029")</f>
        <v>5E-029</v>
      </c>
      <c r="AI271" t="str">
        <f>HYPERLINK("http://www.ncbi.nlm.nih.gov/protein/242247445","gi|242247445")</f>
        <v>gi|242247445</v>
      </c>
      <c r="AJ271">
        <v>130</v>
      </c>
      <c r="AK271">
        <v>72</v>
      </c>
      <c r="AL271">
        <v>195</v>
      </c>
      <c r="AM271">
        <v>79</v>
      </c>
      <c r="AN271">
        <v>37</v>
      </c>
      <c r="AO271" t="s">
        <v>89</v>
      </c>
      <c r="AP271" s="2" t="str">
        <f>HYPERLINK("http://exon.niaid.nih.gov/transcriptome/T_rubida/S2/links/SWISSP/Triru-185-SWISSP.txt","TM2 domain-containing protein CG10795")</f>
        <v>TM2 domain-containing protein CG10795</v>
      </c>
      <c r="AQ271" t="str">
        <f>HYPERLINK("http://www.uniprot.org/uniprot/Q9W2H1","8E-026")</f>
        <v>8E-026</v>
      </c>
      <c r="AR271" t="s">
        <v>1082</v>
      </c>
      <c r="AS271">
        <v>115</v>
      </c>
      <c r="AT271">
        <v>72</v>
      </c>
      <c r="AU271">
        <v>178</v>
      </c>
      <c r="AV271">
        <v>76</v>
      </c>
      <c r="AW271">
        <v>41</v>
      </c>
      <c r="AX271">
        <v>17</v>
      </c>
      <c r="AY271">
        <v>0</v>
      </c>
      <c r="AZ271">
        <v>106</v>
      </c>
      <c r="BA271">
        <v>2</v>
      </c>
      <c r="BB271">
        <v>1</v>
      </c>
      <c r="BC271" t="s">
        <v>150</v>
      </c>
      <c r="BD271" s="2" t="s">
        <v>1083</v>
      </c>
      <c r="BE271">
        <f>HYPERLINK("http://exon.niaid.nih.gov/transcriptome/T_rubida/S2/links/GO/Triru-185-GO.txt",5E-26)</f>
        <v>5.0000000000000002E-26</v>
      </c>
      <c r="BF271" t="s">
        <v>105</v>
      </c>
      <c r="BG271" t="s">
        <v>105</v>
      </c>
      <c r="BI271" s="2" t="str">
        <f>HYPERLINK("http://exon.niaid.nih.gov/transcriptome/T_rubida/S2/links/CDD/Triru-185-CDD.txt","PHA01886")</f>
        <v>PHA01886</v>
      </c>
      <c r="BJ271" t="str">
        <f>HYPERLINK("http://www.ncbi.nlm.nih.gov/Structure/cdd/cddsrv.cgi?uid=PHA01886&amp;version=v4.0","0.001")</f>
        <v>0.001</v>
      </c>
      <c r="BK271" t="s">
        <v>1084</v>
      </c>
      <c r="BL271" s="2" t="str">
        <f>HYPERLINK("http://exon.niaid.nih.gov/transcriptome/T_rubida/S2/links/KOG/Triru-185-KOG.txt","Predicted GTP-binding protein")</f>
        <v>Predicted GTP-binding protein</v>
      </c>
      <c r="BM271" t="str">
        <f>HYPERLINK("http://www.ncbi.nlm.nih.gov/COG/grace/shokog.cgi?KOG4272","7E-017")</f>
        <v>7E-017</v>
      </c>
      <c r="BN271" t="s">
        <v>96</v>
      </c>
      <c r="BO271" s="2" t="str">
        <f>HYPERLINK("http://exon.niaid.nih.gov/transcriptome/T_rubida/S2/links/PFAM/Triru-185-PFAM.txt","TM2")</f>
        <v>TM2</v>
      </c>
      <c r="BP271" t="str">
        <f>HYPERLINK("http://pfam.sanger.ac.uk/family?acc=PF05154","2E-004")</f>
        <v>2E-004</v>
      </c>
      <c r="BQ271" s="2" t="str">
        <f>HYPERLINK("http://exon.niaid.nih.gov/transcriptome/T_rubida/S2/links/SMART/Triru-185-SMART.txt","PHB")</f>
        <v>PHB</v>
      </c>
      <c r="BR271" t="str">
        <f>HYPERLINK("http://smart.embl-heidelberg.de/smart/do_annotation.pl?DOMAIN=PHB&amp;BLAST=DUMMY","0.60")</f>
        <v>0.60</v>
      </c>
      <c r="BS271" s="17">
        <f>HYPERLINK("http://exon.niaid.nih.gov/transcriptome/T_rubida/S2/links/cluster/Triru-pep-ext25-50-Sim-CLU1.txt", 1)</f>
        <v>1</v>
      </c>
      <c r="BT271" s="1">
        <f>HYPERLINK("http://exon.niaid.nih.gov/transcriptome/T_rubida/S2/links/cluster/Triru-pep-ext25-50-Sim-CLTL1.txt", 359)</f>
        <v>359</v>
      </c>
      <c r="BU271" s="17">
        <v>97</v>
      </c>
      <c r="BV271" s="1">
        <v>1</v>
      </c>
      <c r="BW271" s="17">
        <v>110</v>
      </c>
      <c r="BX271" s="1">
        <v>1</v>
      </c>
      <c r="BY271" s="17">
        <v>114</v>
      </c>
      <c r="BZ271" s="1">
        <v>1</v>
      </c>
      <c r="CA271" s="17">
        <v>114</v>
      </c>
      <c r="CB271" s="1">
        <v>1</v>
      </c>
      <c r="CC271" s="17">
        <v>116</v>
      </c>
      <c r="CD271" s="1">
        <v>1</v>
      </c>
      <c r="CE271" s="17">
        <v>112</v>
      </c>
      <c r="CF271" s="1">
        <v>1</v>
      </c>
      <c r="CG271" s="17">
        <v>113</v>
      </c>
      <c r="CH271" s="1">
        <v>1</v>
      </c>
      <c r="CI271" s="17">
        <v>119</v>
      </c>
      <c r="CJ271" s="1">
        <v>1</v>
      </c>
      <c r="CK271" s="17">
        <v>124</v>
      </c>
      <c r="CL271" s="1">
        <v>1</v>
      </c>
      <c r="CM271" s="17">
        <v>130</v>
      </c>
      <c r="CN271" s="1">
        <v>1</v>
      </c>
      <c r="CO271" s="17">
        <v>140</v>
      </c>
      <c r="CP271" s="1">
        <v>1</v>
      </c>
      <c r="CQ271" s="17">
        <v>150</v>
      </c>
      <c r="CR271" s="1">
        <v>1</v>
      </c>
      <c r="CS271" s="17">
        <v>155</v>
      </c>
      <c r="CT271" s="1">
        <v>1</v>
      </c>
      <c r="CU271" s="17">
        <v>166</v>
      </c>
      <c r="CV271" s="1">
        <v>1</v>
      </c>
    </row>
    <row r="272" spans="1:100">
      <c r="A272" t="str">
        <f>HYPERLINK("http://exon.niaid.nih.gov/transcriptome/T_rubida/S2/links/pep/Triru-530-pep.txt","Triru-530")</f>
        <v>Triru-530</v>
      </c>
      <c r="B272">
        <v>110</v>
      </c>
      <c r="C272" s="1" t="s">
        <v>6</v>
      </c>
      <c r="D272" s="1" t="s">
        <v>3</v>
      </c>
      <c r="E272" t="str">
        <f>HYPERLINK("http://exon.niaid.nih.gov/transcriptome/T_rubida/S2/links/cds/Triru-530-cds.txt","Triru-530")</f>
        <v>Triru-530</v>
      </c>
      <c r="F272">
        <v>333</v>
      </c>
      <c r="G272" s="2" t="s">
        <v>1728</v>
      </c>
      <c r="H272" s="1">
        <v>1</v>
      </c>
      <c r="I272" s="3" t="s">
        <v>1273</v>
      </c>
      <c r="J272" s="17" t="str">
        <f>HYPERLINK("http://exon.niaid.nih.gov/transcriptome/T_rubida/S2/links/Sigp/Triru-530-SigP.txt","CYT")</f>
        <v>CYT</v>
      </c>
      <c r="K272" t="s">
        <v>5</v>
      </c>
      <c r="L272" s="1">
        <v>12.516999999999999</v>
      </c>
      <c r="M272" s="1">
        <v>9.1</v>
      </c>
      <c r="P272" s="1">
        <v>0.125</v>
      </c>
      <c r="Q272" s="1">
        <v>9.4E-2</v>
      </c>
      <c r="R272" s="1">
        <v>0.85</v>
      </c>
      <c r="S272" s="17" t="s">
        <v>1346</v>
      </c>
      <c r="T272">
        <v>2</v>
      </c>
      <c r="U272" t="s">
        <v>1348</v>
      </c>
      <c r="V272" s="17">
        <v>0</v>
      </c>
      <c r="W272" t="s">
        <v>5</v>
      </c>
      <c r="X272" t="s">
        <v>5</v>
      </c>
      <c r="Y272" t="s">
        <v>5</v>
      </c>
      <c r="Z272" t="s">
        <v>5</v>
      </c>
      <c r="AA272" t="s">
        <v>5</v>
      </c>
      <c r="AB272" s="17" t="str">
        <f>HYPERLINK("http://exon.niaid.nih.gov/transcriptome/T_rubida/S2/links/netoglyc/TRIRU-530-netoglyc.txt","1")</f>
        <v>1</v>
      </c>
      <c r="AC272">
        <v>4.5</v>
      </c>
      <c r="AD272">
        <v>14.5</v>
      </c>
      <c r="AE272">
        <v>5.5</v>
      </c>
      <c r="AF272" s="17" t="s">
        <v>1475</v>
      </c>
      <c r="AG272" s="2" t="str">
        <f>HYPERLINK("http://exon.niaid.nih.gov/transcriptome/T_rubida/S2/links/NR/Triru-530-NR.txt","Plasminogen activator inhibitor 1 RNA-binding protein")</f>
        <v>Plasminogen activator inhibitor 1 RNA-binding protein</v>
      </c>
      <c r="AH272" t="str">
        <f>HYPERLINK("http://www.ncbi.nlm.nih.gov/sutils/blink.cgi?pid=332023820","5E-016")</f>
        <v>5E-016</v>
      </c>
      <c r="AI272" t="str">
        <f>HYPERLINK("http://www.ncbi.nlm.nih.gov/protein/332023820","gi|332023820")</f>
        <v>gi|332023820</v>
      </c>
      <c r="AJ272">
        <v>87.8</v>
      </c>
      <c r="AK272">
        <v>112</v>
      </c>
      <c r="AL272">
        <v>389</v>
      </c>
      <c r="AM272">
        <v>49</v>
      </c>
      <c r="AN272">
        <v>29</v>
      </c>
      <c r="AO272" t="s">
        <v>300</v>
      </c>
      <c r="AP272" s="2" t="str">
        <f>HYPERLINK("http://exon.niaid.nih.gov/transcriptome/T_rubida/S2/links/SWISSP/Triru-530-SWISSP.txt","Plasminogen activator inhibitor 1 RNA-binding protein")</f>
        <v>Plasminogen activator inhibitor 1 RNA-binding protein</v>
      </c>
      <c r="AQ272" t="str">
        <f>HYPERLINK("http://www.uniprot.org/uniprot/Q6AXS5","7E-006")</f>
        <v>7E-006</v>
      </c>
      <c r="AR272" t="s">
        <v>606</v>
      </c>
      <c r="AS272">
        <v>49.3</v>
      </c>
      <c r="AT272">
        <v>263</v>
      </c>
      <c r="AU272">
        <v>407</v>
      </c>
      <c r="AV272">
        <v>32</v>
      </c>
      <c r="AW272">
        <v>65</v>
      </c>
      <c r="AX272">
        <v>72</v>
      </c>
      <c r="AY272">
        <v>7</v>
      </c>
      <c r="AZ272">
        <v>143</v>
      </c>
      <c r="BA272">
        <v>4</v>
      </c>
      <c r="BB272">
        <v>2</v>
      </c>
      <c r="BC272" t="s">
        <v>130</v>
      </c>
      <c r="BD272" s="2" t="s">
        <v>607</v>
      </c>
      <c r="BE272">
        <f>HYPERLINK("http://exon.niaid.nih.gov/transcriptome/T_rubida/S2/links/GO/Triru-530-GO.txt",0.000000003)</f>
        <v>3E-9</v>
      </c>
      <c r="BF272" t="s">
        <v>323</v>
      </c>
      <c r="BG272" t="s">
        <v>153</v>
      </c>
      <c r="BH272" t="s">
        <v>154</v>
      </c>
      <c r="BI272" s="2" t="str">
        <f>HYPERLINK("http://exon.niaid.nih.gov/transcriptome/T_rubida/S2/links/CDD/Triru-530-CDD.txt","PRK04537")</f>
        <v>PRK04537</v>
      </c>
      <c r="BJ272" t="str">
        <f>HYPERLINK("http://www.ncbi.nlm.nih.gov/Structure/cdd/cddsrv.cgi?uid=PRK04537&amp;version=v4.0","0.001")</f>
        <v>0.001</v>
      </c>
      <c r="BK272" t="s">
        <v>608</v>
      </c>
      <c r="BL272" s="2" t="str">
        <f>HYPERLINK("http://exon.niaid.nih.gov/transcriptome/T_rubida/S2/links/KOG/Triru-530-KOG.txt","Predicted RNA-binding protein")</f>
        <v>Predicted RNA-binding protein</v>
      </c>
      <c r="BM272" t="str">
        <f>HYPERLINK("http://www.ncbi.nlm.nih.gov/COG/grace/shokog.cgi?KOG2945","0.10")</f>
        <v>0.10</v>
      </c>
      <c r="BN272" t="s">
        <v>96</v>
      </c>
      <c r="BO272" s="2" t="str">
        <f>HYPERLINK("http://exon.niaid.nih.gov/transcriptome/T_rubida/S2/links/PFAM/Triru-530-PFAM.txt","DUF687")</f>
        <v>DUF687</v>
      </c>
      <c r="BP272" t="str">
        <f>HYPERLINK("http://pfam.sanger.ac.uk/family?acc=PF05095","1.3")</f>
        <v>1.3</v>
      </c>
      <c r="BQ272" s="2" t="str">
        <f>HYPERLINK("http://exon.niaid.nih.gov/transcriptome/T_rubida/S2/links/SMART/Triru-530-SMART.txt","alkPPc")</f>
        <v>alkPPc</v>
      </c>
      <c r="BR272" t="str">
        <f>HYPERLINK("http://smart.embl-heidelberg.de/smart/do_annotation.pl?DOMAIN=alkPPc&amp;BLAST=DUMMY","0.018")</f>
        <v>0.018</v>
      </c>
      <c r="BS272" s="17">
        <f>HYPERLINK("http://exon.niaid.nih.gov/transcriptome/T_rubida/S2/links/cluster/Triru-pep-ext25-50-Sim-CLU31.txt", 31)</f>
        <v>31</v>
      </c>
      <c r="BT272" s="1">
        <f>HYPERLINK("http://exon.niaid.nih.gov/transcriptome/T_rubida/S2/links/cluster/Triru-pep-ext25-50-Sim-CLTL31.txt", 2)</f>
        <v>2</v>
      </c>
      <c r="BU272" s="17">
        <f>HYPERLINK("http://exon.niaid.nih.gov/transcriptome/T_rubida/S2/links/cluster/Triru-pep-ext30-50-Sim-CLU43.txt", 43)</f>
        <v>43</v>
      </c>
      <c r="BV272" s="1">
        <f>HYPERLINK("http://exon.niaid.nih.gov/transcriptome/T_rubida/S2/links/cluster/Triru-pep-ext30-50-Sim-CLTL43.txt", 2)</f>
        <v>2</v>
      </c>
      <c r="BW272" s="17">
        <f>HYPERLINK("http://exon.niaid.nih.gov/transcriptome/T_rubida/S2/links/cluster/Triru-pep-ext35-50-Sim-CLU42.txt", 42)</f>
        <v>42</v>
      </c>
      <c r="BX272" s="1">
        <f>HYPERLINK("http://exon.niaid.nih.gov/transcriptome/T_rubida/S2/links/cluster/Triru-pep-ext35-50-Sim-CLTL42.txt", 2)</f>
        <v>2</v>
      </c>
      <c r="BY272" s="17">
        <v>335</v>
      </c>
      <c r="BZ272" s="1">
        <v>1</v>
      </c>
      <c r="CA272" s="17">
        <v>347</v>
      </c>
      <c r="CB272" s="1">
        <v>1</v>
      </c>
      <c r="CC272" s="17">
        <v>359</v>
      </c>
      <c r="CD272" s="1">
        <v>1</v>
      </c>
      <c r="CE272" s="17">
        <v>374</v>
      </c>
      <c r="CF272" s="1">
        <v>1</v>
      </c>
      <c r="CG272" s="17">
        <v>380</v>
      </c>
      <c r="CH272" s="1">
        <v>1</v>
      </c>
      <c r="CI272" s="17">
        <v>392</v>
      </c>
      <c r="CJ272" s="1">
        <v>1</v>
      </c>
      <c r="CK272" s="17">
        <v>398</v>
      </c>
      <c r="CL272" s="1">
        <v>1</v>
      </c>
      <c r="CM272" s="17">
        <v>407</v>
      </c>
      <c r="CN272" s="1">
        <v>1</v>
      </c>
      <c r="CO272" s="17">
        <v>419</v>
      </c>
      <c r="CP272" s="1">
        <v>1</v>
      </c>
      <c r="CQ272" s="17">
        <v>429</v>
      </c>
      <c r="CR272" s="1">
        <v>1</v>
      </c>
      <c r="CS272" s="17">
        <v>442</v>
      </c>
      <c r="CT272" s="1">
        <v>1</v>
      </c>
      <c r="CU272" s="17">
        <v>453</v>
      </c>
      <c r="CV272" s="1">
        <v>1</v>
      </c>
    </row>
    <row r="273" spans="1:100">
      <c r="A273" t="str">
        <f>HYPERLINK("http://exon.niaid.nih.gov/transcriptome/T_rubida/S2/links/pep/Triru-503-pep.txt","Triru-503")</f>
        <v>Triru-503</v>
      </c>
      <c r="B273">
        <v>145</v>
      </c>
      <c r="C273" s="1" t="s">
        <v>23</v>
      </c>
      <c r="D273" s="1" t="s">
        <v>3</v>
      </c>
      <c r="E273" t="str">
        <f>HYPERLINK("http://exon.niaid.nih.gov/transcriptome/T_rubida/S2/links/cds/Triru-503-cds.txt","Triru-503")</f>
        <v>Triru-503</v>
      </c>
      <c r="F273">
        <v>438</v>
      </c>
      <c r="G273" s="2" t="s">
        <v>1729</v>
      </c>
      <c r="H273" s="1">
        <v>1</v>
      </c>
      <c r="I273" s="3" t="s">
        <v>1273</v>
      </c>
      <c r="J273" s="17" t="str">
        <f>HYPERLINK("http://exon.niaid.nih.gov/transcriptome/T_rubida/S2/links/Sigp/Triru-503-SigP.txt","BL/ANC")</f>
        <v>BL/ANC</v>
      </c>
      <c r="K273" t="s">
        <v>5</v>
      </c>
      <c r="L273" s="1">
        <v>16.337</v>
      </c>
      <c r="M273" s="1">
        <v>9.6199999999999992</v>
      </c>
      <c r="P273" s="1">
        <v>0.216</v>
      </c>
      <c r="Q273" s="1">
        <v>2.7E-2</v>
      </c>
      <c r="R273" s="1">
        <v>0.88900000000000001</v>
      </c>
      <c r="S273" s="17" t="s">
        <v>1346</v>
      </c>
      <c r="T273">
        <v>2</v>
      </c>
      <c r="U273" t="s">
        <v>1476</v>
      </c>
      <c r="V273" s="17" t="str">
        <f>HYPERLINK("http://exon.niaid.nih.gov/transcriptome/T_rubida/S2/links/tmhmm/TRIRU-503-tmhmm.txt","1")</f>
        <v>1</v>
      </c>
      <c r="W273">
        <v>15.2</v>
      </c>
      <c r="X273">
        <v>58.6</v>
      </c>
      <c r="Y273">
        <v>26.2</v>
      </c>
      <c r="Z273" t="s">
        <v>5</v>
      </c>
      <c r="AA273">
        <v>38</v>
      </c>
      <c r="AB273" s="17" t="str">
        <f>HYPERLINK("http://exon.niaid.nih.gov/transcriptome/T_rubida/S2/links/netoglyc/TRIRU-503-netoglyc.txt","0")</f>
        <v>0</v>
      </c>
      <c r="AC273">
        <v>22.1</v>
      </c>
      <c r="AD273">
        <v>5.5</v>
      </c>
      <c r="AE273">
        <v>2.1</v>
      </c>
      <c r="AF273" s="17" t="s">
        <v>1477</v>
      </c>
      <c r="AG273" s="2" t="str">
        <f>HYPERLINK("http://exon.niaid.nih.gov/transcriptome/T_rubida/S2/links/NR/Triru-503-NR.txt","hypothetical protein LOC100169340")</f>
        <v>hypothetical protein LOC100169340</v>
      </c>
      <c r="AH273" t="str">
        <f>HYPERLINK("http://www.ncbi.nlm.nih.gov/sutils/blink.cgi?pid=193676548","1E-036")</f>
        <v>1E-036</v>
      </c>
      <c r="AI273" t="str">
        <f>HYPERLINK("http://www.ncbi.nlm.nih.gov/protein/193676548","gi|193676548")</f>
        <v>gi|193676548</v>
      </c>
      <c r="AJ273">
        <v>155</v>
      </c>
      <c r="AK273">
        <v>147</v>
      </c>
      <c r="AL273">
        <v>678</v>
      </c>
      <c r="AM273">
        <v>55</v>
      </c>
      <c r="AN273">
        <v>22</v>
      </c>
      <c r="AO273" t="s">
        <v>89</v>
      </c>
      <c r="AP273" s="2" t="str">
        <f>HYPERLINK("http://exon.niaid.nih.gov/transcriptome/T_rubida/S2/links/SWISSP/Triru-503-SWISSP.txt","Chromosomal replication initiator protein DnaA")</f>
        <v>Chromosomal replication initiator protein DnaA</v>
      </c>
      <c r="AQ273" t="str">
        <f>HYPERLINK("http://www.uniprot.org/uniprot/C0ZLE1","0.95")</f>
        <v>0.95</v>
      </c>
      <c r="AR273" t="s">
        <v>278</v>
      </c>
      <c r="AS273">
        <v>32.299999999999997</v>
      </c>
      <c r="AT273">
        <v>70</v>
      </c>
      <c r="AU273">
        <v>520</v>
      </c>
      <c r="AV273">
        <v>31</v>
      </c>
      <c r="AW273">
        <v>14</v>
      </c>
      <c r="AX273">
        <v>49</v>
      </c>
      <c r="AY273">
        <v>2</v>
      </c>
      <c r="AZ273">
        <v>106</v>
      </c>
      <c r="BA273">
        <v>2</v>
      </c>
      <c r="BB273">
        <v>1</v>
      </c>
      <c r="BC273" t="s">
        <v>279</v>
      </c>
      <c r="BD273" s="2" t="s">
        <v>280</v>
      </c>
      <c r="BE273">
        <f>HYPERLINK("http://exon.niaid.nih.gov/transcriptome/T_rubida/S2/links/GO/Triru-503-GO.txt",0.000000000000000001)</f>
        <v>1.0000000000000001E-18</v>
      </c>
      <c r="BF273" t="s">
        <v>5</v>
      </c>
      <c r="BG273" t="s">
        <v>5</v>
      </c>
      <c r="BH273" t="s">
        <v>5</v>
      </c>
      <c r="BI273" s="2" t="str">
        <f>HYPERLINK("http://exon.niaid.nih.gov/transcriptome/T_rubida/S2/links/CDD/Triru-503-CDD.txt","Herpes_glycop")</f>
        <v>Herpes_glycop</v>
      </c>
      <c r="BJ273" t="str">
        <f>HYPERLINK("http://www.ncbi.nlm.nih.gov/Structure/cdd/cddsrv.cgi?uid=pfam01528&amp;version=v4.0","0.18")</f>
        <v>0.18</v>
      </c>
      <c r="BK273" t="s">
        <v>281</v>
      </c>
      <c r="BL273" s="2" t="str">
        <f>HYPERLINK("http://exon.niaid.nih.gov/transcriptome/T_rubida/S2/links/KOG/Triru-503-KOG.txt","rRNA processing protein RRP7")</f>
        <v>rRNA processing protein RRP7</v>
      </c>
      <c r="BM273" t="str">
        <f>HYPERLINK("http://www.ncbi.nlm.nih.gov/COG/grace/shokog.cgi?KOG4008","8.6")</f>
        <v>8.6</v>
      </c>
      <c r="BN273" t="s">
        <v>206</v>
      </c>
      <c r="BO273" s="2" t="str">
        <f>HYPERLINK("http://exon.niaid.nih.gov/transcriptome/T_rubida/S2/links/PFAM/Triru-503-PFAM.txt","Herpes_glycop")</f>
        <v>Herpes_glycop</v>
      </c>
      <c r="BP273" t="str">
        <f>HYPERLINK("http://pfam.sanger.ac.uk/family?acc=PF01528","0.038")</f>
        <v>0.038</v>
      </c>
      <c r="BQ273" s="2" t="str">
        <f>HYPERLINK("http://exon.niaid.nih.gov/transcriptome/T_rubida/S2/links/SMART/Triru-503-SMART.txt","PLAc")</f>
        <v>PLAc</v>
      </c>
      <c r="BR273" t="str">
        <f>HYPERLINK("http://smart.embl-heidelberg.de/smart/do_annotation.pl?DOMAIN=PLAc&amp;BLAST=DUMMY","0.87")</f>
        <v>0.87</v>
      </c>
      <c r="BS273" s="17">
        <v>153</v>
      </c>
      <c r="BT273" s="1">
        <v>1</v>
      </c>
      <c r="BU273" s="17">
        <v>228</v>
      </c>
      <c r="BV273" s="1">
        <v>1</v>
      </c>
      <c r="BW273" s="17">
        <v>292</v>
      </c>
      <c r="BX273" s="1">
        <v>1</v>
      </c>
      <c r="BY273" s="17">
        <v>318</v>
      </c>
      <c r="BZ273" s="1">
        <v>1</v>
      </c>
      <c r="CA273" s="17">
        <v>328</v>
      </c>
      <c r="CB273" s="1">
        <v>1</v>
      </c>
      <c r="CC273" s="17">
        <v>340</v>
      </c>
      <c r="CD273" s="1">
        <v>1</v>
      </c>
      <c r="CE273" s="17">
        <v>352</v>
      </c>
      <c r="CF273" s="1">
        <v>1</v>
      </c>
      <c r="CG273" s="17">
        <v>358</v>
      </c>
      <c r="CH273" s="1">
        <v>1</v>
      </c>
      <c r="CI273" s="17">
        <v>369</v>
      </c>
      <c r="CJ273" s="1">
        <v>1</v>
      </c>
      <c r="CK273" s="17">
        <v>375</v>
      </c>
      <c r="CL273" s="1">
        <v>1</v>
      </c>
      <c r="CM273" s="17">
        <v>383</v>
      </c>
      <c r="CN273" s="1">
        <v>1</v>
      </c>
      <c r="CO273" s="17">
        <v>395</v>
      </c>
      <c r="CP273" s="1">
        <v>1</v>
      </c>
      <c r="CQ273" s="17">
        <v>405</v>
      </c>
      <c r="CR273" s="1">
        <v>1</v>
      </c>
      <c r="CS273" s="17">
        <v>418</v>
      </c>
      <c r="CT273" s="1">
        <v>1</v>
      </c>
      <c r="CU273" s="17">
        <v>429</v>
      </c>
      <c r="CV273" s="1">
        <v>1</v>
      </c>
    </row>
    <row r="274" spans="1:100">
      <c r="A274" t="str">
        <f>HYPERLINK("http://exon.niaid.nih.gov/transcriptome/T_rubida/S2/links/pep/Triru-438-pep.txt","Triru-438")</f>
        <v>Triru-438</v>
      </c>
      <c r="B274">
        <v>78</v>
      </c>
      <c r="C274" s="1" t="s">
        <v>15</v>
      </c>
      <c r="D274" s="1" t="s">
        <v>3</v>
      </c>
      <c r="E274" t="str">
        <f>HYPERLINK("http://exon.niaid.nih.gov/transcriptome/T_rubida/S2/links/cds/Triru-438-cds.txt","Triru-438")</f>
        <v>Triru-438</v>
      </c>
      <c r="F274">
        <v>237</v>
      </c>
      <c r="G274" s="2" t="s">
        <v>1730</v>
      </c>
      <c r="H274" s="1">
        <v>1</v>
      </c>
      <c r="I274" s="3" t="s">
        <v>1273</v>
      </c>
      <c r="J274" s="17" t="str">
        <f>HYPERLINK("http://exon.niaid.nih.gov/transcriptome/T_rubida/S2/links/Sigp/Triru-438-SigP.txt","CYT")</f>
        <v>CYT</v>
      </c>
      <c r="K274" t="s">
        <v>5</v>
      </c>
      <c r="L274" s="1">
        <v>8.718</v>
      </c>
      <c r="M274" s="1">
        <v>8.81</v>
      </c>
      <c r="P274" s="1">
        <v>0.151</v>
      </c>
      <c r="Q274" s="1">
        <v>0.13600000000000001</v>
      </c>
      <c r="R274" s="1">
        <v>0.76200000000000001</v>
      </c>
      <c r="S274" s="17" t="s">
        <v>1346</v>
      </c>
      <c r="T274">
        <v>2</v>
      </c>
      <c r="U274" t="s">
        <v>1350</v>
      </c>
      <c r="V274" s="17">
        <v>0</v>
      </c>
      <c r="W274" t="s">
        <v>5</v>
      </c>
      <c r="X274" t="s">
        <v>5</v>
      </c>
      <c r="Y274" t="s">
        <v>5</v>
      </c>
      <c r="Z274" t="s">
        <v>5</v>
      </c>
      <c r="AA274" t="s">
        <v>5</v>
      </c>
      <c r="AB274" s="17" t="str">
        <f>HYPERLINK("http://exon.niaid.nih.gov/transcriptome/T_rubida/S2/links/netoglyc/TRIRU-438-netoglyc.txt","0")</f>
        <v>0</v>
      </c>
      <c r="AC274">
        <v>6.4</v>
      </c>
      <c r="AD274">
        <v>6.4</v>
      </c>
      <c r="AE274">
        <v>5.0999999999999996</v>
      </c>
      <c r="AF274" s="17" t="s">
        <v>5</v>
      </c>
      <c r="AG274" s="2" t="str">
        <f>HYPERLINK("http://exon.niaid.nih.gov/transcriptome/T_rubida/S2/links/NR/Triru-438-NR.txt","protein midA homolog, mitochondrial-like")</f>
        <v>protein midA homolog, mitochondrial-like</v>
      </c>
      <c r="AH274" t="str">
        <f>HYPERLINK("http://www.ncbi.nlm.nih.gov/sutils/blink.cgi?pid=328789699","2E-016")</f>
        <v>2E-016</v>
      </c>
      <c r="AI274" t="str">
        <f>HYPERLINK("http://www.ncbi.nlm.nih.gov/protein/328789699","gi|328789699")</f>
        <v>gi|328789699</v>
      </c>
      <c r="AJ274">
        <v>89</v>
      </c>
      <c r="AK274">
        <v>75</v>
      </c>
      <c r="AL274">
        <v>389</v>
      </c>
      <c r="AM274">
        <v>54</v>
      </c>
      <c r="AN274">
        <v>20</v>
      </c>
      <c r="AO274" t="s">
        <v>302</v>
      </c>
      <c r="AP274" s="2" t="str">
        <f>HYPERLINK("http://exon.niaid.nih.gov/transcriptome/T_rubida/S2/links/SWISSP/Triru-438-SWISSP.txt","Protein midA homolog, mitochondrial")</f>
        <v>Protein midA homolog, mitochondrial</v>
      </c>
      <c r="AQ274" t="str">
        <f>HYPERLINK("http://www.uniprot.org/uniprot/Q5BKM6","2E-010")</f>
        <v>2E-010</v>
      </c>
      <c r="AR274" t="s">
        <v>792</v>
      </c>
      <c r="AS274">
        <v>64.7</v>
      </c>
      <c r="AT274">
        <v>72</v>
      </c>
      <c r="AU274">
        <v>430</v>
      </c>
      <c r="AV274">
        <v>47</v>
      </c>
      <c r="AW274">
        <v>17</v>
      </c>
      <c r="AX274">
        <v>39</v>
      </c>
      <c r="AY274">
        <v>1</v>
      </c>
      <c r="AZ274">
        <v>352</v>
      </c>
      <c r="BA274">
        <v>4</v>
      </c>
      <c r="BB274">
        <v>1</v>
      </c>
      <c r="BC274" t="s">
        <v>357</v>
      </c>
      <c r="BD274" s="2" t="s">
        <v>793</v>
      </c>
      <c r="BE274">
        <f>HYPERLINK("http://exon.niaid.nih.gov/transcriptome/T_rubida/S2/links/GO/Triru-438-GO.txt",0.0000000002)</f>
        <v>2.0000000000000001E-10</v>
      </c>
      <c r="BF274" t="s">
        <v>794</v>
      </c>
      <c r="BG274" t="s">
        <v>153</v>
      </c>
      <c r="BH274" t="s">
        <v>174</v>
      </c>
      <c r="BI274" s="2" t="str">
        <f>HYPERLINK("http://exon.niaid.nih.gov/transcriptome/T_rubida/S2/links/CDD/Triru-438-CDD.txt","COG1565")</f>
        <v>COG1565</v>
      </c>
      <c r="BJ274" t="str">
        <f>HYPERLINK("http://www.ncbi.nlm.nih.gov/Structure/cdd/cddsrv.cgi?uid=COG1565&amp;version=v4.0","0.22")</f>
        <v>0.22</v>
      </c>
      <c r="BK274" t="s">
        <v>795</v>
      </c>
      <c r="BL274" s="2" t="str">
        <f>HYPERLINK("http://exon.niaid.nih.gov/transcriptome/T_rubida/S2/links/KOG/Triru-438-KOG.txt","Uncharacterized conserved protein")</f>
        <v>Uncharacterized conserved protein</v>
      </c>
      <c r="BM274" t="str">
        <f>HYPERLINK("http://www.ncbi.nlm.nih.gov/COG/grace/shokog.cgi?KOG2901","1E-013")</f>
        <v>1E-013</v>
      </c>
      <c r="BN274" t="s">
        <v>264</v>
      </c>
      <c r="BO274" s="2" t="str">
        <f>HYPERLINK("http://exon.niaid.nih.gov/transcriptome/T_rubida/S2/links/PFAM/Triru-438-PFAM.txt","Glucan_synthase")</f>
        <v>Glucan_synthase</v>
      </c>
      <c r="BP274" t="str">
        <f>HYPERLINK("http://pfam.sanger.ac.uk/family?acc=PF02364","0.97")</f>
        <v>0.97</v>
      </c>
      <c r="BQ274" s="2" t="str">
        <f>HYPERLINK("http://exon.niaid.nih.gov/transcriptome/T_rubida/S2/links/SMART/Triru-438-SMART.txt","Adenylsucc_synt")</f>
        <v>Adenylsucc_synt</v>
      </c>
      <c r="BR274" t="str">
        <f>HYPERLINK("http://smart.embl-heidelberg.de/smart/do_annotation.pl?DOMAIN=Adenylsucc_synt&amp;BLAST=DUMMY","0.69")</f>
        <v>0.69</v>
      </c>
      <c r="BS274" s="17">
        <v>135</v>
      </c>
      <c r="BT274" s="1">
        <v>1</v>
      </c>
      <c r="BU274" s="17">
        <v>200</v>
      </c>
      <c r="BV274" s="1">
        <v>1</v>
      </c>
      <c r="BW274" s="17">
        <v>253</v>
      </c>
      <c r="BX274" s="1">
        <v>1</v>
      </c>
      <c r="BY274" s="17">
        <v>273</v>
      </c>
      <c r="BZ274" s="1">
        <v>1</v>
      </c>
      <c r="CA274" s="17">
        <v>282</v>
      </c>
      <c r="CB274" s="1">
        <v>1</v>
      </c>
      <c r="CC274" s="17">
        <v>290</v>
      </c>
      <c r="CD274" s="1">
        <v>1</v>
      </c>
      <c r="CE274" s="17">
        <v>300</v>
      </c>
      <c r="CF274" s="1">
        <v>1</v>
      </c>
      <c r="CG274" s="17">
        <v>304</v>
      </c>
      <c r="CH274" s="1">
        <v>1</v>
      </c>
      <c r="CI274" s="17">
        <v>314</v>
      </c>
      <c r="CJ274" s="1">
        <v>1</v>
      </c>
      <c r="CK274" s="17">
        <v>320</v>
      </c>
      <c r="CL274" s="1">
        <v>1</v>
      </c>
      <c r="CM274" s="17">
        <v>328</v>
      </c>
      <c r="CN274" s="1">
        <v>1</v>
      </c>
      <c r="CO274" s="17">
        <v>340</v>
      </c>
      <c r="CP274" s="1">
        <v>1</v>
      </c>
      <c r="CQ274" s="17">
        <v>350</v>
      </c>
      <c r="CR274" s="1">
        <v>1</v>
      </c>
      <c r="CS274" s="17">
        <v>362</v>
      </c>
      <c r="CT274" s="1">
        <v>1</v>
      </c>
      <c r="CU274" s="17">
        <v>373</v>
      </c>
      <c r="CV274" s="1">
        <v>1</v>
      </c>
    </row>
    <row r="275" spans="1:100">
      <c r="A275" t="str">
        <f>HYPERLINK("http://exon.niaid.nih.gov/transcriptome/T_rubida/S2/links/pep/Triru-326-pep.txt","Triru-326")</f>
        <v>Triru-326</v>
      </c>
      <c r="B275">
        <v>112</v>
      </c>
      <c r="C275" s="1" t="s">
        <v>4</v>
      </c>
      <c r="D275" s="1" t="s">
        <v>3</v>
      </c>
      <c r="E275" t="str">
        <f>HYPERLINK("http://exon.niaid.nih.gov/transcriptome/T_rubida/S2/links/cds/Triru-326-cds.txt","Triru-326")</f>
        <v>Triru-326</v>
      </c>
      <c r="F275">
        <v>339</v>
      </c>
      <c r="G275" s="2" t="s">
        <v>1731</v>
      </c>
      <c r="H275" s="1">
        <v>1</v>
      </c>
      <c r="I275" s="3" t="s">
        <v>1273</v>
      </c>
      <c r="J275" s="17" t="str">
        <f>HYPERLINK("http://exon.niaid.nih.gov/transcriptome/T_rubida/S2/links/Sigp/Triru-326-SigP.txt","CYT")</f>
        <v>CYT</v>
      </c>
      <c r="K275" t="s">
        <v>5</v>
      </c>
      <c r="L275" s="1">
        <v>12.02</v>
      </c>
      <c r="M275" s="1">
        <v>7.67</v>
      </c>
      <c r="P275" s="1">
        <v>0.13300000000000001</v>
      </c>
      <c r="Q275" s="1">
        <v>5.1999999999999998E-2</v>
      </c>
      <c r="R275" s="1">
        <v>0.88800000000000001</v>
      </c>
      <c r="S275" s="17" t="s">
        <v>1346</v>
      </c>
      <c r="T275">
        <v>2</v>
      </c>
      <c r="U275" t="s">
        <v>1478</v>
      </c>
      <c r="V275" s="17">
        <v>0</v>
      </c>
      <c r="W275" t="s">
        <v>5</v>
      </c>
      <c r="X275" t="s">
        <v>5</v>
      </c>
      <c r="Y275" t="s">
        <v>5</v>
      </c>
      <c r="Z275" t="s">
        <v>5</v>
      </c>
      <c r="AA275" t="s">
        <v>5</v>
      </c>
      <c r="AB275" s="17" t="str">
        <f>HYPERLINK("http://exon.niaid.nih.gov/transcriptome/T_rubida/S2/links/netoglyc/TRIRU-326-netoglyc.txt","3")</f>
        <v>3</v>
      </c>
      <c r="AC275">
        <v>17</v>
      </c>
      <c r="AD275">
        <v>7.1</v>
      </c>
      <c r="AE275">
        <v>5.4</v>
      </c>
      <c r="AF275" s="17" t="s">
        <v>5</v>
      </c>
      <c r="AG275" s="2" t="str">
        <f>HYPERLINK("http://exon.niaid.nih.gov/transcriptome/T_rubida/S2/links/NR/Triru-326-NR.txt","hypothetical protein")</f>
        <v>hypothetical protein</v>
      </c>
      <c r="AH275" t="str">
        <f>HYPERLINK("http://www.ncbi.nlm.nih.gov/sutils/blink.cgi?pid=71407261","4E-011")</f>
        <v>4E-011</v>
      </c>
      <c r="AI275" t="str">
        <f>HYPERLINK("http://www.ncbi.nlm.nih.gov/protein/71407261","gi|71407261")</f>
        <v>gi|71407261</v>
      </c>
      <c r="AJ275">
        <v>71.2</v>
      </c>
      <c r="AK275">
        <v>70</v>
      </c>
      <c r="AL275">
        <v>376</v>
      </c>
      <c r="AM275">
        <v>48</v>
      </c>
      <c r="AN275">
        <v>19</v>
      </c>
      <c r="AO275" t="s">
        <v>176</v>
      </c>
      <c r="AP275" s="2" t="str">
        <f>HYPERLINK("http://exon.niaid.nih.gov/transcriptome/T_rubida/S2/links/SWISSP/Triru-326-SWISSP.txt","Protein Q300")</f>
        <v>Protein Q300</v>
      </c>
      <c r="AQ275" t="str">
        <f>HYPERLINK("http://www.uniprot.org/uniprot/Q02722","0.003")</f>
        <v>0.003</v>
      </c>
      <c r="AR275" t="s">
        <v>204</v>
      </c>
      <c r="AS275">
        <v>40.4</v>
      </c>
      <c r="AT275">
        <v>32</v>
      </c>
      <c r="AU275">
        <v>77</v>
      </c>
      <c r="AV275">
        <v>45</v>
      </c>
      <c r="AW275">
        <v>43</v>
      </c>
      <c r="AX275">
        <v>24</v>
      </c>
      <c r="AY275">
        <v>11</v>
      </c>
      <c r="AZ275">
        <v>7</v>
      </c>
      <c r="BA275">
        <v>69</v>
      </c>
      <c r="BB275">
        <v>1</v>
      </c>
      <c r="BC275" t="s">
        <v>75</v>
      </c>
      <c r="BD275" s="2" t="s">
        <v>5</v>
      </c>
      <c r="BE275" t="s">
        <v>5</v>
      </c>
      <c r="BF275" t="s">
        <v>5</v>
      </c>
      <c r="BG275" t="s">
        <v>5</v>
      </c>
      <c r="BH275" t="s">
        <v>5</v>
      </c>
      <c r="BI275" s="2" t="str">
        <f>HYPERLINK("http://exon.niaid.nih.gov/transcriptome/T_rubida/S2/links/CDD/Triru-326-CDD.txt","Papilloma_E5")</f>
        <v>Papilloma_E5</v>
      </c>
      <c r="BJ275" t="str">
        <f>HYPERLINK("http://www.ncbi.nlm.nih.gov/Structure/cdd/cddsrv.cgi?uid=pfam03025&amp;version=v4.0","0.41")</f>
        <v>0.41</v>
      </c>
      <c r="BK275" t="s">
        <v>205</v>
      </c>
      <c r="BL275" s="2" t="str">
        <f>HYPERLINK("http://exon.niaid.nih.gov/transcriptome/T_rubida/S2/links/KOG/Triru-326-KOG.txt","Splicing factor 1/branch point binding protein (RRM superfamily)")</f>
        <v>Splicing factor 1/branch point binding protein (RRM superfamily)</v>
      </c>
      <c r="BM275" t="str">
        <f>HYPERLINK("http://www.ncbi.nlm.nih.gov/COG/grace/shokog.cgi?KOG0119","0.30")</f>
        <v>0.30</v>
      </c>
      <c r="BN275" t="s">
        <v>206</v>
      </c>
      <c r="BO275" s="2" t="str">
        <f>HYPERLINK("http://exon.niaid.nih.gov/transcriptome/T_rubida/S2/links/PFAM/Triru-326-PFAM.txt","Papilloma_E5")</f>
        <v>Papilloma_E5</v>
      </c>
      <c r="BP275" t="str">
        <f>HYPERLINK("http://pfam.sanger.ac.uk/family?acc=PF03025","0.087")</f>
        <v>0.087</v>
      </c>
      <c r="BQ275" s="2" t="str">
        <f>HYPERLINK("http://exon.niaid.nih.gov/transcriptome/T_rubida/S2/links/SMART/Triru-326-SMART.txt","TyrKc")</f>
        <v>TyrKc</v>
      </c>
      <c r="BR275" t="str">
        <f>HYPERLINK("http://smart.embl-heidelberg.de/smart/do_annotation.pl?DOMAIN=TyrKc&amp;BLAST=DUMMY","0.53")</f>
        <v>0.53</v>
      </c>
      <c r="BS275" s="17">
        <v>36</v>
      </c>
      <c r="BT275" s="1">
        <v>1</v>
      </c>
      <c r="BU275" s="17">
        <v>49</v>
      </c>
      <c r="BV275" s="1">
        <v>1</v>
      </c>
      <c r="BW275" s="17">
        <v>49</v>
      </c>
      <c r="BX275" s="1">
        <v>1</v>
      </c>
      <c r="BY275" s="17">
        <v>45</v>
      </c>
      <c r="BZ275" s="1">
        <v>1</v>
      </c>
      <c r="CA275" s="17">
        <v>42</v>
      </c>
      <c r="CB275" s="1">
        <v>1</v>
      </c>
      <c r="CC275" s="17">
        <v>40</v>
      </c>
      <c r="CD275" s="1">
        <v>1</v>
      </c>
      <c r="CE275" s="17">
        <v>33</v>
      </c>
      <c r="CF275" s="1">
        <v>1</v>
      </c>
      <c r="CG275" s="17">
        <v>32</v>
      </c>
      <c r="CH275" s="1">
        <v>1</v>
      </c>
      <c r="CI275" s="17">
        <v>30</v>
      </c>
      <c r="CJ275" s="1">
        <v>1</v>
      </c>
      <c r="CK275" s="17">
        <v>30</v>
      </c>
      <c r="CL275" s="1">
        <v>1</v>
      </c>
      <c r="CM275" s="17">
        <v>30</v>
      </c>
      <c r="CN275" s="1">
        <v>1</v>
      </c>
      <c r="CO275" s="17">
        <v>27</v>
      </c>
      <c r="CP275" s="1">
        <v>1</v>
      </c>
      <c r="CQ275" s="17">
        <v>27</v>
      </c>
      <c r="CR275" s="1">
        <v>1</v>
      </c>
      <c r="CS275" s="17">
        <v>24</v>
      </c>
      <c r="CT275" s="1">
        <v>1</v>
      </c>
      <c r="CU275" s="17">
        <v>20</v>
      </c>
      <c r="CV275" s="1">
        <v>1</v>
      </c>
    </row>
    <row r="276" spans="1:100">
      <c r="A276" t="str">
        <f>HYPERLINK("http://exon.niaid.nih.gov/transcriptome/T_rubida/S2/links/pep/Triru-444-pep.txt","Triru-444")</f>
        <v>Triru-444</v>
      </c>
      <c r="B276">
        <v>81</v>
      </c>
      <c r="C276" s="1" t="s">
        <v>17</v>
      </c>
      <c r="D276" s="1" t="s">
        <v>3</v>
      </c>
      <c r="E276" t="str">
        <f>HYPERLINK("http://exon.niaid.nih.gov/transcriptome/T_rubida/S2/links/cds/Triru-444-cds.txt","Triru-444")</f>
        <v>Triru-444</v>
      </c>
      <c r="F276">
        <v>246</v>
      </c>
      <c r="G276" s="2" t="s">
        <v>1732</v>
      </c>
      <c r="H276" s="1">
        <v>1</v>
      </c>
      <c r="I276" s="3" t="s">
        <v>1273</v>
      </c>
      <c r="J276" s="17" t="str">
        <f>HYPERLINK("http://exon.niaid.nih.gov/transcriptome/T_rubida/S2/links/Sigp/Triru-444-SigP.txt","CYT")</f>
        <v>CYT</v>
      </c>
      <c r="K276" t="s">
        <v>5</v>
      </c>
      <c r="L276" s="1">
        <v>9.1869999999999994</v>
      </c>
      <c r="M276" s="1">
        <v>9.6</v>
      </c>
      <c r="P276" s="1">
        <v>0.41299999999999998</v>
      </c>
      <c r="Q276" s="1">
        <v>3.1E-2</v>
      </c>
      <c r="R276" s="1">
        <v>0.69799999999999995</v>
      </c>
      <c r="S276" s="17" t="s">
        <v>1346</v>
      </c>
      <c r="T276">
        <v>4</v>
      </c>
      <c r="U276" t="s">
        <v>1348</v>
      </c>
      <c r="V276" s="17">
        <v>0</v>
      </c>
      <c r="W276" t="s">
        <v>5</v>
      </c>
      <c r="X276" t="s">
        <v>5</v>
      </c>
      <c r="Y276" t="s">
        <v>5</v>
      </c>
      <c r="Z276" t="s">
        <v>5</v>
      </c>
      <c r="AA276" t="s">
        <v>5</v>
      </c>
      <c r="AB276" s="17" t="str">
        <f>HYPERLINK("http://exon.niaid.nih.gov/transcriptome/T_rubida/S2/links/netoglyc/TRIRU-444-netoglyc.txt","0")</f>
        <v>0</v>
      </c>
      <c r="AC276">
        <v>17.3</v>
      </c>
      <c r="AD276">
        <v>9.9</v>
      </c>
      <c r="AE276">
        <v>1.2</v>
      </c>
      <c r="AF276" s="17" t="s">
        <v>5</v>
      </c>
      <c r="AG276" s="2" t="str">
        <f>HYPERLINK("http://exon.niaid.nih.gov/transcriptome/T_rubida/S2/links/NR/Triru-444-NR.txt","Arginine/serine-rich coiled-coil protein 2")</f>
        <v>Arginine/serine-rich coiled-coil protein 2</v>
      </c>
      <c r="AH276" t="str">
        <f>HYPERLINK("http://www.ncbi.nlm.nih.gov/sutils/blink.cgi?pid=307202429","8E-019")</f>
        <v>8E-019</v>
      </c>
      <c r="AI276" t="str">
        <f>HYPERLINK("http://www.ncbi.nlm.nih.gov/protein/307202429","gi|307202429")</f>
        <v>gi|307202429</v>
      </c>
      <c r="AJ276">
        <v>97.1</v>
      </c>
      <c r="AK276">
        <v>72</v>
      </c>
      <c r="AL276">
        <v>412</v>
      </c>
      <c r="AM276">
        <v>63</v>
      </c>
      <c r="AN276">
        <v>18</v>
      </c>
      <c r="AO276" t="s">
        <v>230</v>
      </c>
      <c r="AP276" s="2" t="str">
        <f>HYPERLINK("http://exon.niaid.nih.gov/transcriptome/T_rubida/S2/links/SWISSP/Triru-444-SWISSP.txt","Arginine/serine-rich coiled-coil protein 2")</f>
        <v>Arginine/serine-rich coiled-coil protein 2</v>
      </c>
      <c r="AQ276" t="str">
        <f>HYPERLINK("http://www.uniprot.org/uniprot/Q5XHJ5","8E-012")</f>
        <v>8E-012</v>
      </c>
      <c r="AR276" t="s">
        <v>1101</v>
      </c>
      <c r="AS276">
        <v>68.900000000000006</v>
      </c>
      <c r="AT276">
        <v>72</v>
      </c>
      <c r="AU276">
        <v>409</v>
      </c>
      <c r="AV276">
        <v>46</v>
      </c>
      <c r="AW276">
        <v>18</v>
      </c>
      <c r="AX276">
        <v>41</v>
      </c>
      <c r="AY276">
        <v>6</v>
      </c>
      <c r="AZ276">
        <v>328</v>
      </c>
      <c r="BA276">
        <v>2</v>
      </c>
      <c r="BB276">
        <v>1</v>
      </c>
      <c r="BC276" t="s">
        <v>357</v>
      </c>
      <c r="BD276" s="2" t="s">
        <v>1102</v>
      </c>
      <c r="BE276">
        <f>HYPERLINK("http://exon.niaid.nih.gov/transcriptome/T_rubida/S2/links/GO/Triru-444-GO.txt",0.00000000001)</f>
        <v>9.9999999999999994E-12</v>
      </c>
      <c r="BF276" t="s">
        <v>105</v>
      </c>
      <c r="BG276" t="s">
        <v>105</v>
      </c>
      <c r="BI276" s="2" t="str">
        <f>HYPERLINK("http://exon.niaid.nih.gov/transcriptome/T_rubida/S2/links/CDD/Triru-444-CDD.txt","PRK11863")</f>
        <v>PRK11863</v>
      </c>
      <c r="BJ276" t="str">
        <f>HYPERLINK("http://www.ncbi.nlm.nih.gov/Structure/cdd/cddsrv.cgi?uid=PRK11863&amp;version=v4.0","2.2")</f>
        <v>2.2</v>
      </c>
      <c r="BK276" t="s">
        <v>1103</v>
      </c>
      <c r="BL276" s="2" t="str">
        <f>HYPERLINK("http://exon.niaid.nih.gov/transcriptome/T_rubida/S2/links/KOG/Triru-444-KOG.txt","Nuclear matrix protein")</f>
        <v>Nuclear matrix protein</v>
      </c>
      <c r="BM276" t="str">
        <f>HYPERLINK("http://www.ncbi.nlm.nih.gov/COG/grace/shokog.cgi?KOG2491","0.51")</f>
        <v>0.51</v>
      </c>
      <c r="BN276" t="s">
        <v>1104</v>
      </c>
      <c r="BO276" s="2" t="str">
        <f>HYPERLINK("http://exon.niaid.nih.gov/transcriptome/T_rubida/S2/links/PFAM/Triru-444-PFAM.txt","Microvir_H")</f>
        <v>Microvir_H</v>
      </c>
      <c r="BP276" t="str">
        <f>HYPERLINK("http://pfam.sanger.ac.uk/family?acc=PF04687","6.2")</f>
        <v>6.2</v>
      </c>
      <c r="BQ276" s="2" t="str">
        <f>HYPERLINK("http://exon.niaid.nih.gov/transcriptome/T_rubida/S2/links/SMART/Triru-444-SMART.txt","SERPIN")</f>
        <v>SERPIN</v>
      </c>
      <c r="BR276" t="str">
        <f>HYPERLINK("http://smart.embl-heidelberg.de/smart/do_annotation.pl?DOMAIN=SERPIN&amp;BLAST=DUMMY","1.4")</f>
        <v>1.4</v>
      </c>
      <c r="BS276" s="17">
        <v>138</v>
      </c>
      <c r="BT276" s="1">
        <v>1</v>
      </c>
      <c r="BU276" s="17">
        <v>203</v>
      </c>
      <c r="BV276" s="1">
        <v>1</v>
      </c>
      <c r="BW276" s="17">
        <v>259</v>
      </c>
      <c r="BX276" s="1">
        <v>1</v>
      </c>
      <c r="BY276" s="17">
        <v>279</v>
      </c>
      <c r="BZ276" s="1">
        <v>1</v>
      </c>
      <c r="CA276" s="17">
        <v>288</v>
      </c>
      <c r="CB276" s="1">
        <v>1</v>
      </c>
      <c r="CC276" s="17">
        <v>296</v>
      </c>
      <c r="CD276" s="1">
        <v>1</v>
      </c>
      <c r="CE276" s="17">
        <v>306</v>
      </c>
      <c r="CF276" s="1">
        <v>1</v>
      </c>
      <c r="CG276" s="17">
        <v>310</v>
      </c>
      <c r="CH276" s="1">
        <v>1</v>
      </c>
      <c r="CI276" s="17">
        <v>320</v>
      </c>
      <c r="CJ276" s="1">
        <v>1</v>
      </c>
      <c r="CK276" s="17">
        <v>326</v>
      </c>
      <c r="CL276" s="1">
        <v>1</v>
      </c>
      <c r="CM276" s="17">
        <v>334</v>
      </c>
      <c r="CN276" s="1">
        <v>1</v>
      </c>
      <c r="CO276" s="17">
        <v>346</v>
      </c>
      <c r="CP276" s="1">
        <v>1</v>
      </c>
      <c r="CQ276" s="17">
        <v>356</v>
      </c>
      <c r="CR276" s="1">
        <v>1</v>
      </c>
      <c r="CS276" s="17">
        <v>368</v>
      </c>
      <c r="CT276" s="1">
        <v>1</v>
      </c>
      <c r="CU276" s="17">
        <v>379</v>
      </c>
      <c r="CV276" s="1">
        <v>1</v>
      </c>
    </row>
    <row r="277" spans="1:100">
      <c r="A277" t="str">
        <f>HYPERLINK("http://exon.niaid.nih.gov/transcriptome/T_rubida/S2/links/pep/Triru-328-pep.txt","Triru-328")</f>
        <v>Triru-328</v>
      </c>
      <c r="B277">
        <v>141</v>
      </c>
      <c r="C277" s="1" t="s">
        <v>17</v>
      </c>
      <c r="D277" s="1" t="s">
        <v>3</v>
      </c>
      <c r="E277" t="str">
        <f>HYPERLINK("http://exon.niaid.nih.gov/transcriptome/T_rubida/S2/links/cds/Triru-328-cds.txt","Triru-328")</f>
        <v>Triru-328</v>
      </c>
      <c r="F277">
        <v>426</v>
      </c>
      <c r="G277" s="2" t="s">
        <v>1733</v>
      </c>
      <c r="H277" s="1">
        <v>1</v>
      </c>
      <c r="I277" s="3" t="s">
        <v>1273</v>
      </c>
      <c r="J277" s="17" t="str">
        <f>HYPERLINK("http://exon.niaid.nih.gov/transcriptome/T_rubida/S2/links/Sigp/Triru-328-SigP.txt","CYT")</f>
        <v>CYT</v>
      </c>
      <c r="K277" t="s">
        <v>5</v>
      </c>
      <c r="L277" s="1">
        <v>16.456</v>
      </c>
      <c r="M277" s="1">
        <v>9.68</v>
      </c>
      <c r="P277" s="1">
        <v>0.48899999999999999</v>
      </c>
      <c r="Q277" s="1">
        <v>0.04</v>
      </c>
      <c r="R277" s="1">
        <v>0.51800000000000002</v>
      </c>
      <c r="S277" s="17" t="s">
        <v>1346</v>
      </c>
      <c r="T277">
        <v>5</v>
      </c>
      <c r="U277" t="s">
        <v>1348</v>
      </c>
      <c r="V277" s="17">
        <v>0</v>
      </c>
      <c r="W277" t="s">
        <v>5</v>
      </c>
      <c r="X277" t="s">
        <v>5</v>
      </c>
      <c r="Y277" t="s">
        <v>5</v>
      </c>
      <c r="Z277" t="s">
        <v>5</v>
      </c>
      <c r="AA277" t="s">
        <v>5</v>
      </c>
      <c r="AB277" s="17" t="str">
        <f>HYPERLINK("http://exon.niaid.nih.gov/transcriptome/T_rubida/S2/links/netoglyc/TRIRU-328-netoglyc.txt","1")</f>
        <v>1</v>
      </c>
      <c r="AC277">
        <v>14.2</v>
      </c>
      <c r="AD277">
        <v>3.5</v>
      </c>
      <c r="AE277">
        <v>2.1</v>
      </c>
      <c r="AF277" s="17" t="s">
        <v>5</v>
      </c>
      <c r="AG277" s="2" t="str">
        <f>HYPERLINK("http://exon.niaid.nih.gov/transcriptome/T_rubida/S2/links/NR/Triru-328-NR.txt","Golgin subfamily A member 1")</f>
        <v>Golgin subfamily A member 1</v>
      </c>
      <c r="AH277" t="str">
        <f>HYPERLINK("http://www.ncbi.nlm.nih.gov/sutils/blink.cgi?pid=307179910","1E-034")</f>
        <v>1E-034</v>
      </c>
      <c r="AI277" t="str">
        <f>HYPERLINK("http://www.ncbi.nlm.nih.gov/protein/307179910","gi|307179910")</f>
        <v>gi|307179910</v>
      </c>
      <c r="AJ277">
        <v>149</v>
      </c>
      <c r="AK277">
        <v>132</v>
      </c>
      <c r="AL277">
        <v>720</v>
      </c>
      <c r="AM277">
        <v>60</v>
      </c>
      <c r="AN277">
        <v>18</v>
      </c>
      <c r="AO277" t="s">
        <v>142</v>
      </c>
      <c r="AP277" s="2" t="str">
        <f>HYPERLINK("http://exon.niaid.nih.gov/transcriptome/T_rubida/S2/links/SWISSP/Triru-328-SWISSP.txt","Golgin subfamily A member 1")</f>
        <v>Golgin subfamily A member 1</v>
      </c>
      <c r="AQ277" t="str">
        <f>HYPERLINK("http://www.uniprot.org/uniprot/Q92805","8E-026")</f>
        <v>8E-026</v>
      </c>
      <c r="AR277" t="s">
        <v>1156</v>
      </c>
      <c r="AS277">
        <v>115</v>
      </c>
      <c r="AT277">
        <v>123</v>
      </c>
      <c r="AU277">
        <v>767</v>
      </c>
      <c r="AV277">
        <v>47</v>
      </c>
      <c r="AW277">
        <v>16</v>
      </c>
      <c r="AX277">
        <v>65</v>
      </c>
      <c r="AY277">
        <v>5</v>
      </c>
      <c r="AZ277">
        <v>626</v>
      </c>
      <c r="BA277">
        <v>15</v>
      </c>
      <c r="BB277">
        <v>1</v>
      </c>
      <c r="BC277" t="s">
        <v>208</v>
      </c>
      <c r="BD277" s="2" t="s">
        <v>1157</v>
      </c>
      <c r="BE277">
        <f>HYPERLINK("http://exon.niaid.nih.gov/transcriptome/T_rubida/S2/links/GO/Triru-328-GO.txt",2E-27)</f>
        <v>2.0000000000000001E-27</v>
      </c>
      <c r="BF277" t="s">
        <v>105</v>
      </c>
      <c r="BG277" t="s">
        <v>105</v>
      </c>
      <c r="BI277" s="2" t="str">
        <f>HYPERLINK("http://exon.niaid.nih.gov/transcriptome/T_rubida/S2/links/CDD/Triru-328-CDD.txt","Grip")</f>
        <v>Grip</v>
      </c>
      <c r="BJ277" t="str">
        <f>HYPERLINK("http://www.ncbi.nlm.nih.gov/Structure/cdd/cddsrv.cgi?uid=smart00755&amp;version=v4.0","2E-007")</f>
        <v>2E-007</v>
      </c>
      <c r="BK277" t="s">
        <v>1158</v>
      </c>
      <c r="BL277" s="2" t="str">
        <f>HYPERLINK("http://exon.niaid.nih.gov/transcriptome/T_rubida/S2/links/KOG/Triru-328-KOG.txt","Uncharacterized conserved protein")</f>
        <v>Uncharacterized conserved protein</v>
      </c>
      <c r="BM277" t="str">
        <f>HYPERLINK("http://www.ncbi.nlm.nih.gov/COG/grace/shokog.cgi?KOG0992","3E-010")</f>
        <v>3E-010</v>
      </c>
      <c r="BN277" t="s">
        <v>264</v>
      </c>
      <c r="BO277" s="2" t="str">
        <f>HYPERLINK("http://exon.niaid.nih.gov/transcriptome/T_rubida/S2/links/PFAM/Triru-328-PFAM.txt","GRIP")</f>
        <v>GRIP</v>
      </c>
      <c r="BP277" t="str">
        <f>HYPERLINK("http://pfam.sanger.ac.uk/family?acc=PF01465","5E-007")</f>
        <v>5E-007</v>
      </c>
      <c r="BQ277" s="2" t="str">
        <f>HYPERLINK("http://exon.niaid.nih.gov/transcriptome/T_rubida/S2/links/SMART/Triru-328-SMART.txt","Grip")</f>
        <v>Grip</v>
      </c>
      <c r="BR277" t="str">
        <f>HYPERLINK("http://smart.embl-heidelberg.de/smart/do_annotation.pl?DOMAIN=Grip&amp;BLAST=DUMMY","3E-009")</f>
        <v>3E-009</v>
      </c>
      <c r="BS277" s="17">
        <f>HYPERLINK("http://exon.niaid.nih.gov/transcriptome/T_rubida/S2/links/cluster/Triru-pep-ext25-50-Sim-CLU10.txt", 10)</f>
        <v>10</v>
      </c>
      <c r="BT277" s="1">
        <f>HYPERLINK("http://exon.niaid.nih.gov/transcriptome/T_rubida/S2/links/cluster/Triru-pep-ext25-50-Sim-CLTL10.txt", 2)</f>
        <v>2</v>
      </c>
      <c r="BU277" s="17">
        <v>151</v>
      </c>
      <c r="BV277" s="1">
        <v>1</v>
      </c>
      <c r="BW277" s="17">
        <v>183</v>
      </c>
      <c r="BX277" s="1">
        <v>1</v>
      </c>
      <c r="BY277" s="17">
        <v>195</v>
      </c>
      <c r="BZ277" s="1">
        <v>1</v>
      </c>
      <c r="CA277" s="17">
        <v>201</v>
      </c>
      <c r="CB277" s="1">
        <v>1</v>
      </c>
      <c r="CC277" s="17">
        <v>206</v>
      </c>
      <c r="CD277" s="1">
        <v>1</v>
      </c>
      <c r="CE277" s="17">
        <v>212</v>
      </c>
      <c r="CF277" s="1">
        <v>1</v>
      </c>
      <c r="CG277" s="17">
        <v>214</v>
      </c>
      <c r="CH277" s="1">
        <v>1</v>
      </c>
      <c r="CI277" s="17">
        <v>224</v>
      </c>
      <c r="CJ277" s="1">
        <v>1</v>
      </c>
      <c r="CK277" s="17">
        <v>229</v>
      </c>
      <c r="CL277" s="1">
        <v>1</v>
      </c>
      <c r="CM277" s="17">
        <v>236</v>
      </c>
      <c r="CN277" s="1">
        <v>1</v>
      </c>
      <c r="CO277" s="17">
        <v>247</v>
      </c>
      <c r="CP277" s="1">
        <v>1</v>
      </c>
      <c r="CQ277" s="17">
        <v>257</v>
      </c>
      <c r="CR277" s="1">
        <v>1</v>
      </c>
      <c r="CS277" s="17">
        <v>267</v>
      </c>
      <c r="CT277" s="1">
        <v>1</v>
      </c>
      <c r="CU277" s="17">
        <v>278</v>
      </c>
      <c r="CV277" s="1">
        <v>1</v>
      </c>
    </row>
    <row r="278" spans="1:100">
      <c r="A278" t="str">
        <f>HYPERLINK("http://exon.niaid.nih.gov/transcriptome/T_rubida/S2/links/pep/Triru-516-pep.txt","Triru-516")</f>
        <v>Triru-516</v>
      </c>
      <c r="B278">
        <v>76</v>
      </c>
      <c r="C278" s="1" t="s">
        <v>6</v>
      </c>
      <c r="D278" s="1" t="s">
        <v>3</v>
      </c>
      <c r="E278" t="str">
        <f>HYPERLINK("http://exon.niaid.nih.gov/transcriptome/T_rubida/S2/links/cds/Triru-516-cds.txt","Triru-516")</f>
        <v>Triru-516</v>
      </c>
      <c r="F278">
        <v>231</v>
      </c>
      <c r="G278" s="2" t="s">
        <v>1734</v>
      </c>
      <c r="H278" s="1">
        <v>1</v>
      </c>
      <c r="I278" s="3" t="s">
        <v>1273</v>
      </c>
      <c r="J278" s="17" t="str">
        <f>HYPERLINK("http://exon.niaid.nih.gov/transcriptome/T_rubida/S2/links/Sigp/Triru-516-SigP.txt","CYT")</f>
        <v>CYT</v>
      </c>
      <c r="K278" t="s">
        <v>5</v>
      </c>
      <c r="L278" s="1">
        <v>8.4350000000000005</v>
      </c>
      <c r="M278" s="1">
        <v>9.73</v>
      </c>
      <c r="P278" s="1">
        <v>5.8000000000000003E-2</v>
      </c>
      <c r="Q278" s="1">
        <v>5.1999999999999998E-2</v>
      </c>
      <c r="R278" s="1">
        <v>0.95199999999999996</v>
      </c>
      <c r="S278" s="17" t="s">
        <v>1346</v>
      </c>
      <c r="T278">
        <v>1</v>
      </c>
      <c r="U278" t="s">
        <v>1348</v>
      </c>
      <c r="V278" s="17">
        <v>0</v>
      </c>
      <c r="W278" t="s">
        <v>5</v>
      </c>
      <c r="X278" t="s">
        <v>5</v>
      </c>
      <c r="Y278" t="s">
        <v>5</v>
      </c>
      <c r="Z278" t="s">
        <v>5</v>
      </c>
      <c r="AA278" t="s">
        <v>5</v>
      </c>
      <c r="AB278" s="17" t="str">
        <f>HYPERLINK("http://exon.niaid.nih.gov/transcriptome/T_rubida/S2/links/netoglyc/TRIRU-516-netoglyc.txt","4")</f>
        <v>4</v>
      </c>
      <c r="AC278">
        <v>17.100000000000001</v>
      </c>
      <c r="AD278">
        <v>5.3</v>
      </c>
      <c r="AE278">
        <v>9.1999999999999993</v>
      </c>
      <c r="AF278" s="17" t="s">
        <v>5</v>
      </c>
      <c r="AG278" s="2" t="str">
        <f>HYPERLINK("http://exon.niaid.nih.gov/transcriptome/T_rubida/S2/links/NR/Triru-516-NR.txt","hypothetical protein Phum_PHUM431290")</f>
        <v>hypothetical protein Phum_PHUM431290</v>
      </c>
      <c r="AH278" t="str">
        <f>HYPERLINK("http://www.ncbi.nlm.nih.gov/sutils/blink.cgi?pid=242017820","4E-017")</f>
        <v>4E-017</v>
      </c>
      <c r="AI278" t="str">
        <f>HYPERLINK("http://www.ncbi.nlm.nih.gov/protein/242017820","gi|242017820")</f>
        <v>gi|242017820</v>
      </c>
      <c r="AJ278">
        <v>91.3</v>
      </c>
      <c r="AK278">
        <v>68</v>
      </c>
      <c r="AL278">
        <v>681</v>
      </c>
      <c r="AM278">
        <v>65</v>
      </c>
      <c r="AN278">
        <v>10</v>
      </c>
      <c r="AO278" t="s">
        <v>54</v>
      </c>
      <c r="AP278" s="2" t="str">
        <f>HYPERLINK("http://exon.niaid.nih.gov/transcriptome/T_rubida/S2/links/SWISSP/Triru-516-SWISSP.txt","Rho guanine nucleotide exchange factor gef2")</f>
        <v>Rho guanine nucleotide exchange factor gef2</v>
      </c>
      <c r="AQ278" t="str">
        <f>HYPERLINK("http://www.uniprot.org/uniprot/Q09733","1.9")</f>
        <v>1.9</v>
      </c>
      <c r="AR278" t="s">
        <v>531</v>
      </c>
      <c r="AS278">
        <v>31.2</v>
      </c>
      <c r="AT278">
        <v>59</v>
      </c>
      <c r="AU278">
        <v>1101</v>
      </c>
      <c r="AV278">
        <v>31</v>
      </c>
      <c r="AW278">
        <v>5</v>
      </c>
      <c r="AX278">
        <v>41</v>
      </c>
      <c r="AY278">
        <v>4</v>
      </c>
      <c r="AZ278">
        <v>735</v>
      </c>
      <c r="BA278">
        <v>1</v>
      </c>
      <c r="BB278">
        <v>1</v>
      </c>
      <c r="BC278" t="s">
        <v>70</v>
      </c>
      <c r="BD278" s="2" t="s">
        <v>5</v>
      </c>
      <c r="BE278" t="s">
        <v>5</v>
      </c>
      <c r="BF278" t="s">
        <v>5</v>
      </c>
      <c r="BG278" t="s">
        <v>5</v>
      </c>
      <c r="BH278" t="s">
        <v>5</v>
      </c>
      <c r="BI278" s="2" t="str">
        <f>HYPERLINK("http://exon.niaid.nih.gov/transcriptome/T_rubida/S2/links/CDD/Triru-516-CDD.txt","COG4111")</f>
        <v>COG4111</v>
      </c>
      <c r="BJ278" t="str">
        <f>HYPERLINK("http://www.ncbi.nlm.nih.gov/Structure/cdd/cddsrv.cgi?uid=COG4111&amp;version=v4.0","4.2")</f>
        <v>4.2</v>
      </c>
      <c r="BK278" t="s">
        <v>532</v>
      </c>
      <c r="BL278" s="2" t="str">
        <f>HYPERLINK("http://exon.niaid.nih.gov/transcriptome/T_rubida/S2/links/KOG/Triru-516-KOG.txt","Nuclear pore complex, rNpl4 component (sc Npl4)")</f>
        <v>Nuclear pore complex, rNpl4 component (sc Npl4)</v>
      </c>
      <c r="BM278" t="str">
        <f>HYPERLINK("http://www.ncbi.nlm.nih.gov/COG/grace/shokog.cgi?KOG2834","2.7")</f>
        <v>2.7</v>
      </c>
      <c r="BN278" t="s">
        <v>533</v>
      </c>
      <c r="BO278" s="2" t="str">
        <f>HYPERLINK("http://exon.niaid.nih.gov/transcriptome/T_rubida/S2/links/PFAM/Triru-516-PFAM.txt","DUF414")</f>
        <v>DUF414</v>
      </c>
      <c r="BP278" t="str">
        <f>HYPERLINK("http://pfam.sanger.ac.uk/family?acc=PF04220","0.95")</f>
        <v>0.95</v>
      </c>
      <c r="BQ278" s="2" t="str">
        <f>HYPERLINK("http://exon.niaid.nih.gov/transcriptome/T_rubida/S2/links/SMART/Triru-516-SMART.txt","ADEAMc")</f>
        <v>ADEAMc</v>
      </c>
      <c r="BR278" t="str">
        <f>HYPERLINK("http://smart.embl-heidelberg.de/smart/do_annotation.pl?DOMAIN=ADEAMc&amp;BLAST=DUMMY","0.29")</f>
        <v>0.29</v>
      </c>
      <c r="BS278" s="17">
        <v>159</v>
      </c>
      <c r="BT278" s="1">
        <v>1</v>
      </c>
      <c r="BU278" s="17">
        <v>236</v>
      </c>
      <c r="BV278" s="1">
        <v>1</v>
      </c>
      <c r="BW278" s="17">
        <v>302</v>
      </c>
      <c r="BX278" s="1">
        <v>1</v>
      </c>
      <c r="BY278" s="17">
        <v>328</v>
      </c>
      <c r="BZ278" s="1">
        <v>1</v>
      </c>
      <c r="CA278" s="17">
        <v>339</v>
      </c>
      <c r="CB278" s="1">
        <v>1</v>
      </c>
      <c r="CC278" s="17">
        <v>351</v>
      </c>
      <c r="CD278" s="1">
        <v>1</v>
      </c>
      <c r="CE278" s="17">
        <v>363</v>
      </c>
      <c r="CF278" s="1">
        <v>1</v>
      </c>
      <c r="CG278" s="17">
        <v>369</v>
      </c>
      <c r="CH278" s="1">
        <v>1</v>
      </c>
      <c r="CI278" s="17">
        <v>381</v>
      </c>
      <c r="CJ278" s="1">
        <v>1</v>
      </c>
      <c r="CK278" s="17">
        <v>387</v>
      </c>
      <c r="CL278" s="1">
        <v>1</v>
      </c>
      <c r="CM278" s="17">
        <v>395</v>
      </c>
      <c r="CN278" s="1">
        <v>1</v>
      </c>
      <c r="CO278" s="17">
        <v>407</v>
      </c>
      <c r="CP278" s="1">
        <v>1</v>
      </c>
      <c r="CQ278" s="17">
        <v>417</v>
      </c>
      <c r="CR278" s="1">
        <v>1</v>
      </c>
      <c r="CS278" s="17">
        <v>430</v>
      </c>
      <c r="CT278" s="1">
        <v>1</v>
      </c>
      <c r="CU278" s="17">
        <v>441</v>
      </c>
      <c r="CV278" s="1">
        <v>1</v>
      </c>
    </row>
    <row r="279" spans="1:100">
      <c r="A279" t="str">
        <f>HYPERLINK("http://exon.niaid.nih.gov/transcriptome/T_rubida/S2/links/pep/Triru-442-pep.txt","Triru-442")</f>
        <v>Triru-442</v>
      </c>
      <c r="B279">
        <v>60</v>
      </c>
      <c r="C279" s="1" t="s">
        <v>6</v>
      </c>
      <c r="D279" s="1" t="s">
        <v>3</v>
      </c>
      <c r="E279" t="str">
        <f>HYPERLINK("http://exon.niaid.nih.gov/transcriptome/T_rubida/S2/links/cds/Triru-442-cds.txt","Triru-442")</f>
        <v>Triru-442</v>
      </c>
      <c r="F279">
        <v>183</v>
      </c>
      <c r="G279" s="2" t="s">
        <v>1735</v>
      </c>
      <c r="H279" s="1">
        <v>1</v>
      </c>
      <c r="I279" s="3" t="s">
        <v>1273</v>
      </c>
      <c r="J279" s="17" t="str">
        <f>HYPERLINK("http://exon.niaid.nih.gov/transcriptome/T_rubida/S2/links/Sigp/Triru-442-SigP.txt","CYT")</f>
        <v>CYT</v>
      </c>
      <c r="K279" t="s">
        <v>5</v>
      </c>
      <c r="L279" s="1">
        <v>7.0739999999999998</v>
      </c>
      <c r="M279" s="1">
        <v>12.96</v>
      </c>
      <c r="P279" s="1">
        <v>0.503</v>
      </c>
      <c r="Q279" s="1">
        <v>1.7000000000000001E-2</v>
      </c>
      <c r="R279" s="1">
        <v>0.67800000000000005</v>
      </c>
      <c r="S279" s="17" t="s">
        <v>1346</v>
      </c>
      <c r="T279">
        <v>5</v>
      </c>
      <c r="U279" t="s">
        <v>1382</v>
      </c>
      <c r="V279" s="17">
        <v>0</v>
      </c>
      <c r="W279" t="s">
        <v>5</v>
      </c>
      <c r="X279" t="s">
        <v>5</v>
      </c>
      <c r="Y279" t="s">
        <v>5</v>
      </c>
      <c r="Z279" t="s">
        <v>5</v>
      </c>
      <c r="AA279" t="s">
        <v>5</v>
      </c>
      <c r="AB279" s="17" t="str">
        <f>HYPERLINK("http://exon.niaid.nih.gov/transcriptome/T_rubida/S2/links/netoglyc/TRIRU-442-netoglyc.txt","15")</f>
        <v>15</v>
      </c>
      <c r="AC279">
        <v>30</v>
      </c>
      <c r="AD279">
        <v>5</v>
      </c>
      <c r="AE279">
        <v>13.3</v>
      </c>
      <c r="AF279" s="17" t="s">
        <v>1479</v>
      </c>
      <c r="AG279" s="2" t="str">
        <f>HYPERLINK("http://exon.niaid.nih.gov/transcriptome/T_rubida/S2/links/NR/Triru-442-NR.txt","KLTH0B09900p")</f>
        <v>KLTH0B09900p</v>
      </c>
      <c r="AH279" t="str">
        <f>HYPERLINK("http://www.ncbi.nlm.nih.gov/sutils/blink.cgi?pid=255711868","2E-007")</f>
        <v>2E-007</v>
      </c>
      <c r="AI279" t="str">
        <f>HYPERLINK("http://www.ncbi.nlm.nih.gov/protein/255711868","gi|255711868")</f>
        <v>gi|255711868</v>
      </c>
      <c r="AJ279">
        <v>59.3</v>
      </c>
      <c r="AK279">
        <v>39</v>
      </c>
      <c r="AL279">
        <v>596</v>
      </c>
      <c r="AM279">
        <v>71</v>
      </c>
      <c r="AN279">
        <v>7</v>
      </c>
      <c r="AO279" t="s">
        <v>478</v>
      </c>
      <c r="AP279" s="2" t="str">
        <f>HYPERLINK("http://exon.niaid.nih.gov/transcriptome/T_rubida/S2/links/SWISSP/Triru-442-SWISSP.txt","Serine/arginine repetitive matrix protein 2")</f>
        <v>Serine/arginine repetitive matrix protein 2</v>
      </c>
      <c r="AQ279" t="str">
        <f>HYPERLINK("http://www.uniprot.org/uniprot/Q9UQ35","2E-006")</f>
        <v>2E-006</v>
      </c>
      <c r="AR279" t="s">
        <v>479</v>
      </c>
      <c r="AS279">
        <v>50.8</v>
      </c>
      <c r="AT279">
        <v>1927</v>
      </c>
      <c r="AU279">
        <v>2752</v>
      </c>
      <c r="AV279">
        <v>60</v>
      </c>
      <c r="AW279">
        <v>70</v>
      </c>
      <c r="AX279">
        <v>22</v>
      </c>
      <c r="AY279">
        <v>8</v>
      </c>
      <c r="AZ279">
        <v>0</v>
      </c>
      <c r="BA279">
        <v>0</v>
      </c>
      <c r="BB279">
        <v>49</v>
      </c>
      <c r="BC279" t="s">
        <v>208</v>
      </c>
      <c r="BD279" s="2" t="s">
        <v>480</v>
      </c>
      <c r="BE279">
        <f>HYPERLINK("http://exon.niaid.nih.gov/transcriptome/T_rubida/S2/links/GO/Triru-442-GO.txt",0.0000007)</f>
        <v>6.9999999999999997E-7</v>
      </c>
      <c r="BF279" t="s">
        <v>152</v>
      </c>
      <c r="BG279" t="s">
        <v>153</v>
      </c>
      <c r="BH279" t="s">
        <v>154</v>
      </c>
      <c r="BI279" s="2" t="str">
        <f>HYPERLINK("http://exon.niaid.nih.gov/transcriptome/T_rubida/S2/links/CDD/Triru-442-CDD.txt","TT_ORF1")</f>
        <v>TT_ORF1</v>
      </c>
      <c r="BJ279" t="str">
        <f>HYPERLINK("http://www.ncbi.nlm.nih.gov/Structure/cdd/cddsrv.cgi?uid=pfam02956&amp;version=v4.0","0.17")</f>
        <v>0.17</v>
      </c>
      <c r="BK279" t="s">
        <v>481</v>
      </c>
      <c r="BL279" s="2" t="str">
        <f>HYPERLINK("http://exon.niaid.nih.gov/transcriptome/T_rubida/S2/links/KOG/Triru-442-KOG.txt","RNA polymerase II transcription elongation factor DSIF/SUPT5H/SPT5")</f>
        <v>RNA polymerase II transcription elongation factor DSIF/SUPT5H/SPT5</v>
      </c>
      <c r="BM279" t="str">
        <f>HYPERLINK("http://www.ncbi.nlm.nih.gov/COG/grace/shokog.cgi?KOG1999","0.19")</f>
        <v>0.19</v>
      </c>
      <c r="BN279" t="s">
        <v>251</v>
      </c>
      <c r="BO279" s="2" t="str">
        <f>HYPERLINK("http://exon.niaid.nih.gov/transcriptome/T_rubida/S2/links/PFAM/Triru-442-PFAM.txt","TT_ORF1")</f>
        <v>TT_ORF1</v>
      </c>
      <c r="BP279" t="str">
        <f>HYPERLINK("http://pfam.sanger.ac.uk/family?acc=PF02956","0.037")</f>
        <v>0.037</v>
      </c>
      <c r="BQ279" s="2" t="str">
        <f>HYPERLINK("http://exon.niaid.nih.gov/transcriptome/T_rubida/S2/links/SMART/Triru-442-SMART.txt","AHS1")</f>
        <v>AHS1</v>
      </c>
      <c r="BR279" t="str">
        <f>HYPERLINK("http://smart.embl-heidelberg.de/smart/do_annotation.pl?DOMAIN=AHS1&amp;BLAST=DUMMY","1.4")</f>
        <v>1.4</v>
      </c>
      <c r="BS279" s="17">
        <f>HYPERLINK("http://exon.niaid.nih.gov/transcriptome/T_rubida/S2/links/cluster/Triru-pep-ext25-50-Sim-CLU1.txt", 1)</f>
        <v>1</v>
      </c>
      <c r="BT279" s="1">
        <f>HYPERLINK("http://exon.niaid.nih.gov/transcriptome/T_rubida/S2/links/cluster/Triru-pep-ext25-50-Sim-CLTL1.txt", 359)</f>
        <v>359</v>
      </c>
      <c r="BU279" s="17">
        <f>HYPERLINK("http://exon.niaid.nih.gov/transcriptome/T_rubida/S2/links/cluster/Triru-pep-ext30-50-Sim-CLU1.txt", 1)</f>
        <v>1</v>
      </c>
      <c r="BV279" s="1">
        <f>HYPERLINK("http://exon.niaid.nih.gov/transcriptome/T_rubida/S2/links/cluster/Triru-pep-ext30-50-Sim-CLTL1.txt", 225)</f>
        <v>225</v>
      </c>
      <c r="BW279" s="17">
        <v>257</v>
      </c>
      <c r="BX279" s="1">
        <v>1</v>
      </c>
      <c r="BY279" s="17">
        <v>277</v>
      </c>
      <c r="BZ279" s="1">
        <v>1</v>
      </c>
      <c r="CA279" s="17">
        <v>286</v>
      </c>
      <c r="CB279" s="1">
        <v>1</v>
      </c>
      <c r="CC279" s="17">
        <v>294</v>
      </c>
      <c r="CD279" s="1">
        <v>1</v>
      </c>
      <c r="CE279" s="17">
        <v>304</v>
      </c>
      <c r="CF279" s="1">
        <v>1</v>
      </c>
      <c r="CG279" s="17">
        <v>308</v>
      </c>
      <c r="CH279" s="1">
        <v>1</v>
      </c>
      <c r="CI279" s="17">
        <v>318</v>
      </c>
      <c r="CJ279" s="1">
        <v>1</v>
      </c>
      <c r="CK279" s="17">
        <v>324</v>
      </c>
      <c r="CL279" s="1">
        <v>1</v>
      </c>
      <c r="CM279" s="17">
        <v>332</v>
      </c>
      <c r="CN279" s="1">
        <v>1</v>
      </c>
      <c r="CO279" s="17">
        <v>344</v>
      </c>
      <c r="CP279" s="1">
        <v>1</v>
      </c>
      <c r="CQ279" s="17">
        <v>354</v>
      </c>
      <c r="CR279" s="1">
        <v>1</v>
      </c>
      <c r="CS279" s="17">
        <v>366</v>
      </c>
      <c r="CT279" s="1">
        <v>1</v>
      </c>
      <c r="CU279" s="17">
        <v>377</v>
      </c>
      <c r="CV279" s="1">
        <v>1</v>
      </c>
    </row>
    <row r="280" spans="1:100" s="4" customFormat="1">
      <c r="A280" s="16" t="s">
        <v>1912</v>
      </c>
      <c r="I280" s="5"/>
      <c r="P280" s="4" t="s">
        <v>5</v>
      </c>
      <c r="Q280" s="4" t="s">
        <v>5</v>
      </c>
      <c r="R280" s="4" t="s">
        <v>5</v>
      </c>
      <c r="S280" s="4" t="s">
        <v>5</v>
      </c>
      <c r="T280" s="4" t="s">
        <v>5</v>
      </c>
      <c r="U280" s="4" t="s">
        <v>5</v>
      </c>
      <c r="V280" s="4" t="s">
        <v>5</v>
      </c>
      <c r="W280" s="4" t="s">
        <v>5</v>
      </c>
      <c r="X280" s="4" t="s">
        <v>5</v>
      </c>
      <c r="Y280" s="4" t="s">
        <v>5</v>
      </c>
      <c r="Z280" s="4" t="s">
        <v>5</v>
      </c>
      <c r="AA280" s="4" t="s">
        <v>5</v>
      </c>
      <c r="AB280" s="4" t="s">
        <v>5</v>
      </c>
      <c r="AC280" s="4" t="s">
        <v>5</v>
      </c>
      <c r="AD280" s="4" t="s">
        <v>5</v>
      </c>
      <c r="AE280" s="4" t="s">
        <v>5</v>
      </c>
      <c r="AF280" s="4" t="s">
        <v>5</v>
      </c>
    </row>
    <row r="281" spans="1:100">
      <c r="A281" t="str">
        <f>HYPERLINK("http://exon.niaid.nih.gov/transcriptome/T_rubida/S2/links/pep/Triru-604-pep.txt","Triru-604")</f>
        <v>Triru-604</v>
      </c>
      <c r="B281">
        <v>56</v>
      </c>
      <c r="C281" s="1" t="s">
        <v>6</v>
      </c>
      <c r="D281" s="1" t="s">
        <v>3</v>
      </c>
      <c r="E281" t="str">
        <f>HYPERLINK("http://exon.niaid.nih.gov/transcriptome/T_rubida/S2/links/cds/Triru-604-cds.txt","Triru-604")</f>
        <v>Triru-604</v>
      </c>
      <c r="F281">
        <v>171</v>
      </c>
      <c r="G281" s="2" t="s">
        <v>1736</v>
      </c>
      <c r="H281" s="1">
        <v>1</v>
      </c>
      <c r="I281" s="3" t="s">
        <v>1266</v>
      </c>
      <c r="J281" s="17" t="str">
        <f>HYPERLINK("http://exon.niaid.nih.gov/transcriptome/T_rubida/S2/links/Sigp/Triru-604-SigP.txt","ANC")</f>
        <v>ANC</v>
      </c>
      <c r="K281" t="s">
        <v>5</v>
      </c>
      <c r="L281" s="1">
        <v>6.4690000000000003</v>
      </c>
      <c r="M281" s="1">
        <v>7.77</v>
      </c>
      <c r="P281" s="1">
        <v>7.0000000000000007E-2</v>
      </c>
      <c r="Q281" s="1">
        <v>0.75800000000000001</v>
      </c>
      <c r="R281" s="1">
        <v>0.22900000000000001</v>
      </c>
      <c r="S281" s="17" t="s">
        <v>18</v>
      </c>
      <c r="T281">
        <v>3</v>
      </c>
      <c r="U281" t="s">
        <v>1480</v>
      </c>
      <c r="V281" s="17" t="str">
        <f>HYPERLINK("http://exon.niaid.nih.gov/transcriptome/T_rubida/S2/links/tmhmm/TRIRU-604-tmhmm.txt","1")</f>
        <v>1</v>
      </c>
      <c r="W281">
        <v>39.299999999999997</v>
      </c>
      <c r="X281">
        <v>23.2</v>
      </c>
      <c r="Y281">
        <v>37.5</v>
      </c>
      <c r="Z281" t="s">
        <v>5</v>
      </c>
      <c r="AA281">
        <v>13</v>
      </c>
      <c r="AB281" s="17" t="str">
        <f>HYPERLINK("http://exon.niaid.nih.gov/transcriptome/T_rubida/S2/links/netoglyc/TRIRU-604-netoglyc.txt","0")</f>
        <v>0</v>
      </c>
      <c r="AC281">
        <v>10.7</v>
      </c>
      <c r="AD281">
        <v>3.6</v>
      </c>
      <c r="AE281">
        <v>1.8</v>
      </c>
      <c r="AF281" s="17" t="s">
        <v>5</v>
      </c>
      <c r="AG281" s="2" t="str">
        <f>HYPERLINK("http://exon.niaid.nih.gov/transcriptome/T_rubida/S2/links/NR/Triru-604-NR.txt","hypothetical protein EAG_04754")</f>
        <v>hypothetical protein EAG_04754</v>
      </c>
      <c r="AH281" t="str">
        <f>HYPERLINK("http://www.ncbi.nlm.nih.gov/sutils/blink.cgi?pid=307184321","10")</f>
        <v>10</v>
      </c>
      <c r="AI281" t="str">
        <f>HYPERLINK("http://www.ncbi.nlm.nih.gov/protein/307184321","gi|307184321")</f>
        <v>gi|307184321</v>
      </c>
      <c r="AJ281">
        <v>33.5</v>
      </c>
      <c r="AK281">
        <v>172</v>
      </c>
      <c r="AL281">
        <v>175</v>
      </c>
      <c r="AM281">
        <v>31</v>
      </c>
      <c r="AN281">
        <v>99</v>
      </c>
      <c r="AO281" t="s">
        <v>142</v>
      </c>
      <c r="AP281" s="2" t="str">
        <f>HYPERLINK("http://exon.niaid.nih.gov/transcriptome/T_rubida/S2/links/SWISSP/Triru-604-SWISSP.txt","NADH-ubiquinone oxidoreductase chain 2")</f>
        <v>NADH-ubiquinone oxidoreductase chain 2</v>
      </c>
      <c r="AQ281" t="str">
        <f>HYPERLINK("http://www.uniprot.org/uniprot/Q37376","9.5")</f>
        <v>9.5</v>
      </c>
      <c r="AR281" t="s">
        <v>472</v>
      </c>
      <c r="AS281">
        <v>28.9</v>
      </c>
      <c r="AT281">
        <v>43</v>
      </c>
      <c r="AU281">
        <v>527</v>
      </c>
      <c r="AV281">
        <v>36</v>
      </c>
      <c r="AW281">
        <v>8</v>
      </c>
      <c r="AX281">
        <v>28</v>
      </c>
      <c r="AY281">
        <v>2</v>
      </c>
      <c r="AZ281">
        <v>275</v>
      </c>
      <c r="BA281">
        <v>7</v>
      </c>
      <c r="BB281">
        <v>1</v>
      </c>
      <c r="BC281" t="s">
        <v>473</v>
      </c>
      <c r="BD281" s="2" t="s">
        <v>5</v>
      </c>
      <c r="BE281" t="s">
        <v>5</v>
      </c>
      <c r="BF281" t="s">
        <v>5</v>
      </c>
      <c r="BG281" t="s">
        <v>5</v>
      </c>
      <c r="BH281" t="s">
        <v>5</v>
      </c>
      <c r="BI281" s="2" t="str">
        <f>HYPERLINK("http://exon.niaid.nih.gov/transcriptome/T_rubida/S2/links/CDD/Triru-604-CDD.txt","Staph_a_para_1")</f>
        <v>Staph_a_para_1</v>
      </c>
      <c r="BJ281" t="str">
        <f>HYPERLINK("http://www.ncbi.nlm.nih.gov/Structure/cdd/cddsrv.cgi?uid=TIGR01218&amp;version=v4.0","9.4")</f>
        <v>9.4</v>
      </c>
      <c r="BK281" t="s">
        <v>474</v>
      </c>
      <c r="BL281" s="2" t="str">
        <f>HYPERLINK("http://exon.niaid.nih.gov/transcriptome/T_rubida/S2/links/KOG/Triru-604-KOG.txt","Prohibitins and stomatins of the PID superfamily")</f>
        <v>Prohibitins and stomatins of the PID superfamily</v>
      </c>
      <c r="BM281" t="str">
        <f>HYPERLINK("http://www.ncbi.nlm.nih.gov/COG/grace/shokog.cgi?KOG2621","5.1")</f>
        <v>5.1</v>
      </c>
      <c r="BN281" t="s">
        <v>65</v>
      </c>
      <c r="BO281" s="2" t="str">
        <f>HYPERLINK("http://exon.niaid.nih.gov/transcriptome/T_rubida/S2/links/PFAM/Triru-604-PFAM.txt","DUF1229")</f>
        <v>DUF1229</v>
      </c>
      <c r="BP281" t="str">
        <f>HYPERLINK("http://pfam.sanger.ac.uk/family?acc=PF06797","4.5")</f>
        <v>4.5</v>
      </c>
      <c r="BQ281" s="2" t="str">
        <f>HYPERLINK("http://exon.niaid.nih.gov/transcriptome/T_rubida/S2/links/SMART/Triru-604-SMART.txt","BPI1")</f>
        <v>BPI1</v>
      </c>
      <c r="BR281" t="str">
        <f>HYPERLINK("http://smart.embl-heidelberg.de/smart/do_annotation.pl?DOMAIN=BPI1&amp;BLAST=DUMMY","1.1")</f>
        <v>1.1</v>
      </c>
      <c r="BS281" s="17">
        <f t="shared" ref="BS281:BS289" si="62">HYPERLINK("http://exon.niaid.nih.gov/transcriptome/T_rubida/S2/links/cluster/Triru-pep-ext25-50-Sim-CLU1.txt", 1)</f>
        <v>1</v>
      </c>
      <c r="BT281" s="1">
        <f t="shared" ref="BT281:BT289" si="63">HYPERLINK("http://exon.niaid.nih.gov/transcriptome/T_rubida/S2/links/cluster/Triru-pep-ext25-50-Sim-CLTL1.txt", 359)</f>
        <v>359</v>
      </c>
      <c r="BU281" s="17">
        <f>HYPERLINK("http://exon.niaid.nih.gov/transcriptome/T_rubida/S2/links/cluster/Triru-pep-ext30-50-Sim-CLU45.txt", 45)</f>
        <v>45</v>
      </c>
      <c r="BV281" s="1">
        <f>HYPERLINK("http://exon.niaid.nih.gov/transcriptome/T_rubida/S2/links/cluster/Triru-pep-ext30-50-Sim-CLTL45.txt", 2)</f>
        <v>2</v>
      </c>
      <c r="BW281" s="17">
        <f>HYPERLINK("http://exon.niaid.nih.gov/transcriptome/T_rubida/S2/links/cluster/Triru-pep-ext35-50-Sim-CLU45.txt", 45)</f>
        <v>45</v>
      </c>
      <c r="BX281" s="1">
        <f>HYPERLINK("http://exon.niaid.nih.gov/transcriptome/T_rubida/S2/links/cluster/Triru-pep-ext35-50-Sim-CLTL45.txt", 2)</f>
        <v>2</v>
      </c>
      <c r="BY281" s="17">
        <f>HYPERLINK("http://exon.niaid.nih.gov/transcriptome/T_rubida/S2/links/cluster/Triru-pep-ext40-50-Sim-CLU41.txt", 41)</f>
        <v>41</v>
      </c>
      <c r="BZ281" s="1">
        <f>HYPERLINK("http://exon.niaid.nih.gov/transcriptome/T_rubida/S2/links/cluster/Triru-pep-ext40-50-Sim-CLTL41.txt", 2)</f>
        <v>2</v>
      </c>
      <c r="CA281" s="17">
        <f>HYPERLINK("http://exon.niaid.nih.gov/transcriptome/T_rubida/S2/links/cluster/Triru-pep-ext45-50-Sim-CLU36.txt", 36)</f>
        <v>36</v>
      </c>
      <c r="CB281" s="1">
        <f>HYPERLINK("http://exon.niaid.nih.gov/transcriptome/T_rubida/S2/links/cluster/Triru-pep-ext45-50-Sim-CLTL36.txt", 2)</f>
        <v>2</v>
      </c>
      <c r="CC281" s="17">
        <v>415</v>
      </c>
      <c r="CD281" s="1">
        <v>1</v>
      </c>
      <c r="CE281" s="17">
        <v>430</v>
      </c>
      <c r="CF281" s="1">
        <v>1</v>
      </c>
      <c r="CG281" s="17">
        <v>437</v>
      </c>
      <c r="CH281" s="1">
        <v>1</v>
      </c>
      <c r="CI281" s="17">
        <v>451</v>
      </c>
      <c r="CJ281" s="1">
        <v>1</v>
      </c>
      <c r="CK281" s="17">
        <v>457</v>
      </c>
      <c r="CL281" s="1">
        <v>1</v>
      </c>
      <c r="CM281" s="17">
        <v>469</v>
      </c>
      <c r="CN281" s="1">
        <v>1</v>
      </c>
      <c r="CO281" s="17">
        <v>481</v>
      </c>
      <c r="CP281" s="1">
        <v>1</v>
      </c>
      <c r="CQ281" s="17">
        <v>491</v>
      </c>
      <c r="CR281" s="1">
        <v>1</v>
      </c>
      <c r="CS281" s="17">
        <v>504</v>
      </c>
      <c r="CT281" s="1">
        <v>1</v>
      </c>
      <c r="CU281" s="17">
        <v>516</v>
      </c>
      <c r="CV281" s="1">
        <v>1</v>
      </c>
    </row>
    <row r="282" spans="1:100">
      <c r="A282" t="str">
        <f>HYPERLINK("http://exon.niaid.nih.gov/transcriptome/T_rubida/S2/links/pep/Triru-182-pep.txt","Triru-182")</f>
        <v>Triru-182</v>
      </c>
      <c r="B282">
        <v>48</v>
      </c>
      <c r="C282" s="1" t="s">
        <v>8</v>
      </c>
      <c r="D282" s="1" t="s">
        <v>5</v>
      </c>
      <c r="E282" t="str">
        <f>HYPERLINK("http://exon.niaid.nih.gov/transcriptome/T_rubida/S2/links/cds/Triru-182-cds.txt","Triru-182")</f>
        <v>Triru-182</v>
      </c>
      <c r="F282">
        <v>143</v>
      </c>
      <c r="G282" s="2" t="s">
        <v>1737</v>
      </c>
      <c r="H282" s="1">
        <v>1</v>
      </c>
      <c r="I282" s="3" t="s">
        <v>1266</v>
      </c>
      <c r="J282" s="17" t="str">
        <f>HYPERLINK("http://exon.niaid.nih.gov/transcriptome/T_rubida/S2/links/Sigp/Triru-182-SigP.txt","ANC")</f>
        <v>ANC</v>
      </c>
      <c r="K282" t="s">
        <v>5</v>
      </c>
      <c r="L282" s="1">
        <v>5.9249999999999998</v>
      </c>
      <c r="M282" s="1">
        <v>6.9</v>
      </c>
      <c r="P282" s="1">
        <v>1.0999999999999999E-2</v>
      </c>
      <c r="Q282" s="1">
        <v>0.99</v>
      </c>
      <c r="R282" s="1">
        <v>2.5000000000000001E-2</v>
      </c>
      <c r="S282" s="17" t="s">
        <v>18</v>
      </c>
      <c r="T282">
        <v>1</v>
      </c>
      <c r="U282" t="s">
        <v>1481</v>
      </c>
      <c r="V282" s="17" t="str">
        <f>HYPERLINK("http://exon.niaid.nih.gov/transcriptome/T_rubida/S2/links/tmhmm/TRIRU-182-tmhmm.txt","2")</f>
        <v>2</v>
      </c>
      <c r="W282">
        <v>85.4</v>
      </c>
      <c r="X282">
        <v>8.3000000000000007</v>
      </c>
      <c r="Y282">
        <v>6.3</v>
      </c>
      <c r="Z282">
        <v>1</v>
      </c>
      <c r="AA282">
        <v>1</v>
      </c>
      <c r="AB282" s="17" t="str">
        <f>HYPERLINK("http://exon.niaid.nih.gov/transcriptome/T_rubida/S2/links/netoglyc/TRIRU-182-netoglyc.txt","0")</f>
        <v>0</v>
      </c>
      <c r="AC282">
        <v>10.4</v>
      </c>
      <c r="AD282">
        <v>2.1</v>
      </c>
      <c r="AE282">
        <v>4.2</v>
      </c>
      <c r="AF282" s="17" t="s">
        <v>5</v>
      </c>
      <c r="AG282" s="2" t="str">
        <f>HYPERLINK("http://exon.niaid.nih.gov/transcriptome/T_rubida/S2/links/NR/Triru-182-NR.txt","predicted protein")</f>
        <v>predicted protein</v>
      </c>
      <c r="AH282" t="str">
        <f>HYPERLINK("http://www.ncbi.nlm.nih.gov/sutils/blink.cgi?pid=297818924","0.005")</f>
        <v>0.005</v>
      </c>
      <c r="AI282" t="str">
        <f>HYPERLINK("http://www.ncbi.nlm.nih.gov/protein/297818924","gi|297818924")</f>
        <v>gi|297818924</v>
      </c>
      <c r="AJ282">
        <v>44.7</v>
      </c>
      <c r="AK282">
        <v>46</v>
      </c>
      <c r="AL282">
        <v>53</v>
      </c>
      <c r="AM282">
        <v>56</v>
      </c>
      <c r="AN282">
        <v>89</v>
      </c>
      <c r="AO282" t="s">
        <v>336</v>
      </c>
      <c r="AP282" s="2" t="str">
        <f>HYPERLINK("http://exon.niaid.nih.gov/transcriptome/T_rubida/S2/links/SWISSP/Triru-182-SWISSP.txt","Uncharacterized membrane protein C17A2.10c")</f>
        <v>Uncharacterized membrane protein C17A2.10c</v>
      </c>
      <c r="AQ282" t="str">
        <f>HYPERLINK("http://www.uniprot.org/uniprot/O13760","1.1")</f>
        <v>1.1</v>
      </c>
      <c r="AR282" t="s">
        <v>337</v>
      </c>
      <c r="AS282">
        <v>32</v>
      </c>
      <c r="AT282">
        <v>45</v>
      </c>
      <c r="AU282">
        <v>230</v>
      </c>
      <c r="AV282">
        <v>39</v>
      </c>
      <c r="AW282">
        <v>20</v>
      </c>
      <c r="AX282">
        <v>28</v>
      </c>
      <c r="AY282">
        <v>0</v>
      </c>
      <c r="AZ282">
        <v>129</v>
      </c>
      <c r="BA282">
        <v>1</v>
      </c>
      <c r="BB282">
        <v>1</v>
      </c>
      <c r="BC282" t="s">
        <v>70</v>
      </c>
      <c r="BD282" s="2" t="s">
        <v>5</v>
      </c>
      <c r="BE282" t="s">
        <v>5</v>
      </c>
      <c r="BF282" t="s">
        <v>5</v>
      </c>
      <c r="BG282" t="s">
        <v>5</v>
      </c>
      <c r="BH282" t="s">
        <v>5</v>
      </c>
      <c r="BI282" s="2" t="s">
        <v>5</v>
      </c>
      <c r="BJ282" t="s">
        <v>5</v>
      </c>
      <c r="BK282" t="s">
        <v>5</v>
      </c>
      <c r="BL282" s="2" t="s">
        <v>5</v>
      </c>
      <c r="BM282" t="s">
        <v>5</v>
      </c>
      <c r="BN282" t="s">
        <v>5</v>
      </c>
      <c r="BO282" s="2" t="s">
        <v>5</v>
      </c>
      <c r="BP282" t="s">
        <v>5</v>
      </c>
      <c r="BQ282" s="2" t="s">
        <v>5</v>
      </c>
      <c r="BR282" t="s">
        <v>5</v>
      </c>
      <c r="BS282" s="17">
        <f t="shared" si="62"/>
        <v>1</v>
      </c>
      <c r="BT282" s="1">
        <f t="shared" si="63"/>
        <v>359</v>
      </c>
      <c r="BU282" s="17">
        <f>HYPERLINK("http://exon.niaid.nih.gov/transcriptome/T_rubida/S2/links/cluster/Triru-pep-ext30-50-Sim-CLU1.txt", 1)</f>
        <v>1</v>
      </c>
      <c r="BV282" s="1">
        <f>HYPERLINK("http://exon.niaid.nih.gov/transcriptome/T_rubida/S2/links/cluster/Triru-pep-ext30-50-Sim-CLTL1.txt", 225)</f>
        <v>225</v>
      </c>
      <c r="BW282" s="17">
        <f>HYPERLINK("http://exon.niaid.nih.gov/transcriptome/T_rubida/S2/links/cluster/Triru-pep-ext35-50-Sim-CLU1.txt", 1)</f>
        <v>1</v>
      </c>
      <c r="BX282" s="1">
        <f>HYPERLINK("http://exon.niaid.nih.gov/transcriptome/T_rubida/S2/links/cluster/Triru-pep-ext35-50-Sim-CLTL1.txt", 75)</f>
        <v>75</v>
      </c>
      <c r="BY282" s="17">
        <f>HYPERLINK("http://exon.niaid.nih.gov/transcriptome/T_rubida/S2/links/cluster/Triru-pep-ext40-50-Sim-CLU4.txt", 4)</f>
        <v>4</v>
      </c>
      <c r="BZ282" s="1">
        <f>HYPERLINK("http://exon.niaid.nih.gov/transcriptome/T_rubida/S2/links/cluster/Triru-pep-ext40-50-Sim-CLTL4.txt", 6)</f>
        <v>6</v>
      </c>
      <c r="CA282" s="17">
        <f>HYPERLINK("http://exon.niaid.nih.gov/transcriptome/T_rubida/S2/links/cluster/Triru-pep-ext45-50-Sim-CLU4.txt", 4)</f>
        <v>4</v>
      </c>
      <c r="CB282" s="1">
        <f>HYPERLINK("http://exon.niaid.nih.gov/transcriptome/T_rubida/S2/links/cluster/Triru-pep-ext45-50-Sim-CLTL4.txt", 4)</f>
        <v>4</v>
      </c>
      <c r="CC282" s="17">
        <v>113</v>
      </c>
      <c r="CD282" s="1">
        <v>1</v>
      </c>
      <c r="CE282" s="17">
        <v>109</v>
      </c>
      <c r="CF282" s="1">
        <v>1</v>
      </c>
      <c r="CG282" s="17">
        <v>110</v>
      </c>
      <c r="CH282" s="1">
        <v>1</v>
      </c>
      <c r="CI282" s="17">
        <v>116</v>
      </c>
      <c r="CJ282" s="1">
        <v>1</v>
      </c>
      <c r="CK282" s="17">
        <v>121</v>
      </c>
      <c r="CL282" s="1">
        <v>1</v>
      </c>
      <c r="CM282" s="17">
        <v>127</v>
      </c>
      <c r="CN282" s="1">
        <v>1</v>
      </c>
      <c r="CO282" s="17">
        <v>137</v>
      </c>
      <c r="CP282" s="1">
        <v>1</v>
      </c>
      <c r="CQ282" s="17">
        <v>147</v>
      </c>
      <c r="CR282" s="1">
        <v>1</v>
      </c>
      <c r="CS282" s="17">
        <v>152</v>
      </c>
      <c r="CT282" s="1">
        <v>1</v>
      </c>
      <c r="CU282" s="17">
        <v>163</v>
      </c>
      <c r="CV282" s="1">
        <v>1</v>
      </c>
    </row>
    <row r="283" spans="1:100">
      <c r="A283" t="str">
        <f>HYPERLINK("http://exon.niaid.nih.gov/transcriptome/T_rubida/S2/links/pep/Triru-548-pep.txt","Triru-548")</f>
        <v>Triru-548</v>
      </c>
      <c r="B283">
        <v>69</v>
      </c>
      <c r="C283" s="1" t="s">
        <v>8</v>
      </c>
      <c r="D283" s="1" t="s">
        <v>3</v>
      </c>
      <c r="E283" t="str">
        <f>HYPERLINK("http://exon.niaid.nih.gov/transcriptome/T_rubida/S2/links/cds/Triru-548-cds.txt","Triru-548")</f>
        <v>Triru-548</v>
      </c>
      <c r="F283">
        <v>210</v>
      </c>
      <c r="G283" s="2" t="s">
        <v>1741</v>
      </c>
      <c r="H283" s="1">
        <v>1</v>
      </c>
      <c r="I283" s="3" t="s">
        <v>1266</v>
      </c>
      <c r="J283" s="17" t="str">
        <f>HYPERLINK("http://exon.niaid.nih.gov/transcriptome/T_rubida/S2/links/Sigp/Triru-548-SigP.txt","ANC")</f>
        <v>ANC</v>
      </c>
      <c r="K283" t="s">
        <v>5</v>
      </c>
      <c r="L283" s="1">
        <v>8.56</v>
      </c>
      <c r="M283" s="1">
        <v>9.2799999999999994</v>
      </c>
      <c r="P283" s="1">
        <v>2.5000000000000001E-2</v>
      </c>
      <c r="Q283" s="1">
        <v>0.97299999999999998</v>
      </c>
      <c r="R283" s="1">
        <v>3.7999999999999999E-2</v>
      </c>
      <c r="S283" s="17" t="s">
        <v>18</v>
      </c>
      <c r="T283">
        <v>1</v>
      </c>
      <c r="U283" t="s">
        <v>1484</v>
      </c>
      <c r="V283" s="17" t="str">
        <f>HYPERLINK("http://exon.niaid.nih.gov/transcriptome/T_rubida/S2/links/tmhmm/TRIRU-548-tmhmm.txt","2")</f>
        <v>2</v>
      </c>
      <c r="W283">
        <v>63.8</v>
      </c>
      <c r="X283">
        <v>17.399999999999999</v>
      </c>
      <c r="Y283">
        <v>18.8</v>
      </c>
      <c r="Z283" t="s">
        <v>5</v>
      </c>
      <c r="AA283">
        <v>8</v>
      </c>
      <c r="AB283" s="17" t="str">
        <f>HYPERLINK("http://exon.niaid.nih.gov/transcriptome/T_rubida/S2/links/netoglyc/TRIRU-548-netoglyc.txt","0")</f>
        <v>0</v>
      </c>
      <c r="AC283">
        <v>7.2</v>
      </c>
      <c r="AD283">
        <v>2.9</v>
      </c>
      <c r="AE283" t="s">
        <v>1394</v>
      </c>
      <c r="AF283" s="17" t="s">
        <v>5</v>
      </c>
      <c r="AG283" s="2" t="str">
        <f>HYPERLINK("http://exon.niaid.nih.gov/transcriptome/T_rubida/S2/links/NR/Triru-548-NR.txt","LOW QUALITY PROTEIN: conserved hypothetical protein")</f>
        <v>LOW QUALITY PROTEIN: conserved hypothetical protein</v>
      </c>
      <c r="AH283" t="str">
        <f>HYPERLINK("http://www.ncbi.nlm.nih.gov/sutils/blink.cgi?pid=282893127","0.93")</f>
        <v>0.93</v>
      </c>
      <c r="AI283" t="str">
        <f>HYPERLINK("http://www.ncbi.nlm.nih.gov/protein/282893127","gi|282893127")</f>
        <v>gi|282893127</v>
      </c>
      <c r="AJ283">
        <v>37</v>
      </c>
      <c r="AK283">
        <v>42</v>
      </c>
      <c r="AL283">
        <v>58</v>
      </c>
      <c r="AM283">
        <v>41</v>
      </c>
      <c r="AN283">
        <v>74</v>
      </c>
      <c r="AO283" t="s">
        <v>395</v>
      </c>
      <c r="AP283" s="2" t="str">
        <f>HYPERLINK("http://exon.niaid.nih.gov/transcriptome/T_rubida/S2/links/SWISSP/Triru-548-SWISSP.txt","Uncharacterized protein yteU")</f>
        <v>Uncharacterized protein yteU</v>
      </c>
      <c r="AQ283" t="str">
        <f>HYPERLINK("http://www.uniprot.org/uniprot/O34378","3.3")</f>
        <v>3.3</v>
      </c>
      <c r="AR283" t="s">
        <v>396</v>
      </c>
      <c r="AS283">
        <v>30.4</v>
      </c>
      <c r="AT283">
        <v>56</v>
      </c>
      <c r="AU283">
        <v>222</v>
      </c>
      <c r="AV283">
        <v>25</v>
      </c>
      <c r="AW283">
        <v>26</v>
      </c>
      <c r="AX283">
        <v>45</v>
      </c>
      <c r="AY283">
        <v>4</v>
      </c>
      <c r="AZ283">
        <v>111</v>
      </c>
      <c r="BA283">
        <v>3</v>
      </c>
      <c r="BB283">
        <v>1</v>
      </c>
      <c r="BC283" t="s">
        <v>372</v>
      </c>
      <c r="BD283" s="2" t="s">
        <v>5</v>
      </c>
      <c r="BE283" t="s">
        <v>5</v>
      </c>
      <c r="BF283" t="s">
        <v>5</v>
      </c>
      <c r="BG283" t="s">
        <v>5</v>
      </c>
      <c r="BH283" t="s">
        <v>5</v>
      </c>
      <c r="BI283" s="2" t="str">
        <f>HYPERLINK("http://exon.niaid.nih.gov/transcriptome/T_rubida/S2/links/CDD/Triru-548-CDD.txt","TLD")</f>
        <v>TLD</v>
      </c>
      <c r="BJ283" t="str">
        <f>HYPERLINK("http://www.ncbi.nlm.nih.gov/Structure/cdd/cddsrv.cgi?uid=pfam07534&amp;version=v4.0","4.5")</f>
        <v>4.5</v>
      </c>
      <c r="BK283" t="s">
        <v>397</v>
      </c>
      <c r="BL283" s="2" t="str">
        <f>HYPERLINK("http://exon.niaid.nih.gov/transcriptome/T_rubida/S2/links/KOG/Triru-548-KOG.txt","K+/Cl- cotransporter KCC1 and related transporters")</f>
        <v>K+/Cl- cotransporter KCC1 and related transporters</v>
      </c>
      <c r="BM283" t="str">
        <f>HYPERLINK("http://www.ncbi.nlm.nih.gov/COG/grace/shokog.cgi?KOG2082","0.059")</f>
        <v>0.059</v>
      </c>
      <c r="BN283" t="s">
        <v>117</v>
      </c>
      <c r="BO283" s="2" t="str">
        <f>HYPERLINK("http://exon.niaid.nih.gov/transcriptome/T_rubida/S2/links/PFAM/Triru-548-PFAM.txt","TLD")</f>
        <v>TLD</v>
      </c>
      <c r="BP283" t="str">
        <f>HYPERLINK("http://pfam.sanger.ac.uk/family?acc=PF07534","0.99")</f>
        <v>0.99</v>
      </c>
      <c r="BQ283" s="2" t="str">
        <f>HYPERLINK("http://exon.niaid.nih.gov/transcriptome/T_rubida/S2/links/SMART/Triru-548-SMART.txt","SHR3_chaperone")</f>
        <v>SHR3_chaperone</v>
      </c>
      <c r="BR283" t="str">
        <f>HYPERLINK("http://smart.embl-heidelberg.de/smart/do_annotation.pl?DOMAIN=SHR3_chaperone&amp;BLAST=DUMMY","0.84")</f>
        <v>0.84</v>
      </c>
      <c r="BS283" s="17">
        <f t="shared" si="62"/>
        <v>1</v>
      </c>
      <c r="BT283" s="1">
        <f t="shared" si="63"/>
        <v>359</v>
      </c>
      <c r="BU283" s="17">
        <f>HYPERLINK("http://exon.niaid.nih.gov/transcriptome/T_rubida/S2/links/cluster/Triru-pep-ext30-50-Sim-CLU1.txt", 1)</f>
        <v>1</v>
      </c>
      <c r="BV283" s="1">
        <f>HYPERLINK("http://exon.niaid.nih.gov/transcriptome/T_rubida/S2/links/cluster/Triru-pep-ext30-50-Sim-CLTL1.txt", 225)</f>
        <v>225</v>
      </c>
      <c r="BW283" s="17">
        <f>HYPERLINK("http://exon.niaid.nih.gov/transcriptome/T_rubida/S2/links/cluster/Triru-pep-ext35-50-Sim-CLU5.txt", 5)</f>
        <v>5</v>
      </c>
      <c r="BX283" s="1">
        <f>HYPERLINK("http://exon.niaid.nih.gov/transcriptome/T_rubida/S2/links/cluster/Triru-pep-ext35-50-Sim-CLTL5.txt", 5)</f>
        <v>5</v>
      </c>
      <c r="BY283" s="17">
        <v>346</v>
      </c>
      <c r="BZ283" s="1">
        <v>1</v>
      </c>
      <c r="CA283" s="17">
        <v>358</v>
      </c>
      <c r="CB283" s="1">
        <v>1</v>
      </c>
      <c r="CC283" s="17">
        <v>371</v>
      </c>
      <c r="CD283" s="1">
        <v>1</v>
      </c>
      <c r="CE283" s="17">
        <v>386</v>
      </c>
      <c r="CF283" s="1">
        <v>1</v>
      </c>
      <c r="CG283" s="17">
        <v>392</v>
      </c>
      <c r="CH283" s="1">
        <v>1</v>
      </c>
      <c r="CI283" s="17">
        <v>404</v>
      </c>
      <c r="CJ283" s="1">
        <v>1</v>
      </c>
      <c r="CK283" s="17">
        <v>410</v>
      </c>
      <c r="CL283" s="1">
        <v>1</v>
      </c>
      <c r="CM283" s="17">
        <v>421</v>
      </c>
      <c r="CN283" s="1">
        <v>1</v>
      </c>
      <c r="CO283" s="17">
        <v>433</v>
      </c>
      <c r="CP283" s="1">
        <v>1</v>
      </c>
      <c r="CQ283" s="17">
        <v>443</v>
      </c>
      <c r="CR283" s="1">
        <v>1</v>
      </c>
      <c r="CS283" s="17">
        <v>456</v>
      </c>
      <c r="CT283" s="1">
        <v>1</v>
      </c>
      <c r="CU283" s="17">
        <v>467</v>
      </c>
      <c r="CV283" s="1">
        <v>1</v>
      </c>
    </row>
    <row r="284" spans="1:100">
      <c r="A284" t="str">
        <f>HYPERLINK("http://exon.niaid.nih.gov/transcriptome/T_rubida/S2/links/pep/Triru-609-pep.txt","Triru-609")</f>
        <v>Triru-609</v>
      </c>
      <c r="B284">
        <v>75</v>
      </c>
      <c r="C284" s="1" t="s">
        <v>20</v>
      </c>
      <c r="D284" s="1" t="s">
        <v>5</v>
      </c>
      <c r="E284" t="str">
        <f>HYPERLINK("http://exon.niaid.nih.gov/transcriptome/T_rubida/S2/links/cds/Triru-609-cds.txt","Triru-609")</f>
        <v>Triru-609</v>
      </c>
      <c r="F284">
        <v>223</v>
      </c>
      <c r="G284" s="2" t="s">
        <v>1742</v>
      </c>
      <c r="H284" s="1">
        <v>1</v>
      </c>
      <c r="I284" s="3" t="s">
        <v>1266</v>
      </c>
      <c r="J284" s="17" t="str">
        <f>HYPERLINK("http://exon.niaid.nih.gov/transcriptome/T_rubida/S2/links/Sigp/Triru-609-SigP.txt","ANC")</f>
        <v>ANC</v>
      </c>
      <c r="K284" t="s">
        <v>5</v>
      </c>
      <c r="L284" s="1">
        <v>9.2249999999999996</v>
      </c>
      <c r="M284" s="1">
        <v>10</v>
      </c>
      <c r="P284" s="1">
        <v>3.5000000000000003E-2</v>
      </c>
      <c r="Q284" s="1">
        <v>0.57899999999999996</v>
      </c>
      <c r="R284" s="1">
        <v>0.54700000000000004</v>
      </c>
      <c r="S284" s="17" t="s">
        <v>18</v>
      </c>
      <c r="T284">
        <v>5</v>
      </c>
      <c r="U284" t="s">
        <v>1485</v>
      </c>
      <c r="V284" s="17" t="str">
        <f>HYPERLINK("http://exon.niaid.nih.gov/transcriptome/T_rubida/S2/links/tmhmm/TRIRU-609-tmhmm.txt","1")</f>
        <v>1</v>
      </c>
      <c r="W284">
        <v>25.3</v>
      </c>
      <c r="X284">
        <v>58.7</v>
      </c>
      <c r="Y284">
        <v>16</v>
      </c>
      <c r="Z284" t="s">
        <v>5</v>
      </c>
      <c r="AA284">
        <v>44</v>
      </c>
      <c r="AB284" s="17" t="str">
        <f>HYPERLINK("http://exon.niaid.nih.gov/transcriptome/T_rubida/S2/links/netoglyc/TRIRU-609-netoglyc.txt","0")</f>
        <v>0</v>
      </c>
      <c r="AC284">
        <v>10.7</v>
      </c>
      <c r="AD284">
        <v>2.7</v>
      </c>
      <c r="AE284">
        <v>1.3</v>
      </c>
      <c r="AF284" s="17" t="s">
        <v>5</v>
      </c>
      <c r="AG284" s="2" t="str">
        <f>HYPERLINK("http://exon.niaid.nih.gov/transcriptome/T_rubida/S2/links/NR/Triru-609-NR.txt","hypothetical protein")</f>
        <v>hypothetical protein</v>
      </c>
      <c r="AH284" t="str">
        <f>HYPERLINK("http://www.ncbi.nlm.nih.gov/sutils/blink.cgi?pid=68075389","0.43")</f>
        <v>0.43</v>
      </c>
      <c r="AI284" t="str">
        <f>HYPERLINK("http://www.ncbi.nlm.nih.gov/protein/68075389","gi|68075389")</f>
        <v>gi|68075389</v>
      </c>
      <c r="AJ284">
        <v>38.1</v>
      </c>
      <c r="AK284">
        <v>38</v>
      </c>
      <c r="AL284">
        <v>57</v>
      </c>
      <c r="AM284">
        <v>46</v>
      </c>
      <c r="AN284">
        <v>68</v>
      </c>
      <c r="AO284" t="s">
        <v>346</v>
      </c>
      <c r="AP284" s="2" t="str">
        <f>HYPERLINK("http://exon.niaid.nih.gov/transcriptome/T_rubida/S2/links/SWISSP/Triru-609-SWISSP.txt","DNA-directed RNA polymerase subunit beta")</f>
        <v>DNA-directed RNA polymerase subunit beta</v>
      </c>
      <c r="AQ284" t="str">
        <f>HYPERLINK("http://www.uniprot.org/uniprot/Q05FH8","2.5")</f>
        <v>2.5</v>
      </c>
      <c r="AR284" t="s">
        <v>884</v>
      </c>
      <c r="AS284">
        <v>30.8</v>
      </c>
      <c r="AT284">
        <v>71</v>
      </c>
      <c r="AU284">
        <v>1267</v>
      </c>
      <c r="AV284">
        <v>31</v>
      </c>
      <c r="AW284">
        <v>6</v>
      </c>
      <c r="AX284">
        <v>49</v>
      </c>
      <c r="AY284">
        <v>5</v>
      </c>
      <c r="AZ284">
        <v>182</v>
      </c>
      <c r="BA284">
        <v>4</v>
      </c>
      <c r="BB284">
        <v>1</v>
      </c>
      <c r="BC284" t="s">
        <v>739</v>
      </c>
      <c r="BD284" s="2" t="s">
        <v>5</v>
      </c>
      <c r="BE284" t="s">
        <v>5</v>
      </c>
      <c r="BF284" t="s">
        <v>5</v>
      </c>
      <c r="BG284" t="s">
        <v>5</v>
      </c>
      <c r="BH284" t="s">
        <v>5</v>
      </c>
      <c r="BI284" s="2" t="str">
        <f>HYPERLINK("http://exon.niaid.nih.gov/transcriptome/T_rubida/S2/links/CDD/Triru-609-CDD.txt","PLN00162")</f>
        <v>PLN00162</v>
      </c>
      <c r="BJ284" t="str">
        <f>HYPERLINK("http://www.ncbi.nlm.nih.gov/Structure/cdd/cddsrv.cgi?uid=PLN00162&amp;version=v4.0","1.7")</f>
        <v>1.7</v>
      </c>
      <c r="BK284" t="s">
        <v>885</v>
      </c>
      <c r="BL284" s="2" t="str">
        <f>HYPERLINK("http://exon.niaid.nih.gov/transcriptome/T_rubida/S2/links/KOG/Triru-609-KOG.txt","Prohibitins and stomatins of the PID superfamily")</f>
        <v>Prohibitins and stomatins of the PID superfamily</v>
      </c>
      <c r="BM284" t="str">
        <f>HYPERLINK("http://www.ncbi.nlm.nih.gov/COG/grace/shokog.cgi?KOG2620","3.3")</f>
        <v>3.3</v>
      </c>
      <c r="BN284" t="s">
        <v>65</v>
      </c>
      <c r="BO284" s="2" t="str">
        <f>HYPERLINK("http://exon.niaid.nih.gov/transcriptome/T_rubida/S2/links/PFAM/Triru-609-PFAM.txt","7TM_GPCR_Srt")</f>
        <v>7TM_GPCR_Srt</v>
      </c>
      <c r="BP284" t="str">
        <f>HYPERLINK("http://pfam.sanger.ac.uk/family?acc=PF10321","1.2")</f>
        <v>1.2</v>
      </c>
      <c r="BQ284" s="2" t="str">
        <f>HYPERLINK("http://exon.niaid.nih.gov/transcriptome/T_rubida/S2/links/SMART/Triru-609-SMART.txt","MeTrc")</f>
        <v>MeTrc</v>
      </c>
      <c r="BR284" t="str">
        <f>HYPERLINK("http://smart.embl-heidelberg.de/smart/do_annotation.pl?DOMAIN=MeTrc&amp;BLAST=DUMMY","3.4")</f>
        <v>3.4</v>
      </c>
      <c r="BS284" s="17">
        <f t="shared" si="62"/>
        <v>1</v>
      </c>
      <c r="BT284" s="1">
        <f t="shared" si="63"/>
        <v>359</v>
      </c>
      <c r="BU284" s="17">
        <f>HYPERLINK("http://exon.niaid.nih.gov/transcriptome/T_rubida/S2/links/cluster/Triru-pep-ext30-50-Sim-CLU1.txt", 1)</f>
        <v>1</v>
      </c>
      <c r="BV284" s="1">
        <f>HYPERLINK("http://exon.niaid.nih.gov/transcriptome/T_rubida/S2/links/cluster/Triru-pep-ext30-50-Sim-CLTL1.txt", 225)</f>
        <v>225</v>
      </c>
      <c r="BW284" s="17">
        <v>355</v>
      </c>
      <c r="BX284" s="1">
        <v>1</v>
      </c>
      <c r="BY284" s="17">
        <v>390</v>
      </c>
      <c r="BZ284" s="1">
        <v>1</v>
      </c>
      <c r="CA284" s="17">
        <v>405</v>
      </c>
      <c r="CB284" s="1">
        <v>1</v>
      </c>
      <c r="CC284" s="17">
        <v>420</v>
      </c>
      <c r="CD284" s="1">
        <v>1</v>
      </c>
      <c r="CE284" s="17">
        <v>435</v>
      </c>
      <c r="CF284" s="1">
        <v>1</v>
      </c>
      <c r="CG284" s="17">
        <v>442</v>
      </c>
      <c r="CH284" s="1">
        <v>1</v>
      </c>
      <c r="CI284" s="17">
        <v>456</v>
      </c>
      <c r="CJ284" s="1">
        <v>1</v>
      </c>
      <c r="CK284" s="17">
        <v>462</v>
      </c>
      <c r="CL284" s="1">
        <v>1</v>
      </c>
      <c r="CM284" s="17">
        <v>474</v>
      </c>
      <c r="CN284" s="1">
        <v>1</v>
      </c>
      <c r="CO284" s="17">
        <v>486</v>
      </c>
      <c r="CP284" s="1">
        <v>1</v>
      </c>
      <c r="CQ284" s="17">
        <v>496</v>
      </c>
      <c r="CR284" s="1">
        <v>1</v>
      </c>
      <c r="CS284" s="17">
        <v>509</v>
      </c>
      <c r="CT284" s="1">
        <v>1</v>
      </c>
      <c r="CU284" s="17">
        <v>521</v>
      </c>
      <c r="CV284" s="1">
        <v>1</v>
      </c>
    </row>
    <row r="285" spans="1:100">
      <c r="A285" t="str">
        <f>HYPERLINK("http://exon.niaid.nih.gov/transcriptome/T_rubida/S2/links/pep/Triru-280-pep.txt","Triru-280")</f>
        <v>Triru-280</v>
      </c>
      <c r="B285">
        <v>52</v>
      </c>
      <c r="C285" s="1" t="s">
        <v>6</v>
      </c>
      <c r="D285" s="1" t="s">
        <v>3</v>
      </c>
      <c r="E285" t="str">
        <f>HYPERLINK("http://exon.niaid.nih.gov/transcriptome/T_rubida/S2/links/cds/Triru-280-cds.txt","Triru-280")</f>
        <v>Triru-280</v>
      </c>
      <c r="F285">
        <v>159</v>
      </c>
      <c r="G285" s="2" t="s">
        <v>1754</v>
      </c>
      <c r="H285" s="1">
        <v>1</v>
      </c>
      <c r="I285" s="3" t="s">
        <v>1266</v>
      </c>
      <c r="J285" s="17" t="str">
        <f>HYPERLINK("http://exon.niaid.nih.gov/transcriptome/T_rubida/S2/links/Sigp/Triru-280-SigP.txt","ANC")</f>
        <v>ANC</v>
      </c>
      <c r="K285" t="s">
        <v>5</v>
      </c>
      <c r="L285" s="1">
        <v>5.8049999999999997</v>
      </c>
      <c r="M285" s="1">
        <v>6.75</v>
      </c>
      <c r="P285" s="1">
        <v>3.5000000000000003E-2</v>
      </c>
      <c r="Q285" s="1">
        <v>0.77</v>
      </c>
      <c r="R285" s="1">
        <v>0.245</v>
      </c>
      <c r="S285" s="17" t="s">
        <v>18</v>
      </c>
      <c r="T285">
        <v>3</v>
      </c>
      <c r="U285" t="s">
        <v>1490</v>
      </c>
      <c r="V285" s="17" t="str">
        <f>HYPERLINK("http://exon.niaid.nih.gov/transcriptome/T_rubida/S2/links/tmhmm/TRIRU-280-tmhmm.txt","1")</f>
        <v>1</v>
      </c>
      <c r="W285">
        <v>42.3</v>
      </c>
      <c r="X285">
        <v>7.7</v>
      </c>
      <c r="Y285">
        <v>50</v>
      </c>
      <c r="Z285" t="s">
        <v>5</v>
      </c>
      <c r="AA285">
        <v>26</v>
      </c>
      <c r="AB285" s="17" t="str">
        <f>HYPERLINK("http://exon.niaid.nih.gov/transcriptome/T_rubida/S2/links/netoglyc/TRIRU-280-netoglyc.txt","0")</f>
        <v>0</v>
      </c>
      <c r="AC285">
        <v>13.5</v>
      </c>
      <c r="AD285">
        <v>9.6</v>
      </c>
      <c r="AE285" t="s">
        <v>1394</v>
      </c>
      <c r="AF285" s="17" t="s">
        <v>5</v>
      </c>
      <c r="AG285" s="2" t="str">
        <f>HYPERLINK("http://exon.niaid.nih.gov/transcriptome/T_rubida/S2/links/NR/Triru-280-NR.txt","hypothetical protein TTHERM_00439180")</f>
        <v>hypothetical protein TTHERM_00439180</v>
      </c>
      <c r="AH285" t="str">
        <f>HYPERLINK("http://www.ncbi.nlm.nih.gov/sutils/blink.cgi?pid=118369220","8.0")</f>
        <v>8.0</v>
      </c>
      <c r="AI285" t="str">
        <f>HYPERLINK("http://www.ncbi.nlm.nih.gov/protein/118369220","gi|118369220")</f>
        <v>gi|118369220</v>
      </c>
      <c r="AJ285">
        <v>33.9</v>
      </c>
      <c r="AK285">
        <v>39</v>
      </c>
      <c r="AL285">
        <v>104</v>
      </c>
      <c r="AM285">
        <v>37</v>
      </c>
      <c r="AN285">
        <v>38</v>
      </c>
      <c r="AO285" t="s">
        <v>405</v>
      </c>
      <c r="AP285" s="2" t="str">
        <f>HYPERLINK("http://exon.niaid.nih.gov/transcriptome/T_rubida/S2/links/SWISSP/Triru-280-SWISSP.txt","Uncharacterized protein YPL068C")</f>
        <v>Uncharacterized protein YPL068C</v>
      </c>
      <c r="AQ285" t="str">
        <f>HYPERLINK("http://www.uniprot.org/uniprot/Q02749","9.6")</f>
        <v>9.6</v>
      </c>
      <c r="AR285" t="s">
        <v>463</v>
      </c>
      <c r="AS285">
        <v>28.9</v>
      </c>
      <c r="AT285">
        <v>37</v>
      </c>
      <c r="AU285">
        <v>293</v>
      </c>
      <c r="AV285">
        <v>39</v>
      </c>
      <c r="AW285">
        <v>13</v>
      </c>
      <c r="AX285">
        <v>23</v>
      </c>
      <c r="AY285">
        <v>0</v>
      </c>
      <c r="AZ285">
        <v>202</v>
      </c>
      <c r="BA285">
        <v>6</v>
      </c>
      <c r="BB285">
        <v>1</v>
      </c>
      <c r="BC285" t="s">
        <v>344</v>
      </c>
      <c r="BD285" s="2" t="s">
        <v>5</v>
      </c>
      <c r="BE285" t="s">
        <v>5</v>
      </c>
      <c r="BF285" t="s">
        <v>5</v>
      </c>
      <c r="BG285" t="s">
        <v>5</v>
      </c>
      <c r="BH285" t="s">
        <v>5</v>
      </c>
      <c r="BI285" s="2" t="str">
        <f>HYPERLINK("http://exon.niaid.nih.gov/transcriptome/T_rubida/S2/links/CDD/Triru-280-CDD.txt","LANC_like")</f>
        <v>LANC_like</v>
      </c>
      <c r="BJ285" t="str">
        <f>HYPERLINK("http://www.ncbi.nlm.nih.gov/Structure/cdd/cddsrv.cgi?uid=pfam05147&amp;version=v4.0","8.6")</f>
        <v>8.6</v>
      </c>
      <c r="BK285" t="s">
        <v>464</v>
      </c>
      <c r="BL285" s="2" t="str">
        <f>HYPERLINK("http://exon.niaid.nih.gov/transcriptome/T_rubida/S2/links/KOG/Triru-280-KOG.txt","Transcription factor IIIC box B binding (alpha) subunit")</f>
        <v>Transcription factor IIIC box B binding (alpha) subunit</v>
      </c>
      <c r="BM285" t="str">
        <f>HYPERLINK("http://www.ncbi.nlm.nih.gov/COG/grace/shokog.cgi?KOG4560","1.2")</f>
        <v>1.2</v>
      </c>
      <c r="BN285" t="s">
        <v>251</v>
      </c>
      <c r="BO285" s="2" t="str">
        <f>HYPERLINK("http://exon.niaid.nih.gov/transcriptome/T_rubida/S2/links/PFAM/Triru-280-PFAM.txt","LANC_like")</f>
        <v>LANC_like</v>
      </c>
      <c r="BP285" t="str">
        <f>HYPERLINK("http://pfam.sanger.ac.uk/family?acc=PF05147","1.8")</f>
        <v>1.8</v>
      </c>
      <c r="BQ285" s="2" t="str">
        <f>HYPERLINK("http://exon.niaid.nih.gov/transcriptome/T_rubida/S2/links/SMART/Triru-280-SMART.txt","AMA-1")</f>
        <v>AMA-1</v>
      </c>
      <c r="BR285" t="str">
        <f>HYPERLINK("http://smart.embl-heidelberg.de/smart/do_annotation.pl?DOMAIN=AMA-1&amp;BLAST=DUMMY","5.7")</f>
        <v>5.7</v>
      </c>
      <c r="BS285" s="17">
        <f t="shared" si="62"/>
        <v>1</v>
      </c>
      <c r="BT285" s="1">
        <f t="shared" si="63"/>
        <v>359</v>
      </c>
      <c r="BU285" s="17">
        <v>131</v>
      </c>
      <c r="BV285" s="1">
        <v>1</v>
      </c>
      <c r="BW285" s="17">
        <v>156</v>
      </c>
      <c r="BX285" s="1">
        <v>1</v>
      </c>
      <c r="BY285" s="17">
        <v>165</v>
      </c>
      <c r="BZ285" s="1">
        <v>1</v>
      </c>
      <c r="CA285" s="17">
        <v>169</v>
      </c>
      <c r="CB285" s="1">
        <v>1</v>
      </c>
      <c r="CC285" s="17">
        <v>173</v>
      </c>
      <c r="CD285" s="1">
        <v>1</v>
      </c>
      <c r="CE285" s="17">
        <v>178</v>
      </c>
      <c r="CF285" s="1">
        <v>1</v>
      </c>
      <c r="CG285" s="17">
        <v>180</v>
      </c>
      <c r="CH285" s="1">
        <v>1</v>
      </c>
      <c r="CI285" s="17">
        <v>187</v>
      </c>
      <c r="CJ285" s="1">
        <v>1</v>
      </c>
      <c r="CK285" s="17">
        <v>192</v>
      </c>
      <c r="CL285" s="1">
        <v>1</v>
      </c>
      <c r="CM285" s="17">
        <v>198</v>
      </c>
      <c r="CN285" s="1">
        <v>1</v>
      </c>
      <c r="CO285" s="17">
        <v>208</v>
      </c>
      <c r="CP285" s="1">
        <v>1</v>
      </c>
      <c r="CQ285" s="17">
        <v>218</v>
      </c>
      <c r="CR285" s="1">
        <v>1</v>
      </c>
      <c r="CS285" s="17">
        <v>224</v>
      </c>
      <c r="CT285" s="1">
        <v>1</v>
      </c>
      <c r="CU285" s="17">
        <v>235</v>
      </c>
      <c r="CV285" s="1">
        <v>1</v>
      </c>
    </row>
    <row r="286" spans="1:100">
      <c r="A286" t="str">
        <f>HYPERLINK("http://exon.niaid.nih.gov/transcriptome/T_rubida/S2/links/pep/Triru-575-pep.txt","Triru-575")</f>
        <v>Triru-575</v>
      </c>
      <c r="B286">
        <v>91</v>
      </c>
      <c r="C286" s="1" t="s">
        <v>12</v>
      </c>
      <c r="D286" s="1" t="s">
        <v>5</v>
      </c>
      <c r="E286" t="str">
        <f>HYPERLINK("http://exon.niaid.nih.gov/transcriptome/T_rubida/S2/links/cds/Triru-575-cds.txt","Triru-575")</f>
        <v>Triru-575</v>
      </c>
      <c r="F286">
        <v>272</v>
      </c>
      <c r="G286" s="2" t="s">
        <v>1758</v>
      </c>
      <c r="H286" s="1">
        <v>1</v>
      </c>
      <c r="I286" s="3" t="s">
        <v>1266</v>
      </c>
      <c r="J286" s="17" t="str">
        <f>HYPERLINK("http://exon.niaid.nih.gov/transcriptome/T_rubida/S2/links/Sigp/Triru-575-SigP.txt","ANC")</f>
        <v>ANC</v>
      </c>
      <c r="K286" t="s">
        <v>5</v>
      </c>
      <c r="L286" s="1">
        <v>10.739000000000001</v>
      </c>
      <c r="M286" s="1">
        <v>9.7799999999999994</v>
      </c>
      <c r="N286" s="1">
        <v>6.5350000000000001</v>
      </c>
      <c r="O286" s="1">
        <v>9.9600000000000009</v>
      </c>
      <c r="P286" s="1">
        <v>6.0000000000000001E-3</v>
      </c>
      <c r="Q286" s="1">
        <v>0.99099999999999999</v>
      </c>
      <c r="R286" s="1">
        <v>0.10199999999999999</v>
      </c>
      <c r="S286" s="17" t="s">
        <v>18</v>
      </c>
      <c r="T286">
        <v>1</v>
      </c>
      <c r="U286" t="s">
        <v>1494</v>
      </c>
      <c r="V286" s="17" t="str">
        <f>HYPERLINK("http://exon.niaid.nih.gov/transcriptome/T_rubida/S2/links/tmhmm/TRIRU-575-tmhmm.txt","2")</f>
        <v>2</v>
      </c>
      <c r="W286">
        <v>42.9</v>
      </c>
      <c r="X286">
        <v>23.1</v>
      </c>
      <c r="Y286">
        <v>34.1</v>
      </c>
      <c r="Z286" t="s">
        <v>5</v>
      </c>
      <c r="AA286">
        <v>8</v>
      </c>
      <c r="AB286" s="17" t="str">
        <f>HYPERLINK("http://exon.niaid.nih.gov/transcriptome/T_rubida/S2/links/netoglyc/TRIRU-575-netoglyc.txt","0")</f>
        <v>0</v>
      </c>
      <c r="AC286">
        <v>12.1</v>
      </c>
      <c r="AD286">
        <v>2.2000000000000002</v>
      </c>
      <c r="AE286">
        <v>1.1000000000000001</v>
      </c>
      <c r="AF286" s="17" t="s">
        <v>5</v>
      </c>
      <c r="AG286" s="2" t="str">
        <f>HYPERLINK("http://exon.niaid.nih.gov/transcriptome/T_rubida/S2/links/NR/Triru-575-NR.txt","binding-protein-dependent transport systems inner membrane component")</f>
        <v>binding-protein-dependent transport systems inner membrane component</v>
      </c>
      <c r="AH286" t="str">
        <f>HYPERLINK("http://www.ncbi.nlm.nih.gov/sutils/blink.cgi?pid=159043603","0.71")</f>
        <v>0.71</v>
      </c>
      <c r="AI286" t="str">
        <f>HYPERLINK("http://www.ncbi.nlm.nih.gov/protein/159043603","gi|159043603")</f>
        <v>gi|159043603</v>
      </c>
      <c r="AJ286">
        <v>37.4</v>
      </c>
      <c r="AK286">
        <v>85</v>
      </c>
      <c r="AL286">
        <v>296</v>
      </c>
      <c r="AM286">
        <v>27</v>
      </c>
      <c r="AN286">
        <v>29</v>
      </c>
      <c r="AO286" t="s">
        <v>1209</v>
      </c>
      <c r="AP286" s="2" t="str">
        <f>HYPERLINK("http://exon.niaid.nih.gov/transcriptome/T_rubida/S2/links/SWISSP/Triru-575-SWISSP.txt","Uncharacterized protein yebC")</f>
        <v>Uncharacterized protein yebC</v>
      </c>
      <c r="AQ286" t="str">
        <f>HYPERLINK("http://www.uniprot.org/uniprot/O34341","0.30")</f>
        <v>0.30</v>
      </c>
      <c r="AR286" t="s">
        <v>1210</v>
      </c>
      <c r="AS286">
        <v>33.9</v>
      </c>
      <c r="AT286">
        <v>99</v>
      </c>
      <c r="AU286">
        <v>267</v>
      </c>
      <c r="AV286">
        <v>24</v>
      </c>
      <c r="AW286">
        <v>37</v>
      </c>
      <c r="AX286">
        <v>76</v>
      </c>
      <c r="AY286">
        <v>23</v>
      </c>
      <c r="AZ286">
        <v>125</v>
      </c>
      <c r="BA286">
        <v>5</v>
      </c>
      <c r="BB286">
        <v>1</v>
      </c>
      <c r="BC286" t="s">
        <v>372</v>
      </c>
      <c r="BD286" s="2" t="s">
        <v>5</v>
      </c>
      <c r="BE286" t="s">
        <v>5</v>
      </c>
      <c r="BF286" t="s">
        <v>5</v>
      </c>
      <c r="BG286" t="s">
        <v>5</v>
      </c>
      <c r="BH286" t="s">
        <v>5</v>
      </c>
      <c r="BI286" s="2" t="s">
        <v>5</v>
      </c>
      <c r="BJ286" t="s">
        <v>5</v>
      </c>
      <c r="BK286" t="s">
        <v>5</v>
      </c>
      <c r="BL286" s="2" t="str">
        <f>HYPERLINK("http://exon.niaid.nih.gov/transcriptome/T_rubida/S2/links/KOG/Triru-575-KOG.txt","Ca2+/Mg2+-permeable cation channels (LTRPC family)")</f>
        <v>Ca2+/Mg2+-permeable cation channels (LTRPC family)</v>
      </c>
      <c r="BM286" t="str">
        <f>HYPERLINK("http://www.ncbi.nlm.nih.gov/COG/grace/shokog.cgi?KOG3614","3.9")</f>
        <v>3.9</v>
      </c>
      <c r="BN286" t="s">
        <v>58</v>
      </c>
      <c r="BO286" s="2" t="s">
        <v>5</v>
      </c>
      <c r="BP286" t="s">
        <v>5</v>
      </c>
      <c r="BQ286" s="2" t="str">
        <f>HYPERLINK("http://exon.niaid.nih.gov/transcriptome/T_rubida/S2/links/SMART/Triru-575-SMART.txt","SHR3_chaperone")</f>
        <v>SHR3_chaperone</v>
      </c>
      <c r="BR286" t="str">
        <f>HYPERLINK("http://smart.embl-heidelberg.de/smart/do_annotation.pl?DOMAIN=SHR3_chaperone&amp;BLAST=DUMMY","1.1")</f>
        <v>1.1</v>
      </c>
      <c r="BS286" s="17">
        <f t="shared" si="62"/>
        <v>1</v>
      </c>
      <c r="BT286" s="1">
        <f t="shared" si="63"/>
        <v>359</v>
      </c>
      <c r="BU286" s="17">
        <f>HYPERLINK("http://exon.niaid.nih.gov/transcriptome/T_rubida/S2/links/cluster/Triru-pep-ext30-50-Sim-CLU45.txt", 45)</f>
        <v>45</v>
      </c>
      <c r="BV286" s="1">
        <f>HYPERLINK("http://exon.niaid.nih.gov/transcriptome/T_rubida/S2/links/cluster/Triru-pep-ext30-50-Sim-CLTL45.txt", 2)</f>
        <v>2</v>
      </c>
      <c r="BW286" s="17">
        <f>HYPERLINK("http://exon.niaid.nih.gov/transcriptome/T_rubida/S2/links/cluster/Triru-pep-ext35-50-Sim-CLU45.txt", 45)</f>
        <v>45</v>
      </c>
      <c r="BX286" s="1">
        <f>HYPERLINK("http://exon.niaid.nih.gov/transcriptome/T_rubida/S2/links/cluster/Triru-pep-ext35-50-Sim-CLTL45.txt", 2)</f>
        <v>2</v>
      </c>
      <c r="BY286" s="17">
        <f>HYPERLINK("http://exon.niaid.nih.gov/transcriptome/T_rubida/S2/links/cluster/Triru-pep-ext40-50-Sim-CLU41.txt", 41)</f>
        <v>41</v>
      </c>
      <c r="BZ286" s="1">
        <f>HYPERLINK("http://exon.niaid.nih.gov/transcriptome/T_rubida/S2/links/cluster/Triru-pep-ext40-50-Sim-CLTL41.txt", 2)</f>
        <v>2</v>
      </c>
      <c r="CA286" s="17">
        <f>HYPERLINK("http://exon.niaid.nih.gov/transcriptome/T_rubida/S2/links/cluster/Triru-pep-ext45-50-Sim-CLU36.txt", 36)</f>
        <v>36</v>
      </c>
      <c r="CB286" s="1">
        <f>HYPERLINK("http://exon.niaid.nih.gov/transcriptome/T_rubida/S2/links/cluster/Triru-pep-ext45-50-Sim-CLTL36.txt", 2)</f>
        <v>2</v>
      </c>
      <c r="CC286" s="17">
        <v>395</v>
      </c>
      <c r="CD286" s="1">
        <v>1</v>
      </c>
      <c r="CE286" s="17">
        <v>410</v>
      </c>
      <c r="CF286" s="1">
        <v>1</v>
      </c>
      <c r="CG286" s="17">
        <v>416</v>
      </c>
      <c r="CH286" s="1">
        <v>1</v>
      </c>
      <c r="CI286" s="17">
        <v>428</v>
      </c>
      <c r="CJ286" s="1">
        <v>1</v>
      </c>
      <c r="CK286" s="17">
        <v>434</v>
      </c>
      <c r="CL286" s="1">
        <v>1</v>
      </c>
      <c r="CM286" s="17">
        <v>445</v>
      </c>
      <c r="CN286" s="1">
        <v>1</v>
      </c>
      <c r="CO286" s="17">
        <v>457</v>
      </c>
      <c r="CP286" s="1">
        <v>1</v>
      </c>
      <c r="CQ286" s="17">
        <v>467</v>
      </c>
      <c r="CR286" s="1">
        <v>1</v>
      </c>
      <c r="CS286" s="17">
        <v>480</v>
      </c>
      <c r="CT286" s="1">
        <v>1</v>
      </c>
      <c r="CU286" s="17">
        <v>492</v>
      </c>
      <c r="CV286" s="1">
        <v>1</v>
      </c>
    </row>
    <row r="287" spans="1:100">
      <c r="A287" t="str">
        <f>HYPERLINK("http://exon.niaid.nih.gov/transcriptome/T_rubida/S2/links/pep/Triru-413-pep.txt","Triru-413")</f>
        <v>Triru-413</v>
      </c>
      <c r="B287">
        <v>30</v>
      </c>
      <c r="C287" s="1" t="s">
        <v>8</v>
      </c>
      <c r="D287" s="1" t="s">
        <v>3</v>
      </c>
      <c r="E287" t="str">
        <f>HYPERLINK("http://exon.niaid.nih.gov/transcriptome/T_rubida/S2/links/cds/Triru-413-cds.txt","Triru-413")</f>
        <v>Triru-413</v>
      </c>
      <c r="F287">
        <v>93</v>
      </c>
      <c r="G287" s="2" t="s">
        <v>1612</v>
      </c>
      <c r="H287" s="1">
        <v>1</v>
      </c>
      <c r="I287" s="3" t="s">
        <v>1266</v>
      </c>
      <c r="J287" s="17" t="str">
        <f>HYPERLINK("http://exon.niaid.nih.gov/transcriptome/T_rubida/S2/links/Sigp/Triru-413-SigP.txt","ANC")</f>
        <v>ANC</v>
      </c>
      <c r="K287" t="s">
        <v>5</v>
      </c>
      <c r="L287" s="1">
        <v>4.1879999999999997</v>
      </c>
      <c r="M287" s="1">
        <v>8.3800000000000008</v>
      </c>
      <c r="N287" s="1">
        <v>0.98199999999999998</v>
      </c>
      <c r="O287" s="1">
        <v>6.1</v>
      </c>
      <c r="P287" s="1">
        <v>0.08</v>
      </c>
      <c r="Q287" s="1">
        <v>0.92600000000000005</v>
      </c>
      <c r="R287" s="1">
        <v>1.7999999999999999E-2</v>
      </c>
      <c r="S287" s="17" t="s">
        <v>18</v>
      </c>
      <c r="T287">
        <v>1</v>
      </c>
      <c r="U287" t="s">
        <v>1495</v>
      </c>
      <c r="V287" s="17" t="str">
        <f>HYPERLINK("http://exon.niaid.nih.gov/transcriptome/T_rubida/S2/links/tmhmm/TRIRU-413-tmhmm.txt","1")</f>
        <v>1</v>
      </c>
      <c r="W287">
        <v>63.3</v>
      </c>
      <c r="X287">
        <v>13.3</v>
      </c>
      <c r="Y287">
        <v>23.3</v>
      </c>
      <c r="Z287" t="s">
        <v>5</v>
      </c>
      <c r="AA287">
        <v>7</v>
      </c>
      <c r="AB287" s="17" t="str">
        <f>HYPERLINK("http://exon.niaid.nih.gov/transcriptome/T_rubida/S2/links/netoglyc/TRIRU-413-netoglyc.txt","0")</f>
        <v>0</v>
      </c>
      <c r="AC287">
        <v>10</v>
      </c>
      <c r="AD287" t="s">
        <v>1417</v>
      </c>
      <c r="AE287" t="s">
        <v>1394</v>
      </c>
      <c r="AF287" s="17" t="s">
        <v>5</v>
      </c>
      <c r="AG287" s="2" t="str">
        <f>HYPERLINK("http://exon.niaid.nih.gov/transcriptome/T_rubida/S2/links/NR/Triru-413-NR.txt","hypothetical protein DDB_G0268960")</f>
        <v>hypothetical protein DDB_G0268960</v>
      </c>
      <c r="AH287" t="str">
        <f>HYPERLINK("http://www.ncbi.nlm.nih.gov/sutils/blink.cgi?pid=111219435","0.004")</f>
        <v>0.004</v>
      </c>
      <c r="AI287" t="str">
        <f>HYPERLINK("http://www.ncbi.nlm.nih.gov/protein/111219435","gi|111219435")</f>
        <v>gi|111219435</v>
      </c>
      <c r="AJ287">
        <v>44.7</v>
      </c>
      <c r="AK287">
        <v>29</v>
      </c>
      <c r="AL287">
        <v>104</v>
      </c>
      <c r="AM287">
        <v>64</v>
      </c>
      <c r="AN287">
        <v>29</v>
      </c>
      <c r="AO287" t="s">
        <v>365</v>
      </c>
      <c r="AP287" s="2" t="str">
        <f>HYPERLINK("http://exon.niaid.nih.gov/transcriptome/T_rubida/S2/links/SWISSP/Triru-413-SWISSP.txt","Putative uncharacterized protein DDB_G0280341")</f>
        <v>Putative uncharacterized protein DDB_G0280341</v>
      </c>
      <c r="AQ287" t="str">
        <f>HYPERLINK("http://www.uniprot.org/uniprot/Q54VG6","0.22")</f>
        <v>0.22</v>
      </c>
      <c r="AR287" t="s">
        <v>369</v>
      </c>
      <c r="AS287">
        <v>34.299999999999997</v>
      </c>
      <c r="AT287">
        <v>24</v>
      </c>
      <c r="AU287">
        <v>180</v>
      </c>
      <c r="AV287">
        <v>75</v>
      </c>
      <c r="AW287">
        <v>14</v>
      </c>
      <c r="AX287">
        <v>4</v>
      </c>
      <c r="AY287">
        <v>0</v>
      </c>
      <c r="AZ287">
        <v>155</v>
      </c>
      <c r="BA287">
        <v>1</v>
      </c>
      <c r="BB287">
        <v>4</v>
      </c>
      <c r="BC287" t="s">
        <v>99</v>
      </c>
      <c r="BD287" s="2" t="s">
        <v>5</v>
      </c>
      <c r="BE287" t="s">
        <v>5</v>
      </c>
      <c r="BF287" t="s">
        <v>5</v>
      </c>
      <c r="BG287" t="s">
        <v>5</v>
      </c>
      <c r="BH287" t="s">
        <v>5</v>
      </c>
      <c r="BI287" s="2" t="s">
        <v>5</v>
      </c>
      <c r="BJ287" t="s">
        <v>5</v>
      </c>
      <c r="BK287" t="s">
        <v>5</v>
      </c>
      <c r="BL287" s="2" t="str">
        <f>HYPERLINK("http://exon.niaid.nih.gov/transcriptome/T_rubida/S2/links/KOG/Triru-413-KOG.txt","SNARE protein SED5/Syntaxin 5")</f>
        <v>SNARE protein SED5/Syntaxin 5</v>
      </c>
      <c r="BM287" t="str">
        <f>HYPERLINK("http://www.ncbi.nlm.nih.gov/COG/grace/shokog.cgi?KOG0812","4.2")</f>
        <v>4.2</v>
      </c>
      <c r="BN287" t="s">
        <v>164</v>
      </c>
      <c r="BO287" s="2" t="s">
        <v>5</v>
      </c>
      <c r="BP287" t="s">
        <v>5</v>
      </c>
      <c r="BQ287" s="2" t="str">
        <f>HYPERLINK("http://exon.niaid.nih.gov/transcriptome/T_rubida/S2/links/SMART/Triru-413-SMART.txt","PKS_KR")</f>
        <v>PKS_KR</v>
      </c>
      <c r="BR287" t="str">
        <f>HYPERLINK("http://smart.embl-heidelberg.de/smart/do_annotation.pl?DOMAIN=PKS_KR&amp;BLAST=DUMMY","1.1")</f>
        <v>1.1</v>
      </c>
      <c r="BS287" s="17">
        <f t="shared" si="62"/>
        <v>1</v>
      </c>
      <c r="BT287" s="1">
        <f t="shared" si="63"/>
        <v>359</v>
      </c>
      <c r="BU287" s="17">
        <f>HYPERLINK("http://exon.niaid.nih.gov/transcriptome/T_rubida/S2/links/cluster/Triru-pep-ext30-50-Sim-CLU1.txt", 1)</f>
        <v>1</v>
      </c>
      <c r="BV287" s="1">
        <f>HYPERLINK("http://exon.niaid.nih.gov/transcriptome/T_rubida/S2/links/cluster/Triru-pep-ext30-50-Sim-CLTL1.txt", 225)</f>
        <v>225</v>
      </c>
      <c r="BW287" s="17">
        <f>HYPERLINK("http://exon.niaid.nih.gov/transcriptome/T_rubida/S2/links/cluster/Triru-pep-ext35-50-Sim-CLU1.txt", 1)</f>
        <v>1</v>
      </c>
      <c r="BX287" s="1">
        <f>HYPERLINK("http://exon.niaid.nih.gov/transcriptome/T_rubida/S2/links/cluster/Triru-pep-ext35-50-Sim-CLTL1.txt", 75)</f>
        <v>75</v>
      </c>
      <c r="BY287" s="17">
        <f>HYPERLINK("http://exon.niaid.nih.gov/transcriptome/T_rubida/S2/links/cluster/Triru-pep-ext40-50-Sim-CLU2.txt", 2)</f>
        <v>2</v>
      </c>
      <c r="BZ287" s="1">
        <f>HYPERLINK("http://exon.niaid.nih.gov/transcriptome/T_rubida/S2/links/cluster/Triru-pep-ext40-50-Sim-CLTL2.txt", 42)</f>
        <v>42</v>
      </c>
      <c r="CA287" s="17">
        <f>HYPERLINK("http://exon.niaid.nih.gov/transcriptome/T_rubida/S2/links/cluster/Triru-pep-ext45-50-Sim-CLU2.txt", 2)</f>
        <v>2</v>
      </c>
      <c r="CB287" s="1">
        <f>HYPERLINK("http://exon.niaid.nih.gov/transcriptome/T_rubida/S2/links/cluster/Triru-pep-ext45-50-Sim-CLTL2.txt", 33)</f>
        <v>33</v>
      </c>
      <c r="CC287" s="17">
        <f>HYPERLINK("http://exon.niaid.nih.gov/transcriptome/T_rubida/S2/links/cluster/Triru-pep-ext50-50-Sim-CLU5.txt", 5)</f>
        <v>5</v>
      </c>
      <c r="CD287" s="1">
        <f>HYPERLINK("http://exon.niaid.nih.gov/transcriptome/T_rubida/S2/links/cluster/Triru-pep-ext50-50-Sim-CLTL5.txt", 4)</f>
        <v>4</v>
      </c>
      <c r="CE287" s="17">
        <v>278</v>
      </c>
      <c r="CF287" s="1">
        <v>1</v>
      </c>
      <c r="CG287" s="17">
        <v>281</v>
      </c>
      <c r="CH287" s="1">
        <v>1</v>
      </c>
      <c r="CI287" s="17">
        <v>291</v>
      </c>
      <c r="CJ287" s="1">
        <v>1</v>
      </c>
      <c r="CK287" s="17">
        <v>297</v>
      </c>
      <c r="CL287" s="1">
        <v>1</v>
      </c>
      <c r="CM287" s="17">
        <v>305</v>
      </c>
      <c r="CN287" s="1">
        <v>1</v>
      </c>
      <c r="CO287" s="17">
        <v>317</v>
      </c>
      <c r="CP287" s="1">
        <v>1</v>
      </c>
      <c r="CQ287" s="17">
        <v>327</v>
      </c>
      <c r="CR287" s="1">
        <v>1</v>
      </c>
      <c r="CS287" s="17">
        <v>339</v>
      </c>
      <c r="CT287" s="1">
        <v>1</v>
      </c>
      <c r="CU287" s="17">
        <v>350</v>
      </c>
      <c r="CV287" s="1">
        <v>1</v>
      </c>
    </row>
    <row r="288" spans="1:100">
      <c r="A288" t="str">
        <f>HYPERLINK("http://exon.niaid.nih.gov/transcriptome/T_rubida/S2/links/pep/Triru-248-pep.txt","Triru-248")</f>
        <v>Triru-248</v>
      </c>
      <c r="B288">
        <v>36</v>
      </c>
      <c r="C288" s="1" t="s">
        <v>4</v>
      </c>
      <c r="D288" s="1" t="s">
        <v>3</v>
      </c>
      <c r="E288" t="str">
        <f>HYPERLINK("http://exon.niaid.nih.gov/transcriptome/T_rubida/S2/links/cds/Triru-248-cds.txt","Triru-248")</f>
        <v>Triru-248</v>
      </c>
      <c r="F288">
        <v>111</v>
      </c>
      <c r="G288" s="2" t="s">
        <v>1811</v>
      </c>
      <c r="H288" s="1">
        <v>1</v>
      </c>
      <c r="I288" s="3" t="s">
        <v>1266</v>
      </c>
      <c r="J288" s="17" t="str">
        <f>HYPERLINK("http://exon.niaid.nih.gov/transcriptome/T_rubida/S2/links/Sigp/Triru-248-SigP.txt","ANC")</f>
        <v>ANC</v>
      </c>
      <c r="K288" t="s">
        <v>5</v>
      </c>
      <c r="L288" s="1">
        <v>4.194</v>
      </c>
      <c r="M288" s="1">
        <v>9.39</v>
      </c>
      <c r="N288" s="1">
        <v>0.79700000000000004</v>
      </c>
      <c r="O288" s="1">
        <v>10</v>
      </c>
      <c r="P288" s="1">
        <v>3.1E-2</v>
      </c>
      <c r="Q288" s="1">
        <v>0.92700000000000005</v>
      </c>
      <c r="R288" s="1">
        <v>4.7E-2</v>
      </c>
      <c r="S288" s="17" t="s">
        <v>18</v>
      </c>
      <c r="T288">
        <v>1</v>
      </c>
      <c r="U288" t="s">
        <v>1528</v>
      </c>
      <c r="V288" s="17" t="str">
        <f>HYPERLINK("http://exon.niaid.nih.gov/transcriptome/T_rubida/S2/links/tmhmm/TRIRU-248-tmhmm.txt","1")</f>
        <v>1</v>
      </c>
      <c r="W288">
        <v>50</v>
      </c>
      <c r="X288">
        <v>27.8</v>
      </c>
      <c r="Y288">
        <v>22.2</v>
      </c>
      <c r="Z288" t="s">
        <v>5</v>
      </c>
      <c r="AA288">
        <v>8</v>
      </c>
      <c r="AB288" s="17" t="str">
        <f>HYPERLINK("http://exon.niaid.nih.gov/transcriptome/T_rubida/S2/links/netoglyc/TRIRU-248-netoglyc.txt","0")</f>
        <v>0</v>
      </c>
      <c r="AC288">
        <v>16.7</v>
      </c>
      <c r="AD288">
        <v>5.6</v>
      </c>
      <c r="AE288" t="s">
        <v>1394</v>
      </c>
      <c r="AF288" s="17" t="s">
        <v>5</v>
      </c>
      <c r="AG288" s="2" t="str">
        <f>HYPERLINK("http://exon.niaid.nih.gov/transcriptome/T_rubida/S2/links/NR/Triru-248-NR.txt","predicted protein")</f>
        <v>predicted protein</v>
      </c>
      <c r="AH288" t="str">
        <f>HYPERLINK("http://www.ncbi.nlm.nih.gov/sutils/blink.cgi?pid=290978370","8.1")</f>
        <v>8.1</v>
      </c>
      <c r="AI288" t="str">
        <f>HYPERLINK("http://www.ncbi.nlm.nih.gov/protein/290978370","gi|290978370")</f>
        <v>gi|290978370</v>
      </c>
      <c r="AJ288">
        <v>33.9</v>
      </c>
      <c r="AK288">
        <v>29</v>
      </c>
      <c r="AL288">
        <v>277</v>
      </c>
      <c r="AM288">
        <v>56</v>
      </c>
      <c r="AN288">
        <v>11</v>
      </c>
      <c r="AO288" t="s">
        <v>85</v>
      </c>
      <c r="AP288" s="2" t="str">
        <f>HYPERLINK("http://exon.niaid.nih.gov/transcriptome/T_rubida/S2/links/SWISSP/Triru-248-SWISSP.txt","Putative elongation of fatty acids protein 2")</f>
        <v>Putative elongation of fatty acids protein 2</v>
      </c>
      <c r="AQ288" t="str">
        <f>HYPERLINK("http://www.uniprot.org/uniprot/Q7LKX0","1.5")</f>
        <v>1.5</v>
      </c>
      <c r="AR288" t="s">
        <v>86</v>
      </c>
      <c r="AS288">
        <v>31.6</v>
      </c>
      <c r="AT288">
        <v>33</v>
      </c>
      <c r="AU288">
        <v>298</v>
      </c>
      <c r="AV288">
        <v>44</v>
      </c>
      <c r="AW288">
        <v>11</v>
      </c>
      <c r="AX288">
        <v>19</v>
      </c>
      <c r="AY288">
        <v>2</v>
      </c>
      <c r="AZ288">
        <v>244</v>
      </c>
      <c r="BA288">
        <v>2</v>
      </c>
      <c r="BB288">
        <v>1</v>
      </c>
      <c r="BC288" t="s">
        <v>70</v>
      </c>
      <c r="BD288" s="2" t="s">
        <v>5</v>
      </c>
      <c r="BE288" t="s">
        <v>5</v>
      </c>
      <c r="BF288" t="s">
        <v>5</v>
      </c>
      <c r="BG288" t="s">
        <v>5</v>
      </c>
      <c r="BH288" t="s">
        <v>5</v>
      </c>
      <c r="BI288" s="2" t="str">
        <f>HYPERLINK("http://exon.niaid.nih.gov/transcriptome/T_rubida/S2/links/CDD/Triru-248-CDD.txt","ELO")</f>
        <v>ELO</v>
      </c>
      <c r="BJ288" t="str">
        <f>HYPERLINK("http://www.ncbi.nlm.nih.gov/Structure/cdd/cddsrv.cgi?uid=pfam01151&amp;version=v4.0","1.2")</f>
        <v>1.2</v>
      </c>
      <c r="BK288" t="s">
        <v>87</v>
      </c>
      <c r="BL288" s="2" t="str">
        <f>HYPERLINK("http://exon.niaid.nih.gov/transcriptome/T_rubida/S2/links/KOG/Triru-248-KOG.txt","Fatty acyl-CoA elongase/Polyunsaturated fatty acid specific elongation enzyme")</f>
        <v>Fatty acyl-CoA elongase/Polyunsaturated fatty acid specific elongation enzyme</v>
      </c>
      <c r="BM288" t="str">
        <f>HYPERLINK("http://www.ncbi.nlm.nih.gov/COG/grace/shokog.cgi?KOG3071","6.3")</f>
        <v>6.3</v>
      </c>
      <c r="BN288" t="s">
        <v>88</v>
      </c>
      <c r="BO288" s="2" t="str">
        <f>HYPERLINK("http://exon.niaid.nih.gov/transcriptome/T_rubida/S2/links/PFAM/Triru-248-PFAM.txt","ELO")</f>
        <v>ELO</v>
      </c>
      <c r="BP288" t="str">
        <f>HYPERLINK("http://pfam.sanger.ac.uk/family?acc=PF01151","0.25")</f>
        <v>0.25</v>
      </c>
      <c r="BQ288" s="2" t="str">
        <f>HYPERLINK("http://exon.niaid.nih.gov/transcriptome/T_rubida/S2/links/SMART/Triru-248-SMART.txt","calpain_III")</f>
        <v>calpain_III</v>
      </c>
      <c r="BR288" t="str">
        <f>HYPERLINK("http://smart.embl-heidelberg.de/smart/do_annotation.pl?DOMAIN=calpain_III&amp;BLAST=DUMMY","2.0")</f>
        <v>2.0</v>
      </c>
      <c r="BS288" s="17">
        <f t="shared" si="62"/>
        <v>1</v>
      </c>
      <c r="BT288" s="1">
        <f t="shared" si="63"/>
        <v>359</v>
      </c>
      <c r="BU288" s="17">
        <f>HYPERLINK("http://exon.niaid.nih.gov/transcriptome/T_rubida/S2/links/cluster/Triru-pep-ext30-50-Sim-CLU1.txt", 1)</f>
        <v>1</v>
      </c>
      <c r="BV288" s="1">
        <f>HYPERLINK("http://exon.niaid.nih.gov/transcriptome/T_rubida/S2/links/cluster/Triru-pep-ext30-50-Sim-CLTL1.txt", 225)</f>
        <v>225</v>
      </c>
      <c r="BW288" s="17">
        <f>HYPERLINK("http://exon.niaid.nih.gov/transcriptome/T_rubida/S2/links/cluster/Triru-pep-ext35-50-Sim-CLU23.txt", 23)</f>
        <v>23</v>
      </c>
      <c r="BX288" s="1">
        <f>HYPERLINK("http://exon.niaid.nih.gov/transcriptome/T_rubida/S2/links/cluster/Triru-pep-ext35-50-Sim-CLTL23.txt", 2)</f>
        <v>2</v>
      </c>
      <c r="BY288" s="17">
        <f>HYPERLINK("http://exon.niaid.nih.gov/transcriptome/T_rubida/S2/links/cluster/Triru-pep-ext40-50-Sim-CLU21.txt", 21)</f>
        <v>21</v>
      </c>
      <c r="BZ288" s="1">
        <f>HYPERLINK("http://exon.niaid.nih.gov/transcriptome/T_rubida/S2/links/cluster/Triru-pep-ext40-50-Sim-CLTL21.txt", 2)</f>
        <v>2</v>
      </c>
      <c r="CA288" s="17">
        <v>153</v>
      </c>
      <c r="CB288" s="1">
        <v>1</v>
      </c>
      <c r="CC288" s="17">
        <v>156</v>
      </c>
      <c r="CD288" s="1">
        <v>1</v>
      </c>
      <c r="CE288" s="17">
        <v>156</v>
      </c>
      <c r="CF288" s="1">
        <v>1</v>
      </c>
      <c r="CG288" s="17">
        <v>158</v>
      </c>
      <c r="CH288" s="1">
        <v>1</v>
      </c>
      <c r="CI288" s="17">
        <v>165</v>
      </c>
      <c r="CJ288" s="1">
        <v>1</v>
      </c>
      <c r="CK288" s="17">
        <v>170</v>
      </c>
      <c r="CL288" s="1">
        <v>1</v>
      </c>
      <c r="CM288" s="17">
        <v>176</v>
      </c>
      <c r="CN288" s="1">
        <v>1</v>
      </c>
      <c r="CO288" s="17">
        <v>186</v>
      </c>
      <c r="CP288" s="1">
        <v>1</v>
      </c>
      <c r="CQ288" s="17">
        <v>196</v>
      </c>
      <c r="CR288" s="1">
        <v>1</v>
      </c>
      <c r="CS288" s="17">
        <v>201</v>
      </c>
      <c r="CT288" s="1">
        <v>1</v>
      </c>
      <c r="CU288" s="17">
        <v>212</v>
      </c>
      <c r="CV288" s="1">
        <v>1</v>
      </c>
    </row>
    <row r="289" spans="1:100">
      <c r="A289" t="str">
        <f>HYPERLINK("http://exon.niaid.nih.gov/transcriptome/T_rubida/S2/links/pep/Triru-138-pep.txt","Triru-138")</f>
        <v>Triru-138</v>
      </c>
      <c r="B289">
        <v>53</v>
      </c>
      <c r="C289" s="1" t="s">
        <v>12</v>
      </c>
      <c r="D289" s="1" t="s">
        <v>3</v>
      </c>
      <c r="E289" t="str">
        <f>HYPERLINK("http://exon.niaid.nih.gov/transcriptome/T_rubida/S2/links/cds/Triru-138-cds.txt","Triru-138")</f>
        <v>Triru-138</v>
      </c>
      <c r="F289">
        <v>162</v>
      </c>
      <c r="G289" s="2" t="s">
        <v>1752</v>
      </c>
      <c r="H289" s="1">
        <v>2</v>
      </c>
      <c r="I289" s="3" t="s">
        <v>1266</v>
      </c>
      <c r="J289" s="17" t="str">
        <f>HYPERLINK("http://exon.niaid.nih.gov/transcriptome/T_rubida/S2/links/Sigp/Triru-138-SigP.txt","BL")</f>
        <v>BL</v>
      </c>
      <c r="K289" t="s">
        <v>1316</v>
      </c>
      <c r="L289" s="1">
        <v>6.3179999999999996</v>
      </c>
      <c r="M289" s="1">
        <v>10.43</v>
      </c>
      <c r="N289" s="1">
        <v>4.2949999999999999</v>
      </c>
      <c r="O289" s="1">
        <v>10.3</v>
      </c>
      <c r="P289" s="1">
        <v>0.19</v>
      </c>
      <c r="Q289" s="1">
        <v>0.14199999999999999</v>
      </c>
      <c r="R289" s="1">
        <v>0.48399999999999999</v>
      </c>
      <c r="S289" s="17" t="s">
        <v>1346</v>
      </c>
      <c r="T289">
        <v>4</v>
      </c>
      <c r="U289" t="s">
        <v>1489</v>
      </c>
      <c r="V289" s="17">
        <v>0</v>
      </c>
      <c r="W289" t="s">
        <v>5</v>
      </c>
      <c r="X289" t="s">
        <v>5</v>
      </c>
      <c r="Y289" t="s">
        <v>5</v>
      </c>
      <c r="Z289" t="s">
        <v>5</v>
      </c>
      <c r="AA289" t="s">
        <v>5</v>
      </c>
      <c r="AB289" s="17" t="str">
        <f>HYPERLINK("http://exon.niaid.nih.gov/transcriptome/T_rubida/S2/links/netoglyc/TRIRU-138-netoglyc.txt","0")</f>
        <v>0</v>
      </c>
      <c r="AC289">
        <v>17</v>
      </c>
      <c r="AD289">
        <v>3.8</v>
      </c>
      <c r="AE289">
        <v>1.9</v>
      </c>
      <c r="AF289" s="17" t="s">
        <v>5</v>
      </c>
      <c r="AG289" s="2" t="str">
        <f>HYPERLINK("http://exon.niaid.nih.gov/transcriptome/T_rubida/S2/links/NR/Triru-138-NR.txt","hypothetical protein PPE_01332")</f>
        <v>hypothetical protein PPE_01332</v>
      </c>
      <c r="AH289" t="str">
        <f>HYPERLINK("http://www.ncbi.nlm.nih.gov/sutils/blink.cgi?pid=308068107","52")</f>
        <v>52</v>
      </c>
      <c r="AI289" t="str">
        <f>HYPERLINK("http://www.ncbi.nlm.nih.gov/protein/308068107","gi|308068107")</f>
        <v>gi|308068107</v>
      </c>
      <c r="AJ289">
        <v>31.2</v>
      </c>
      <c r="AK289">
        <v>31</v>
      </c>
      <c r="AL289">
        <v>83</v>
      </c>
      <c r="AM289">
        <v>43</v>
      </c>
      <c r="AN289">
        <v>39</v>
      </c>
      <c r="AO289" t="s">
        <v>1213</v>
      </c>
      <c r="AP289" s="2" t="str">
        <f>HYPERLINK("http://exon.niaid.nih.gov/transcriptome/T_rubida/S2/links/SWISSP/Triru-138-SWISSP.txt","Serpentine receptor class alpha-1")</f>
        <v>Serpentine receptor class alpha-1</v>
      </c>
      <c r="AQ289" t="str">
        <f>HYPERLINK("http://www.uniprot.org/uniprot/Q09203","13")</f>
        <v>13</v>
      </c>
      <c r="AR289" t="s">
        <v>1214</v>
      </c>
      <c r="AS289">
        <v>28.5</v>
      </c>
      <c r="AT289">
        <v>36</v>
      </c>
      <c r="AU289">
        <v>331</v>
      </c>
      <c r="AV289">
        <v>35</v>
      </c>
      <c r="AW289">
        <v>11</v>
      </c>
      <c r="AX289">
        <v>24</v>
      </c>
      <c r="AY289">
        <v>0</v>
      </c>
      <c r="AZ289">
        <v>34</v>
      </c>
      <c r="BA289">
        <v>4</v>
      </c>
      <c r="BB289">
        <v>1</v>
      </c>
      <c r="BC289" t="s">
        <v>315</v>
      </c>
      <c r="BD289" s="2" t="s">
        <v>5</v>
      </c>
      <c r="BE289" t="s">
        <v>5</v>
      </c>
      <c r="BF289" t="s">
        <v>5</v>
      </c>
      <c r="BG289" t="s">
        <v>5</v>
      </c>
      <c r="BH289" t="s">
        <v>5</v>
      </c>
      <c r="BI289" s="2" t="str">
        <f>HYPERLINK("http://exon.niaid.nih.gov/transcriptome/T_rubida/S2/links/CDD/Triru-138-CDD.txt","PRK11824")</f>
        <v>PRK11824</v>
      </c>
      <c r="BJ289" t="str">
        <f>HYPERLINK("http://www.ncbi.nlm.nih.gov/Structure/cdd/cddsrv.cgi?uid=PRK11824&amp;version=v4.0","7.4")</f>
        <v>7.4</v>
      </c>
      <c r="BK289" t="s">
        <v>1215</v>
      </c>
      <c r="BL289" s="2" t="str">
        <f>HYPERLINK("http://exon.niaid.nih.gov/transcriptome/T_rubida/S2/links/KOG/Triru-138-KOG.txt","Actin filament-binding protein Afadin")</f>
        <v>Actin filament-binding protein Afadin</v>
      </c>
      <c r="BM289" t="str">
        <f>HYPERLINK("http://www.ncbi.nlm.nih.gov/COG/grace/shokog.cgi?KOG1892","0.21")</f>
        <v>0.21</v>
      </c>
      <c r="BN289" t="s">
        <v>147</v>
      </c>
      <c r="BO289" s="2" t="str">
        <f>HYPERLINK("http://exon.niaid.nih.gov/transcriptome/T_rubida/S2/links/PFAM/Triru-138-PFAM.txt","DUF1302")</f>
        <v>DUF1302</v>
      </c>
      <c r="BP289" t="str">
        <f>HYPERLINK("http://pfam.sanger.ac.uk/family?acc=PF06980","2.7")</f>
        <v>2.7</v>
      </c>
      <c r="BQ289" s="2" t="str">
        <f>HYPERLINK("http://exon.niaid.nih.gov/transcriptome/T_rubida/S2/links/SMART/Triru-138-SMART.txt","HDAC_interact")</f>
        <v>HDAC_interact</v>
      </c>
      <c r="BR289" t="str">
        <f>HYPERLINK("http://smart.embl-heidelberg.de/smart/do_annotation.pl?DOMAIN=HDAC_interact&amp;BLAST=DUMMY","3.0")</f>
        <v>3.0</v>
      </c>
      <c r="BS289" s="17">
        <f t="shared" si="62"/>
        <v>1</v>
      </c>
      <c r="BT289" s="1">
        <f t="shared" si="63"/>
        <v>359</v>
      </c>
      <c r="BU289" s="17">
        <f>HYPERLINK("http://exon.niaid.nih.gov/transcriptome/T_rubida/S2/links/cluster/Triru-pep-ext30-50-Sim-CLU1.txt", 1)</f>
        <v>1</v>
      </c>
      <c r="BV289" s="1">
        <f>HYPERLINK("http://exon.niaid.nih.gov/transcriptome/T_rubida/S2/links/cluster/Triru-pep-ext30-50-Sim-CLTL1.txt", 225)</f>
        <v>225</v>
      </c>
      <c r="BW289" s="17">
        <v>88</v>
      </c>
      <c r="BX289" s="1">
        <v>1</v>
      </c>
      <c r="BY289" s="17">
        <v>88</v>
      </c>
      <c r="BZ289" s="1">
        <v>1</v>
      </c>
      <c r="CA289" s="17">
        <v>86</v>
      </c>
      <c r="CB289" s="1">
        <v>1</v>
      </c>
      <c r="CC289" s="17">
        <v>85</v>
      </c>
      <c r="CD289" s="1">
        <v>1</v>
      </c>
      <c r="CE289" s="17">
        <v>79</v>
      </c>
      <c r="CF289" s="1">
        <v>1</v>
      </c>
      <c r="CG289" s="17">
        <v>79</v>
      </c>
      <c r="CH289" s="1">
        <v>1</v>
      </c>
      <c r="CI289" s="17">
        <v>85</v>
      </c>
      <c r="CJ289" s="1">
        <v>1</v>
      </c>
      <c r="CK289" s="17">
        <v>89</v>
      </c>
      <c r="CL289" s="1">
        <v>1</v>
      </c>
      <c r="CM289" s="17">
        <v>93</v>
      </c>
      <c r="CN289" s="1">
        <v>1</v>
      </c>
      <c r="CO289" s="17">
        <v>101</v>
      </c>
      <c r="CP289" s="1">
        <v>1</v>
      </c>
      <c r="CQ289" s="17">
        <v>111</v>
      </c>
      <c r="CR289" s="1">
        <v>1</v>
      </c>
      <c r="CS289" s="17">
        <v>116</v>
      </c>
      <c r="CT289" s="1">
        <v>1</v>
      </c>
      <c r="CU289" s="17">
        <v>127</v>
      </c>
      <c r="CV289" s="1">
        <v>1</v>
      </c>
    </row>
    <row r="290" spans="1:100">
      <c r="A290" t="str">
        <f>HYPERLINK("http://exon.niaid.nih.gov/transcriptome/T_rubida/S2/links/pep/Triru-606-pep.txt","Triru-606")</f>
        <v>Triru-606</v>
      </c>
      <c r="B290">
        <v>65</v>
      </c>
      <c r="C290" s="1" t="s">
        <v>4</v>
      </c>
      <c r="D290" s="1" t="s">
        <v>3</v>
      </c>
      <c r="E290" t="str">
        <f>HYPERLINK("http://exon.niaid.nih.gov/transcriptome/T_rubida/S2/links/cds/Triru-606-cds.txt","Triru-606")</f>
        <v>Triru-606</v>
      </c>
      <c r="F290">
        <v>198</v>
      </c>
      <c r="G290" s="2" t="s">
        <v>1794</v>
      </c>
      <c r="H290" s="1">
        <v>1</v>
      </c>
      <c r="I290" s="3" t="s">
        <v>1266</v>
      </c>
      <c r="J290" s="17" t="str">
        <f>HYPERLINK("http://exon.niaid.nih.gov/transcriptome/T_rubida/S2/links/Sigp/Triru-606-SigP.txt","BL")</f>
        <v>BL</v>
      </c>
      <c r="K290" t="s">
        <v>1323</v>
      </c>
      <c r="L290" s="1">
        <v>7.4710000000000001</v>
      </c>
      <c r="M290" s="1">
        <v>8.75</v>
      </c>
      <c r="N290" s="1">
        <v>2.7349999999999999</v>
      </c>
      <c r="O290" s="1">
        <v>5.95</v>
      </c>
      <c r="P290" s="1">
        <v>0.15</v>
      </c>
      <c r="Q290" s="1">
        <v>0.51800000000000002</v>
      </c>
      <c r="R290" s="1">
        <v>0.25800000000000001</v>
      </c>
      <c r="S290" s="17" t="s">
        <v>18</v>
      </c>
      <c r="T290">
        <v>4</v>
      </c>
      <c r="U290" t="s">
        <v>1519</v>
      </c>
      <c r="V290" s="17" t="str">
        <f>HYPERLINK("http://exon.niaid.nih.gov/transcriptome/T_rubida/S2/links/tmhmm/TRIRU-606-tmhmm.txt","1")</f>
        <v>1</v>
      </c>
      <c r="W290">
        <v>33.799999999999997</v>
      </c>
      <c r="X290">
        <v>33.799999999999997</v>
      </c>
      <c r="Y290">
        <v>32.299999999999997</v>
      </c>
      <c r="Z290" t="s">
        <v>5</v>
      </c>
      <c r="AA290">
        <v>22</v>
      </c>
      <c r="AB290" s="17" t="str">
        <f>HYPERLINK("http://exon.niaid.nih.gov/transcriptome/T_rubida/S2/links/netoglyc/TRIRU-606-netoglyc.txt","0")</f>
        <v>0</v>
      </c>
      <c r="AC290">
        <v>12.3</v>
      </c>
      <c r="AD290">
        <v>7.7</v>
      </c>
      <c r="AE290">
        <v>3.1</v>
      </c>
      <c r="AF290" s="17" t="s">
        <v>5</v>
      </c>
      <c r="AG290" s="2" t="str">
        <f>HYPERLINK("http://exon.niaid.nih.gov/transcriptome/T_rubida/S2/links/NR/Triru-606-NR.txt","hypothetical protein")</f>
        <v>hypothetical protein</v>
      </c>
      <c r="AH290" t="str">
        <f>HYPERLINK("http://www.ncbi.nlm.nih.gov/sutils/blink.cgi?pid=145513512","18")</f>
        <v>18</v>
      </c>
      <c r="AI290" t="str">
        <f>HYPERLINK("http://www.ncbi.nlm.nih.gov/protein/145513512","gi|145513512")</f>
        <v>gi|145513512</v>
      </c>
      <c r="AJ290">
        <v>32.700000000000003</v>
      </c>
      <c r="AK290">
        <v>40</v>
      </c>
      <c r="AL290">
        <v>285</v>
      </c>
      <c r="AM290">
        <v>39</v>
      </c>
      <c r="AN290">
        <v>14</v>
      </c>
      <c r="AO290" t="s">
        <v>161</v>
      </c>
      <c r="AP290" s="2" t="str">
        <f>HYPERLINK("http://exon.niaid.nih.gov/transcriptome/T_rubida/S2/links/SWISSP/Triru-606-SWISSP.txt","Probable G-protein coupled receptor Mth-like 14")</f>
        <v>Probable G-protein coupled receptor Mth-like 14</v>
      </c>
      <c r="AQ290" t="str">
        <f>HYPERLINK("http://www.uniprot.org/uniprot/Q8SYV9","13")</f>
        <v>13</v>
      </c>
      <c r="AR290" t="s">
        <v>162</v>
      </c>
      <c r="AS290">
        <v>28.5</v>
      </c>
      <c r="AT290">
        <v>41</v>
      </c>
      <c r="AU290">
        <v>533</v>
      </c>
      <c r="AV290">
        <v>32</v>
      </c>
      <c r="AW290">
        <v>8</v>
      </c>
      <c r="AX290">
        <v>29</v>
      </c>
      <c r="AY290">
        <v>2</v>
      </c>
      <c r="AZ290">
        <v>306</v>
      </c>
      <c r="BA290">
        <v>20</v>
      </c>
      <c r="BB290">
        <v>1</v>
      </c>
      <c r="BC290" t="s">
        <v>150</v>
      </c>
      <c r="BD290" s="2" t="s">
        <v>5</v>
      </c>
      <c r="BE290" t="s">
        <v>5</v>
      </c>
      <c r="BF290" t="s">
        <v>5</v>
      </c>
      <c r="BG290" t="s">
        <v>5</v>
      </c>
      <c r="BH290" t="s">
        <v>5</v>
      </c>
      <c r="BI290" s="2" t="str">
        <f>HYPERLINK("http://exon.niaid.nih.gov/transcriptome/T_rubida/S2/links/CDD/Triru-606-CDD.txt","Sir1")</f>
        <v>Sir1</v>
      </c>
      <c r="BJ290" t="str">
        <f>HYPERLINK("http://www.ncbi.nlm.nih.gov/Structure/cdd/cddsrv.cgi?uid=pfam11603&amp;version=v4.0","0.69")</f>
        <v>0.69</v>
      </c>
      <c r="BK290" t="s">
        <v>163</v>
      </c>
      <c r="BL290" s="2" t="str">
        <f>HYPERLINK("http://exon.niaid.nih.gov/transcriptome/T_rubida/S2/links/KOG/Triru-606-KOG.txt","SNARE protein Syntaxin 18/UFE1")</f>
        <v>SNARE protein Syntaxin 18/UFE1</v>
      </c>
      <c r="BM290" t="str">
        <f>HYPERLINK("http://www.ncbi.nlm.nih.gov/COG/grace/shokog.cgi?KOG3894","1.2")</f>
        <v>1.2</v>
      </c>
      <c r="BN290" t="s">
        <v>164</v>
      </c>
      <c r="BO290" s="2" t="str">
        <f>HYPERLINK("http://exon.niaid.nih.gov/transcriptome/T_rubida/S2/links/PFAM/Triru-606-PFAM.txt","Sir1")</f>
        <v>Sir1</v>
      </c>
      <c r="BP290" t="str">
        <f>HYPERLINK("http://pfam.sanger.ac.uk/family?acc=PF11603","0.15")</f>
        <v>0.15</v>
      </c>
      <c r="BQ290" s="2" t="str">
        <f>HYPERLINK("http://exon.niaid.nih.gov/transcriptome/T_rubida/S2/links/SMART/Triru-606-SMART.txt","Amelin")</f>
        <v>Amelin</v>
      </c>
      <c r="BR290" t="str">
        <f>HYPERLINK("http://smart.embl-heidelberg.de/smart/do_annotation.pl?DOMAIN=Amelin&amp;BLAST=DUMMY","1.0")</f>
        <v>1.0</v>
      </c>
      <c r="BS290" s="17">
        <v>178</v>
      </c>
      <c r="BT290" s="1">
        <v>1</v>
      </c>
      <c r="BU290" s="17">
        <v>274</v>
      </c>
      <c r="BV290" s="1">
        <v>1</v>
      </c>
      <c r="BW290" s="17">
        <v>352</v>
      </c>
      <c r="BX290" s="1">
        <v>1</v>
      </c>
      <c r="BY290" s="17">
        <v>387</v>
      </c>
      <c r="BZ290" s="1">
        <v>1</v>
      </c>
      <c r="CA290" s="17">
        <v>402</v>
      </c>
      <c r="CB290" s="1">
        <v>1</v>
      </c>
      <c r="CC290" s="17">
        <v>417</v>
      </c>
      <c r="CD290" s="1">
        <v>1</v>
      </c>
      <c r="CE290" s="17">
        <v>432</v>
      </c>
      <c r="CF290" s="1">
        <v>1</v>
      </c>
      <c r="CG290" s="17">
        <v>439</v>
      </c>
      <c r="CH290" s="1">
        <v>1</v>
      </c>
      <c r="CI290" s="17">
        <v>453</v>
      </c>
      <c r="CJ290" s="1">
        <v>1</v>
      </c>
      <c r="CK290" s="17">
        <v>459</v>
      </c>
      <c r="CL290" s="1">
        <v>1</v>
      </c>
      <c r="CM290" s="17">
        <v>471</v>
      </c>
      <c r="CN290" s="1">
        <v>1</v>
      </c>
      <c r="CO290" s="17">
        <v>483</v>
      </c>
      <c r="CP290" s="1">
        <v>1</v>
      </c>
      <c r="CQ290" s="17">
        <v>493</v>
      </c>
      <c r="CR290" s="1">
        <v>1</v>
      </c>
      <c r="CS290" s="17">
        <v>506</v>
      </c>
      <c r="CT290" s="1">
        <v>1</v>
      </c>
      <c r="CU290" s="17">
        <v>518</v>
      </c>
      <c r="CV290" s="1">
        <v>1</v>
      </c>
    </row>
    <row r="291" spans="1:100">
      <c r="A291" t="str">
        <f>HYPERLINK("http://exon.niaid.nih.gov/transcriptome/T_rubida/S2/links/pep/Triru-374-pep.txt","Triru-374")</f>
        <v>Triru-374</v>
      </c>
      <c r="B291">
        <v>47</v>
      </c>
      <c r="C291" s="1" t="s">
        <v>4</v>
      </c>
      <c r="D291" s="1" t="s">
        <v>3</v>
      </c>
      <c r="E291" t="str">
        <f>HYPERLINK("http://exon.niaid.nih.gov/transcriptome/T_rubida/S2/links/cds/Triru-374-cds.txt","Triru-374")</f>
        <v>Triru-374</v>
      </c>
      <c r="F291">
        <v>144</v>
      </c>
      <c r="G291" s="2" t="s">
        <v>1820</v>
      </c>
      <c r="H291" s="1">
        <v>1</v>
      </c>
      <c r="I291" s="3" t="s">
        <v>1266</v>
      </c>
      <c r="J291" s="17" t="str">
        <f>HYPERLINK("http://exon.niaid.nih.gov/transcriptome/T_rubida/S2/links/Sigp/Triru-374-SigP.txt","BL")</f>
        <v>BL</v>
      </c>
      <c r="K291" t="s">
        <v>1325</v>
      </c>
      <c r="L291" s="1">
        <v>5.3289999999999997</v>
      </c>
      <c r="M291" s="1">
        <v>9.5</v>
      </c>
      <c r="N291" s="1">
        <v>1.012</v>
      </c>
      <c r="O291" s="1">
        <v>6.74</v>
      </c>
      <c r="P291" s="1">
        <v>0.32900000000000001</v>
      </c>
      <c r="Q291" s="1">
        <v>0.61199999999999999</v>
      </c>
      <c r="R291" s="1">
        <v>4.2000000000000003E-2</v>
      </c>
      <c r="S291" s="17" t="s">
        <v>18</v>
      </c>
      <c r="T291">
        <v>4</v>
      </c>
      <c r="U291" t="s">
        <v>1535</v>
      </c>
      <c r="V291" s="17" t="str">
        <f>HYPERLINK("http://exon.niaid.nih.gov/transcriptome/T_rubida/S2/links/tmhmm/TRIRU-374-tmhmm.txt","1")</f>
        <v>1</v>
      </c>
      <c r="W291">
        <v>46.8</v>
      </c>
      <c r="X291">
        <v>10.6</v>
      </c>
      <c r="Y291">
        <v>42.6</v>
      </c>
      <c r="Z291" t="s">
        <v>5</v>
      </c>
      <c r="AA291">
        <v>5</v>
      </c>
      <c r="AB291" s="17" t="str">
        <f>HYPERLINK("http://exon.niaid.nih.gov/transcriptome/T_rubida/S2/links/netoglyc/TRIRU-374-netoglyc.txt","1")</f>
        <v>1</v>
      </c>
      <c r="AC291">
        <v>23.4</v>
      </c>
      <c r="AD291">
        <v>2.1</v>
      </c>
      <c r="AE291">
        <v>2.1</v>
      </c>
      <c r="AF291" s="17" t="s">
        <v>5</v>
      </c>
      <c r="AG291" s="2" t="str">
        <f>HYPERLINK("http://exon.niaid.nih.gov/transcriptome/T_rubida/S2/links/NR/Triru-374-NR.txt","cytochrome b")</f>
        <v>cytochrome b</v>
      </c>
      <c r="AH291" t="str">
        <f>HYPERLINK("http://www.ncbi.nlm.nih.gov/sutils/blink.cgi?pid=73915114","51")</f>
        <v>51</v>
      </c>
      <c r="AI291" t="str">
        <f>HYPERLINK("http://www.ncbi.nlm.nih.gov/protein/73915114","gi|73915114")</f>
        <v>gi|73915114</v>
      </c>
      <c r="AJ291">
        <v>31.2</v>
      </c>
      <c r="AK291">
        <v>36</v>
      </c>
      <c r="AL291">
        <v>379</v>
      </c>
      <c r="AM291">
        <v>32</v>
      </c>
      <c r="AN291">
        <v>10</v>
      </c>
      <c r="AO291" t="s">
        <v>112</v>
      </c>
      <c r="AP291" s="2" t="str">
        <f>HYPERLINK("http://exon.niaid.nih.gov/transcriptome/T_rubida/S2/links/SWISSP/Triru-374-SWISSP.txt","Cytochrome b")</f>
        <v>Cytochrome b</v>
      </c>
      <c r="AQ291" t="str">
        <f>HYPERLINK("http://www.uniprot.org/uniprot/Q20FR8","16")</f>
        <v>16</v>
      </c>
      <c r="AR291" t="s">
        <v>113</v>
      </c>
      <c r="AS291">
        <v>28.1</v>
      </c>
      <c r="AT291">
        <v>36</v>
      </c>
      <c r="AU291">
        <v>379</v>
      </c>
      <c r="AV291">
        <v>27</v>
      </c>
      <c r="AW291">
        <v>10</v>
      </c>
      <c r="AX291">
        <v>27</v>
      </c>
      <c r="AY291">
        <v>0</v>
      </c>
      <c r="AZ291">
        <v>336</v>
      </c>
      <c r="BA291">
        <v>5</v>
      </c>
      <c r="BB291">
        <v>1</v>
      </c>
      <c r="BC291" t="s">
        <v>112</v>
      </c>
      <c r="BD291" s="2" t="s">
        <v>5</v>
      </c>
      <c r="BE291" t="s">
        <v>5</v>
      </c>
      <c r="BF291" t="s">
        <v>5</v>
      </c>
      <c r="BG291" t="s">
        <v>5</v>
      </c>
      <c r="BH291" t="s">
        <v>5</v>
      </c>
      <c r="BI291" s="2" t="s">
        <v>5</v>
      </c>
      <c r="BJ291" t="s">
        <v>5</v>
      </c>
      <c r="BK291" t="s">
        <v>5</v>
      </c>
      <c r="BL291" s="2" t="s">
        <v>5</v>
      </c>
      <c r="BM291" t="s">
        <v>5</v>
      </c>
      <c r="BN291" t="s">
        <v>5</v>
      </c>
      <c r="BO291" s="2" t="s">
        <v>5</v>
      </c>
      <c r="BP291" t="s">
        <v>5</v>
      </c>
      <c r="BQ291" s="2" t="str">
        <f>HYPERLINK("http://exon.niaid.nih.gov/transcriptome/T_rubida/S2/links/SMART/Triru-374-SMART.txt","SERPIN")</f>
        <v>SERPIN</v>
      </c>
      <c r="BR291" t="str">
        <f>HYPERLINK("http://smart.embl-heidelberg.de/smart/do_annotation.pl?DOMAIN=SERPIN&amp;BLAST=DUMMY","6.3")</f>
        <v>6.3</v>
      </c>
      <c r="BS291" s="17">
        <v>111</v>
      </c>
      <c r="BT291" s="1">
        <v>1</v>
      </c>
      <c r="BU291" s="17">
        <v>170</v>
      </c>
      <c r="BV291" s="1">
        <v>1</v>
      </c>
      <c r="BW291" s="17">
        <v>209</v>
      </c>
      <c r="BX291" s="1">
        <v>1</v>
      </c>
      <c r="BY291" s="17">
        <v>225</v>
      </c>
      <c r="BZ291" s="1">
        <v>1</v>
      </c>
      <c r="CA291" s="17">
        <v>232</v>
      </c>
      <c r="CB291" s="1">
        <v>1</v>
      </c>
      <c r="CC291" s="17">
        <v>237</v>
      </c>
      <c r="CD291" s="1">
        <v>1</v>
      </c>
      <c r="CE291" s="17">
        <v>244</v>
      </c>
      <c r="CF291" s="1">
        <v>1</v>
      </c>
      <c r="CG291" s="17">
        <v>246</v>
      </c>
      <c r="CH291" s="1">
        <v>1</v>
      </c>
      <c r="CI291" s="17">
        <v>256</v>
      </c>
      <c r="CJ291" s="1">
        <v>1</v>
      </c>
      <c r="CK291" s="17">
        <v>261</v>
      </c>
      <c r="CL291" s="1">
        <v>1</v>
      </c>
      <c r="CM291" s="17">
        <v>269</v>
      </c>
      <c r="CN291" s="1">
        <v>1</v>
      </c>
      <c r="CO291" s="17">
        <v>281</v>
      </c>
      <c r="CP291" s="1">
        <v>1</v>
      </c>
      <c r="CQ291" s="17">
        <v>291</v>
      </c>
      <c r="CR291" s="1">
        <v>1</v>
      </c>
      <c r="CS291" s="17">
        <v>303</v>
      </c>
      <c r="CT291" s="1">
        <v>1</v>
      </c>
      <c r="CU291" s="17">
        <v>314</v>
      </c>
      <c r="CV291" s="1">
        <v>1</v>
      </c>
    </row>
    <row r="292" spans="1:100">
      <c r="A292" t="str">
        <f>HYPERLINK("http://exon.niaid.nih.gov/transcriptome/T_rubida/S2/links/pep/Triru-558-pep.txt","Triru-558")</f>
        <v>Triru-558</v>
      </c>
      <c r="B292">
        <v>70</v>
      </c>
      <c r="C292" s="1" t="s">
        <v>4</v>
      </c>
      <c r="D292" s="1" t="s">
        <v>3</v>
      </c>
      <c r="E292" t="str">
        <f>HYPERLINK("http://exon.niaid.nih.gov/transcriptome/T_rubida/S2/links/cds/Triru-558-cds.txt","Triru-558")</f>
        <v>Triru-558</v>
      </c>
      <c r="F292">
        <v>213</v>
      </c>
      <c r="G292" s="2" t="s">
        <v>1806</v>
      </c>
      <c r="H292" s="1">
        <v>1</v>
      </c>
      <c r="I292" s="3" t="s">
        <v>1266</v>
      </c>
      <c r="J292" s="17" t="str">
        <f>HYPERLINK("http://exon.niaid.nih.gov/transcriptome/T_rubida/S2/links/Sigp/Triru-558-SigP.txt","BL/ANC")</f>
        <v>BL/ANC</v>
      </c>
      <c r="K292" t="s">
        <v>5</v>
      </c>
      <c r="L292" s="1">
        <v>7.86</v>
      </c>
      <c r="M292" s="1">
        <v>10.029999999999999</v>
      </c>
      <c r="P292" s="1">
        <v>0.26600000000000001</v>
      </c>
      <c r="Q292" s="1">
        <v>0.11</v>
      </c>
      <c r="R292" s="1">
        <v>0.58499999999999996</v>
      </c>
      <c r="S292" s="17" t="s">
        <v>1346</v>
      </c>
      <c r="T292">
        <v>4</v>
      </c>
      <c r="U292" t="s">
        <v>1526</v>
      </c>
      <c r="V292" s="17" t="str">
        <f>HYPERLINK("http://exon.niaid.nih.gov/transcriptome/T_rubida/S2/links/tmhmm/TRIRU-558-tmhmm.txt","2")</f>
        <v>2</v>
      </c>
      <c r="W292">
        <v>54.3</v>
      </c>
      <c r="X292">
        <v>35.700000000000003</v>
      </c>
      <c r="Y292">
        <v>10</v>
      </c>
      <c r="Z292" t="s">
        <v>5</v>
      </c>
      <c r="AA292">
        <v>15</v>
      </c>
      <c r="AB292" s="17" t="str">
        <f>HYPERLINK("http://exon.niaid.nih.gov/transcriptome/T_rubida/S2/links/netoglyc/TRIRU-558-netoglyc.txt","0")</f>
        <v>0</v>
      </c>
      <c r="AC292">
        <v>14.3</v>
      </c>
      <c r="AD292">
        <v>8.6</v>
      </c>
      <c r="AE292" t="s">
        <v>1394</v>
      </c>
      <c r="AF292" s="17" t="s">
        <v>5</v>
      </c>
      <c r="AG292" s="2" t="str">
        <f>HYPERLINK("http://exon.niaid.nih.gov/transcriptome/T_rubida/S2/links/NR/Triru-558-NR.txt","sphingosine kinase 1-like")</f>
        <v>sphingosine kinase 1-like</v>
      </c>
      <c r="AH292" t="str">
        <f>HYPERLINK("http://www.ncbi.nlm.nih.gov/sutils/blink.cgi?pid=326665667","4.6")</f>
        <v>4.6</v>
      </c>
      <c r="AI292" t="str">
        <f>HYPERLINK("http://www.ncbi.nlm.nih.gov/protein/326665667","gi|326665667")</f>
        <v>gi|326665667</v>
      </c>
      <c r="AJ292">
        <v>34.700000000000003</v>
      </c>
      <c r="AK292">
        <v>36</v>
      </c>
      <c r="AL292">
        <v>342</v>
      </c>
      <c r="AM292">
        <v>40</v>
      </c>
      <c r="AN292">
        <v>11</v>
      </c>
      <c r="AO292" t="s">
        <v>165</v>
      </c>
      <c r="AP292" s="2" t="str">
        <f>HYPERLINK("http://exon.niaid.nih.gov/transcriptome/T_rubida/S2/links/SWISSP/Triru-558-SWISSP.txt","Uncharacterized protein UU112")</f>
        <v>Uncharacterized protein UU112</v>
      </c>
      <c r="AQ292" t="str">
        <f>HYPERLINK("http://www.uniprot.org/uniprot/Q9PR32","4.2")</f>
        <v>4.2</v>
      </c>
      <c r="AR292" t="s">
        <v>166</v>
      </c>
      <c r="AS292">
        <v>30</v>
      </c>
      <c r="AT292">
        <v>41</v>
      </c>
      <c r="AU292">
        <v>375</v>
      </c>
      <c r="AV292">
        <v>30</v>
      </c>
      <c r="AW292">
        <v>11</v>
      </c>
      <c r="AX292">
        <v>29</v>
      </c>
      <c r="AY292">
        <v>0</v>
      </c>
      <c r="AZ292">
        <v>145</v>
      </c>
      <c r="BA292">
        <v>21</v>
      </c>
      <c r="BB292">
        <v>1</v>
      </c>
      <c r="BC292" t="s">
        <v>167</v>
      </c>
      <c r="BD292" s="2" t="s">
        <v>5</v>
      </c>
      <c r="BE292" t="s">
        <v>5</v>
      </c>
      <c r="BF292" t="s">
        <v>5</v>
      </c>
      <c r="BG292" t="s">
        <v>5</v>
      </c>
      <c r="BH292" t="s">
        <v>5</v>
      </c>
      <c r="BI292" s="2" t="str">
        <f>HYPERLINK("http://exon.niaid.nih.gov/transcriptome/T_rubida/S2/links/CDD/Triru-558-CDD.txt","COG3102")</f>
        <v>COG3102</v>
      </c>
      <c r="BJ292" t="str">
        <f>HYPERLINK("http://www.ncbi.nlm.nih.gov/Structure/cdd/cddsrv.cgi?uid=COG3102&amp;version=v4.0","6.1")</f>
        <v>6.1</v>
      </c>
      <c r="BK292" t="s">
        <v>168</v>
      </c>
      <c r="BL292" s="2" t="str">
        <f>HYPERLINK("http://exon.niaid.nih.gov/transcriptome/T_rubida/S2/links/KOG/Triru-558-KOG.txt","Voltage-gated shaker-like K+ channel, subunit beta/KCNAB")</f>
        <v>Voltage-gated shaker-like K+ channel, subunit beta/KCNAB</v>
      </c>
      <c r="BM292" t="str">
        <f>HYPERLINK("http://www.ncbi.nlm.nih.gov/COG/grace/shokog.cgi?KOG1575","8.4")</f>
        <v>8.4</v>
      </c>
      <c r="BN292" t="s">
        <v>65</v>
      </c>
      <c r="BO292" s="2" t="str">
        <f>HYPERLINK("http://exon.niaid.nih.gov/transcriptome/T_rubida/S2/links/PFAM/Triru-558-PFAM.txt","Calici_coat_C")</f>
        <v>Calici_coat_C</v>
      </c>
      <c r="BP292" t="str">
        <f>HYPERLINK("http://pfam.sanger.ac.uk/family?acc=PF08435","6.4")</f>
        <v>6.4</v>
      </c>
      <c r="BQ292" s="2" t="str">
        <f>HYPERLINK("http://exon.niaid.nih.gov/transcriptome/T_rubida/S2/links/SMART/Triru-558-SMART.txt","ZP")</f>
        <v>ZP</v>
      </c>
      <c r="BR292" t="str">
        <f>HYPERLINK("http://smart.embl-heidelberg.de/smart/do_annotation.pl?DOMAIN=ZP&amp;BLAST=DUMMY","1.9")</f>
        <v>1.9</v>
      </c>
      <c r="BS292" s="17">
        <f>HYPERLINK("http://exon.niaid.nih.gov/transcriptome/T_rubida/S2/links/cluster/Triru-pep-ext25-50-Sim-CLU6.txt", 6)</f>
        <v>6</v>
      </c>
      <c r="BT292" s="1">
        <f>HYPERLINK("http://exon.niaid.nih.gov/transcriptome/T_rubida/S2/links/cluster/Triru-pep-ext25-50-Sim-CLTL6.txt", 3)</f>
        <v>3</v>
      </c>
      <c r="BU292" s="17">
        <f>HYPERLINK("http://exon.niaid.nih.gov/transcriptome/T_rubida/S2/links/cluster/Triru-pep-ext30-50-Sim-CLU13.txt", 13)</f>
        <v>13</v>
      </c>
      <c r="BV292" s="1">
        <f>HYPERLINK("http://exon.niaid.nih.gov/transcriptome/T_rubida/S2/links/cluster/Triru-pep-ext30-50-Sim-CLTL13.txt", 3)</f>
        <v>3</v>
      </c>
      <c r="BW292" s="17">
        <f>HYPERLINK("http://exon.niaid.nih.gov/transcriptome/T_rubida/S2/links/cluster/Triru-pep-ext35-50-Sim-CLU10.txt", 10)</f>
        <v>10</v>
      </c>
      <c r="BX292" s="1">
        <f>HYPERLINK("http://exon.niaid.nih.gov/transcriptome/T_rubida/S2/links/cluster/Triru-pep-ext35-50-Sim-CLTL10.txt", 3)</f>
        <v>3</v>
      </c>
      <c r="BY292" s="17">
        <v>354</v>
      </c>
      <c r="BZ292" s="1">
        <v>1</v>
      </c>
      <c r="CA292" s="17">
        <v>368</v>
      </c>
      <c r="CB292" s="1">
        <v>1</v>
      </c>
      <c r="CC292" s="17">
        <v>381</v>
      </c>
      <c r="CD292" s="1">
        <v>1</v>
      </c>
      <c r="CE292" s="17">
        <v>396</v>
      </c>
      <c r="CF292" s="1">
        <v>1</v>
      </c>
      <c r="CG292" s="17">
        <v>402</v>
      </c>
      <c r="CH292" s="1">
        <v>1</v>
      </c>
      <c r="CI292" s="17">
        <v>414</v>
      </c>
      <c r="CJ292" s="1">
        <v>1</v>
      </c>
      <c r="CK292" s="17">
        <v>420</v>
      </c>
      <c r="CL292" s="1">
        <v>1</v>
      </c>
      <c r="CM292" s="17">
        <v>431</v>
      </c>
      <c r="CN292" s="1">
        <v>1</v>
      </c>
      <c r="CO292" s="17">
        <v>443</v>
      </c>
      <c r="CP292" s="1">
        <v>1</v>
      </c>
      <c r="CQ292" s="17">
        <v>453</v>
      </c>
      <c r="CR292" s="1">
        <v>1</v>
      </c>
      <c r="CS292" s="17">
        <v>466</v>
      </c>
      <c r="CT292" s="1">
        <v>1</v>
      </c>
      <c r="CU292" s="17">
        <v>477</v>
      </c>
      <c r="CV292" s="1">
        <v>1</v>
      </c>
    </row>
    <row r="293" spans="1:100">
      <c r="A293" t="str">
        <f>HYPERLINK("http://exon.niaid.nih.gov/transcriptome/T_rubida/S2/links/pep/Triru-466-pep.txt","Triru-466")</f>
        <v>Triru-466</v>
      </c>
      <c r="B293">
        <v>35</v>
      </c>
      <c r="C293" s="1" t="s">
        <v>10</v>
      </c>
      <c r="D293" s="1" t="s">
        <v>3</v>
      </c>
      <c r="E293" t="str">
        <f>HYPERLINK("http://exon.niaid.nih.gov/transcriptome/T_rubida/S2/links/cds/Triru-466-cds.txt","Triru-466")</f>
        <v>Triru-466</v>
      </c>
      <c r="F293">
        <v>108</v>
      </c>
      <c r="G293" s="2" t="s">
        <v>1854</v>
      </c>
      <c r="H293" s="1">
        <v>1</v>
      </c>
      <c r="I293" s="3" t="s">
        <v>1266</v>
      </c>
      <c r="J293" s="17" t="str">
        <f>HYPERLINK("http://exon.niaid.nih.gov/transcriptome/T_rubida/S2/links/Sigp/Triru-466-SigP.txt","BL/ANC")</f>
        <v>BL/ANC</v>
      </c>
      <c r="K293" t="s">
        <v>5</v>
      </c>
      <c r="L293" s="1">
        <v>4.0709999999999997</v>
      </c>
      <c r="M293" s="1">
        <v>8.43</v>
      </c>
      <c r="P293" s="1">
        <v>0.13700000000000001</v>
      </c>
      <c r="Q293" s="1">
        <v>0.496</v>
      </c>
      <c r="R293" s="1">
        <v>0.14799999999999999</v>
      </c>
      <c r="S293" s="17" t="s">
        <v>18</v>
      </c>
      <c r="T293">
        <v>4</v>
      </c>
      <c r="U293" t="s">
        <v>1554</v>
      </c>
      <c r="V293" s="17" t="str">
        <f>HYPERLINK("http://exon.niaid.nih.gov/transcriptome/T_rubida/S2/links/tmhmm/TRIRU-466-tmhmm.txt","1")</f>
        <v>1</v>
      </c>
      <c r="W293">
        <v>62.9</v>
      </c>
      <c r="X293">
        <v>17.100000000000001</v>
      </c>
      <c r="Y293">
        <v>20</v>
      </c>
      <c r="Z293" t="s">
        <v>5</v>
      </c>
      <c r="AA293">
        <v>6</v>
      </c>
      <c r="AB293" s="17" t="str">
        <f>HYPERLINK("http://exon.niaid.nih.gov/transcriptome/T_rubida/S2/links/netoglyc/TRIRU-466-netoglyc.txt","0")</f>
        <v>0</v>
      </c>
      <c r="AC293">
        <v>17.100000000000001</v>
      </c>
      <c r="AD293" t="s">
        <v>1417</v>
      </c>
      <c r="AE293">
        <v>2.9</v>
      </c>
      <c r="AF293" s="17" t="s">
        <v>5</v>
      </c>
      <c r="AG293" s="2" t="str">
        <f>HYPERLINK("http://exon.niaid.nih.gov/transcriptome/T_rubida/S2/links/NR/Triru-466-NR.txt","NADPH oxidase 5 isoform 3")</f>
        <v>NADPH oxidase 5 isoform 3</v>
      </c>
      <c r="AH293" t="str">
        <f>HYPERLINK("http://www.ncbi.nlm.nih.gov/sutils/blink.cgi?pid=296278231","40")</f>
        <v>40</v>
      </c>
      <c r="AI293" t="str">
        <f>HYPERLINK("http://www.ncbi.nlm.nih.gov/protein/296278231","gi|296278231")</f>
        <v>gi|296278231</v>
      </c>
      <c r="AJ293">
        <v>31.6</v>
      </c>
      <c r="AK293">
        <v>31</v>
      </c>
      <c r="AL293">
        <v>730</v>
      </c>
      <c r="AM293">
        <v>40</v>
      </c>
      <c r="AN293">
        <v>4</v>
      </c>
      <c r="AO293" t="s">
        <v>208</v>
      </c>
      <c r="AP293" s="2" t="str">
        <f>HYPERLINK("http://exon.niaid.nih.gov/transcriptome/T_rubida/S2/links/SWISSP/Triru-466-SWISSP.txt","NADPH oxidase 5")</f>
        <v>NADPH oxidase 5</v>
      </c>
      <c r="AQ293" t="str">
        <f>HYPERLINK("http://www.uniprot.org/uniprot/Q96PH1","1.5")</f>
        <v>1.5</v>
      </c>
      <c r="AR293" t="s">
        <v>918</v>
      </c>
      <c r="AS293">
        <v>31.6</v>
      </c>
      <c r="AT293">
        <v>31</v>
      </c>
      <c r="AU293">
        <v>765</v>
      </c>
      <c r="AV293">
        <v>40</v>
      </c>
      <c r="AW293">
        <v>4</v>
      </c>
      <c r="AX293">
        <v>19</v>
      </c>
      <c r="AY293">
        <v>0</v>
      </c>
      <c r="AZ293">
        <v>224</v>
      </c>
      <c r="BA293">
        <v>1</v>
      </c>
      <c r="BB293">
        <v>1</v>
      </c>
      <c r="BC293" t="s">
        <v>208</v>
      </c>
      <c r="BD293" s="2" t="s">
        <v>5</v>
      </c>
      <c r="BE293" t="s">
        <v>5</v>
      </c>
      <c r="BF293" t="s">
        <v>5</v>
      </c>
      <c r="BG293" t="s">
        <v>5</v>
      </c>
      <c r="BH293" t="s">
        <v>5</v>
      </c>
      <c r="BI293" s="2" t="s">
        <v>5</v>
      </c>
      <c r="BJ293" t="s">
        <v>5</v>
      </c>
      <c r="BK293" t="s">
        <v>5</v>
      </c>
      <c r="BL293" s="2" t="s">
        <v>5</v>
      </c>
      <c r="BM293" t="s">
        <v>5</v>
      </c>
      <c r="BN293" t="s">
        <v>5</v>
      </c>
      <c r="BO293" s="2" t="s">
        <v>5</v>
      </c>
      <c r="BP293" t="s">
        <v>5</v>
      </c>
      <c r="BQ293" s="2" t="str">
        <f>HYPERLINK("http://exon.niaid.nih.gov/transcriptome/T_rubida/S2/links/SMART/Triru-466-SMART.txt","DZF")</f>
        <v>DZF</v>
      </c>
      <c r="BR293" t="str">
        <f>HYPERLINK("http://smart.embl-heidelberg.de/smart/do_annotation.pl?DOMAIN=DZF&amp;BLAST=DUMMY","7.6")</f>
        <v>7.6</v>
      </c>
      <c r="BS293" s="17">
        <f>HYPERLINK("http://exon.niaid.nih.gov/transcriptome/T_rubida/S2/links/cluster/Triru-pep-ext25-50-Sim-CLU1.txt", 1)</f>
        <v>1</v>
      </c>
      <c r="BT293" s="1">
        <f>HYPERLINK("http://exon.niaid.nih.gov/transcriptome/T_rubida/S2/links/cluster/Triru-pep-ext25-50-Sim-CLTL1.txt", 359)</f>
        <v>359</v>
      </c>
      <c r="BU293" s="17">
        <f>HYPERLINK("http://exon.niaid.nih.gov/transcriptome/T_rubida/S2/links/cluster/Triru-pep-ext30-50-Sim-CLU1.txt", 1)</f>
        <v>1</v>
      </c>
      <c r="BV293" s="1">
        <f>HYPERLINK("http://exon.niaid.nih.gov/transcriptome/T_rubida/S2/links/cluster/Triru-pep-ext30-50-Sim-CLTL1.txt", 225)</f>
        <v>225</v>
      </c>
      <c r="BW293" s="17">
        <v>269</v>
      </c>
      <c r="BX293" s="1">
        <v>1</v>
      </c>
      <c r="BY293" s="17">
        <v>291</v>
      </c>
      <c r="BZ293" s="1">
        <v>1</v>
      </c>
      <c r="CA293" s="17">
        <v>301</v>
      </c>
      <c r="CB293" s="1">
        <v>1</v>
      </c>
      <c r="CC293" s="17">
        <v>311</v>
      </c>
      <c r="CD293" s="1">
        <v>1</v>
      </c>
      <c r="CE293" s="17">
        <v>322</v>
      </c>
      <c r="CF293" s="1">
        <v>1</v>
      </c>
      <c r="CG293" s="17">
        <v>327</v>
      </c>
      <c r="CH293" s="1">
        <v>1</v>
      </c>
      <c r="CI293" s="17">
        <v>337</v>
      </c>
      <c r="CJ293" s="1">
        <v>1</v>
      </c>
      <c r="CK293" s="17">
        <v>343</v>
      </c>
      <c r="CL293" s="1">
        <v>1</v>
      </c>
      <c r="CM293" s="17">
        <v>351</v>
      </c>
      <c r="CN293" s="1">
        <v>1</v>
      </c>
      <c r="CO293" s="17">
        <v>363</v>
      </c>
      <c r="CP293" s="1">
        <v>1</v>
      </c>
      <c r="CQ293" s="17">
        <v>373</v>
      </c>
      <c r="CR293" s="1">
        <v>1</v>
      </c>
      <c r="CS293" s="17">
        <v>386</v>
      </c>
      <c r="CT293" s="1">
        <v>1</v>
      </c>
      <c r="CU293" s="17">
        <v>397</v>
      </c>
      <c r="CV293" s="1">
        <v>1</v>
      </c>
    </row>
    <row r="294" spans="1:100">
      <c r="A294" t="str">
        <f>HYPERLINK("http://exon.niaid.nih.gov/transcriptome/T_rubida/S2/links/pep/Triru-388-pep.txt","Triru-388")</f>
        <v>Triru-388</v>
      </c>
      <c r="B294">
        <v>66</v>
      </c>
      <c r="C294" s="1" t="s">
        <v>13</v>
      </c>
      <c r="D294" s="1" t="s">
        <v>3</v>
      </c>
      <c r="E294" t="str">
        <f>HYPERLINK("http://exon.niaid.nih.gov/transcriptome/T_rubida/S2/links/cds/Triru-388-cds.txt","Triru-388")</f>
        <v>Triru-388</v>
      </c>
      <c r="F294">
        <v>201</v>
      </c>
      <c r="G294" s="2" t="s">
        <v>1868</v>
      </c>
      <c r="H294" s="1">
        <v>1</v>
      </c>
      <c r="I294" s="3" t="s">
        <v>1266</v>
      </c>
      <c r="J294" s="17" t="str">
        <f>HYPERLINK("http://exon.niaid.nih.gov/transcriptome/T_rubida/S2/links/Sigp/Triru-388-SigP.txt","BL/ANC")</f>
        <v>BL/ANC</v>
      </c>
      <c r="K294" t="s">
        <v>5</v>
      </c>
      <c r="L294" s="1">
        <v>7.7530000000000001</v>
      </c>
      <c r="M294" s="1">
        <v>5.85</v>
      </c>
      <c r="P294" s="1">
        <v>3.1E-2</v>
      </c>
      <c r="Q294" s="1">
        <v>0.26500000000000001</v>
      </c>
      <c r="R294" s="1">
        <v>0.81599999999999995</v>
      </c>
      <c r="S294" s="17" t="s">
        <v>1346</v>
      </c>
      <c r="T294">
        <v>3</v>
      </c>
      <c r="U294" t="s">
        <v>1563</v>
      </c>
      <c r="V294" s="17">
        <v>0</v>
      </c>
      <c r="W294" t="s">
        <v>5</v>
      </c>
      <c r="X294" t="s">
        <v>5</v>
      </c>
      <c r="Y294" t="s">
        <v>5</v>
      </c>
      <c r="Z294" t="s">
        <v>5</v>
      </c>
      <c r="AA294" t="s">
        <v>5</v>
      </c>
      <c r="AB294" s="17" t="str">
        <f>HYPERLINK("http://exon.niaid.nih.gov/transcriptome/T_rubida/S2/links/netoglyc/TRIRU-388-netoglyc.txt","0")</f>
        <v>0</v>
      </c>
      <c r="AC294">
        <v>10.6</v>
      </c>
      <c r="AD294">
        <v>7.6</v>
      </c>
      <c r="AE294">
        <v>3</v>
      </c>
      <c r="AF294" s="17" t="s">
        <v>5</v>
      </c>
      <c r="AG294" s="2" t="str">
        <f>HYPERLINK("http://exon.niaid.nih.gov/transcriptome/T_rubida/S2/links/NR/Triru-388-NR.txt","unnamed protein product")</f>
        <v>unnamed protein product</v>
      </c>
      <c r="AH294" t="str">
        <f>HYPERLINK("http://www.ncbi.nlm.nih.gov/sutils/blink.cgi?pid=297742744","6.1")</f>
        <v>6.1</v>
      </c>
      <c r="AI294" t="str">
        <f>HYPERLINK("http://www.ncbi.nlm.nih.gov/protein/297742744","gi|297742744")</f>
        <v>gi|297742744</v>
      </c>
      <c r="AJ294">
        <v>34.299999999999997</v>
      </c>
      <c r="AK294">
        <v>54</v>
      </c>
      <c r="AL294">
        <v>1633</v>
      </c>
      <c r="AM294">
        <v>41</v>
      </c>
      <c r="AN294">
        <v>3</v>
      </c>
      <c r="AO294" t="s">
        <v>1020</v>
      </c>
      <c r="AP294" s="2" t="str">
        <f>HYPERLINK("http://exon.niaid.nih.gov/transcriptome/T_rubida/S2/links/SWISSP/Triru-388-SWISSP.txt","Uncharacterized protein AF_0631")</f>
        <v>Uncharacterized protein AF_0631</v>
      </c>
      <c r="AQ294" t="str">
        <f>HYPERLINK("http://www.uniprot.org/uniprot/O29624","7.3")</f>
        <v>7.3</v>
      </c>
      <c r="AR294" t="s">
        <v>1021</v>
      </c>
      <c r="AS294">
        <v>29.3</v>
      </c>
      <c r="AT294">
        <v>32</v>
      </c>
      <c r="AU294">
        <v>138</v>
      </c>
      <c r="AV294">
        <v>33</v>
      </c>
      <c r="AW294">
        <v>24</v>
      </c>
      <c r="AX294">
        <v>22</v>
      </c>
      <c r="AY294">
        <v>0</v>
      </c>
      <c r="AZ294">
        <v>21</v>
      </c>
      <c r="BA294">
        <v>19</v>
      </c>
      <c r="BB294">
        <v>1</v>
      </c>
      <c r="BC294" t="s">
        <v>1022</v>
      </c>
      <c r="BD294" s="2" t="s">
        <v>5</v>
      </c>
      <c r="BE294" t="s">
        <v>5</v>
      </c>
      <c r="BF294" t="s">
        <v>5</v>
      </c>
      <c r="BG294" t="s">
        <v>5</v>
      </c>
      <c r="BH294" t="s">
        <v>5</v>
      </c>
      <c r="BI294" s="2" t="str">
        <f>HYPERLINK("http://exon.niaid.nih.gov/transcriptome/T_rubida/S2/links/CDD/Triru-388-CDD.txt","TerB")</f>
        <v>TerB</v>
      </c>
      <c r="BJ294" t="str">
        <f>HYPERLINK("http://www.ncbi.nlm.nih.gov/Structure/cdd/cddsrv.cgi?uid=COG3793&amp;version=v4.0","2.2")</f>
        <v>2.2</v>
      </c>
      <c r="BK294" t="s">
        <v>1023</v>
      </c>
      <c r="BL294" s="2" t="str">
        <f>HYPERLINK("http://exon.niaid.nih.gov/transcriptome/T_rubida/S2/links/KOG/Triru-388-KOG.txt","Predicted ATPase (PP-loop superfamily)")</f>
        <v>Predicted ATPase (PP-loop superfamily)</v>
      </c>
      <c r="BM294" t="str">
        <f>HYPERLINK("http://www.ncbi.nlm.nih.gov/COG/grace/shokog.cgi?KOG2316","0.93")</f>
        <v>0.93</v>
      </c>
      <c r="BN294" t="s">
        <v>96</v>
      </c>
      <c r="BO294" s="2" t="str">
        <f>HYPERLINK("http://exon.niaid.nih.gov/transcriptome/T_rubida/S2/links/PFAM/Triru-388-PFAM.txt","DUF3421")</f>
        <v>DUF3421</v>
      </c>
      <c r="BP294" t="str">
        <f>HYPERLINK("http://pfam.sanger.ac.uk/family?acc=PF11901","4.9")</f>
        <v>4.9</v>
      </c>
      <c r="BQ294" s="2" t="str">
        <f>HYPERLINK("http://exon.niaid.nih.gov/transcriptome/T_rubida/S2/links/SMART/Triru-388-SMART.txt","RasGAP")</f>
        <v>RasGAP</v>
      </c>
      <c r="BR294" t="str">
        <f>HYPERLINK("http://smart.embl-heidelberg.de/smart/do_annotation.pl?DOMAIN=RasGAP&amp;BLAST=DUMMY","1.2")</f>
        <v>1.2</v>
      </c>
      <c r="BS294" s="17">
        <v>117</v>
      </c>
      <c r="BT294" s="1">
        <v>1</v>
      </c>
      <c r="BU294" s="17">
        <v>180</v>
      </c>
      <c r="BV294" s="1">
        <v>1</v>
      </c>
      <c r="BW294" s="17">
        <v>221</v>
      </c>
      <c r="BX294" s="1">
        <v>1</v>
      </c>
      <c r="BY294" s="17">
        <v>237</v>
      </c>
      <c r="BZ294" s="1">
        <v>1</v>
      </c>
      <c r="CA294" s="17">
        <v>244</v>
      </c>
      <c r="CB294" s="1">
        <v>1</v>
      </c>
      <c r="CC294" s="17">
        <v>249</v>
      </c>
      <c r="CD294" s="1">
        <v>1</v>
      </c>
      <c r="CE294" s="17">
        <v>256</v>
      </c>
      <c r="CF294" s="1">
        <v>1</v>
      </c>
      <c r="CG294" s="17">
        <v>259</v>
      </c>
      <c r="CH294" s="1">
        <v>1</v>
      </c>
      <c r="CI294" s="17">
        <v>269</v>
      </c>
      <c r="CJ294" s="1">
        <v>1</v>
      </c>
      <c r="CK294" s="17">
        <v>274</v>
      </c>
      <c r="CL294" s="1">
        <v>1</v>
      </c>
      <c r="CM294" s="17">
        <v>282</v>
      </c>
      <c r="CN294" s="1">
        <v>1</v>
      </c>
      <c r="CO294" s="17">
        <v>294</v>
      </c>
      <c r="CP294" s="1">
        <v>1</v>
      </c>
      <c r="CQ294" s="17">
        <v>304</v>
      </c>
      <c r="CR294" s="1">
        <v>1</v>
      </c>
      <c r="CS294" s="17">
        <v>316</v>
      </c>
      <c r="CT294" s="1">
        <v>1</v>
      </c>
      <c r="CU294" s="17">
        <v>327</v>
      </c>
      <c r="CV294" s="1">
        <v>1</v>
      </c>
    </row>
    <row r="295" spans="1:100">
      <c r="A295" t="str">
        <f>HYPERLINK("http://exon.niaid.nih.gov/transcriptome/T_rubida/S2/links/pep/Triru-597-pep.txt","Triru-597")</f>
        <v>Triru-597</v>
      </c>
      <c r="B295">
        <v>54</v>
      </c>
      <c r="C295" s="1" t="s">
        <v>15</v>
      </c>
      <c r="D295" s="1" t="s">
        <v>3</v>
      </c>
      <c r="E295" t="str">
        <f>HYPERLINK("http://exon.niaid.nih.gov/transcriptome/T_rubida/S2/links/cds/Triru-597-cds.txt","Triru-597")</f>
        <v>Triru-597</v>
      </c>
      <c r="F295">
        <v>165</v>
      </c>
      <c r="G295" s="2" t="s">
        <v>1797</v>
      </c>
      <c r="H295" s="1">
        <v>1</v>
      </c>
      <c r="I295" s="3" t="s">
        <v>1266</v>
      </c>
      <c r="J295" s="17" t="str">
        <f>HYPERLINK("http://exon.niaid.nih.gov/transcriptome/T_rubida/S2/links/Sigp/Triru-597-SigP.txt","BL/SIG")</f>
        <v>BL/SIG</v>
      </c>
      <c r="K295" t="s">
        <v>5</v>
      </c>
      <c r="L295" s="1">
        <v>6.4359999999999999</v>
      </c>
      <c r="M295" s="1">
        <v>9.31</v>
      </c>
      <c r="P295" s="1">
        <v>0.23100000000000001</v>
      </c>
      <c r="Q295" s="1">
        <v>0.879</v>
      </c>
      <c r="R295" s="1">
        <v>1.6E-2</v>
      </c>
      <c r="S295" s="17" t="s">
        <v>18</v>
      </c>
      <c r="T295">
        <v>2</v>
      </c>
      <c r="U295" t="s">
        <v>1522</v>
      </c>
      <c r="V295" s="17" t="str">
        <f>HYPERLINK("http://exon.niaid.nih.gov/transcriptome/T_rubida/S2/links/tmhmm/TRIRU-597-tmhmm.txt","2")</f>
        <v>2</v>
      </c>
      <c r="W295">
        <v>75.900000000000006</v>
      </c>
      <c r="X295">
        <v>9.3000000000000007</v>
      </c>
      <c r="Y295">
        <v>14.8</v>
      </c>
      <c r="Z295">
        <v>1</v>
      </c>
      <c r="AA295">
        <v>3</v>
      </c>
      <c r="AB295" s="17" t="str">
        <f>HYPERLINK("http://exon.niaid.nih.gov/transcriptome/T_rubida/S2/links/netoglyc/TRIRU-597-netoglyc.txt","0")</f>
        <v>0</v>
      </c>
      <c r="AC295">
        <v>9.3000000000000007</v>
      </c>
      <c r="AD295">
        <v>1.9</v>
      </c>
      <c r="AE295" t="s">
        <v>1394</v>
      </c>
      <c r="AF295" s="17" t="s">
        <v>5</v>
      </c>
      <c r="AG295" s="2" t="str">
        <f>HYPERLINK("http://exon.niaid.nih.gov/transcriptome/T_rubida/S2/links/NR/Triru-597-NR.txt","hypothetical protein Saci_0201")</f>
        <v>hypothetical protein Saci_0201</v>
      </c>
      <c r="AH295" t="str">
        <f>HYPERLINK("http://www.ncbi.nlm.nih.gov/sutils/blink.cgi?pid=70606043","10")</f>
        <v>10</v>
      </c>
      <c r="AI295" t="str">
        <f>HYPERLINK("http://www.ncbi.nlm.nih.gov/protein/70606043","gi|70606043")</f>
        <v>gi|70606043</v>
      </c>
      <c r="AJ295">
        <v>33.5</v>
      </c>
      <c r="AK295">
        <v>47</v>
      </c>
      <c r="AL295">
        <v>342</v>
      </c>
      <c r="AM295">
        <v>35</v>
      </c>
      <c r="AN295">
        <v>14</v>
      </c>
      <c r="AO295" t="s">
        <v>774</v>
      </c>
      <c r="AP295" s="2" t="str">
        <f>HYPERLINK("http://exon.niaid.nih.gov/transcriptome/T_rubida/S2/links/SWISSP/Triru-597-SWISSP.txt","Heme A synthase")</f>
        <v>Heme A synthase</v>
      </c>
      <c r="AQ295" t="str">
        <f>HYPERLINK("http://www.uniprot.org/uniprot/B9EB26","9.5")</f>
        <v>9.5</v>
      </c>
      <c r="AR295" t="s">
        <v>775</v>
      </c>
      <c r="AS295">
        <v>28.9</v>
      </c>
      <c r="AT295">
        <v>46</v>
      </c>
      <c r="AU295">
        <v>300</v>
      </c>
      <c r="AV295">
        <v>34</v>
      </c>
      <c r="AW295">
        <v>16</v>
      </c>
      <c r="AX295">
        <v>33</v>
      </c>
      <c r="AY295">
        <v>3</v>
      </c>
      <c r="AZ295">
        <v>131</v>
      </c>
      <c r="BA295">
        <v>1</v>
      </c>
      <c r="BB295">
        <v>1</v>
      </c>
      <c r="BC295" t="s">
        <v>776</v>
      </c>
      <c r="BD295" s="2" t="s">
        <v>5</v>
      </c>
      <c r="BE295" t="s">
        <v>5</v>
      </c>
      <c r="BF295" t="s">
        <v>5</v>
      </c>
      <c r="BG295" t="s">
        <v>5</v>
      </c>
      <c r="BH295" t="s">
        <v>5</v>
      </c>
      <c r="BI295" s="2" t="s">
        <v>5</v>
      </c>
      <c r="BJ295" t="s">
        <v>5</v>
      </c>
      <c r="BK295" t="s">
        <v>5</v>
      </c>
      <c r="BL295" s="2" t="s">
        <v>5</v>
      </c>
      <c r="BM295" t="s">
        <v>5</v>
      </c>
      <c r="BN295" t="s">
        <v>5</v>
      </c>
      <c r="BO295" s="2" t="str">
        <f>HYPERLINK("http://exon.niaid.nih.gov/transcriptome/T_rubida/S2/links/PFAM/Triru-597-PFAM.txt","SpecificRecomb")</f>
        <v>SpecificRecomb</v>
      </c>
      <c r="BP295" t="str">
        <f>HYPERLINK("http://pfam.sanger.ac.uk/family?acc=PF10136","8.6")</f>
        <v>8.6</v>
      </c>
      <c r="BQ295" s="2" t="str">
        <f>HYPERLINK("http://exon.niaid.nih.gov/transcriptome/T_rubida/S2/links/SMART/Triru-597-SMART.txt","PRP")</f>
        <v>PRP</v>
      </c>
      <c r="BR295" t="str">
        <f>HYPERLINK("http://smart.embl-heidelberg.de/smart/do_annotation.pl?DOMAIN=PRP&amp;BLAST=DUMMY","0.97")</f>
        <v>0.97</v>
      </c>
      <c r="BS295" s="17">
        <f>HYPERLINK("http://exon.niaid.nih.gov/transcriptome/T_rubida/S2/links/cluster/Triru-pep-ext25-50-Sim-CLU1.txt", 1)</f>
        <v>1</v>
      </c>
      <c r="BT295" s="1">
        <f>HYPERLINK("http://exon.niaid.nih.gov/transcriptome/T_rubida/S2/links/cluster/Triru-pep-ext25-50-Sim-CLTL1.txt", 359)</f>
        <v>359</v>
      </c>
      <c r="BU295" s="17">
        <f>HYPERLINK("http://exon.niaid.nih.gov/transcriptome/T_rubida/S2/links/cluster/Triru-pep-ext30-50-Sim-CLU1.txt", 1)</f>
        <v>1</v>
      </c>
      <c r="BV295" s="1">
        <f>HYPERLINK("http://exon.niaid.nih.gov/transcriptome/T_rubida/S2/links/cluster/Triru-pep-ext30-50-Sim-CLTL1.txt", 225)</f>
        <v>225</v>
      </c>
      <c r="BW295" s="17">
        <f>HYPERLINK("http://exon.niaid.nih.gov/transcriptome/T_rubida/S2/links/cluster/Triru-pep-ext35-50-Sim-CLU1.txt", 1)</f>
        <v>1</v>
      </c>
      <c r="BX295" s="1">
        <f>HYPERLINK("http://exon.niaid.nih.gov/transcriptome/T_rubida/S2/links/cluster/Triru-pep-ext35-50-Sim-CLTL1.txt", 75)</f>
        <v>75</v>
      </c>
      <c r="BY295" s="17">
        <v>382</v>
      </c>
      <c r="BZ295" s="1">
        <v>1</v>
      </c>
      <c r="CA295" s="17">
        <v>397</v>
      </c>
      <c r="CB295" s="1">
        <v>1</v>
      </c>
      <c r="CC295" s="17">
        <v>411</v>
      </c>
      <c r="CD295" s="1">
        <v>1</v>
      </c>
      <c r="CE295" s="17">
        <v>426</v>
      </c>
      <c r="CF295" s="1">
        <v>1</v>
      </c>
      <c r="CG295" s="17">
        <v>433</v>
      </c>
      <c r="CH295" s="1">
        <v>1</v>
      </c>
      <c r="CI295" s="17">
        <v>445</v>
      </c>
      <c r="CJ295" s="1">
        <v>1</v>
      </c>
      <c r="CK295" s="17">
        <v>451</v>
      </c>
      <c r="CL295" s="1">
        <v>1</v>
      </c>
      <c r="CM295" s="17">
        <v>463</v>
      </c>
      <c r="CN295" s="1">
        <v>1</v>
      </c>
      <c r="CO295" s="17">
        <v>475</v>
      </c>
      <c r="CP295" s="1">
        <v>1</v>
      </c>
      <c r="CQ295" s="17">
        <v>485</v>
      </c>
      <c r="CR295" s="1">
        <v>1</v>
      </c>
      <c r="CS295" s="17">
        <v>498</v>
      </c>
      <c r="CT295" s="1">
        <v>1</v>
      </c>
      <c r="CU295" s="17">
        <v>510</v>
      </c>
      <c r="CV295" s="1">
        <v>1</v>
      </c>
    </row>
    <row r="296" spans="1:100">
      <c r="A296" t="str">
        <f>HYPERLINK("http://exon.niaid.nih.gov/transcriptome/T_rubida/S2/links/pep/Triru-646-pep.txt","Triru-646")</f>
        <v>Triru-646</v>
      </c>
      <c r="B296">
        <v>48</v>
      </c>
      <c r="C296" s="1" t="s">
        <v>4</v>
      </c>
      <c r="D296" s="1" t="s">
        <v>3</v>
      </c>
      <c r="E296" t="str">
        <f>HYPERLINK("http://exon.niaid.nih.gov/transcriptome/T_rubida/S2/links/cds/Triru-646-cds.txt","Triru-646")</f>
        <v>Triru-646</v>
      </c>
      <c r="F296">
        <v>147</v>
      </c>
      <c r="G296" s="2" t="s">
        <v>1850</v>
      </c>
      <c r="H296" s="1">
        <v>1</v>
      </c>
      <c r="I296" s="3" t="s">
        <v>1266</v>
      </c>
      <c r="J296" s="17" t="str">
        <f>HYPERLINK("http://exon.niaid.nih.gov/transcriptome/T_rubida/S2/links/Sigp/Triru-646-SigP.txt","BL/SIG")</f>
        <v>BL/SIG</v>
      </c>
      <c r="K296" t="s">
        <v>5</v>
      </c>
      <c r="L296" s="1">
        <v>5.2110000000000003</v>
      </c>
      <c r="M296" s="1">
        <v>9.2200000000000006</v>
      </c>
      <c r="P296" s="1">
        <v>0.39500000000000002</v>
      </c>
      <c r="Q296" s="1">
        <v>0.21299999999999999</v>
      </c>
      <c r="R296" s="1">
        <v>0.11799999999999999</v>
      </c>
      <c r="S296" s="17" t="s">
        <v>9</v>
      </c>
      <c r="T296">
        <v>5</v>
      </c>
      <c r="U296" t="s">
        <v>1551</v>
      </c>
      <c r="V296" s="17">
        <v>0</v>
      </c>
      <c r="W296" t="s">
        <v>5</v>
      </c>
      <c r="X296" t="s">
        <v>5</v>
      </c>
      <c r="Y296" t="s">
        <v>5</v>
      </c>
      <c r="Z296" t="s">
        <v>5</v>
      </c>
      <c r="AA296" t="s">
        <v>5</v>
      </c>
      <c r="AB296" s="17" t="str">
        <f>HYPERLINK("http://exon.niaid.nih.gov/transcriptome/T_rubida/S2/links/netoglyc/TRIRU-646-netoglyc.txt","1")</f>
        <v>1</v>
      </c>
      <c r="AC296">
        <v>14.6</v>
      </c>
      <c r="AD296">
        <v>8.3000000000000007</v>
      </c>
      <c r="AE296">
        <v>6.3</v>
      </c>
      <c r="AF296" s="17" t="s">
        <v>5</v>
      </c>
      <c r="AG296" s="2" t="str">
        <f>HYPERLINK("http://exon.niaid.nih.gov/transcriptome/T_rubida/S2/links/NR/Triru-646-NR.txt","abscisic acid 8'-hydroxylase 1")</f>
        <v>abscisic acid 8'-hydroxylase 1</v>
      </c>
      <c r="AH296" t="str">
        <f>HYPERLINK("http://www.ncbi.nlm.nih.gov/sutils/blink.cgi?pid=42572955","40")</f>
        <v>40</v>
      </c>
      <c r="AI296" t="str">
        <f>HYPERLINK("http://www.ncbi.nlm.nih.gov/protein/42572955","gi|42572955")</f>
        <v>gi|42572955</v>
      </c>
      <c r="AJ296">
        <v>31.6</v>
      </c>
      <c r="AK296">
        <v>21</v>
      </c>
      <c r="AL296">
        <v>484</v>
      </c>
      <c r="AM296">
        <v>54</v>
      </c>
      <c r="AN296">
        <v>5</v>
      </c>
      <c r="AO296" t="s">
        <v>71</v>
      </c>
      <c r="AP296" s="2" t="str">
        <f>HYPERLINK("http://exon.niaid.nih.gov/transcriptome/T_rubida/S2/links/SWISSP/Triru-646-SWISSP.txt","Modification methylase NgoFVII")</f>
        <v>Modification methylase NgoFVII</v>
      </c>
      <c r="AQ296" t="str">
        <f>HYPERLINK("http://www.uniprot.org/uniprot/Q59606","28")</f>
        <v>28</v>
      </c>
      <c r="AR296" t="s">
        <v>118</v>
      </c>
      <c r="AS296">
        <v>27.3</v>
      </c>
      <c r="AT296">
        <v>21</v>
      </c>
      <c r="AU296">
        <v>374</v>
      </c>
      <c r="AV296">
        <v>50</v>
      </c>
      <c r="AW296">
        <v>6</v>
      </c>
      <c r="AX296">
        <v>11</v>
      </c>
      <c r="AY296">
        <v>0</v>
      </c>
      <c r="AZ296">
        <v>294</v>
      </c>
      <c r="BA296">
        <v>15</v>
      </c>
      <c r="BB296">
        <v>1</v>
      </c>
      <c r="BC296" t="s">
        <v>119</v>
      </c>
      <c r="BD296" s="2" t="s">
        <v>5</v>
      </c>
      <c r="BE296" t="s">
        <v>5</v>
      </c>
      <c r="BF296" t="s">
        <v>5</v>
      </c>
      <c r="BG296" t="s">
        <v>5</v>
      </c>
      <c r="BH296" t="s">
        <v>5</v>
      </c>
      <c r="BI296" s="2" t="s">
        <v>5</v>
      </c>
      <c r="BJ296" t="s">
        <v>5</v>
      </c>
      <c r="BK296" t="s">
        <v>5</v>
      </c>
      <c r="BL296" s="2" t="str">
        <f>HYPERLINK("http://exon.niaid.nih.gov/transcriptome/T_rubida/S2/links/KOG/Triru-646-KOG.txt","Translation initiation factor 2B, gamma subunit (eIF-2Bgamma/GCD1)")</f>
        <v>Translation initiation factor 2B, gamma subunit (eIF-2Bgamma/GCD1)</v>
      </c>
      <c r="BM296" t="str">
        <f>HYPERLINK("http://www.ncbi.nlm.nih.gov/COG/grace/shokog.cgi?KOG1462","1.2")</f>
        <v>1.2</v>
      </c>
      <c r="BN296" t="s">
        <v>84</v>
      </c>
      <c r="BO296" s="2" t="s">
        <v>5</v>
      </c>
      <c r="BP296" t="s">
        <v>5</v>
      </c>
      <c r="BQ296" s="2" t="str">
        <f>HYPERLINK("http://exon.niaid.nih.gov/transcriptome/T_rubida/S2/links/SMART/Triru-646-SMART.txt","OLF")</f>
        <v>OLF</v>
      </c>
      <c r="BR296" t="str">
        <f>HYPERLINK("http://smart.embl-heidelberg.de/smart/do_annotation.pl?DOMAIN=OLF&amp;BLAST=DUMMY","3.4")</f>
        <v>3.4</v>
      </c>
      <c r="BS296" s="17">
        <f>HYPERLINK("http://exon.niaid.nih.gov/transcriptome/T_rubida/S2/links/cluster/Triru-pep-ext25-50-Sim-CLU12.txt", 12)</f>
        <v>12</v>
      </c>
      <c r="BT296" s="1">
        <f>HYPERLINK("http://exon.niaid.nih.gov/transcriptome/T_rubida/S2/links/cluster/Triru-pep-ext25-50-Sim-CLTL12.txt", 2)</f>
        <v>2</v>
      </c>
      <c r="BU296" s="17">
        <v>285</v>
      </c>
      <c r="BV296" s="1">
        <v>1</v>
      </c>
      <c r="BW296" s="17">
        <v>370</v>
      </c>
      <c r="BX296" s="1">
        <v>1</v>
      </c>
      <c r="BY296" s="17">
        <v>410</v>
      </c>
      <c r="BZ296" s="1">
        <v>1</v>
      </c>
      <c r="CA296" s="17">
        <v>427</v>
      </c>
      <c r="CB296" s="1">
        <v>1</v>
      </c>
      <c r="CC296" s="17">
        <v>444</v>
      </c>
      <c r="CD296" s="1">
        <v>1</v>
      </c>
      <c r="CE296" s="17">
        <v>460</v>
      </c>
      <c r="CF296" s="1">
        <v>1</v>
      </c>
      <c r="CG296" s="17">
        <v>469</v>
      </c>
      <c r="CH296" s="1">
        <v>1</v>
      </c>
      <c r="CI296" s="17">
        <v>483</v>
      </c>
      <c r="CJ296" s="1">
        <v>1</v>
      </c>
      <c r="CK296" s="17">
        <v>489</v>
      </c>
      <c r="CL296" s="1">
        <v>1</v>
      </c>
      <c r="CM296" s="17">
        <v>501</v>
      </c>
      <c r="CN296" s="1">
        <v>1</v>
      </c>
      <c r="CO296" s="17">
        <v>513</v>
      </c>
      <c r="CP296" s="1">
        <v>1</v>
      </c>
      <c r="CQ296" s="17">
        <v>523</v>
      </c>
      <c r="CR296" s="1">
        <v>1</v>
      </c>
      <c r="CS296" s="17">
        <v>536</v>
      </c>
      <c r="CT296" s="1">
        <v>1</v>
      </c>
      <c r="CU296" s="17">
        <v>549</v>
      </c>
      <c r="CV296" s="1">
        <v>1</v>
      </c>
    </row>
    <row r="297" spans="1:100">
      <c r="A297" t="str">
        <f>HYPERLINK("http://exon.niaid.nih.gov/transcriptome/T_rubida/S2/links/pep/Triru-270-pep.txt","Triru-270")</f>
        <v>Triru-270</v>
      </c>
      <c r="B297">
        <v>34</v>
      </c>
      <c r="C297" s="1" t="s">
        <v>22</v>
      </c>
      <c r="D297" s="1" t="s">
        <v>3</v>
      </c>
      <c r="E297" t="str">
        <f>HYPERLINK("http://exon.niaid.nih.gov/transcriptome/T_rubida/S2/links/cds/Triru-270-cds.txt","Triru-270")</f>
        <v>Triru-270</v>
      </c>
      <c r="F297">
        <v>105</v>
      </c>
      <c r="G297" s="2" t="s">
        <v>1738</v>
      </c>
      <c r="H297" s="1">
        <v>1</v>
      </c>
      <c r="I297" s="3" t="s">
        <v>1266</v>
      </c>
      <c r="J297" s="17" t="str">
        <f>HYPERLINK("http://exon.niaid.nih.gov/transcriptome/T_rubida/S2/links/Sigp/Triru-270-SigP.txt","CYT")</f>
        <v>CYT</v>
      </c>
      <c r="K297" t="s">
        <v>5</v>
      </c>
      <c r="L297" s="1">
        <v>4.2240000000000002</v>
      </c>
      <c r="M297" s="1">
        <v>9.5299999999999994</v>
      </c>
      <c r="P297" s="1">
        <v>9.0999999999999998E-2</v>
      </c>
      <c r="Q297" s="1">
        <v>0.186</v>
      </c>
      <c r="R297" s="1">
        <v>0.57299999999999995</v>
      </c>
      <c r="S297" s="17" t="s">
        <v>1346</v>
      </c>
      <c r="T297">
        <v>4</v>
      </c>
      <c r="U297" t="s">
        <v>1482</v>
      </c>
      <c r="V297" s="17" t="str">
        <f>HYPERLINK("http://exon.niaid.nih.gov/transcriptome/T_rubida/S2/links/tmhmm/TRIRU-270-tmhmm.txt","1")</f>
        <v>1</v>
      </c>
      <c r="W297">
        <v>55.9</v>
      </c>
      <c r="X297">
        <v>5.9</v>
      </c>
      <c r="Y297">
        <v>38.200000000000003</v>
      </c>
      <c r="Z297">
        <v>1</v>
      </c>
      <c r="AA297">
        <v>2</v>
      </c>
      <c r="AB297" s="17" t="str">
        <f>HYPERLINK("http://exon.niaid.nih.gov/transcriptome/T_rubida/S2/links/netoglyc/TRIRU-270-netoglyc.txt","0")</f>
        <v>0</v>
      </c>
      <c r="AC297">
        <v>11.8</v>
      </c>
      <c r="AD297" t="s">
        <v>1417</v>
      </c>
      <c r="AE297">
        <v>2.9</v>
      </c>
      <c r="AF297" s="17" t="s">
        <v>5</v>
      </c>
      <c r="AG297" s="2" t="str">
        <f>HYPERLINK("http://exon.niaid.nih.gov/transcriptome/T_rubida/S2/links/NR/Triru-270-NR.txt","hypothetical protein Bcoam_12185")</f>
        <v>hypothetical protein Bcoam_12185</v>
      </c>
      <c r="AH297" t="str">
        <f>HYPERLINK("http://www.ncbi.nlm.nih.gov/sutils/blink.cgi?pid=205373948","90")</f>
        <v>90</v>
      </c>
      <c r="AI297" t="str">
        <f>HYPERLINK("http://www.ncbi.nlm.nih.gov/protein/205373948","gi|205373948")</f>
        <v>gi|205373948</v>
      </c>
      <c r="AJ297">
        <v>30.4</v>
      </c>
      <c r="AK297">
        <v>26</v>
      </c>
      <c r="AL297">
        <v>33</v>
      </c>
      <c r="AM297">
        <v>44</v>
      </c>
      <c r="AN297">
        <v>82</v>
      </c>
      <c r="AO297" t="s">
        <v>708</v>
      </c>
      <c r="AP297" s="2" t="str">
        <f>HYPERLINK("http://exon.niaid.nih.gov/transcriptome/T_rubida/S2/links/SWISSP/Triru-270-SWISSP.txt","Olfactory receptor 12D2")</f>
        <v>Olfactory receptor 12D2</v>
      </c>
      <c r="AQ297" t="str">
        <f>HYPERLINK("http://www.uniprot.org/uniprot/P58182","28")</f>
        <v>28</v>
      </c>
      <c r="AR297" t="s">
        <v>709</v>
      </c>
      <c r="AS297">
        <v>27.3</v>
      </c>
      <c r="AT297">
        <v>27</v>
      </c>
      <c r="AU297">
        <v>307</v>
      </c>
      <c r="AV297">
        <v>42</v>
      </c>
      <c r="AW297">
        <v>9</v>
      </c>
      <c r="AX297">
        <v>16</v>
      </c>
      <c r="AY297">
        <v>0</v>
      </c>
      <c r="AZ297">
        <v>198</v>
      </c>
      <c r="BA297">
        <v>7</v>
      </c>
      <c r="BB297">
        <v>1</v>
      </c>
      <c r="BC297" t="s">
        <v>208</v>
      </c>
      <c r="BD297" s="2" t="s">
        <v>5</v>
      </c>
      <c r="BE297" t="s">
        <v>5</v>
      </c>
      <c r="BF297" t="s">
        <v>5</v>
      </c>
      <c r="BG297" t="s">
        <v>5</v>
      </c>
      <c r="BH297" t="s">
        <v>5</v>
      </c>
      <c r="BI297" s="2" t="s">
        <v>5</v>
      </c>
      <c r="BJ297" t="s">
        <v>5</v>
      </c>
      <c r="BK297" t="s">
        <v>5</v>
      </c>
      <c r="BL297" s="2" t="str">
        <f>HYPERLINK("http://exon.niaid.nih.gov/transcriptome/T_rubida/S2/links/KOG/Triru-270-KOG.txt","Medium subunit of clathrin adaptor complex")</f>
        <v>Medium subunit of clathrin adaptor complex</v>
      </c>
      <c r="BM297" t="str">
        <f>HYPERLINK("http://www.ncbi.nlm.nih.gov/COG/grace/shokog.cgi?KOG2635","0.41")</f>
        <v>0.41</v>
      </c>
      <c r="BN297" t="s">
        <v>164</v>
      </c>
      <c r="BO297" s="2" t="s">
        <v>5</v>
      </c>
      <c r="BP297" t="s">
        <v>5</v>
      </c>
      <c r="BQ297" s="2" t="s">
        <v>5</v>
      </c>
      <c r="BR297" t="s">
        <v>5</v>
      </c>
      <c r="BS297" s="17">
        <f>HYPERLINK("http://exon.niaid.nih.gov/transcriptome/T_rubida/S2/links/cluster/Triru-pep-ext25-50-Sim-CLU1.txt", 1)</f>
        <v>1</v>
      </c>
      <c r="BT297" s="1">
        <f>HYPERLINK("http://exon.niaid.nih.gov/transcriptome/T_rubida/S2/links/cluster/Triru-pep-ext25-50-Sim-CLTL1.txt", 359)</f>
        <v>359</v>
      </c>
      <c r="BU297" s="17">
        <f>HYPERLINK("http://exon.niaid.nih.gov/transcriptome/T_rubida/S2/links/cluster/Triru-pep-ext30-50-Sim-CLU22.txt", 22)</f>
        <v>22</v>
      </c>
      <c r="BV297" s="1">
        <f>HYPERLINK("http://exon.niaid.nih.gov/transcriptome/T_rubida/S2/links/cluster/Triru-pep-ext30-50-Sim-CLTL22.txt", 2)</f>
        <v>2</v>
      </c>
      <c r="BW297" s="17">
        <v>151</v>
      </c>
      <c r="BX297" s="1">
        <v>1</v>
      </c>
      <c r="BY297" s="17">
        <v>160</v>
      </c>
      <c r="BZ297" s="1">
        <v>1</v>
      </c>
      <c r="CA297" s="17">
        <v>164</v>
      </c>
      <c r="CB297" s="1">
        <v>1</v>
      </c>
      <c r="CC297" s="17">
        <v>168</v>
      </c>
      <c r="CD297" s="1">
        <v>1</v>
      </c>
      <c r="CE297" s="17">
        <v>173</v>
      </c>
      <c r="CF297" s="1">
        <v>1</v>
      </c>
      <c r="CG297" s="17">
        <v>175</v>
      </c>
      <c r="CH297" s="1">
        <v>1</v>
      </c>
      <c r="CI297" s="17">
        <v>182</v>
      </c>
      <c r="CJ297" s="1">
        <v>1</v>
      </c>
      <c r="CK297" s="17">
        <v>187</v>
      </c>
      <c r="CL297" s="1">
        <v>1</v>
      </c>
      <c r="CM297" s="17">
        <v>193</v>
      </c>
      <c r="CN297" s="1">
        <v>1</v>
      </c>
      <c r="CO297" s="17">
        <v>203</v>
      </c>
      <c r="CP297" s="1">
        <v>1</v>
      </c>
      <c r="CQ297" s="17">
        <v>213</v>
      </c>
      <c r="CR297" s="1">
        <v>1</v>
      </c>
      <c r="CS297" s="17">
        <v>218</v>
      </c>
      <c r="CT297" s="1">
        <v>1</v>
      </c>
      <c r="CU297" s="17">
        <v>229</v>
      </c>
      <c r="CV297" s="1">
        <v>1</v>
      </c>
    </row>
    <row r="298" spans="1:100">
      <c r="A298" t="str">
        <f>HYPERLINK("http://exon.niaid.nih.gov/transcriptome/T_rubida/S2/links/pep/Triru-514-pep.txt","Triru-514")</f>
        <v>Triru-514</v>
      </c>
      <c r="B298">
        <v>40</v>
      </c>
      <c r="C298" s="1" t="s">
        <v>9</v>
      </c>
      <c r="D298" s="1" t="s">
        <v>3</v>
      </c>
      <c r="E298" t="str">
        <f>HYPERLINK("http://exon.niaid.nih.gov/transcriptome/T_rubida/S2/links/cds/Triru-514-cds.txt","Triru-514")</f>
        <v>Triru-514</v>
      </c>
      <c r="F298">
        <v>123</v>
      </c>
      <c r="G298" s="2" t="s">
        <v>1739</v>
      </c>
      <c r="H298" s="1">
        <v>1</v>
      </c>
      <c r="I298" s="3" t="s">
        <v>1266</v>
      </c>
      <c r="J298" s="17" t="str">
        <f>HYPERLINK("http://exon.niaid.nih.gov/transcriptome/T_rubida/S2/links/Sigp/Triru-514-SigP.txt","CYT")</f>
        <v>CYT</v>
      </c>
      <c r="K298" t="s">
        <v>5</v>
      </c>
      <c r="L298" s="1">
        <v>4.694</v>
      </c>
      <c r="M298" s="1">
        <v>7.96</v>
      </c>
      <c r="P298" s="1">
        <v>0.11600000000000001</v>
      </c>
      <c r="Q298" s="1">
        <v>5.8999999999999997E-2</v>
      </c>
      <c r="R298" s="1">
        <v>0.88100000000000001</v>
      </c>
      <c r="S298" s="17" t="s">
        <v>1346</v>
      </c>
      <c r="T298">
        <v>2</v>
      </c>
      <c r="U298" t="s">
        <v>1483</v>
      </c>
      <c r="V298" s="17">
        <v>0</v>
      </c>
      <c r="W298" t="s">
        <v>5</v>
      </c>
      <c r="X298" t="s">
        <v>5</v>
      </c>
      <c r="Y298" t="s">
        <v>5</v>
      </c>
      <c r="Z298" t="s">
        <v>5</v>
      </c>
      <c r="AA298" t="s">
        <v>5</v>
      </c>
      <c r="AB298" s="17" t="str">
        <f>HYPERLINK("http://exon.niaid.nih.gov/transcriptome/T_rubida/S2/links/netoglyc/TRIRU-514-netoglyc.txt","0")</f>
        <v>0</v>
      </c>
      <c r="AC298">
        <v>20</v>
      </c>
      <c r="AD298">
        <v>2.5</v>
      </c>
      <c r="AE298" t="s">
        <v>1394</v>
      </c>
      <c r="AF298" s="17" t="s">
        <v>5</v>
      </c>
      <c r="AG298" s="2" t="str">
        <f>HYPERLINK("http://exon.niaid.nih.gov/transcriptome/T_rubida/S2/links/NR/Triru-514-NR.txt","hypothetical protein MtrDRAFT_AC157777g24v2")</f>
        <v>hypothetical protein MtrDRAFT_AC157777g24v2</v>
      </c>
      <c r="AH298" t="str">
        <f>HYPERLINK("http://www.ncbi.nlm.nih.gov/sutils/blink.cgi?pid=87241545","14")</f>
        <v>14</v>
      </c>
      <c r="AI298" t="str">
        <f>HYPERLINK("http://www.ncbi.nlm.nih.gov/protein/87241545","gi|87241545")</f>
        <v>gi|87241545</v>
      </c>
      <c r="AJ298">
        <v>33.1</v>
      </c>
      <c r="AK298">
        <v>38</v>
      </c>
      <c r="AL298">
        <v>52</v>
      </c>
      <c r="AM298">
        <v>35</v>
      </c>
      <c r="AN298">
        <v>75</v>
      </c>
      <c r="AO298" t="s">
        <v>807</v>
      </c>
      <c r="AP298" s="2" t="str">
        <f>HYPERLINK("http://exon.niaid.nih.gov/transcriptome/T_rubida/S2/links/SWISSP/Triru-514-SWISSP.txt","Acetyl-CoA carboxylase, mitochondrial")</f>
        <v>Acetyl-CoA carboxylase, mitochondrial</v>
      </c>
      <c r="AQ298" t="str">
        <f>HYPERLINK("http://www.uniprot.org/uniprot/P32874","4.3")</f>
        <v>4.3</v>
      </c>
      <c r="AR298" t="s">
        <v>808</v>
      </c>
      <c r="AS298">
        <v>30</v>
      </c>
      <c r="AT298">
        <v>27</v>
      </c>
      <c r="AU298">
        <v>2273</v>
      </c>
      <c r="AV298">
        <v>46</v>
      </c>
      <c r="AW298">
        <v>1</v>
      </c>
      <c r="AX298">
        <v>15</v>
      </c>
      <c r="AY298">
        <v>0</v>
      </c>
      <c r="AZ298">
        <v>1412</v>
      </c>
      <c r="BA298">
        <v>1</v>
      </c>
      <c r="BB298">
        <v>1</v>
      </c>
      <c r="BC298" t="s">
        <v>344</v>
      </c>
      <c r="BD298" s="2" t="s">
        <v>5</v>
      </c>
      <c r="BE298" t="s">
        <v>5</v>
      </c>
      <c r="BF298" t="s">
        <v>5</v>
      </c>
      <c r="BG298" t="s">
        <v>5</v>
      </c>
      <c r="BH298" t="s">
        <v>5</v>
      </c>
      <c r="BI298" s="2" t="str">
        <f>HYPERLINK("http://exon.niaid.nih.gov/transcriptome/T_rubida/S2/links/CDD/Triru-514-CDD.txt","VLCAD")</f>
        <v>VLCAD</v>
      </c>
      <c r="BJ298" t="str">
        <f>HYPERLINK("http://www.ncbi.nlm.nih.gov/Structure/cdd/cddsrv.cgi?uid=cd01161&amp;version=v4.0","2.8")</f>
        <v>2.8</v>
      </c>
      <c r="BK298" t="s">
        <v>809</v>
      </c>
      <c r="BL298" s="2" t="s">
        <v>5</v>
      </c>
      <c r="BM298" t="s">
        <v>5</v>
      </c>
      <c r="BN298" t="s">
        <v>5</v>
      </c>
      <c r="BO298" s="2" t="str">
        <f>HYPERLINK("http://exon.niaid.nih.gov/transcriptome/T_rubida/S2/links/PFAM/Triru-514-PFAM.txt","MGAT2")</f>
        <v>MGAT2</v>
      </c>
      <c r="BP298" t="str">
        <f>HYPERLINK("http://pfam.sanger.ac.uk/family?acc=PF05060","4.4")</f>
        <v>4.4</v>
      </c>
      <c r="BQ298" s="2" t="str">
        <f>HYPERLINK("http://exon.niaid.nih.gov/transcriptome/T_rubida/S2/links/SMART/Triru-514-SMART.txt","HATPase_c")</f>
        <v>HATPase_c</v>
      </c>
      <c r="BR298" t="str">
        <f>HYPERLINK("http://smart.embl-heidelberg.de/smart/do_annotation.pl?DOMAIN=HATPase_c&amp;BLAST=DUMMY","6.2")</f>
        <v>6.2</v>
      </c>
      <c r="BS298" s="17">
        <f>HYPERLINK("http://exon.niaid.nih.gov/transcriptome/T_rubida/S2/links/cluster/Triru-pep-ext25-50-Sim-CLU1.txt", 1)</f>
        <v>1</v>
      </c>
      <c r="BT298" s="1">
        <f>HYPERLINK("http://exon.niaid.nih.gov/transcriptome/T_rubida/S2/links/cluster/Triru-pep-ext25-50-Sim-CLTL1.txt", 359)</f>
        <v>359</v>
      </c>
      <c r="BU298" s="17">
        <f>HYPERLINK("http://exon.niaid.nih.gov/transcriptome/T_rubida/S2/links/cluster/Triru-pep-ext30-50-Sim-CLU1.txt", 1)</f>
        <v>1</v>
      </c>
      <c r="BV298" s="1">
        <f>HYPERLINK("http://exon.niaid.nih.gov/transcriptome/T_rubida/S2/links/cluster/Triru-pep-ext30-50-Sim-CLTL1.txt", 225)</f>
        <v>225</v>
      </c>
      <c r="BW298" s="17">
        <v>301</v>
      </c>
      <c r="BX298" s="1">
        <v>1</v>
      </c>
      <c r="BY298" s="17">
        <v>327</v>
      </c>
      <c r="BZ298" s="1">
        <v>1</v>
      </c>
      <c r="CA298" s="17">
        <v>338</v>
      </c>
      <c r="CB298" s="1">
        <v>1</v>
      </c>
      <c r="CC298" s="17">
        <v>350</v>
      </c>
      <c r="CD298" s="1">
        <v>1</v>
      </c>
      <c r="CE298" s="17">
        <v>362</v>
      </c>
      <c r="CF298" s="1">
        <v>1</v>
      </c>
      <c r="CG298" s="17">
        <v>368</v>
      </c>
      <c r="CH298" s="1">
        <v>1</v>
      </c>
      <c r="CI298" s="17">
        <v>380</v>
      </c>
      <c r="CJ298" s="1">
        <v>1</v>
      </c>
      <c r="CK298" s="17">
        <v>386</v>
      </c>
      <c r="CL298" s="1">
        <v>1</v>
      </c>
      <c r="CM298" s="17">
        <v>394</v>
      </c>
      <c r="CN298" s="1">
        <v>1</v>
      </c>
      <c r="CO298" s="17">
        <v>406</v>
      </c>
      <c r="CP298" s="1">
        <v>1</v>
      </c>
      <c r="CQ298" s="17">
        <v>416</v>
      </c>
      <c r="CR298" s="1">
        <v>1</v>
      </c>
      <c r="CS298" s="17">
        <v>429</v>
      </c>
      <c r="CT298" s="1">
        <v>1</v>
      </c>
      <c r="CU298" s="17">
        <v>440</v>
      </c>
      <c r="CV298" s="1">
        <v>1</v>
      </c>
    </row>
    <row r="299" spans="1:100">
      <c r="A299" t="str">
        <f>HYPERLINK("http://exon.niaid.nih.gov/transcriptome/T_rubida/S2/links/pep/Triru-127-pep.txt","Triru-127")</f>
        <v>Triru-127</v>
      </c>
      <c r="B299">
        <v>111</v>
      </c>
      <c r="C299" s="1" t="s">
        <v>21</v>
      </c>
      <c r="D299" s="1" t="s">
        <v>3</v>
      </c>
      <c r="E299" t="str">
        <f>HYPERLINK("http://exon.niaid.nih.gov/transcriptome/T_rubida/S2/links/cds/Triru-127-cds.txt","Triru-127")</f>
        <v>Triru-127</v>
      </c>
      <c r="F299">
        <v>336</v>
      </c>
      <c r="G299" s="2" t="s">
        <v>1740</v>
      </c>
      <c r="H299" s="1">
        <v>3</v>
      </c>
      <c r="I299" s="3" t="s">
        <v>1266</v>
      </c>
      <c r="J299" s="17" t="str">
        <f>HYPERLINK("http://exon.niaid.nih.gov/transcriptome/T_rubida/S2/links/Sigp/Triru-127-SigP.txt","CYT")</f>
        <v>CYT</v>
      </c>
      <c r="K299" t="s">
        <v>5</v>
      </c>
      <c r="L299" s="1">
        <v>12.51</v>
      </c>
      <c r="M299" s="1">
        <v>5.76</v>
      </c>
      <c r="P299" s="1">
        <v>0.39500000000000002</v>
      </c>
      <c r="Q299" s="1">
        <v>3.4000000000000002E-2</v>
      </c>
      <c r="R299" s="1">
        <v>0.69299999999999995</v>
      </c>
      <c r="S299" s="17" t="s">
        <v>1346</v>
      </c>
      <c r="T299">
        <v>4</v>
      </c>
      <c r="U299" t="s">
        <v>1348</v>
      </c>
      <c r="V299" s="17">
        <v>0</v>
      </c>
      <c r="W299" t="s">
        <v>5</v>
      </c>
      <c r="X299" t="s">
        <v>5</v>
      </c>
      <c r="Y299" t="s">
        <v>5</v>
      </c>
      <c r="Z299" t="s">
        <v>5</v>
      </c>
      <c r="AA299" t="s">
        <v>5</v>
      </c>
      <c r="AB299" s="17" t="str">
        <f>HYPERLINK("http://exon.niaid.nih.gov/transcriptome/T_rubida/S2/links/netoglyc/TRIRU-127-netoglyc.txt","0")</f>
        <v>0</v>
      </c>
      <c r="AC299">
        <v>13.5</v>
      </c>
      <c r="AD299">
        <v>5.4</v>
      </c>
      <c r="AE299">
        <v>7.2</v>
      </c>
      <c r="AF299" s="17" t="s">
        <v>5</v>
      </c>
      <c r="AG299" s="2" t="str">
        <f>HYPERLINK("http://exon.niaid.nih.gov/transcriptome/T_rubida/S2/links/NR/Triru-127-NR.txt","hypothetical protein SINV_04851")</f>
        <v>hypothetical protein SINV_04851</v>
      </c>
      <c r="AH299" t="str">
        <f>HYPERLINK("http://www.ncbi.nlm.nih.gov/sutils/blink.cgi?pid=322779031","4E-009")</f>
        <v>4E-009</v>
      </c>
      <c r="AI299" t="str">
        <f>HYPERLINK("http://www.ncbi.nlm.nih.gov/protein/322779031","gi|322779031")</f>
        <v>gi|322779031</v>
      </c>
      <c r="AJ299">
        <v>64.7</v>
      </c>
      <c r="AK299">
        <v>101</v>
      </c>
      <c r="AL299">
        <v>136</v>
      </c>
      <c r="AM299">
        <v>40</v>
      </c>
      <c r="AN299">
        <v>75</v>
      </c>
      <c r="AO299" t="s">
        <v>218</v>
      </c>
      <c r="AP299" s="2" t="str">
        <f>HYPERLINK("http://exon.niaid.nih.gov/transcriptome/T_rubida/S2/links/SWISSP/Triru-127-SWISSP.txt","Protein PET130")</f>
        <v>Protein PET130</v>
      </c>
      <c r="AQ299" t="str">
        <f>HYPERLINK("http://www.uniprot.org/uniprot/P47065","1.9")</f>
        <v>1.9</v>
      </c>
      <c r="AR299" t="s">
        <v>1246</v>
      </c>
      <c r="AS299">
        <v>31.2</v>
      </c>
      <c r="AT299">
        <v>71</v>
      </c>
      <c r="AU299">
        <v>347</v>
      </c>
      <c r="AV299">
        <v>23</v>
      </c>
      <c r="AW299">
        <v>21</v>
      </c>
      <c r="AX299">
        <v>55</v>
      </c>
      <c r="AY299">
        <v>0</v>
      </c>
      <c r="AZ299">
        <v>275</v>
      </c>
      <c r="BA299">
        <v>30</v>
      </c>
      <c r="BB299">
        <v>1</v>
      </c>
      <c r="BC299" t="s">
        <v>344</v>
      </c>
      <c r="BD299" s="2" t="s">
        <v>5</v>
      </c>
      <c r="BE299" t="s">
        <v>5</v>
      </c>
      <c r="BF299" t="s">
        <v>5</v>
      </c>
      <c r="BG299" t="s">
        <v>5</v>
      </c>
      <c r="BH299" t="s">
        <v>5</v>
      </c>
      <c r="BI299" s="2" t="str">
        <f>HYPERLINK("http://exon.niaid.nih.gov/transcriptome/T_rubida/S2/links/CDD/Triru-127-CDD.txt","PRK09296")</f>
        <v>PRK09296</v>
      </c>
      <c r="BJ299" t="str">
        <f>HYPERLINK("http://www.ncbi.nlm.nih.gov/Structure/cdd/cddsrv.cgi?uid=PRK09296&amp;version=v4.0","1.9")</f>
        <v>1.9</v>
      </c>
      <c r="BK299" t="s">
        <v>1247</v>
      </c>
      <c r="BL299" s="2" t="str">
        <f>HYPERLINK("http://exon.niaid.nih.gov/transcriptome/T_rubida/S2/links/KOG/Triru-127-KOG.txt","PAB-dependent poly(A) ribonuclease, subunit PAN2")</f>
        <v>PAB-dependent poly(A) ribonuclease, subunit PAN2</v>
      </c>
      <c r="BM299" t="str">
        <f>HYPERLINK("http://www.ncbi.nlm.nih.gov/COG/grace/shokog.cgi?KOG1275","0.014")</f>
        <v>0.014</v>
      </c>
      <c r="BN299" t="s">
        <v>188</v>
      </c>
      <c r="BO299" s="2" t="str">
        <f>HYPERLINK("http://exon.niaid.nih.gov/transcriptome/T_rubida/S2/links/PFAM/Triru-127-PFAM.txt","SufE")</f>
        <v>SufE</v>
      </c>
      <c r="BP299" t="str">
        <f>HYPERLINK("http://pfam.sanger.ac.uk/family?acc=PF02657","1.2")</f>
        <v>1.2</v>
      </c>
      <c r="BQ299" s="2" t="str">
        <f>HYPERLINK("http://exon.niaid.nih.gov/transcriptome/T_rubida/S2/links/SMART/Triru-127-SMART.txt","MCM")</f>
        <v>MCM</v>
      </c>
      <c r="BR299" t="str">
        <f>HYPERLINK("http://smart.embl-heidelberg.de/smart/do_annotation.pl?DOMAIN=MCM&amp;BLAST=DUMMY","0.23")</f>
        <v>0.23</v>
      </c>
      <c r="BS299" s="17">
        <v>52</v>
      </c>
      <c r="BT299" s="1">
        <v>1</v>
      </c>
      <c r="BU299" s="17">
        <v>72</v>
      </c>
      <c r="BV299" s="1">
        <v>1</v>
      </c>
      <c r="BW299" s="17">
        <v>78</v>
      </c>
      <c r="BX299" s="1">
        <v>1</v>
      </c>
      <c r="BY299" s="17">
        <v>78</v>
      </c>
      <c r="BZ299" s="1">
        <v>1</v>
      </c>
      <c r="CA299" s="17">
        <v>76</v>
      </c>
      <c r="CB299" s="1">
        <v>1</v>
      </c>
      <c r="CC299" s="17">
        <v>75</v>
      </c>
      <c r="CD299" s="1">
        <v>1</v>
      </c>
      <c r="CE299" s="17">
        <v>69</v>
      </c>
      <c r="CF299" s="1">
        <v>1</v>
      </c>
      <c r="CG299" s="17">
        <v>69</v>
      </c>
      <c r="CH299" s="1">
        <v>1</v>
      </c>
      <c r="CI299" s="17">
        <v>75</v>
      </c>
      <c r="CJ299" s="1">
        <v>1</v>
      </c>
      <c r="CK299" s="17">
        <v>79</v>
      </c>
      <c r="CL299" s="1">
        <v>1</v>
      </c>
      <c r="CM299" s="17">
        <v>83</v>
      </c>
      <c r="CN299" s="1">
        <v>1</v>
      </c>
      <c r="CO299" s="17">
        <v>91</v>
      </c>
      <c r="CP299" s="1">
        <v>1</v>
      </c>
      <c r="CQ299" s="17">
        <v>101</v>
      </c>
      <c r="CR299" s="1">
        <v>1</v>
      </c>
      <c r="CS299" s="17">
        <v>106</v>
      </c>
      <c r="CT299" s="1">
        <v>1</v>
      </c>
      <c r="CU299" s="17">
        <v>117</v>
      </c>
      <c r="CV299" s="1">
        <v>1</v>
      </c>
    </row>
    <row r="300" spans="1:100">
      <c r="A300" t="str">
        <f>HYPERLINK("http://exon.niaid.nih.gov/transcriptome/T_rubida/S2/links/pep/Triru-251-pep.txt","Triru-251")</f>
        <v>Triru-251</v>
      </c>
      <c r="B300">
        <v>53</v>
      </c>
      <c r="C300" s="1" t="s">
        <v>17</v>
      </c>
      <c r="D300" s="1" t="s">
        <v>5</v>
      </c>
      <c r="E300" t="str">
        <f>HYPERLINK("http://exon.niaid.nih.gov/transcriptome/T_rubida/S2/links/cds/Triru-251-cds.txt","Triru-251")</f>
        <v>Triru-251</v>
      </c>
      <c r="F300">
        <v>158</v>
      </c>
      <c r="G300" s="2" t="s">
        <v>1744</v>
      </c>
      <c r="H300" s="1">
        <v>1</v>
      </c>
      <c r="I300" s="3" t="s">
        <v>1266</v>
      </c>
      <c r="J300" s="17" t="str">
        <f>HYPERLINK("http://exon.niaid.nih.gov/transcriptome/T_rubida/S2/links/Sigp/Triru-251-SigP.txt","CYT")</f>
        <v>CYT</v>
      </c>
      <c r="K300" t="s">
        <v>5</v>
      </c>
      <c r="L300" s="1">
        <v>6.0380000000000003</v>
      </c>
      <c r="M300" s="1">
        <v>10.07</v>
      </c>
      <c r="P300" s="1">
        <v>0.105</v>
      </c>
      <c r="Q300" s="1">
        <v>4.7E-2</v>
      </c>
      <c r="R300" s="1">
        <v>0.90800000000000003</v>
      </c>
      <c r="S300" s="17" t="s">
        <v>1346</v>
      </c>
      <c r="T300">
        <v>1</v>
      </c>
      <c r="U300" t="s">
        <v>1382</v>
      </c>
      <c r="V300" s="17">
        <v>0</v>
      </c>
      <c r="W300" t="s">
        <v>5</v>
      </c>
      <c r="X300" t="s">
        <v>5</v>
      </c>
      <c r="Y300" t="s">
        <v>5</v>
      </c>
      <c r="Z300" t="s">
        <v>5</v>
      </c>
      <c r="AA300" t="s">
        <v>5</v>
      </c>
      <c r="AB300" s="17" t="str">
        <f>HYPERLINK("http://exon.niaid.nih.gov/transcriptome/T_rubida/S2/links/netoglyc/TRIRU-251-netoglyc.txt","0")</f>
        <v>0</v>
      </c>
      <c r="AC300">
        <v>1.9</v>
      </c>
      <c r="AD300">
        <v>9.4</v>
      </c>
      <c r="AE300">
        <v>5.7</v>
      </c>
      <c r="AF300" s="17" t="s">
        <v>5</v>
      </c>
      <c r="AG300" s="2" t="str">
        <f>HYPERLINK("http://exon.niaid.nih.gov/transcriptome/T_rubida/S2/links/NR/Triru-251-NR.txt","GK22993")</f>
        <v>GK22993</v>
      </c>
      <c r="AH300" t="str">
        <f>HYPERLINK("http://www.ncbi.nlm.nih.gov/sutils/blink.cgi?pid=195455494","8E-005")</f>
        <v>8E-005</v>
      </c>
      <c r="AI300" t="str">
        <f>HYPERLINK("http://www.ncbi.nlm.nih.gov/protein/195455494","gi|195455494")</f>
        <v>gi|195455494</v>
      </c>
      <c r="AJ300">
        <v>50.4</v>
      </c>
      <c r="AK300">
        <v>871</v>
      </c>
      <c r="AL300">
        <v>1316</v>
      </c>
      <c r="AM300">
        <v>37</v>
      </c>
      <c r="AN300">
        <v>66</v>
      </c>
      <c r="AO300" t="s">
        <v>1028</v>
      </c>
      <c r="AP300" s="2" t="str">
        <f>HYPERLINK("http://exon.niaid.nih.gov/transcriptome/T_rubida/S2/links/SWISSP/Triru-251-SWISSP.txt","Vigilin")</f>
        <v>Vigilin</v>
      </c>
      <c r="AQ300" t="str">
        <f>HYPERLINK("http://www.uniprot.org/uniprot/Q5R439","5E-004")</f>
        <v>5E-004</v>
      </c>
      <c r="AR300" t="s">
        <v>1029</v>
      </c>
      <c r="AS300">
        <v>43.1</v>
      </c>
      <c r="AT300">
        <v>728</v>
      </c>
      <c r="AU300">
        <v>1268</v>
      </c>
      <c r="AV300">
        <v>38</v>
      </c>
      <c r="AW300">
        <v>57</v>
      </c>
      <c r="AX300">
        <v>32</v>
      </c>
      <c r="AY300">
        <v>0</v>
      </c>
      <c r="AZ300">
        <v>312</v>
      </c>
      <c r="BA300">
        <v>2</v>
      </c>
      <c r="BB300">
        <v>4</v>
      </c>
      <c r="BC300" t="s">
        <v>158</v>
      </c>
      <c r="BD300" s="2" t="s">
        <v>1030</v>
      </c>
      <c r="BE300">
        <f>HYPERLINK("http://exon.niaid.nih.gov/transcriptome/T_rubida/S2/links/GO/Triru-251-GO.txt",0.00007)</f>
        <v>6.9999999999999994E-5</v>
      </c>
      <c r="BF300" t="s">
        <v>1942</v>
      </c>
      <c r="BG300" t="s">
        <v>153</v>
      </c>
      <c r="BH300" t="s">
        <v>154</v>
      </c>
      <c r="BI300" s="2" t="str">
        <f>HYPERLINK("http://exon.niaid.nih.gov/transcriptome/T_rubida/S2/links/CDD/Triru-251-CDD.txt","vigilin_like_KH")</f>
        <v>vigilin_like_KH</v>
      </c>
      <c r="BJ300" t="str">
        <f>HYPERLINK("http://www.ncbi.nlm.nih.gov/Structure/cdd/cddsrv.cgi?uid=cd02394&amp;version=v4.0","2E-005")</f>
        <v>2E-005</v>
      </c>
      <c r="BK300" t="s">
        <v>1031</v>
      </c>
      <c r="BL300" s="2" t="str">
        <f>HYPERLINK("http://exon.niaid.nih.gov/transcriptome/T_rubida/S2/links/KOG/Triru-251-KOG.txt","K-homology type RNA binding proteins")</f>
        <v>K-homology type RNA binding proteins</v>
      </c>
      <c r="BM300" t="str">
        <f>HYPERLINK("http://www.ncbi.nlm.nih.gov/COG/grace/shokog.cgi?KOG1676","0.073")</f>
        <v>0.073</v>
      </c>
      <c r="BN300" t="s">
        <v>206</v>
      </c>
      <c r="BO300" s="2" t="str">
        <f>HYPERLINK("http://exon.niaid.nih.gov/transcriptome/T_rubida/S2/links/PFAM/Triru-251-PFAM.txt","KH_1")</f>
        <v>KH_1</v>
      </c>
      <c r="BP300" t="str">
        <f>HYPERLINK("http://pfam.sanger.ac.uk/family?acc=PF00013","2E-004")</f>
        <v>2E-004</v>
      </c>
      <c r="BQ300" s="2" t="str">
        <f>HYPERLINK("http://exon.niaid.nih.gov/transcriptome/T_rubida/S2/links/SMART/Triru-251-SMART.txt","KH")</f>
        <v>KH</v>
      </c>
      <c r="BR300" t="str">
        <f>HYPERLINK("http://smart.embl-heidelberg.de/smart/do_annotation.pl?DOMAIN=KH&amp;BLAST=DUMMY","1E-005")</f>
        <v>1E-005</v>
      </c>
      <c r="BS300" s="17">
        <f>HYPERLINK("http://exon.niaid.nih.gov/transcriptome/T_rubida/S2/links/cluster/Triru-pep-ext25-50-Sim-CLU1.txt", 1)</f>
        <v>1</v>
      </c>
      <c r="BT300" s="1">
        <f>HYPERLINK("http://exon.niaid.nih.gov/transcriptome/T_rubida/S2/links/cluster/Triru-pep-ext25-50-Sim-CLTL1.txt", 359)</f>
        <v>359</v>
      </c>
      <c r="BU300" s="17">
        <f>HYPERLINK("http://exon.niaid.nih.gov/transcriptome/T_rubida/S2/links/cluster/Triru-pep-ext30-50-Sim-CLU25.txt", 25)</f>
        <v>25</v>
      </c>
      <c r="BV300" s="1">
        <f>HYPERLINK("http://exon.niaid.nih.gov/transcriptome/T_rubida/S2/links/cluster/Triru-pep-ext30-50-Sim-CLTL25.txt", 2)</f>
        <v>2</v>
      </c>
      <c r="BW300" s="17">
        <f>HYPERLINK("http://exon.niaid.nih.gov/transcriptome/T_rubida/S2/links/cluster/Triru-pep-ext35-50-Sim-CLU24.txt", 24)</f>
        <v>24</v>
      </c>
      <c r="BX300" s="1">
        <f>HYPERLINK("http://exon.niaid.nih.gov/transcriptome/T_rubida/S2/links/cluster/Triru-pep-ext35-50-Sim-CLTL24.txt", 2)</f>
        <v>2</v>
      </c>
      <c r="BY300" s="17">
        <f>HYPERLINK("http://exon.niaid.nih.gov/transcriptome/T_rubida/S2/links/cluster/Triru-pep-ext40-50-Sim-CLU22.txt", 22)</f>
        <v>22</v>
      </c>
      <c r="BZ300" s="1">
        <f>HYPERLINK("http://exon.niaid.nih.gov/transcriptome/T_rubida/S2/links/cluster/Triru-pep-ext40-50-Sim-CLTL22.txt", 2)</f>
        <v>2</v>
      </c>
      <c r="CA300" s="17">
        <f>HYPERLINK("http://exon.niaid.nih.gov/transcriptome/T_rubida/S2/links/cluster/Triru-pep-ext45-50-Sim-CLU17.txt", 17)</f>
        <v>17</v>
      </c>
      <c r="CB300" s="1">
        <f>HYPERLINK("http://exon.niaid.nih.gov/transcriptome/T_rubida/S2/links/cluster/Triru-pep-ext45-50-Sim-CLTL17.txt", 2)</f>
        <v>2</v>
      </c>
      <c r="CC300" s="17">
        <f>HYPERLINK("http://exon.niaid.nih.gov/transcriptome/T_rubida/S2/links/cluster/Triru-pep-ext50-50-Sim-CLU17.txt", 17)</f>
        <v>17</v>
      </c>
      <c r="CD300" s="1">
        <f>HYPERLINK("http://exon.niaid.nih.gov/transcriptome/T_rubida/S2/links/cluster/Triru-pep-ext50-50-Sim-CLTL17.txt", 2)</f>
        <v>2</v>
      </c>
      <c r="CE300" s="17">
        <v>158</v>
      </c>
      <c r="CF300" s="1">
        <v>1</v>
      </c>
      <c r="CG300" s="17">
        <v>160</v>
      </c>
      <c r="CH300" s="1">
        <v>1</v>
      </c>
      <c r="CI300" s="17">
        <v>167</v>
      </c>
      <c r="CJ300" s="1">
        <v>1</v>
      </c>
      <c r="CK300" s="17">
        <v>172</v>
      </c>
      <c r="CL300" s="1">
        <v>1</v>
      </c>
      <c r="CM300" s="17">
        <v>178</v>
      </c>
      <c r="CN300" s="1">
        <v>1</v>
      </c>
      <c r="CO300" s="17">
        <v>188</v>
      </c>
      <c r="CP300" s="1">
        <v>1</v>
      </c>
      <c r="CQ300" s="17">
        <v>198</v>
      </c>
      <c r="CR300" s="1">
        <v>1</v>
      </c>
      <c r="CS300" s="17">
        <v>203</v>
      </c>
      <c r="CT300" s="1">
        <v>1</v>
      </c>
      <c r="CU300" s="17">
        <v>214</v>
      </c>
      <c r="CV300" s="1">
        <v>1</v>
      </c>
    </row>
    <row r="301" spans="1:100">
      <c r="A301" t="str">
        <f>HYPERLINK("http://exon.niaid.nih.gov/transcriptome/T_rubida/S2/links/pep/Triru-98-pep.txt","Triru-98")</f>
        <v>Triru-98</v>
      </c>
      <c r="B301">
        <v>90</v>
      </c>
      <c r="C301" s="1" t="s">
        <v>4</v>
      </c>
      <c r="D301" s="1" t="s">
        <v>3</v>
      </c>
      <c r="E301" t="str">
        <f>HYPERLINK("http://exon.niaid.nih.gov/transcriptome/T_rubida/S2/links/cds/Triru-98-cds.txt","Triru-98")</f>
        <v>Triru-98</v>
      </c>
      <c r="F301">
        <v>273</v>
      </c>
      <c r="G301" s="2" t="s">
        <v>1713</v>
      </c>
      <c r="H301" s="1">
        <v>1</v>
      </c>
      <c r="I301" s="3" t="s">
        <v>1266</v>
      </c>
      <c r="J301" s="17" t="str">
        <f>HYPERLINK("http://exon.niaid.nih.gov/transcriptome/T_rubida/S2/links/Sigp/Triru-98-SigP.txt","CYT")</f>
        <v>CYT</v>
      </c>
      <c r="K301" t="s">
        <v>5</v>
      </c>
      <c r="L301" s="1">
        <v>9.4030000000000005</v>
      </c>
      <c r="M301" s="1">
        <v>9.9600000000000009</v>
      </c>
      <c r="P301" s="1">
        <v>0.111</v>
      </c>
      <c r="Q301" s="1">
        <v>5.8999999999999997E-2</v>
      </c>
      <c r="R301" s="1">
        <v>0.88300000000000001</v>
      </c>
      <c r="S301" s="17" t="s">
        <v>1346</v>
      </c>
      <c r="T301">
        <v>2</v>
      </c>
      <c r="U301" t="s">
        <v>1348</v>
      </c>
      <c r="V301" s="17">
        <v>0</v>
      </c>
      <c r="W301" t="s">
        <v>5</v>
      </c>
      <c r="X301" t="s">
        <v>5</v>
      </c>
      <c r="Y301" t="s">
        <v>5</v>
      </c>
      <c r="Z301" t="s">
        <v>5</v>
      </c>
      <c r="AA301" t="s">
        <v>5</v>
      </c>
      <c r="AB301" s="17" t="str">
        <f>HYPERLINK("http://exon.niaid.nih.gov/transcriptome/T_rubida/S2/links/netoglyc/TRIRU-98-netoglyc.txt","5")</f>
        <v>5</v>
      </c>
      <c r="AC301">
        <v>8.9</v>
      </c>
      <c r="AD301">
        <v>6.7</v>
      </c>
      <c r="AE301">
        <v>11.1</v>
      </c>
      <c r="AF301" s="17" t="s">
        <v>5</v>
      </c>
      <c r="AG301" s="2" t="str">
        <f>HYPERLINK("http://exon.niaid.nih.gov/transcriptome/T_rubida/S2/links/NR/Triru-98-NR.txt","Histone H1.3")</f>
        <v>Histone H1.3</v>
      </c>
      <c r="AH301" t="str">
        <f>HYPERLINK("http://www.ncbi.nlm.nih.gov/sutils/blink.cgi?pid=121909","1E-004")</f>
        <v>1E-004</v>
      </c>
      <c r="AI301" t="str">
        <f>HYPERLINK("http://www.ncbi.nlm.nih.gov/protein/121909","gi|121909")</f>
        <v>gi|121909</v>
      </c>
      <c r="AJ301">
        <v>50.1</v>
      </c>
      <c r="AK301">
        <v>131</v>
      </c>
      <c r="AL301">
        <v>213</v>
      </c>
      <c r="AM301">
        <v>41</v>
      </c>
      <c r="AN301">
        <v>62</v>
      </c>
      <c r="AO301" t="s">
        <v>5</v>
      </c>
      <c r="AP301" s="2" t="str">
        <f>HYPERLINK("http://exon.niaid.nih.gov/transcriptome/T_rubida/S2/links/SWISSP/Triru-98-SWISSP.txt","Histone H1.3")</f>
        <v>Histone H1.3</v>
      </c>
      <c r="AQ301" t="str">
        <f>HYPERLINK("http://www.uniprot.org/uniprot/P02251","4E-006")</f>
        <v>4E-006</v>
      </c>
      <c r="AR301" t="s">
        <v>183</v>
      </c>
      <c r="AS301">
        <v>50.1</v>
      </c>
      <c r="AT301">
        <v>131</v>
      </c>
      <c r="AU301">
        <v>213</v>
      </c>
      <c r="AV301">
        <v>41</v>
      </c>
      <c r="AW301">
        <v>62</v>
      </c>
      <c r="AX301">
        <v>54</v>
      </c>
      <c r="AY301">
        <v>9</v>
      </c>
      <c r="AZ301">
        <v>82</v>
      </c>
      <c r="BA301">
        <v>5</v>
      </c>
      <c r="BB301">
        <v>3</v>
      </c>
      <c r="BC301" t="s">
        <v>184</v>
      </c>
      <c r="BD301" s="2" t="s">
        <v>185</v>
      </c>
      <c r="BE301">
        <f>HYPERLINK("http://exon.niaid.nih.gov/transcriptome/T_rubida/S2/links/GO/Triru-98-GO.txt",0.000005)</f>
        <v>5.0000000000000004E-6</v>
      </c>
      <c r="BF301" t="s">
        <v>186</v>
      </c>
      <c r="BG301" t="s">
        <v>153</v>
      </c>
      <c r="BH301" t="s">
        <v>154</v>
      </c>
      <c r="BI301" s="2" t="str">
        <f>HYPERLINK("http://exon.niaid.nih.gov/transcriptome/T_rubida/S2/links/CDD/Triru-98-CDD.txt","PTZ00144")</f>
        <v>PTZ00144</v>
      </c>
      <c r="BJ301" t="str">
        <f>HYPERLINK("http://www.ncbi.nlm.nih.gov/Structure/cdd/cddsrv.cgi?uid=PTZ00144&amp;version=v4.0","0.003")</f>
        <v>0.003</v>
      </c>
      <c r="BK301" t="s">
        <v>187</v>
      </c>
      <c r="BL301" s="2" t="str">
        <f>HYPERLINK("http://exon.niaid.nih.gov/transcriptome/T_rubida/S2/links/KOG/Triru-98-KOG.txt","Origin recognition complex, subunit 2")</f>
        <v>Origin recognition complex, subunit 2</v>
      </c>
      <c r="BM301" t="str">
        <f>HYPERLINK("http://www.ncbi.nlm.nih.gov/COG/grace/shokog.cgi?KOG2928","0.11")</f>
        <v>0.11</v>
      </c>
      <c r="BN301" t="s">
        <v>188</v>
      </c>
      <c r="BO301" s="2" t="str">
        <f>HYPERLINK("http://exon.niaid.nih.gov/transcriptome/T_rubida/S2/links/PFAM/Triru-98-PFAM.txt","Corona_nucleoca")</f>
        <v>Corona_nucleoca</v>
      </c>
      <c r="BP301" t="str">
        <f>HYPERLINK("http://pfam.sanger.ac.uk/family?acc=PF00937","3.1")</f>
        <v>3.1</v>
      </c>
      <c r="BQ301" s="2" t="str">
        <f>HYPERLINK("http://exon.niaid.nih.gov/transcriptome/T_rubida/S2/links/SMART/Triru-98-SMART.txt","ACTIN")</f>
        <v>ACTIN</v>
      </c>
      <c r="BR301" t="str">
        <f>HYPERLINK("http://smart.embl-heidelberg.de/smart/do_annotation.pl?DOMAIN=ACTIN&amp;BLAST=DUMMY","1.0")</f>
        <v>1.0</v>
      </c>
      <c r="BS301" s="17">
        <f>HYPERLINK("http://exon.niaid.nih.gov/transcriptome/T_rubida/S2/links/cluster/Triru-pep-ext25-50-Sim-CLU1.txt", 1)</f>
        <v>1</v>
      </c>
      <c r="BT301" s="1">
        <f>HYPERLINK("http://exon.niaid.nih.gov/transcriptome/T_rubida/S2/links/cluster/Triru-pep-ext25-50-Sim-CLTL1.txt", 359)</f>
        <v>359</v>
      </c>
      <c r="BU301" s="17">
        <f>HYPERLINK("http://exon.niaid.nih.gov/transcriptome/T_rubida/S2/links/cluster/Triru-pep-ext30-50-Sim-CLU1.txt", 1)</f>
        <v>1</v>
      </c>
      <c r="BV301" s="1">
        <f>HYPERLINK("http://exon.niaid.nih.gov/transcriptome/T_rubida/S2/links/cluster/Triru-pep-ext30-50-Sim-CLTL1.txt", 225)</f>
        <v>225</v>
      </c>
      <c r="BW301" s="17">
        <f>HYPERLINK("http://exon.niaid.nih.gov/transcriptome/T_rubida/S2/links/cluster/Triru-pep-ext35-50-Sim-CLU13.txt", 13)</f>
        <v>13</v>
      </c>
      <c r="BX301" s="1">
        <f>HYPERLINK("http://exon.niaid.nih.gov/transcriptome/T_rubida/S2/links/cluster/Triru-pep-ext35-50-Sim-CLTL13.txt", 2)</f>
        <v>2</v>
      </c>
      <c r="BY301" s="17">
        <f>HYPERLINK("http://exon.niaid.nih.gov/transcriptome/T_rubida/S2/links/cluster/Triru-pep-ext40-50-Sim-CLU11.txt", 11)</f>
        <v>11</v>
      </c>
      <c r="BZ301" s="1">
        <f>HYPERLINK("http://exon.niaid.nih.gov/transcriptome/T_rubida/S2/links/cluster/Triru-pep-ext40-50-Sim-CLTL11.txt", 2)</f>
        <v>2</v>
      </c>
      <c r="CA301" s="17">
        <f>HYPERLINK("http://exon.niaid.nih.gov/transcriptome/T_rubida/S2/links/cluster/Triru-pep-ext45-50-Sim-CLU10.txt", 10)</f>
        <v>10</v>
      </c>
      <c r="CB301" s="1">
        <f>HYPERLINK("http://exon.niaid.nih.gov/transcriptome/T_rubida/S2/links/cluster/Triru-pep-ext45-50-Sim-CLTL10.txt", 2)</f>
        <v>2</v>
      </c>
      <c r="CC301" s="17">
        <f>HYPERLINK("http://exon.niaid.nih.gov/transcriptome/T_rubida/S2/links/cluster/Triru-pep-ext50-50-Sim-CLU10.txt", 10)</f>
        <v>10</v>
      </c>
      <c r="CD301" s="1">
        <f>HYPERLINK("http://exon.niaid.nih.gov/transcriptome/T_rubida/S2/links/cluster/Triru-pep-ext50-50-Sim-CLTL10.txt", 2)</f>
        <v>2</v>
      </c>
      <c r="CE301" s="17">
        <f>HYPERLINK("http://exon.niaid.nih.gov/transcriptome/T_rubida/S2/links/cluster/Triru-pep-ext55-50-Sim-CLU10.txt", 10)</f>
        <v>10</v>
      </c>
      <c r="CF301" s="1">
        <f>HYPERLINK("http://exon.niaid.nih.gov/transcriptome/T_rubida/S2/links/cluster/Triru-pep-ext55-50-Sim-CLTL10.txt", 2)</f>
        <v>2</v>
      </c>
      <c r="CG301" s="17">
        <f>HYPERLINK("http://exon.niaid.nih.gov/transcriptome/T_rubida/S2/links/cluster/Triru-pep-ext60-50-Sim-CLU11.txt", 11)</f>
        <v>11</v>
      </c>
      <c r="CH301" s="1">
        <f>HYPERLINK("http://exon.niaid.nih.gov/transcriptome/T_rubida/S2/links/cluster/Triru-pep-ext60-50-Sim-CLTL11.txt", 2)</f>
        <v>2</v>
      </c>
      <c r="CI301" s="17">
        <v>50</v>
      </c>
      <c r="CJ301" s="1">
        <v>1</v>
      </c>
      <c r="CK301" s="17">
        <v>54</v>
      </c>
      <c r="CL301" s="1">
        <v>1</v>
      </c>
      <c r="CM301" s="17">
        <v>58</v>
      </c>
      <c r="CN301" s="1">
        <v>1</v>
      </c>
      <c r="CO301" s="17">
        <v>66</v>
      </c>
      <c r="CP301" s="1">
        <v>1</v>
      </c>
      <c r="CQ301" s="17">
        <v>76</v>
      </c>
      <c r="CR301" s="1">
        <v>1</v>
      </c>
      <c r="CS301" s="17">
        <v>81</v>
      </c>
      <c r="CT301" s="1">
        <v>1</v>
      </c>
      <c r="CU301" s="17">
        <v>92</v>
      </c>
      <c r="CV301" s="1">
        <v>1</v>
      </c>
    </row>
    <row r="302" spans="1:100">
      <c r="A302" t="str">
        <f>HYPERLINK("http://exon.niaid.nih.gov/transcriptome/T_rubida/S2/links/pep/Triru-132-pep.txt","Triru-132")</f>
        <v>Triru-132</v>
      </c>
      <c r="B302">
        <v>38</v>
      </c>
      <c r="C302" s="1" t="s">
        <v>22</v>
      </c>
      <c r="D302" s="1" t="s">
        <v>3</v>
      </c>
      <c r="E302" t="str">
        <f>HYPERLINK("http://exon.niaid.nih.gov/transcriptome/T_rubida/S2/links/cds/Triru-132-cds.txt","Triru-132")</f>
        <v>Triru-132</v>
      </c>
      <c r="F302">
        <v>117</v>
      </c>
      <c r="G302" s="2" t="s">
        <v>1745</v>
      </c>
      <c r="H302" s="1">
        <v>2</v>
      </c>
      <c r="I302" s="3" t="s">
        <v>1266</v>
      </c>
      <c r="J302" s="17" t="str">
        <f>HYPERLINK("http://exon.niaid.nih.gov/transcriptome/T_rubida/S2/links/Sigp/Triru-132-SigP.txt","CYT")</f>
        <v>CYT</v>
      </c>
      <c r="K302" t="s">
        <v>5</v>
      </c>
      <c r="L302" s="1">
        <v>4.3970000000000002</v>
      </c>
      <c r="M302" s="1">
        <v>10.119999999999999</v>
      </c>
      <c r="P302" s="1">
        <v>8.1000000000000003E-2</v>
      </c>
      <c r="Q302" s="1">
        <v>0.05</v>
      </c>
      <c r="R302" s="1">
        <v>0.94299999999999995</v>
      </c>
      <c r="S302" s="17" t="s">
        <v>1346</v>
      </c>
      <c r="T302">
        <v>1</v>
      </c>
      <c r="U302" t="s">
        <v>1382</v>
      </c>
      <c r="V302" s="17">
        <v>0</v>
      </c>
      <c r="W302" t="s">
        <v>5</v>
      </c>
      <c r="X302" t="s">
        <v>5</v>
      </c>
      <c r="Y302" t="s">
        <v>5</v>
      </c>
      <c r="Z302" t="s">
        <v>5</v>
      </c>
      <c r="AA302" t="s">
        <v>5</v>
      </c>
      <c r="AB302" s="17" t="str">
        <f>HYPERLINK("http://exon.niaid.nih.gov/transcriptome/T_rubida/S2/links/netoglyc/TRIRU-132-netoglyc.txt","2")</f>
        <v>2</v>
      </c>
      <c r="AC302">
        <v>15.8</v>
      </c>
      <c r="AD302">
        <v>7.9</v>
      </c>
      <c r="AE302">
        <v>5.3</v>
      </c>
      <c r="AF302" s="17" t="s">
        <v>5</v>
      </c>
      <c r="AG302" s="2" t="str">
        <f>HYPERLINK("http://exon.niaid.nih.gov/transcriptome/T_rubida/S2/links/NR/Triru-132-NR.txt","hypothetical protein TcasGA2_TC001176")</f>
        <v>hypothetical protein TcasGA2_TC001176</v>
      </c>
      <c r="AH302" t="str">
        <f>HYPERLINK("http://www.ncbi.nlm.nih.gov/sutils/blink.cgi?pid=270002201","0.003")</f>
        <v>0.003</v>
      </c>
      <c r="AI302" t="str">
        <f>HYPERLINK("http://www.ncbi.nlm.nih.gov/protein/270002201","gi|270002201")</f>
        <v>gi|270002201</v>
      </c>
      <c r="AJ302">
        <v>45.4</v>
      </c>
      <c r="AK302">
        <v>34</v>
      </c>
      <c r="AL302">
        <v>66</v>
      </c>
      <c r="AM302">
        <v>57</v>
      </c>
      <c r="AN302">
        <v>53</v>
      </c>
      <c r="AO302" t="s">
        <v>671</v>
      </c>
      <c r="AP302" s="2" t="str">
        <f>HYPERLINK("http://exon.niaid.nih.gov/transcriptome/T_rubida/S2/links/SWISSP/Triru-132-SWISSP.txt","Transcriptional regulatory protein EDS1")</f>
        <v>Transcriptional regulatory protein EDS1</v>
      </c>
      <c r="AQ302" t="str">
        <f>HYPERLINK("http://www.uniprot.org/uniprot/P38073","21")</f>
        <v>21</v>
      </c>
      <c r="AR302" t="s">
        <v>710</v>
      </c>
      <c r="AS302">
        <v>27.7</v>
      </c>
      <c r="AT302">
        <v>24</v>
      </c>
      <c r="AU302">
        <v>919</v>
      </c>
      <c r="AV302">
        <v>44</v>
      </c>
      <c r="AW302">
        <v>3</v>
      </c>
      <c r="AX302">
        <v>14</v>
      </c>
      <c r="AY302">
        <v>2</v>
      </c>
      <c r="AZ302">
        <v>306</v>
      </c>
      <c r="BA302">
        <v>9</v>
      </c>
      <c r="BB302">
        <v>1</v>
      </c>
      <c r="BC302" t="s">
        <v>344</v>
      </c>
      <c r="BD302" s="2" t="s">
        <v>5</v>
      </c>
      <c r="BE302" t="s">
        <v>5</v>
      </c>
      <c r="BF302" t="s">
        <v>5</v>
      </c>
      <c r="BG302" t="s">
        <v>5</v>
      </c>
      <c r="BH302" t="s">
        <v>5</v>
      </c>
      <c r="BI302" s="2" t="str">
        <f>HYPERLINK("http://exon.niaid.nih.gov/transcriptome/T_rubida/S2/links/CDD/Triru-132-CDD.txt","2A0127")</f>
        <v>2A0127</v>
      </c>
      <c r="BJ302" t="str">
        <f>HYPERLINK("http://www.ncbi.nlm.nih.gov/Structure/cdd/cddsrv.cgi?uid=TIGR00902&amp;version=v4.0","8.7")</f>
        <v>8.7</v>
      </c>
      <c r="BK302" t="s">
        <v>711</v>
      </c>
      <c r="BL302" s="2" t="str">
        <f>HYPERLINK("http://exon.niaid.nih.gov/transcriptome/T_rubida/S2/links/KOG/Triru-132-KOG.txt","Epidermal growth factor receptor EGFR and related tyrosine kinases")</f>
        <v>Epidermal growth factor receptor EGFR and related tyrosine kinases</v>
      </c>
      <c r="BM302" t="str">
        <f>HYPERLINK("http://www.ncbi.nlm.nih.gov/COG/grace/shokog.cgi?KOG1025","4.1")</f>
        <v>4.1</v>
      </c>
      <c r="BN302" t="s">
        <v>179</v>
      </c>
      <c r="BO302" s="2" t="str">
        <f>HYPERLINK("http://exon.niaid.nih.gov/transcriptome/T_rubida/S2/links/PFAM/Triru-132-PFAM.txt","MurB_C")</f>
        <v>MurB_C</v>
      </c>
      <c r="BP302" t="str">
        <f>HYPERLINK("http://pfam.sanger.ac.uk/family?acc=PF02873","7.2")</f>
        <v>7.2</v>
      </c>
      <c r="BQ302" s="2" t="str">
        <f>HYPERLINK("http://exon.niaid.nih.gov/transcriptome/T_rubida/S2/links/SMART/Triru-132-SMART.txt","OLF")</f>
        <v>OLF</v>
      </c>
      <c r="BR302" t="str">
        <f>HYPERLINK("http://smart.embl-heidelberg.de/smart/do_annotation.pl?DOMAIN=OLF&amp;BLAST=DUMMY","1.7")</f>
        <v>1.7</v>
      </c>
      <c r="BS302" s="17">
        <f>HYPERLINK("http://exon.niaid.nih.gov/transcriptome/T_rubida/S2/links/cluster/Triru-pep-ext25-50-Sim-CLU1.txt", 1)</f>
        <v>1</v>
      </c>
      <c r="BT302" s="1">
        <f>HYPERLINK("http://exon.niaid.nih.gov/transcriptome/T_rubida/S2/links/cluster/Triru-pep-ext25-50-Sim-CLTL1.txt", 359)</f>
        <v>359</v>
      </c>
      <c r="BU302" s="17">
        <v>77</v>
      </c>
      <c r="BV302" s="1">
        <v>1</v>
      </c>
      <c r="BW302" s="17">
        <v>83</v>
      </c>
      <c r="BX302" s="1">
        <v>1</v>
      </c>
      <c r="BY302" s="17">
        <v>83</v>
      </c>
      <c r="BZ302" s="1">
        <v>1</v>
      </c>
      <c r="CA302" s="17">
        <v>81</v>
      </c>
      <c r="CB302" s="1">
        <v>1</v>
      </c>
      <c r="CC302" s="17">
        <v>80</v>
      </c>
      <c r="CD302" s="1">
        <v>1</v>
      </c>
      <c r="CE302" s="17">
        <v>74</v>
      </c>
      <c r="CF302" s="1">
        <v>1</v>
      </c>
      <c r="CG302" s="17">
        <v>74</v>
      </c>
      <c r="CH302" s="1">
        <v>1</v>
      </c>
      <c r="CI302" s="17">
        <v>80</v>
      </c>
      <c r="CJ302" s="1">
        <v>1</v>
      </c>
      <c r="CK302" s="17">
        <v>84</v>
      </c>
      <c r="CL302" s="1">
        <v>1</v>
      </c>
      <c r="CM302" s="17">
        <v>88</v>
      </c>
      <c r="CN302" s="1">
        <v>1</v>
      </c>
      <c r="CO302" s="17">
        <v>96</v>
      </c>
      <c r="CP302" s="1">
        <v>1</v>
      </c>
      <c r="CQ302" s="17">
        <v>106</v>
      </c>
      <c r="CR302" s="1">
        <v>1</v>
      </c>
      <c r="CS302" s="17">
        <v>111</v>
      </c>
      <c r="CT302" s="1">
        <v>1</v>
      </c>
      <c r="CU302" s="17">
        <v>122</v>
      </c>
      <c r="CV302" s="1">
        <v>1</v>
      </c>
    </row>
    <row r="303" spans="1:100">
      <c r="A303" t="str">
        <f>HYPERLINK("http://exon.niaid.nih.gov/transcriptome/T_rubida/S2/links/pep/Triru-392-pep.txt","Triru-392")</f>
        <v>Triru-392</v>
      </c>
      <c r="B303">
        <v>53</v>
      </c>
      <c r="C303" s="1" t="s">
        <v>17</v>
      </c>
      <c r="D303" s="1" t="s">
        <v>3</v>
      </c>
      <c r="E303" t="str">
        <f>HYPERLINK("http://exon.niaid.nih.gov/transcriptome/T_rubida/S2/links/cds/Triru-392-cds.txt","Triru-392")</f>
        <v>Triru-392</v>
      </c>
      <c r="F303">
        <v>162</v>
      </c>
      <c r="G303" s="2" t="s">
        <v>1746</v>
      </c>
      <c r="H303" s="1">
        <v>1</v>
      </c>
      <c r="I303" s="3" t="s">
        <v>1266</v>
      </c>
      <c r="J303" s="17" t="str">
        <f>HYPERLINK("http://exon.niaid.nih.gov/transcriptome/T_rubida/S2/links/Sigp/Triru-392-SigP.txt","CYT")</f>
        <v>CYT</v>
      </c>
      <c r="K303" t="s">
        <v>5</v>
      </c>
      <c r="L303" s="1">
        <v>5.7519999999999998</v>
      </c>
      <c r="M303" s="1">
        <v>9.52</v>
      </c>
      <c r="P303" s="1">
        <v>0.65300000000000002</v>
      </c>
      <c r="Q303" s="1">
        <v>8.3000000000000004E-2</v>
      </c>
      <c r="R303" s="1">
        <v>0.23899999999999999</v>
      </c>
      <c r="S303" s="17" t="s">
        <v>9</v>
      </c>
      <c r="T303">
        <v>3</v>
      </c>
      <c r="U303" t="s">
        <v>1347</v>
      </c>
      <c r="V303" s="17">
        <v>0</v>
      </c>
      <c r="W303" t="s">
        <v>5</v>
      </c>
      <c r="X303" t="s">
        <v>5</v>
      </c>
      <c r="Y303" t="s">
        <v>5</v>
      </c>
      <c r="Z303" t="s">
        <v>5</v>
      </c>
      <c r="AA303" t="s">
        <v>5</v>
      </c>
      <c r="AB303" s="17" t="str">
        <f>HYPERLINK("http://exon.niaid.nih.gov/transcriptome/T_rubida/S2/links/netoglyc/TRIRU-392-netoglyc.txt","0")</f>
        <v>0</v>
      </c>
      <c r="AC303">
        <v>11.3</v>
      </c>
      <c r="AD303">
        <v>11.3</v>
      </c>
      <c r="AE303">
        <v>1.9</v>
      </c>
      <c r="AF303" s="17" t="s">
        <v>5</v>
      </c>
      <c r="AG303" s="2" t="str">
        <f>HYPERLINK("http://exon.niaid.nih.gov/transcriptome/T_rubida/S2/links/NR/Triru-392-NR.txt","similar to galactose kinase (ISS)")</f>
        <v>similar to galactose kinase (ISS)</v>
      </c>
      <c r="AH303" t="str">
        <f>HYPERLINK("http://www.ncbi.nlm.nih.gov/sutils/blink.cgi?pid=156547281","0.25")</f>
        <v>0.25</v>
      </c>
      <c r="AI303" t="str">
        <f>HYPERLINK("http://www.ncbi.nlm.nih.gov/protein/156547281","gi|156547281")</f>
        <v>gi|156547281</v>
      </c>
      <c r="AJ303">
        <v>38.9</v>
      </c>
      <c r="AK303">
        <v>50</v>
      </c>
      <c r="AL303">
        <v>96</v>
      </c>
      <c r="AM303">
        <v>43</v>
      </c>
      <c r="AN303">
        <v>53</v>
      </c>
      <c r="AO303" t="s">
        <v>288</v>
      </c>
      <c r="AP303" s="2" t="str">
        <f>HYPERLINK("http://exon.niaid.nih.gov/transcriptome/T_rubida/S2/links/SWISSP/Triru-392-SWISSP.txt","Procollagen-lysine,2-oxoglutarate 5-dioxygenase 3")</f>
        <v>Procollagen-lysine,2-oxoglutarate 5-dioxygenase 3</v>
      </c>
      <c r="AQ303" t="str">
        <f>HYPERLINK("http://www.uniprot.org/uniprot/Q9R0E1","0.66")</f>
        <v>0.66</v>
      </c>
      <c r="AR303" t="s">
        <v>1055</v>
      </c>
      <c r="AS303">
        <v>32.700000000000003</v>
      </c>
      <c r="AT303">
        <v>25</v>
      </c>
      <c r="AU303">
        <v>741</v>
      </c>
      <c r="AV303">
        <v>59</v>
      </c>
      <c r="AW303">
        <v>4</v>
      </c>
      <c r="AX303">
        <v>11</v>
      </c>
      <c r="AY303">
        <v>1</v>
      </c>
      <c r="AZ303">
        <v>208</v>
      </c>
      <c r="BA303">
        <v>12</v>
      </c>
      <c r="BB303">
        <v>1</v>
      </c>
      <c r="BC303" t="s">
        <v>75</v>
      </c>
      <c r="BD303" s="2" t="s">
        <v>5</v>
      </c>
      <c r="BE303" t="s">
        <v>5</v>
      </c>
      <c r="BF303" t="s">
        <v>5</v>
      </c>
      <c r="BG303" t="s">
        <v>5</v>
      </c>
      <c r="BH303" t="s">
        <v>5</v>
      </c>
      <c r="BI303" s="2" t="str">
        <f>HYPERLINK("http://exon.niaid.nih.gov/transcriptome/T_rubida/S2/links/CDD/Triru-392-CDD.txt","PLN02521")</f>
        <v>PLN02521</v>
      </c>
      <c r="BJ303" t="str">
        <f>HYPERLINK("http://www.ncbi.nlm.nih.gov/Structure/cdd/cddsrv.cgi?uid=PLN02521&amp;version=v4.0","0.035")</f>
        <v>0.035</v>
      </c>
      <c r="BK303" t="s">
        <v>1056</v>
      </c>
      <c r="BL303" s="2" t="str">
        <f>HYPERLINK("http://exon.niaid.nih.gov/transcriptome/T_rubida/S2/links/KOG/Triru-392-KOG.txt","Galactokinase")</f>
        <v>Galactokinase</v>
      </c>
      <c r="BM303" t="str">
        <f>HYPERLINK("http://www.ncbi.nlm.nih.gov/COG/grace/shokog.cgi?KOG0631","6.6")</f>
        <v>6.6</v>
      </c>
      <c r="BN303" t="s">
        <v>383</v>
      </c>
      <c r="BO303" s="2" t="str">
        <f>HYPERLINK("http://exon.niaid.nih.gov/transcriptome/T_rubida/S2/links/PFAM/Triru-392-PFAM.txt","RNA_pol_Rpb1_7")</f>
        <v>RNA_pol_Rpb1_7</v>
      </c>
      <c r="BP303" t="str">
        <f>HYPERLINK("http://pfam.sanger.ac.uk/family?acc=PF04990","1.4")</f>
        <v>1.4</v>
      </c>
      <c r="BQ303" s="2" t="str">
        <f>HYPERLINK("http://exon.niaid.nih.gov/transcriptome/T_rubida/S2/links/SMART/Triru-392-SMART.txt","CLb")</f>
        <v>CLb</v>
      </c>
      <c r="BR303" t="str">
        <f>HYPERLINK("http://smart.embl-heidelberg.de/smart/do_annotation.pl?DOMAIN=CLb&amp;BLAST=DUMMY","2.3")</f>
        <v>2.3</v>
      </c>
      <c r="BS303" s="17">
        <f>HYPERLINK("http://exon.niaid.nih.gov/transcriptome/T_rubida/S2/links/cluster/Triru-pep-ext25-50-Sim-CLU1.txt", 1)</f>
        <v>1</v>
      </c>
      <c r="BT303" s="1">
        <f>HYPERLINK("http://exon.niaid.nih.gov/transcriptome/T_rubida/S2/links/cluster/Triru-pep-ext25-50-Sim-CLTL1.txt", 359)</f>
        <v>359</v>
      </c>
      <c r="BU303" s="17">
        <v>182</v>
      </c>
      <c r="BV303" s="1">
        <v>1</v>
      </c>
      <c r="BW303" s="17">
        <v>225</v>
      </c>
      <c r="BX303" s="1">
        <v>1</v>
      </c>
      <c r="BY303" s="17">
        <v>241</v>
      </c>
      <c r="BZ303" s="1">
        <v>1</v>
      </c>
      <c r="CA303" s="17">
        <v>248</v>
      </c>
      <c r="CB303" s="1">
        <v>1</v>
      </c>
      <c r="CC303" s="17">
        <v>253</v>
      </c>
      <c r="CD303" s="1">
        <v>1</v>
      </c>
      <c r="CE303" s="17">
        <v>260</v>
      </c>
      <c r="CF303" s="1">
        <v>1</v>
      </c>
      <c r="CG303" s="17">
        <v>263</v>
      </c>
      <c r="CH303" s="1">
        <v>1</v>
      </c>
      <c r="CI303" s="17">
        <v>273</v>
      </c>
      <c r="CJ303" s="1">
        <v>1</v>
      </c>
      <c r="CK303" s="17">
        <v>278</v>
      </c>
      <c r="CL303" s="1">
        <v>1</v>
      </c>
      <c r="CM303" s="17">
        <v>286</v>
      </c>
      <c r="CN303" s="1">
        <v>1</v>
      </c>
      <c r="CO303" s="17">
        <v>298</v>
      </c>
      <c r="CP303" s="1">
        <v>1</v>
      </c>
      <c r="CQ303" s="17">
        <v>308</v>
      </c>
      <c r="CR303" s="1">
        <v>1</v>
      </c>
      <c r="CS303" s="17">
        <v>320</v>
      </c>
      <c r="CT303" s="1">
        <v>1</v>
      </c>
      <c r="CU303" s="17">
        <v>331</v>
      </c>
      <c r="CV303" s="1">
        <v>1</v>
      </c>
    </row>
    <row r="304" spans="1:100">
      <c r="A304" t="str">
        <f>HYPERLINK("http://exon.niaid.nih.gov/transcriptome/T_rubida/S2/links/pep/Triru-628-pep.txt","Triru-628")</f>
        <v>Triru-628</v>
      </c>
      <c r="B304">
        <v>58</v>
      </c>
      <c r="C304" s="1" t="s">
        <v>6</v>
      </c>
      <c r="D304" s="1" t="s">
        <v>3</v>
      </c>
      <c r="E304" t="str">
        <f>HYPERLINK("http://exon.niaid.nih.gov/transcriptome/T_rubida/S2/links/cds/Triru-628-cds.txt","Triru-628")</f>
        <v>Triru-628</v>
      </c>
      <c r="F304">
        <v>177</v>
      </c>
      <c r="G304" s="2" t="s">
        <v>1747</v>
      </c>
      <c r="H304" s="1">
        <v>1</v>
      </c>
      <c r="I304" s="3" t="s">
        <v>1266</v>
      </c>
      <c r="J304" s="17" t="str">
        <f>HYPERLINK("http://exon.niaid.nih.gov/transcriptome/T_rubida/S2/links/Sigp/Triru-628-SigP.txt","CYT")</f>
        <v>CYT</v>
      </c>
      <c r="K304" t="s">
        <v>5</v>
      </c>
      <c r="L304" s="1">
        <v>6.6059999999999999</v>
      </c>
      <c r="M304" s="1">
        <v>8.66</v>
      </c>
      <c r="P304" s="1">
        <v>0.60299999999999998</v>
      </c>
      <c r="Q304" s="1">
        <v>2.1999999999999999E-2</v>
      </c>
      <c r="R304" s="1">
        <v>0.58199999999999996</v>
      </c>
      <c r="S304" s="17" t="s">
        <v>9</v>
      </c>
      <c r="T304">
        <v>5</v>
      </c>
      <c r="U304" t="s">
        <v>1348</v>
      </c>
      <c r="V304" s="17">
        <v>0</v>
      </c>
      <c r="W304" t="s">
        <v>5</v>
      </c>
      <c r="X304" t="s">
        <v>5</v>
      </c>
      <c r="Y304" t="s">
        <v>5</v>
      </c>
      <c r="Z304" t="s">
        <v>5</v>
      </c>
      <c r="AA304" t="s">
        <v>5</v>
      </c>
      <c r="AB304" s="17" t="str">
        <f>HYPERLINK("http://exon.niaid.nih.gov/transcriptome/T_rubida/S2/links/netoglyc/TRIRU-628-netoglyc.txt","0")</f>
        <v>0</v>
      </c>
      <c r="AC304">
        <v>15.5</v>
      </c>
      <c r="AD304">
        <v>6.9</v>
      </c>
      <c r="AE304">
        <v>5.2</v>
      </c>
      <c r="AF304" s="17" t="s">
        <v>5</v>
      </c>
      <c r="AG304" s="2" t="str">
        <f>HYPERLINK("http://exon.niaid.nih.gov/transcriptome/T_rubida/S2/links/NR/Triru-628-NR.txt","hypothetical protein RBTH_04756")</f>
        <v>hypothetical protein RBTH_04756</v>
      </c>
      <c r="AH304" t="str">
        <f>HYPERLINK("http://www.ncbi.nlm.nih.gov/sutils/blink.cgi?pid=75760999","39")</f>
        <v>39</v>
      </c>
      <c r="AI304" t="str">
        <f>HYPERLINK("http://www.ncbi.nlm.nih.gov/protein/75760999","gi|75760999")</f>
        <v>gi|75760999</v>
      </c>
      <c r="AJ304">
        <v>31.6</v>
      </c>
      <c r="AK304">
        <v>41</v>
      </c>
      <c r="AL304">
        <v>82</v>
      </c>
      <c r="AM304">
        <v>28</v>
      </c>
      <c r="AN304">
        <v>51</v>
      </c>
      <c r="AO304" t="s">
        <v>475</v>
      </c>
      <c r="AP304" s="2" t="str">
        <f>HYPERLINK("http://exon.niaid.nih.gov/transcriptome/T_rubida/S2/links/SWISSP/Triru-628-SWISSP.txt","Splicing factor MUD2")</f>
        <v>Splicing factor MUD2</v>
      </c>
      <c r="AQ304" t="str">
        <f>HYPERLINK("http://www.uniprot.org/uniprot/P36084","16")</f>
        <v>16</v>
      </c>
      <c r="AR304" t="s">
        <v>476</v>
      </c>
      <c r="AS304">
        <v>28.1</v>
      </c>
      <c r="AT304">
        <v>37</v>
      </c>
      <c r="AU304">
        <v>527</v>
      </c>
      <c r="AV304">
        <v>42</v>
      </c>
      <c r="AW304">
        <v>7</v>
      </c>
      <c r="AX304">
        <v>22</v>
      </c>
      <c r="AY304">
        <v>1</v>
      </c>
      <c r="AZ304">
        <v>254</v>
      </c>
      <c r="BA304">
        <v>3</v>
      </c>
      <c r="BB304">
        <v>1</v>
      </c>
      <c r="BC304" t="s">
        <v>344</v>
      </c>
      <c r="BD304" s="2" t="s">
        <v>5</v>
      </c>
      <c r="BE304" t="s">
        <v>5</v>
      </c>
      <c r="BF304" t="s">
        <v>5</v>
      </c>
      <c r="BG304" t="s">
        <v>5</v>
      </c>
      <c r="BH304" t="s">
        <v>5</v>
      </c>
      <c r="BI304" s="2" t="str">
        <f>HYPERLINK("http://exon.niaid.nih.gov/transcriptome/T_rubida/S2/links/CDD/Triru-628-CDD.txt","Radical_SAM_N")</f>
        <v>Radical_SAM_N</v>
      </c>
      <c r="BJ304" t="str">
        <f>HYPERLINK("http://www.ncbi.nlm.nih.gov/Structure/cdd/cddsrv.cgi?uid=pfam08497&amp;version=v4.0","0.78")</f>
        <v>0.78</v>
      </c>
      <c r="BK304" t="s">
        <v>477</v>
      </c>
      <c r="BL304" s="2" t="str">
        <f>HYPERLINK("http://exon.niaid.nih.gov/transcriptome/T_rubida/S2/links/KOG/Triru-628-KOG.txt","Predicted cleavage and polyadenylation specificity factor (CPSF subunit)")</f>
        <v>Predicted cleavage and polyadenylation specificity factor (CPSF subunit)</v>
      </c>
      <c r="BM304" t="str">
        <f>HYPERLINK("http://www.ncbi.nlm.nih.gov/COG/grace/shokog.cgi?KOG1136","0.12")</f>
        <v>0.12</v>
      </c>
      <c r="BN304" t="s">
        <v>206</v>
      </c>
      <c r="BO304" s="2" t="str">
        <f>HYPERLINK("http://exon.niaid.nih.gov/transcriptome/T_rubida/S2/links/PFAM/Triru-628-PFAM.txt","Radical_SAM_N")</f>
        <v>Radical_SAM_N</v>
      </c>
      <c r="BP304" t="str">
        <f>HYPERLINK("http://pfam.sanger.ac.uk/family?acc=PF08497","0.17")</f>
        <v>0.17</v>
      </c>
      <c r="BQ304" s="2" t="str">
        <f>HYPERLINK("http://exon.niaid.nih.gov/transcriptome/T_rubida/S2/links/SMART/Triru-628-SMART.txt","Adenylsucc_synt")</f>
        <v>Adenylsucc_synt</v>
      </c>
      <c r="BR304" t="str">
        <f>HYPERLINK("http://smart.embl-heidelberg.de/smart/do_annotation.pl?DOMAIN=Adenylsucc_synt&amp;BLAST=DUMMY","0.53")</f>
        <v>0.53</v>
      </c>
      <c r="BS304" s="17">
        <f>HYPERLINK("http://exon.niaid.nih.gov/transcriptome/T_rubida/S2/links/cluster/Triru-pep-ext25-50-Sim-CLU1.txt", 1)</f>
        <v>1</v>
      </c>
      <c r="BT304" s="1">
        <f>HYPERLINK("http://exon.niaid.nih.gov/transcriptome/T_rubida/S2/links/cluster/Triru-pep-ext25-50-Sim-CLTL1.txt", 359)</f>
        <v>359</v>
      </c>
      <c r="BU304" s="17">
        <v>283</v>
      </c>
      <c r="BV304" s="1">
        <v>1</v>
      </c>
      <c r="BW304" s="17">
        <v>366</v>
      </c>
      <c r="BX304" s="1">
        <v>1</v>
      </c>
      <c r="BY304" s="17">
        <v>402</v>
      </c>
      <c r="BZ304" s="1">
        <v>1</v>
      </c>
      <c r="CA304" s="17">
        <v>418</v>
      </c>
      <c r="CB304" s="1">
        <v>1</v>
      </c>
      <c r="CC304" s="17">
        <v>433</v>
      </c>
      <c r="CD304" s="1">
        <v>1</v>
      </c>
      <c r="CE304" s="17">
        <v>449</v>
      </c>
      <c r="CF304" s="1">
        <v>1</v>
      </c>
      <c r="CG304" s="17">
        <v>456</v>
      </c>
      <c r="CH304" s="1">
        <v>1</v>
      </c>
      <c r="CI304" s="17">
        <v>470</v>
      </c>
      <c r="CJ304" s="1">
        <v>1</v>
      </c>
      <c r="CK304" s="17">
        <v>476</v>
      </c>
      <c r="CL304" s="1">
        <v>1</v>
      </c>
      <c r="CM304" s="17">
        <v>488</v>
      </c>
      <c r="CN304" s="1">
        <v>1</v>
      </c>
      <c r="CO304" s="17">
        <v>500</v>
      </c>
      <c r="CP304" s="1">
        <v>1</v>
      </c>
      <c r="CQ304" s="17">
        <v>510</v>
      </c>
      <c r="CR304" s="1">
        <v>1</v>
      </c>
      <c r="CS304" s="17">
        <v>523</v>
      </c>
      <c r="CT304" s="1">
        <v>1</v>
      </c>
      <c r="CU304" s="17">
        <v>536</v>
      </c>
      <c r="CV304" s="1">
        <v>1</v>
      </c>
    </row>
    <row r="305" spans="1:100">
      <c r="A305" t="str">
        <f>HYPERLINK("http://exon.niaid.nih.gov/transcriptome/T_rubida/S2/links/pep/Triru-596-pep.txt","Triru-596")</f>
        <v>Triru-596</v>
      </c>
      <c r="B305">
        <v>29</v>
      </c>
      <c r="C305" s="1" t="s">
        <v>10</v>
      </c>
      <c r="D305" s="1" t="s">
        <v>3</v>
      </c>
      <c r="E305" t="str">
        <f>HYPERLINK("http://exon.niaid.nih.gov/transcriptome/T_rubida/S2/links/cds/Triru-596-cds.txt","Triru-596")</f>
        <v>Triru-596</v>
      </c>
      <c r="F305">
        <v>90</v>
      </c>
      <c r="G305" s="2" t="s">
        <v>1748</v>
      </c>
      <c r="H305" s="1">
        <v>1</v>
      </c>
      <c r="I305" s="3" t="s">
        <v>1266</v>
      </c>
      <c r="J305" s="17" t="str">
        <f>HYPERLINK("http://exon.niaid.nih.gov/transcriptome/T_rubida/S2/links/Sigp/Triru-596-SigP.txt","CYT")</f>
        <v>CYT</v>
      </c>
      <c r="K305" t="s">
        <v>5</v>
      </c>
      <c r="L305" s="1">
        <v>2.9409999999999998</v>
      </c>
      <c r="M305" s="1">
        <v>8.83</v>
      </c>
      <c r="P305" s="1">
        <v>9.1999999999999998E-2</v>
      </c>
      <c r="Q305" s="1">
        <v>3.7999999999999999E-2</v>
      </c>
      <c r="R305" s="1">
        <v>0.93899999999999995</v>
      </c>
      <c r="S305" s="17" t="s">
        <v>1346</v>
      </c>
      <c r="T305">
        <v>1</v>
      </c>
      <c r="U305" t="s">
        <v>1348</v>
      </c>
      <c r="V305" s="17">
        <v>0</v>
      </c>
      <c r="W305" t="s">
        <v>5</v>
      </c>
      <c r="X305" t="s">
        <v>5</v>
      </c>
      <c r="Y305" t="s">
        <v>5</v>
      </c>
      <c r="Z305" t="s">
        <v>5</v>
      </c>
      <c r="AA305" t="s">
        <v>5</v>
      </c>
      <c r="AB305" s="17" t="str">
        <f>HYPERLINK("http://exon.niaid.nih.gov/transcriptome/T_rubida/S2/links/netoglyc/TRIRU-596-netoglyc.txt","3")</f>
        <v>3</v>
      </c>
      <c r="AC305">
        <v>17.2</v>
      </c>
      <c r="AD305">
        <v>20.7</v>
      </c>
      <c r="AE305">
        <v>3.4</v>
      </c>
      <c r="AF305" s="17" t="s">
        <v>5</v>
      </c>
      <c r="AG305" s="2" t="str">
        <f>HYPERLINK("http://exon.niaid.nih.gov/transcriptome/T_rubida/S2/links/NR/Triru-596-NR.txt","v-type proton ATPase subunit H-like")</f>
        <v>v-type proton ATPase subunit H-like</v>
      </c>
      <c r="AH305" t="str">
        <f>HYPERLINK("http://www.ncbi.nlm.nih.gov/sutils/blink.cgi?pid=328723857","87")</f>
        <v>87</v>
      </c>
      <c r="AI305" t="str">
        <f>HYPERLINK("http://www.ncbi.nlm.nih.gov/protein/328723857","gi|328723857")</f>
        <v>gi|328723857</v>
      </c>
      <c r="AJ305">
        <v>30.4</v>
      </c>
      <c r="AK305">
        <v>23</v>
      </c>
      <c r="AL305">
        <v>52</v>
      </c>
      <c r="AM305">
        <v>66</v>
      </c>
      <c r="AN305">
        <v>46</v>
      </c>
      <c r="AO305" t="s">
        <v>89</v>
      </c>
      <c r="AP305" s="2" t="str">
        <f>HYPERLINK("http://exon.niaid.nih.gov/transcriptome/T_rubida/S2/links/SWISSP/Triru-596-SWISSP.txt","V-type proton ATPase subunit H")</f>
        <v>V-type proton ATPase subunit H</v>
      </c>
      <c r="AQ305" t="str">
        <f>HYPERLINK("http://www.uniprot.org/uniprot/Q9U5N0","36")</f>
        <v>36</v>
      </c>
      <c r="AR305" t="s">
        <v>917</v>
      </c>
      <c r="AS305">
        <v>26.9</v>
      </c>
      <c r="AT305">
        <v>19</v>
      </c>
      <c r="AU305">
        <v>475</v>
      </c>
      <c r="AV305">
        <v>60</v>
      </c>
      <c r="AW305">
        <v>4</v>
      </c>
      <c r="AX305">
        <v>8</v>
      </c>
      <c r="AY305">
        <v>0</v>
      </c>
      <c r="AZ305">
        <v>453</v>
      </c>
      <c r="BA305">
        <v>3</v>
      </c>
      <c r="BB305">
        <v>1</v>
      </c>
      <c r="BC305" t="s">
        <v>612</v>
      </c>
      <c r="BD305" s="2" t="s">
        <v>5</v>
      </c>
      <c r="BE305" t="s">
        <v>5</v>
      </c>
      <c r="BF305" t="s">
        <v>5</v>
      </c>
      <c r="BG305" t="s">
        <v>5</v>
      </c>
      <c r="BH305" t="s">
        <v>5</v>
      </c>
      <c r="BI305" s="2" t="s">
        <v>5</v>
      </c>
      <c r="BJ305" t="s">
        <v>5</v>
      </c>
      <c r="BK305" t="s">
        <v>5</v>
      </c>
      <c r="BL305" s="2" t="s">
        <v>5</v>
      </c>
      <c r="BM305" t="s">
        <v>5</v>
      </c>
      <c r="BN305" t="s">
        <v>5</v>
      </c>
      <c r="BO305" s="2" t="str">
        <f>HYPERLINK("http://exon.niaid.nih.gov/transcriptome/T_rubida/S2/links/PFAM/Triru-596-PFAM.txt","Reovirus_Mu2")</f>
        <v>Reovirus_Mu2</v>
      </c>
      <c r="BP305" t="str">
        <f>HYPERLINK("http://pfam.sanger.ac.uk/family?acc=PF07781","1.9")</f>
        <v>1.9</v>
      </c>
      <c r="BQ305" s="2" t="s">
        <v>5</v>
      </c>
      <c r="BR305" t="s">
        <v>5</v>
      </c>
      <c r="BS305" s="17">
        <v>176</v>
      </c>
      <c r="BT305" s="1">
        <v>1</v>
      </c>
      <c r="BU305" s="17">
        <v>270</v>
      </c>
      <c r="BV305" s="1">
        <v>1</v>
      </c>
      <c r="BW305" s="17">
        <v>347</v>
      </c>
      <c r="BX305" s="1">
        <v>1</v>
      </c>
      <c r="BY305" s="17">
        <v>381</v>
      </c>
      <c r="BZ305" s="1">
        <v>1</v>
      </c>
      <c r="CA305" s="17">
        <v>396</v>
      </c>
      <c r="CB305" s="1">
        <v>1</v>
      </c>
      <c r="CC305" s="17">
        <v>410</v>
      </c>
      <c r="CD305" s="1">
        <v>1</v>
      </c>
      <c r="CE305" s="17">
        <v>425</v>
      </c>
      <c r="CF305" s="1">
        <v>1</v>
      </c>
      <c r="CG305" s="17">
        <v>432</v>
      </c>
      <c r="CH305" s="1">
        <v>1</v>
      </c>
      <c r="CI305" s="17">
        <v>444</v>
      </c>
      <c r="CJ305" s="1">
        <v>1</v>
      </c>
      <c r="CK305" s="17">
        <v>450</v>
      </c>
      <c r="CL305" s="1">
        <v>1</v>
      </c>
      <c r="CM305" s="17">
        <v>462</v>
      </c>
      <c r="CN305" s="1">
        <v>1</v>
      </c>
      <c r="CO305" s="17">
        <v>474</v>
      </c>
      <c r="CP305" s="1">
        <v>1</v>
      </c>
      <c r="CQ305" s="17">
        <v>484</v>
      </c>
      <c r="CR305" s="1">
        <v>1</v>
      </c>
      <c r="CS305" s="17">
        <v>497</v>
      </c>
      <c r="CT305" s="1">
        <v>1</v>
      </c>
      <c r="CU305" s="17">
        <v>509</v>
      </c>
      <c r="CV305" s="1">
        <v>1</v>
      </c>
    </row>
    <row r="306" spans="1:100">
      <c r="A306" t="str">
        <f>HYPERLINK("http://exon.niaid.nih.gov/transcriptome/T_rubida/S2/links/pep/Triru-622-pep.txt","Triru-622")</f>
        <v>Triru-622</v>
      </c>
      <c r="B306">
        <v>57</v>
      </c>
      <c r="C306" s="1" t="s">
        <v>11</v>
      </c>
      <c r="D306" s="1" t="s">
        <v>3</v>
      </c>
      <c r="E306" t="str">
        <f>HYPERLINK("http://exon.niaid.nih.gov/transcriptome/T_rubida/S2/links/cds/Triru-622-cds.txt","Triru-622")</f>
        <v>Triru-622</v>
      </c>
      <c r="F306">
        <v>174</v>
      </c>
      <c r="G306" s="2" t="s">
        <v>1749</v>
      </c>
      <c r="H306" s="1">
        <v>1</v>
      </c>
      <c r="I306" s="3" t="s">
        <v>1266</v>
      </c>
      <c r="J306" s="17" t="str">
        <f>HYPERLINK("http://exon.niaid.nih.gov/transcriptome/T_rubida/S2/links/Sigp/Triru-622-SigP.txt","CYT")</f>
        <v>CYT</v>
      </c>
      <c r="K306" t="s">
        <v>5</v>
      </c>
      <c r="L306" s="1">
        <v>7.1779999999999999</v>
      </c>
      <c r="M306" s="1">
        <v>5.39</v>
      </c>
      <c r="P306" s="1">
        <v>8.9999999999999993E-3</v>
      </c>
      <c r="Q306" s="1">
        <v>0.97099999999999997</v>
      </c>
      <c r="R306" s="1">
        <v>0.14899999999999999</v>
      </c>
      <c r="S306" s="17" t="s">
        <v>18</v>
      </c>
      <c r="T306">
        <v>1</v>
      </c>
      <c r="U306" t="s">
        <v>1487</v>
      </c>
      <c r="V306" s="17" t="str">
        <f>HYPERLINK("http://exon.niaid.nih.gov/transcriptome/T_rubida/S2/links/tmhmm/TRIRU-622-tmhmm.txt","1")</f>
        <v>1</v>
      </c>
      <c r="W306">
        <v>38.6</v>
      </c>
      <c r="X306">
        <v>40.4</v>
      </c>
      <c r="Y306">
        <v>21.1</v>
      </c>
      <c r="Z306" t="s">
        <v>5</v>
      </c>
      <c r="AA306">
        <v>12</v>
      </c>
      <c r="AB306" s="17" t="str">
        <f>HYPERLINK("http://exon.niaid.nih.gov/transcriptome/T_rubida/S2/links/netoglyc/TRIRU-622-netoglyc.txt","0")</f>
        <v>0</v>
      </c>
      <c r="AC306">
        <v>14</v>
      </c>
      <c r="AD306" t="s">
        <v>1417</v>
      </c>
      <c r="AE306" t="s">
        <v>1394</v>
      </c>
      <c r="AF306" s="17" t="s">
        <v>5</v>
      </c>
      <c r="AG306" s="2" t="str">
        <f>HYPERLINK("http://exon.niaid.nih.gov/transcriptome/T_rubida/S2/links/NR/Triru-622-NR.txt","hypothetical protein SpyoM01001344")</f>
        <v>hypothetical protein SpyoM01001344</v>
      </c>
      <c r="AH306" t="str">
        <f>HYPERLINK("http://www.ncbi.nlm.nih.gov/sutils/blink.cgi?pid=56807480","0.42")</f>
        <v>0.42</v>
      </c>
      <c r="AI306" t="str">
        <f>HYPERLINK("http://www.ncbi.nlm.nih.gov/protein/56807480","gi|56807480")</f>
        <v>gi|56807480</v>
      </c>
      <c r="AJ306">
        <v>38.1</v>
      </c>
      <c r="AK306">
        <v>45</v>
      </c>
      <c r="AL306">
        <v>99</v>
      </c>
      <c r="AM306">
        <v>34</v>
      </c>
      <c r="AN306">
        <v>46</v>
      </c>
      <c r="AO306" t="s">
        <v>1256</v>
      </c>
      <c r="AP306" s="2" t="str">
        <f>HYPERLINK("http://exon.niaid.nih.gov/transcriptome/T_rubida/S2/links/SWISSP/Triru-622-SWISSP.txt","NADH-ubiquinone oxidoreductase chain 2")</f>
        <v>NADH-ubiquinone oxidoreductase chain 2</v>
      </c>
      <c r="AQ306" t="str">
        <f>HYPERLINK("http://www.uniprot.org/uniprot/Q8HEC1","16")</f>
        <v>16</v>
      </c>
      <c r="AR306" t="s">
        <v>1257</v>
      </c>
      <c r="AS306">
        <v>28.1</v>
      </c>
      <c r="AT306">
        <v>47</v>
      </c>
      <c r="AU306">
        <v>282</v>
      </c>
      <c r="AV306">
        <v>31</v>
      </c>
      <c r="AW306">
        <v>17</v>
      </c>
      <c r="AX306">
        <v>33</v>
      </c>
      <c r="AY306">
        <v>0</v>
      </c>
      <c r="AZ306">
        <v>145</v>
      </c>
      <c r="BA306">
        <v>7</v>
      </c>
      <c r="BB306">
        <v>1</v>
      </c>
      <c r="BC306" t="s">
        <v>290</v>
      </c>
      <c r="BD306" s="2" t="s">
        <v>5</v>
      </c>
      <c r="BE306" t="s">
        <v>5</v>
      </c>
      <c r="BF306" t="s">
        <v>5</v>
      </c>
      <c r="BG306" t="s">
        <v>5</v>
      </c>
      <c r="BH306" t="s">
        <v>5</v>
      </c>
      <c r="BI306" s="2" t="s">
        <v>5</v>
      </c>
      <c r="BJ306" t="s">
        <v>5</v>
      </c>
      <c r="BK306" t="s">
        <v>5</v>
      </c>
      <c r="BL306" s="2" t="str">
        <f>HYPERLINK("http://exon.niaid.nih.gov/transcriptome/T_rubida/S2/links/KOG/Triru-622-KOG.txt","Single-stranded DNA-binding replication protein A (RPA), medium (30 kD) subunit")</f>
        <v>Single-stranded DNA-binding replication protein A (RPA), medium (30 kD) subunit</v>
      </c>
      <c r="BM306" t="str">
        <f>HYPERLINK("http://www.ncbi.nlm.nih.gov/COG/grace/shokog.cgi?KOG3108","6.1")</f>
        <v>6.1</v>
      </c>
      <c r="BN306" t="s">
        <v>188</v>
      </c>
      <c r="BO306" s="2" t="str">
        <f>HYPERLINK("http://exon.niaid.nih.gov/transcriptome/T_rubida/S2/links/PFAM/Triru-622-PFAM.txt","ISAV_HA")</f>
        <v>ISAV_HA</v>
      </c>
      <c r="BP306" t="str">
        <f>HYPERLINK("http://pfam.sanger.ac.uk/family?acc=PF06215","2.5")</f>
        <v>2.5</v>
      </c>
      <c r="BQ306" s="2" t="str">
        <f>HYPERLINK("http://exon.niaid.nih.gov/transcriptome/T_rubida/S2/links/SMART/Triru-622-SMART.txt","AKAP_110")</f>
        <v>AKAP_110</v>
      </c>
      <c r="BR306" t="str">
        <f>HYPERLINK("http://smart.embl-heidelberg.de/smart/do_annotation.pl?DOMAIN=AKAP_110&amp;BLAST=DUMMY","1.4")</f>
        <v>1.4</v>
      </c>
      <c r="BS306" s="17">
        <f>HYPERLINK("http://exon.niaid.nih.gov/transcriptome/T_rubida/S2/links/cluster/Triru-pep-ext25-50-Sim-CLU1.txt", 1)</f>
        <v>1</v>
      </c>
      <c r="BT306" s="1">
        <f>HYPERLINK("http://exon.niaid.nih.gov/transcriptome/T_rubida/S2/links/cluster/Triru-pep-ext25-50-Sim-CLTL1.txt", 359)</f>
        <v>359</v>
      </c>
      <c r="BU306" s="17">
        <f>HYPERLINK("http://exon.niaid.nih.gov/transcriptome/T_rubida/S2/links/cluster/Triru-pep-ext30-50-Sim-CLU1.txt", 1)</f>
        <v>1</v>
      </c>
      <c r="BV306" s="1">
        <f>HYPERLINK("http://exon.niaid.nih.gov/transcriptome/T_rubida/S2/links/cluster/Triru-pep-ext30-50-Sim-CLTL1.txt", 225)</f>
        <v>225</v>
      </c>
      <c r="BW306" s="17">
        <f>HYPERLINK("http://exon.niaid.nih.gov/transcriptome/T_rubida/S2/links/cluster/Triru-pep-ext35-50-Sim-CLU1.txt", 1)</f>
        <v>1</v>
      </c>
      <c r="BX306" s="1">
        <f>HYPERLINK("http://exon.niaid.nih.gov/transcriptome/T_rubida/S2/links/cluster/Triru-pep-ext35-50-Sim-CLTL1.txt", 75)</f>
        <v>75</v>
      </c>
      <c r="BY306" s="17">
        <v>399</v>
      </c>
      <c r="BZ306" s="1">
        <v>1</v>
      </c>
      <c r="CA306" s="17">
        <v>414</v>
      </c>
      <c r="CB306" s="1">
        <v>1</v>
      </c>
      <c r="CC306" s="17">
        <v>429</v>
      </c>
      <c r="CD306" s="1">
        <v>1</v>
      </c>
      <c r="CE306" s="17">
        <v>445</v>
      </c>
      <c r="CF306" s="1">
        <v>1</v>
      </c>
      <c r="CG306" s="17">
        <v>452</v>
      </c>
      <c r="CH306" s="1">
        <v>1</v>
      </c>
      <c r="CI306" s="17">
        <v>466</v>
      </c>
      <c r="CJ306" s="1">
        <v>1</v>
      </c>
      <c r="CK306" s="17">
        <v>472</v>
      </c>
      <c r="CL306" s="1">
        <v>1</v>
      </c>
      <c r="CM306" s="17">
        <v>484</v>
      </c>
      <c r="CN306" s="1">
        <v>1</v>
      </c>
      <c r="CO306" s="17">
        <v>496</v>
      </c>
      <c r="CP306" s="1">
        <v>1</v>
      </c>
      <c r="CQ306" s="17">
        <v>506</v>
      </c>
      <c r="CR306" s="1">
        <v>1</v>
      </c>
      <c r="CS306" s="17">
        <v>519</v>
      </c>
      <c r="CT306" s="1">
        <v>1</v>
      </c>
      <c r="CU306" s="17">
        <v>531</v>
      </c>
      <c r="CV306" s="1">
        <v>1</v>
      </c>
    </row>
    <row r="307" spans="1:100">
      <c r="A307" t="str">
        <f>HYPERLINK("http://exon.niaid.nih.gov/transcriptome/T_rubida/S2/links/pep/Triru-289-pep.txt","Triru-289")</f>
        <v>Triru-289</v>
      </c>
      <c r="B307">
        <v>14</v>
      </c>
      <c r="C307" s="1" t="s">
        <v>8</v>
      </c>
      <c r="D307" s="1" t="s">
        <v>3</v>
      </c>
      <c r="E307" t="str">
        <f>HYPERLINK("http://exon.niaid.nih.gov/transcriptome/T_rubida/S2/links/cds/Triru-289-cds.txt","Triru-289")</f>
        <v>Triru-289</v>
      </c>
      <c r="F307">
        <v>45</v>
      </c>
      <c r="G307" s="2" t="s">
        <v>1750</v>
      </c>
      <c r="H307" s="1">
        <v>1</v>
      </c>
      <c r="I307" s="3" t="s">
        <v>1266</v>
      </c>
      <c r="J307" s="17" t="str">
        <f>HYPERLINK("http://exon.niaid.nih.gov/transcriptome/T_rubida/S2/links/Sigp/Triru-289-SigP.txt","CYT")</f>
        <v>CYT</v>
      </c>
      <c r="K307" t="s">
        <v>5</v>
      </c>
      <c r="L307" s="1">
        <v>2.0179999999999998</v>
      </c>
      <c r="M307" s="1">
        <v>5.52</v>
      </c>
      <c r="P307" s="1">
        <v>0.314</v>
      </c>
      <c r="Q307" s="1">
        <v>0.18</v>
      </c>
      <c r="R307" s="1">
        <v>0.49299999999999999</v>
      </c>
      <c r="S307" s="17" t="s">
        <v>1346</v>
      </c>
      <c r="T307">
        <v>5</v>
      </c>
      <c r="U307" t="s">
        <v>1348</v>
      </c>
      <c r="V307" s="17">
        <v>0</v>
      </c>
      <c r="W307" t="s">
        <v>5</v>
      </c>
      <c r="X307" t="s">
        <v>5</v>
      </c>
      <c r="Y307" t="s">
        <v>5</v>
      </c>
      <c r="Z307" t="s">
        <v>5</v>
      </c>
      <c r="AA307" t="s">
        <v>5</v>
      </c>
      <c r="AB307" s="17" t="str">
        <f>HYPERLINK("http://exon.niaid.nih.gov/transcriptome/T_rubida/S2/links/netoglyc/TRIRU-289-netoglyc.txt","0")</f>
        <v>0</v>
      </c>
      <c r="AC307" t="s">
        <v>1417</v>
      </c>
      <c r="AD307" t="s">
        <v>1417</v>
      </c>
      <c r="AE307" t="s">
        <v>1394</v>
      </c>
      <c r="AF307" s="17" t="s">
        <v>5</v>
      </c>
      <c r="AG307" s="2" t="str">
        <f>HYPERLINK("http://exon.niaid.nih.gov/transcriptome/T_rubida/S2/links/NR/Triru-289-NR.txt","predicted protein")</f>
        <v>predicted protein</v>
      </c>
      <c r="AH307" t="str">
        <f>HYPERLINK("http://www.ncbi.nlm.nih.gov/sutils/blink.cgi?pid=297818924","3.4")</f>
        <v>3.4</v>
      </c>
      <c r="AI307" t="str">
        <f>HYPERLINK("http://www.ncbi.nlm.nih.gov/protein/297818924","gi|297818924")</f>
        <v>gi|297818924</v>
      </c>
      <c r="AJ307">
        <v>34.299999999999997</v>
      </c>
      <c r="AK307">
        <v>22</v>
      </c>
      <c r="AL307">
        <v>53</v>
      </c>
      <c r="AM307">
        <v>92</v>
      </c>
      <c r="AN307">
        <v>43</v>
      </c>
      <c r="AO307" t="s">
        <v>336</v>
      </c>
      <c r="AP307" s="2" t="str">
        <f>HYPERLINK("http://exon.niaid.nih.gov/transcriptome/T_rubida/S2/links/SWISSP/Triru-289-SWISSP.txt","Putative uncharacterized transmembrane protein DDB_G0284159")</f>
        <v>Putative uncharacterized transmembrane protein DDB_G0284159</v>
      </c>
      <c r="AQ307" t="str">
        <f>HYPERLINK("http://www.uniprot.org/uniprot/Q54Q42","0.48")</f>
        <v>0.48</v>
      </c>
      <c r="AR307" t="s">
        <v>348</v>
      </c>
      <c r="AS307">
        <v>32.299999999999997</v>
      </c>
      <c r="AT307">
        <v>12</v>
      </c>
      <c r="AU307">
        <v>86</v>
      </c>
      <c r="AV307">
        <v>92</v>
      </c>
      <c r="AW307">
        <v>15</v>
      </c>
      <c r="AX307">
        <v>1</v>
      </c>
      <c r="AY307">
        <v>0</v>
      </c>
      <c r="AZ307">
        <v>74</v>
      </c>
      <c r="BA307">
        <v>1</v>
      </c>
      <c r="BB307">
        <v>1</v>
      </c>
      <c r="BC307" t="s">
        <v>99</v>
      </c>
      <c r="BD307" s="2" t="s">
        <v>5</v>
      </c>
      <c r="BE307" t="s">
        <v>5</v>
      </c>
      <c r="BF307" t="s">
        <v>5</v>
      </c>
      <c r="BG307" t="s">
        <v>5</v>
      </c>
      <c r="BH307" t="s">
        <v>5</v>
      </c>
      <c r="BI307" s="2" t="s">
        <v>5</v>
      </c>
      <c r="BJ307" t="s">
        <v>5</v>
      </c>
      <c r="BK307" t="s">
        <v>5</v>
      </c>
      <c r="BL307" s="2" t="str">
        <f>HYPERLINK("http://exon.niaid.nih.gov/transcriptome/T_rubida/S2/links/KOG/Triru-289-KOG.txt","SNARE protein SED5/Syntaxin 5")</f>
        <v>SNARE protein SED5/Syntaxin 5</v>
      </c>
      <c r="BM307" t="str">
        <f>HYPERLINK("http://www.ncbi.nlm.nih.gov/COG/grace/shokog.cgi?KOG0812","3.1")</f>
        <v>3.1</v>
      </c>
      <c r="BN307" t="s">
        <v>164</v>
      </c>
      <c r="BO307" s="2" t="s">
        <v>5</v>
      </c>
      <c r="BP307" t="s">
        <v>5</v>
      </c>
      <c r="BQ307" s="2" t="s">
        <v>5</v>
      </c>
      <c r="BR307" t="s">
        <v>5</v>
      </c>
      <c r="BS307" s="17">
        <f>HYPERLINK("http://exon.niaid.nih.gov/transcriptome/T_rubida/S2/links/cluster/Triru-pep-ext25-50-Sim-CLU1.txt", 1)</f>
        <v>1</v>
      </c>
      <c r="BT307" s="1">
        <f>HYPERLINK("http://exon.niaid.nih.gov/transcriptome/T_rubida/S2/links/cluster/Triru-pep-ext25-50-Sim-CLTL1.txt", 359)</f>
        <v>359</v>
      </c>
      <c r="BU307" s="17">
        <f>HYPERLINK("http://exon.niaid.nih.gov/transcriptome/T_rubida/S2/links/cluster/Triru-pep-ext30-50-Sim-CLU1.txt", 1)</f>
        <v>1</v>
      </c>
      <c r="BV307" s="1">
        <f>HYPERLINK("http://exon.niaid.nih.gov/transcriptome/T_rubida/S2/links/cluster/Triru-pep-ext30-50-Sim-CLTL1.txt", 225)</f>
        <v>225</v>
      </c>
      <c r="BW307" s="17">
        <f>HYPERLINK("http://exon.niaid.nih.gov/transcriptome/T_rubida/S2/links/cluster/Triru-pep-ext35-50-Sim-CLU1.txt", 1)</f>
        <v>1</v>
      </c>
      <c r="BX307" s="1">
        <f>HYPERLINK("http://exon.niaid.nih.gov/transcriptome/T_rubida/S2/links/cluster/Triru-pep-ext35-50-Sim-CLTL1.txt", 75)</f>
        <v>75</v>
      </c>
      <c r="BY307" s="17">
        <f>HYPERLINK("http://exon.niaid.nih.gov/transcriptome/T_rubida/S2/links/cluster/Triru-pep-ext40-50-Sim-CLU2.txt", 2)</f>
        <v>2</v>
      </c>
      <c r="BZ307" s="1">
        <f>HYPERLINK("http://exon.niaid.nih.gov/transcriptome/T_rubida/S2/links/cluster/Triru-pep-ext40-50-Sim-CLTL2.txt", 42)</f>
        <v>42</v>
      </c>
      <c r="CA307" s="17">
        <f>HYPERLINK("http://exon.niaid.nih.gov/transcriptome/T_rubida/S2/links/cluster/Triru-pep-ext45-50-Sim-CLU2.txt", 2)</f>
        <v>2</v>
      </c>
      <c r="CB307" s="1">
        <f>HYPERLINK("http://exon.niaid.nih.gov/transcriptome/T_rubida/S2/links/cluster/Triru-pep-ext45-50-Sim-CLTL2.txt", 33)</f>
        <v>33</v>
      </c>
      <c r="CC307" s="17">
        <f>HYPERLINK("http://exon.niaid.nih.gov/transcriptome/T_rubida/S2/links/cluster/Triru-pep-ext50-50-Sim-CLU3.txt", 3)</f>
        <v>3</v>
      </c>
      <c r="CD307" s="1">
        <f>HYPERLINK("http://exon.niaid.nih.gov/transcriptome/T_rubida/S2/links/cluster/Triru-pep-ext50-50-Sim-CLTL3.txt", 23)</f>
        <v>23</v>
      </c>
      <c r="CE307" s="17">
        <f>HYPERLINK("http://exon.niaid.nih.gov/transcriptome/T_rubida/S2/links/cluster/Triru-pep-ext55-50-Sim-CLU3.txt", 3)</f>
        <v>3</v>
      </c>
      <c r="CF307" s="1">
        <f>HYPERLINK("http://exon.niaid.nih.gov/transcriptome/T_rubida/S2/links/cluster/Triru-pep-ext55-50-Sim-CLTL3.txt", 16)</f>
        <v>16</v>
      </c>
      <c r="CG307" s="17">
        <f>HYPERLINK("http://exon.niaid.nih.gov/transcriptome/T_rubida/S2/links/cluster/Triru-pep-ext60-50-Sim-CLU2.txt", 2)</f>
        <v>2</v>
      </c>
      <c r="CH307" s="1">
        <f>HYPERLINK("http://exon.niaid.nih.gov/transcriptome/T_rubida/S2/links/cluster/Triru-pep-ext60-50-Sim-CLTL2.txt", 13)</f>
        <v>13</v>
      </c>
      <c r="CI307" s="17">
        <f>HYPERLINK("http://exon.niaid.nih.gov/transcriptome/T_rubida/S2/links/cluster/Triru-pep-ext65-50-Sim-CLU5.txt", 5)</f>
        <v>5</v>
      </c>
      <c r="CJ307" s="1">
        <f>HYPERLINK("http://exon.niaid.nih.gov/transcriptome/T_rubida/S2/links/cluster/Triru-pep-ext65-50-Sim-CLTL5.txt", 8)</f>
        <v>8</v>
      </c>
      <c r="CK307" s="17">
        <f>HYPERLINK("http://exon.niaid.nih.gov/transcriptome/T_rubida/S2/links/cluster/Triru-pep-ext70-50-Sim-CLU5.txt", 5)</f>
        <v>5</v>
      </c>
      <c r="CL307" s="1">
        <f>HYPERLINK("http://exon.niaid.nih.gov/transcriptome/T_rubida/S2/links/cluster/Triru-pep-ext70-50-Sim-CLTL5.txt", 7)</f>
        <v>7</v>
      </c>
      <c r="CM307" s="17">
        <f>HYPERLINK("http://exon.niaid.nih.gov/transcriptome/T_rubida/S2/links/cluster/Triru-pep-ext75-50-Sim-CLU17.txt", 17)</f>
        <v>17</v>
      </c>
      <c r="CN307" s="1">
        <f>HYPERLINK("http://exon.niaid.nih.gov/transcriptome/T_rubida/S2/links/cluster/Triru-pep-ext75-50-Sim-CLTL17.txt", 2)</f>
        <v>2</v>
      </c>
      <c r="CO307" s="17">
        <v>216</v>
      </c>
      <c r="CP307" s="1">
        <v>1</v>
      </c>
      <c r="CQ307" s="17">
        <v>226</v>
      </c>
      <c r="CR307" s="1">
        <v>1</v>
      </c>
      <c r="CS307" s="17">
        <v>233</v>
      </c>
      <c r="CT307" s="1">
        <v>1</v>
      </c>
      <c r="CU307" s="17">
        <v>244</v>
      </c>
      <c r="CV307" s="1">
        <v>1</v>
      </c>
    </row>
    <row r="308" spans="1:100">
      <c r="A308" t="str">
        <f>HYPERLINK("http://exon.niaid.nih.gov/transcriptome/T_rubida/S2/links/pep/Triru-198-pep.txt","Triru-198")</f>
        <v>Triru-198</v>
      </c>
      <c r="B308">
        <v>36</v>
      </c>
      <c r="C308" s="1" t="s">
        <v>6</v>
      </c>
      <c r="D308" s="1" t="s">
        <v>3</v>
      </c>
      <c r="E308" t="str">
        <f>HYPERLINK("http://exon.niaid.nih.gov/transcriptome/T_rubida/S2/links/cds/Triru-198-cds.txt","Triru-198")</f>
        <v>Triru-198</v>
      </c>
      <c r="F308">
        <v>111</v>
      </c>
      <c r="G308" s="2" t="s">
        <v>1613</v>
      </c>
      <c r="H308" s="1">
        <v>1</v>
      </c>
      <c r="I308" s="3" t="s">
        <v>1266</v>
      </c>
      <c r="J308" s="17" t="str">
        <f>HYPERLINK("http://exon.niaid.nih.gov/transcriptome/T_rubida/S2/links/Sigp/Triru-198-SigP.txt","CYT")</f>
        <v>CYT</v>
      </c>
      <c r="K308" t="s">
        <v>5</v>
      </c>
      <c r="L308" s="1">
        <v>4.359</v>
      </c>
      <c r="M308" s="1">
        <v>8.24</v>
      </c>
      <c r="P308" s="1">
        <v>6.2E-2</v>
      </c>
      <c r="Q308" s="1">
        <v>4.7E-2</v>
      </c>
      <c r="R308" s="1">
        <v>0.95699999999999996</v>
      </c>
      <c r="S308" s="17" t="s">
        <v>1346</v>
      </c>
      <c r="T308">
        <v>1</v>
      </c>
      <c r="U308" t="s">
        <v>1382</v>
      </c>
      <c r="V308" s="17">
        <v>0</v>
      </c>
      <c r="W308" t="s">
        <v>5</v>
      </c>
      <c r="X308" t="s">
        <v>5</v>
      </c>
      <c r="Y308" t="s">
        <v>5</v>
      </c>
      <c r="Z308" t="s">
        <v>5</v>
      </c>
      <c r="AA308" t="s">
        <v>5</v>
      </c>
      <c r="AB308" s="17" t="str">
        <f>HYPERLINK("http://exon.niaid.nih.gov/transcriptome/T_rubida/S2/links/netoglyc/TRIRU-198-netoglyc.txt","0")</f>
        <v>0</v>
      </c>
      <c r="AC308">
        <v>8.3000000000000007</v>
      </c>
      <c r="AD308">
        <v>5.6</v>
      </c>
      <c r="AE308">
        <v>11.1</v>
      </c>
      <c r="AF308" s="17" t="s">
        <v>5</v>
      </c>
      <c r="AG308" s="2" t="str">
        <f>HYPERLINK("http://exon.niaid.nih.gov/transcriptome/T_rubida/S2/links/NR/Triru-198-NR.txt","putative NADH dehydrogenase 1 alpha subcomplex")</f>
        <v>putative NADH dehydrogenase 1 alpha subcomplex</v>
      </c>
      <c r="AH308" t="str">
        <f>HYPERLINK("http://www.ncbi.nlm.nih.gov/sutils/blink.cgi?pid=90819994","1E-007")</f>
        <v>1E-007</v>
      </c>
      <c r="AI308" t="str">
        <f>HYPERLINK("http://www.ncbi.nlm.nih.gov/protein/90819994","gi|90819994")</f>
        <v>gi|90819994</v>
      </c>
      <c r="AJ308">
        <v>59.7</v>
      </c>
      <c r="AK308">
        <v>34</v>
      </c>
      <c r="AL308">
        <v>81</v>
      </c>
      <c r="AM308">
        <v>62</v>
      </c>
      <c r="AN308">
        <v>43</v>
      </c>
      <c r="AO308" t="s">
        <v>427</v>
      </c>
      <c r="AP308" s="2" t="str">
        <f>HYPERLINK("http://exon.niaid.nih.gov/transcriptome/T_rubida/S2/links/SWISSP/Triru-198-SWISSP.txt","NADH dehydrogenase")</f>
        <v>NADH dehydrogenase</v>
      </c>
      <c r="AQ308" t="str">
        <f>HYPERLINK("http://www.uniprot.org/uniprot/Q62425","0.016")</f>
        <v>0.016</v>
      </c>
      <c r="AR308" t="s">
        <v>428</v>
      </c>
      <c r="AS308">
        <v>38.1</v>
      </c>
      <c r="AT308">
        <v>35</v>
      </c>
      <c r="AU308">
        <v>82</v>
      </c>
      <c r="AV308">
        <v>41</v>
      </c>
      <c r="AW308">
        <v>44</v>
      </c>
      <c r="AX308">
        <v>21</v>
      </c>
      <c r="AY308">
        <v>1</v>
      </c>
      <c r="AZ308">
        <v>47</v>
      </c>
      <c r="BA308">
        <v>2</v>
      </c>
      <c r="BB308">
        <v>1</v>
      </c>
      <c r="BC308" t="s">
        <v>75</v>
      </c>
      <c r="BD308" s="2" t="s">
        <v>429</v>
      </c>
      <c r="BE308">
        <f>HYPERLINK("http://exon.niaid.nih.gov/transcriptome/T_rubida/S2/links/GO/Triru-198-GO.txt",0.00003)</f>
        <v>3.0000000000000001E-5</v>
      </c>
      <c r="BF308" t="s">
        <v>1943</v>
      </c>
      <c r="BG308" t="s">
        <v>77</v>
      </c>
      <c r="BH308" t="s">
        <v>193</v>
      </c>
      <c r="BI308" s="2" t="str">
        <f>HYPERLINK("http://exon.niaid.nih.gov/transcriptome/T_rubida/S2/links/CDD/Triru-198-CDD.txt","B12D")</f>
        <v>B12D</v>
      </c>
      <c r="BJ308" t="str">
        <f>HYPERLINK("http://www.ncbi.nlm.nih.gov/Structure/cdd/cddsrv.cgi?uid=pfam06522&amp;version=v4.0","0.004")</f>
        <v>0.004</v>
      </c>
      <c r="BK308" t="s">
        <v>430</v>
      </c>
      <c r="BL308" s="2" t="s">
        <v>5</v>
      </c>
      <c r="BM308" t="s">
        <v>5</v>
      </c>
      <c r="BN308" t="s">
        <v>5</v>
      </c>
      <c r="BO308" s="2" t="str">
        <f>HYPERLINK("http://exon.niaid.nih.gov/transcriptome/T_rubida/S2/links/PFAM/Triru-198-PFAM.txt","B12D")</f>
        <v>B12D</v>
      </c>
      <c r="BP308" t="str">
        <f>HYPERLINK("http://pfam.sanger.ac.uk/family?acc=PF06522","9E-004")</f>
        <v>9E-004</v>
      </c>
      <c r="BQ308" s="2" t="str">
        <f>HYPERLINK("http://exon.niaid.nih.gov/transcriptome/T_rubida/S2/links/SMART/Triru-198-SMART.txt","DAGKa")</f>
        <v>DAGKa</v>
      </c>
      <c r="BR308" t="str">
        <f>HYPERLINK("http://smart.embl-heidelberg.de/smart/do_annotation.pl?DOMAIN=DAGKa&amp;BLAST=DUMMY","2.0")</f>
        <v>2.0</v>
      </c>
      <c r="BS308" s="17">
        <v>69</v>
      </c>
      <c r="BT308" s="1">
        <v>1</v>
      </c>
      <c r="BU308" s="17">
        <v>101</v>
      </c>
      <c r="BV308" s="1">
        <v>1</v>
      </c>
      <c r="BW308" s="17">
        <v>115</v>
      </c>
      <c r="BX308" s="1">
        <v>1</v>
      </c>
      <c r="BY308" s="17">
        <v>119</v>
      </c>
      <c r="BZ308" s="1">
        <v>1</v>
      </c>
      <c r="CA308" s="17">
        <v>119</v>
      </c>
      <c r="CB308" s="1">
        <v>1</v>
      </c>
      <c r="CC308" s="17">
        <v>122</v>
      </c>
      <c r="CD308" s="1">
        <v>1</v>
      </c>
      <c r="CE308" s="17">
        <v>119</v>
      </c>
      <c r="CF308" s="1">
        <v>1</v>
      </c>
      <c r="CG308" s="17">
        <v>120</v>
      </c>
      <c r="CH308" s="1">
        <v>1</v>
      </c>
      <c r="CI308" s="17">
        <v>126</v>
      </c>
      <c r="CJ308" s="1">
        <v>1</v>
      </c>
      <c r="CK308" s="17">
        <v>131</v>
      </c>
      <c r="CL308" s="1">
        <v>1</v>
      </c>
      <c r="CM308" s="17">
        <v>137</v>
      </c>
      <c r="CN308" s="1">
        <v>1</v>
      </c>
      <c r="CO308" s="17">
        <v>147</v>
      </c>
      <c r="CP308" s="1">
        <v>1</v>
      </c>
      <c r="CQ308" s="17">
        <v>157</v>
      </c>
      <c r="CR308" s="1">
        <v>1</v>
      </c>
      <c r="CS308" s="17">
        <v>162</v>
      </c>
      <c r="CT308" s="1">
        <v>1</v>
      </c>
      <c r="CU308" s="17">
        <v>173</v>
      </c>
      <c r="CV308" s="1">
        <v>1</v>
      </c>
    </row>
    <row r="309" spans="1:100">
      <c r="A309" t="str">
        <f>HYPERLINK("http://exon.niaid.nih.gov/transcriptome/T_rubida/S2/links/pep/Triru-638-pep.txt","Triru-638")</f>
        <v>Triru-638</v>
      </c>
      <c r="B309">
        <v>57</v>
      </c>
      <c r="C309" s="1" t="s">
        <v>17</v>
      </c>
      <c r="D309" s="1" t="s">
        <v>3</v>
      </c>
      <c r="E309" t="str">
        <f>HYPERLINK("http://exon.niaid.nih.gov/transcriptome/T_rubida/S2/links/cds/Triru-638-cds.txt","Triru-638")</f>
        <v>Triru-638</v>
      </c>
      <c r="F309">
        <v>174</v>
      </c>
      <c r="G309" s="2" t="s">
        <v>1753</v>
      </c>
      <c r="H309" s="1">
        <v>1</v>
      </c>
      <c r="I309" s="3" t="s">
        <v>1266</v>
      </c>
      <c r="J309" s="17" t="str">
        <f>HYPERLINK("http://exon.niaid.nih.gov/transcriptome/T_rubida/S2/links/Sigp/Triru-638-SigP.txt","CYT")</f>
        <v>CYT</v>
      </c>
      <c r="K309" t="s">
        <v>5</v>
      </c>
      <c r="L309" s="1">
        <v>6.8460000000000001</v>
      </c>
      <c r="M309" s="1">
        <v>6.43</v>
      </c>
      <c r="P309" s="1">
        <v>0.153</v>
      </c>
      <c r="Q309" s="1">
        <v>9.5000000000000001E-2</v>
      </c>
      <c r="R309" s="1">
        <v>0.66700000000000004</v>
      </c>
      <c r="S309" s="17" t="s">
        <v>1346</v>
      </c>
      <c r="T309">
        <v>3</v>
      </c>
      <c r="U309" t="s">
        <v>1382</v>
      </c>
      <c r="V309" s="17">
        <v>0</v>
      </c>
      <c r="W309" t="s">
        <v>5</v>
      </c>
      <c r="X309" t="s">
        <v>5</v>
      </c>
      <c r="Y309" t="s">
        <v>5</v>
      </c>
      <c r="Z309" t="s">
        <v>5</v>
      </c>
      <c r="AA309" t="s">
        <v>5</v>
      </c>
      <c r="AB309" s="17" t="str">
        <f>HYPERLINK("http://exon.niaid.nih.gov/transcriptome/T_rubida/S2/links/netoglyc/TRIRU-638-netoglyc.txt","1")</f>
        <v>1</v>
      </c>
      <c r="AC309">
        <v>15.8</v>
      </c>
      <c r="AD309" t="s">
        <v>1417</v>
      </c>
      <c r="AE309">
        <v>7</v>
      </c>
      <c r="AF309" s="17" t="s">
        <v>5</v>
      </c>
      <c r="AG309" s="2" t="str">
        <f>HYPERLINK("http://exon.niaid.nih.gov/transcriptome/T_rubida/S2/links/NR/Triru-638-NR.txt","similar to CG15908-PA")</f>
        <v>similar to CG15908-PA</v>
      </c>
      <c r="AH309" t="str">
        <f>HYPERLINK("http://www.ncbi.nlm.nih.gov/sutils/blink.cgi?pid=156548340","7E-009")</f>
        <v>7E-009</v>
      </c>
      <c r="AI309" t="str">
        <f>HYPERLINK("http://www.ncbi.nlm.nih.gov/protein/156548340","gi|156548340")</f>
        <v>gi|156548340</v>
      </c>
      <c r="AJ309">
        <v>63.9</v>
      </c>
      <c r="AK309">
        <v>56</v>
      </c>
      <c r="AL309">
        <v>148</v>
      </c>
      <c r="AM309">
        <v>52</v>
      </c>
      <c r="AN309">
        <v>39</v>
      </c>
      <c r="AO309" t="s">
        <v>288</v>
      </c>
      <c r="AP309" s="2" t="str">
        <f>HYPERLINK("http://exon.niaid.nih.gov/transcriptome/T_rubida/S2/links/SWISSP/Triru-638-SWISSP.txt","Trans-aconitate 2-methyltransferase")</f>
        <v>Trans-aconitate 2-methyltransferase</v>
      </c>
      <c r="AQ309" t="str">
        <f>HYPERLINK("http://www.uniprot.org/uniprot/Q9I0S1","7.2")</f>
        <v>7.2</v>
      </c>
      <c r="AR309" t="s">
        <v>1064</v>
      </c>
      <c r="AS309">
        <v>29.3</v>
      </c>
      <c r="AT309">
        <v>45</v>
      </c>
      <c r="AU309">
        <v>275</v>
      </c>
      <c r="AV309">
        <v>30</v>
      </c>
      <c r="AW309">
        <v>17</v>
      </c>
      <c r="AX309">
        <v>35</v>
      </c>
      <c r="AY309">
        <v>4</v>
      </c>
      <c r="AZ309">
        <v>195</v>
      </c>
      <c r="BA309">
        <v>4</v>
      </c>
      <c r="BB309">
        <v>1</v>
      </c>
      <c r="BC309" t="s">
        <v>419</v>
      </c>
      <c r="BD309" s="2" t="s">
        <v>5</v>
      </c>
      <c r="BE309" t="s">
        <v>5</v>
      </c>
      <c r="BF309" t="s">
        <v>5</v>
      </c>
      <c r="BG309" t="s">
        <v>5</v>
      </c>
      <c r="BH309" t="s">
        <v>5</v>
      </c>
      <c r="BI309" s="2" t="str">
        <f>HYPERLINK("http://exon.niaid.nih.gov/transcriptome/T_rubida/S2/links/CDD/Triru-638-CDD.txt","PLN02503")</f>
        <v>PLN02503</v>
      </c>
      <c r="BJ309" t="str">
        <f>HYPERLINK("http://www.ncbi.nlm.nih.gov/Structure/cdd/cddsrv.cgi?uid=PLN02503&amp;version=v4.0","0.32")</f>
        <v>0.32</v>
      </c>
      <c r="BK309" t="s">
        <v>1065</v>
      </c>
      <c r="BL309" s="2" t="str">
        <f>HYPERLINK("http://exon.niaid.nih.gov/transcriptome/T_rubida/S2/links/KOG/Triru-638-KOG.txt","Acyl-CoA reductase")</f>
        <v>Acyl-CoA reductase</v>
      </c>
      <c r="BM309" t="str">
        <f>HYPERLINK("http://www.ncbi.nlm.nih.gov/COG/grace/shokog.cgi?KOG1221","9.9")</f>
        <v>9.9</v>
      </c>
      <c r="BN309" t="s">
        <v>88</v>
      </c>
      <c r="BO309" s="2" t="str">
        <f>HYPERLINK("http://exon.niaid.nih.gov/transcriptome/T_rubida/S2/links/PFAM/Triru-638-PFAM.txt","DUF2334")</f>
        <v>DUF2334</v>
      </c>
      <c r="BP309" t="str">
        <f>HYPERLINK("http://pfam.sanger.ac.uk/family?acc=PF10096","3.2")</f>
        <v>3.2</v>
      </c>
      <c r="BQ309" s="2" t="str">
        <f>HYPERLINK("http://exon.niaid.nih.gov/transcriptome/T_rubida/S2/links/SMART/Triru-638-SMART.txt","B3_4")</f>
        <v>B3_4</v>
      </c>
      <c r="BR309" t="str">
        <f>HYPERLINK("http://smart.embl-heidelberg.de/smart/do_annotation.pl?DOMAIN=B3_4&amp;BLAST=DUMMY","0.14")</f>
        <v>0.14</v>
      </c>
      <c r="BS309" s="17">
        <f>HYPERLINK("http://exon.niaid.nih.gov/transcriptome/T_rubida/S2/links/cluster/Triru-pep-ext25-50-Sim-CLU1.txt", 1)</f>
        <v>1</v>
      </c>
      <c r="BT309" s="1">
        <f>HYPERLINK("http://exon.niaid.nih.gov/transcriptome/T_rubida/S2/links/cluster/Triru-pep-ext25-50-Sim-CLTL1.txt", 359)</f>
        <v>359</v>
      </c>
      <c r="BU309" s="17">
        <f>HYPERLINK("http://exon.niaid.nih.gov/transcriptome/T_rubida/S2/links/cluster/Triru-pep-ext30-50-Sim-CLU3.txt", 3)</f>
        <v>3</v>
      </c>
      <c r="BV309" s="1">
        <f>HYPERLINK("http://exon.niaid.nih.gov/transcriptome/T_rubida/S2/links/cluster/Triru-pep-ext30-50-Sim-CLTL3.txt", 6)</f>
        <v>6</v>
      </c>
      <c r="BW309" s="17">
        <v>368</v>
      </c>
      <c r="BX309" s="1">
        <v>1</v>
      </c>
      <c r="BY309" s="17">
        <v>406</v>
      </c>
      <c r="BZ309" s="1">
        <v>1</v>
      </c>
      <c r="CA309" s="17">
        <v>423</v>
      </c>
      <c r="CB309" s="1">
        <v>1</v>
      </c>
      <c r="CC309" s="17">
        <v>439</v>
      </c>
      <c r="CD309" s="1">
        <v>1</v>
      </c>
      <c r="CE309" s="17">
        <v>455</v>
      </c>
      <c r="CF309" s="1">
        <v>1</v>
      </c>
      <c r="CG309" s="17">
        <v>463</v>
      </c>
      <c r="CH309" s="1">
        <v>1</v>
      </c>
      <c r="CI309" s="17">
        <v>477</v>
      </c>
      <c r="CJ309" s="1">
        <v>1</v>
      </c>
      <c r="CK309" s="17">
        <v>483</v>
      </c>
      <c r="CL309" s="1">
        <v>1</v>
      </c>
      <c r="CM309" s="17">
        <v>495</v>
      </c>
      <c r="CN309" s="1">
        <v>1</v>
      </c>
      <c r="CO309" s="17">
        <v>507</v>
      </c>
      <c r="CP309" s="1">
        <v>1</v>
      </c>
      <c r="CQ309" s="17">
        <v>517</v>
      </c>
      <c r="CR309" s="1">
        <v>1</v>
      </c>
      <c r="CS309" s="17">
        <v>530</v>
      </c>
      <c r="CT309" s="1">
        <v>1</v>
      </c>
      <c r="CU309" s="17">
        <v>543</v>
      </c>
      <c r="CV309" s="1">
        <v>1</v>
      </c>
    </row>
    <row r="310" spans="1:100">
      <c r="A310" t="str">
        <f>HYPERLINK("http://exon.niaid.nih.gov/transcriptome/T_rubida/S2/links/pep/Triru-170-pep.txt","Triru-170")</f>
        <v>Triru-170</v>
      </c>
      <c r="B310">
        <v>44</v>
      </c>
      <c r="C310" s="1" t="s">
        <v>8</v>
      </c>
      <c r="D310" s="1" t="s">
        <v>5</v>
      </c>
      <c r="E310" t="str">
        <f>HYPERLINK("http://exon.niaid.nih.gov/transcriptome/T_rubida/S2/links/cds/Triru-170-cds.txt","Triru-170")</f>
        <v>Triru-170</v>
      </c>
      <c r="F310">
        <v>130</v>
      </c>
      <c r="G310" s="2" t="s">
        <v>1737</v>
      </c>
      <c r="H310" s="1">
        <v>1</v>
      </c>
      <c r="I310" s="3" t="s">
        <v>1266</v>
      </c>
      <c r="J310" s="17" t="str">
        <f>HYPERLINK("http://exon.niaid.nih.gov/transcriptome/T_rubida/S2/links/Sigp/Triru-170-SigP.txt","CYT")</f>
        <v>CYT</v>
      </c>
      <c r="K310" t="s">
        <v>5</v>
      </c>
      <c r="L310" s="1">
        <v>5.6310000000000002</v>
      </c>
      <c r="M310" s="1">
        <v>7.94</v>
      </c>
      <c r="P310" s="1">
        <v>0.19900000000000001</v>
      </c>
      <c r="Q310" s="1">
        <v>9.1999999999999998E-2</v>
      </c>
      <c r="R310" s="1">
        <v>0.73699999999999999</v>
      </c>
      <c r="S310" s="17" t="s">
        <v>1346</v>
      </c>
      <c r="T310">
        <v>3</v>
      </c>
      <c r="U310" t="s">
        <v>1491</v>
      </c>
      <c r="V310" s="17">
        <v>0</v>
      </c>
      <c r="W310" t="s">
        <v>5</v>
      </c>
      <c r="X310" t="s">
        <v>5</v>
      </c>
      <c r="Y310" t="s">
        <v>5</v>
      </c>
      <c r="Z310" t="s">
        <v>5</v>
      </c>
      <c r="AA310" t="s">
        <v>5</v>
      </c>
      <c r="AB310" s="17" t="str">
        <f>HYPERLINK("http://exon.niaid.nih.gov/transcriptome/T_rubida/S2/links/netoglyc/TRIRU-170-netoglyc.txt","0")</f>
        <v>0</v>
      </c>
      <c r="AC310">
        <v>4.5</v>
      </c>
      <c r="AD310" t="s">
        <v>1417</v>
      </c>
      <c r="AE310">
        <v>2.2999999999999998</v>
      </c>
      <c r="AF310" s="17" t="s">
        <v>5</v>
      </c>
      <c r="AG310" s="2" t="str">
        <f>HYPERLINK("http://exon.niaid.nih.gov/transcriptome/T_rubida/S2/links/NR/Triru-170-NR.txt","NADH dehydrogenase subunit 3")</f>
        <v>NADH dehydrogenase subunit 3</v>
      </c>
      <c r="AH310" t="str">
        <f>HYPERLINK("http://www.ncbi.nlm.nih.gov/sutils/blink.cgi?pid=302151397","13")</f>
        <v>13</v>
      </c>
      <c r="AI310" t="str">
        <f>HYPERLINK("http://www.ncbi.nlm.nih.gov/protein/302151397","gi|302151397")</f>
        <v>gi|302151397</v>
      </c>
      <c r="AJ310">
        <v>33.1</v>
      </c>
      <c r="AK310">
        <v>40</v>
      </c>
      <c r="AL310">
        <v>111</v>
      </c>
      <c r="AM310">
        <v>36</v>
      </c>
      <c r="AN310">
        <v>37</v>
      </c>
      <c r="AO310" t="s">
        <v>327</v>
      </c>
      <c r="AP310" s="2" t="str">
        <f>HYPERLINK("http://exon.niaid.nih.gov/transcriptome/T_rubida/S2/links/SWISSP/Triru-170-SWISSP.txt","Ribosomal operon-associated A protein")</f>
        <v>Ribosomal operon-associated A protein</v>
      </c>
      <c r="AQ310" t="str">
        <f>HYPERLINK("http://www.uniprot.org/uniprot/P58145","3.2")</f>
        <v>3.2</v>
      </c>
      <c r="AR310" t="s">
        <v>328</v>
      </c>
      <c r="AS310">
        <v>30.4</v>
      </c>
      <c r="AT310">
        <v>48</v>
      </c>
      <c r="AU310">
        <v>519</v>
      </c>
      <c r="AV310">
        <v>34</v>
      </c>
      <c r="AW310">
        <v>9</v>
      </c>
      <c r="AX310">
        <v>32</v>
      </c>
      <c r="AY310">
        <v>11</v>
      </c>
      <c r="AZ310">
        <v>86</v>
      </c>
      <c r="BA310">
        <v>1</v>
      </c>
      <c r="BB310">
        <v>1</v>
      </c>
      <c r="BC310" t="s">
        <v>329</v>
      </c>
      <c r="BD310" s="2" t="s">
        <v>5</v>
      </c>
      <c r="BE310" t="s">
        <v>5</v>
      </c>
      <c r="BF310" t="s">
        <v>5</v>
      </c>
      <c r="BG310" t="s">
        <v>5</v>
      </c>
      <c r="BH310" t="s">
        <v>5</v>
      </c>
      <c r="BI310" s="2" t="str">
        <f>HYPERLINK("http://exon.niaid.nih.gov/transcriptome/T_rubida/S2/links/CDD/Triru-170-CDD.txt","NC")</f>
        <v>NC</v>
      </c>
      <c r="BJ310" t="str">
        <f>HYPERLINK("http://www.ncbi.nlm.nih.gov/Structure/cdd/cddsrv.cgi?uid=pfam04970&amp;version=v4.0","8.2")</f>
        <v>8.2</v>
      </c>
      <c r="BK310" t="s">
        <v>330</v>
      </c>
      <c r="BL310" s="2" t="str">
        <f>HYPERLINK("http://exon.niaid.nih.gov/transcriptome/T_rubida/S2/links/KOG/Triru-170-KOG.txt","Serine/threonine protein kinase")</f>
        <v>Serine/threonine protein kinase</v>
      </c>
      <c r="BM310" t="str">
        <f>HYPERLINK("http://www.ncbi.nlm.nih.gov/COG/grace/shokog.cgi?KOG4279","0.74")</f>
        <v>0.74</v>
      </c>
      <c r="BN310" t="s">
        <v>179</v>
      </c>
      <c r="BO310" s="2" t="str">
        <f>HYPERLINK("http://exon.niaid.nih.gov/transcriptome/T_rubida/S2/links/PFAM/Triru-170-PFAM.txt","NC")</f>
        <v>NC</v>
      </c>
      <c r="BP310" t="str">
        <f>HYPERLINK("http://pfam.sanger.ac.uk/family?acc=PF04970","1.7")</f>
        <v>1.7</v>
      </c>
      <c r="BQ310" s="2" t="str">
        <f>HYPERLINK("http://exon.niaid.nih.gov/transcriptome/T_rubida/S2/links/SMART/Triru-170-SMART.txt","SHR3_chaperone")</f>
        <v>SHR3_chaperone</v>
      </c>
      <c r="BR310" t="str">
        <f>HYPERLINK("http://smart.embl-heidelberg.de/smart/do_annotation.pl?DOMAIN=SHR3_chaperone&amp;BLAST=DUMMY","0.57")</f>
        <v>0.57</v>
      </c>
      <c r="BS310" s="17">
        <f>HYPERLINK("http://exon.niaid.nih.gov/transcriptome/T_rubida/S2/links/cluster/Triru-pep-ext25-50-Sim-CLU1.txt", 1)</f>
        <v>1</v>
      </c>
      <c r="BT310" s="1">
        <f>HYPERLINK("http://exon.niaid.nih.gov/transcriptome/T_rubida/S2/links/cluster/Triru-pep-ext25-50-Sim-CLTL1.txt", 359)</f>
        <v>359</v>
      </c>
      <c r="BU310" s="17">
        <f>HYPERLINK("http://exon.niaid.nih.gov/transcriptome/T_rubida/S2/links/cluster/Triru-pep-ext30-50-Sim-CLU1.txt", 1)</f>
        <v>1</v>
      </c>
      <c r="BV310" s="1">
        <f>HYPERLINK("http://exon.niaid.nih.gov/transcriptome/T_rubida/S2/links/cluster/Triru-pep-ext30-50-Sim-CLTL1.txt", 225)</f>
        <v>225</v>
      </c>
      <c r="BW310" s="17">
        <f>HYPERLINK("http://exon.niaid.nih.gov/transcriptome/T_rubida/S2/links/cluster/Triru-pep-ext35-50-Sim-CLU1.txt", 1)</f>
        <v>1</v>
      </c>
      <c r="BX310" s="1">
        <f>HYPERLINK("http://exon.niaid.nih.gov/transcriptome/T_rubida/S2/links/cluster/Triru-pep-ext35-50-Sim-CLTL1.txt", 75)</f>
        <v>75</v>
      </c>
      <c r="BY310" s="17">
        <f>HYPERLINK("http://exon.niaid.nih.gov/transcriptome/T_rubida/S2/links/cluster/Triru-pep-ext40-50-Sim-CLU4.txt", 4)</f>
        <v>4</v>
      </c>
      <c r="BZ310" s="1">
        <f>HYPERLINK("http://exon.niaid.nih.gov/transcriptome/T_rubida/S2/links/cluster/Triru-pep-ext40-50-Sim-CLTL4.txt", 6)</f>
        <v>6</v>
      </c>
      <c r="CA310" s="17">
        <f>HYPERLINK("http://exon.niaid.nih.gov/transcriptome/T_rubida/S2/links/cluster/Triru-pep-ext45-50-Sim-CLU4.txt", 4)</f>
        <v>4</v>
      </c>
      <c r="CB310" s="1">
        <f>HYPERLINK("http://exon.niaid.nih.gov/transcriptome/T_rubida/S2/links/cluster/Triru-pep-ext45-50-Sim-CLTL4.txt", 4)</f>
        <v>4</v>
      </c>
      <c r="CC310" s="17">
        <v>105</v>
      </c>
      <c r="CD310" s="1">
        <v>1</v>
      </c>
      <c r="CE310" s="17">
        <v>100</v>
      </c>
      <c r="CF310" s="1">
        <v>1</v>
      </c>
      <c r="CG310" s="17">
        <v>101</v>
      </c>
      <c r="CH310" s="1">
        <v>1</v>
      </c>
      <c r="CI310" s="17">
        <v>107</v>
      </c>
      <c r="CJ310" s="1">
        <v>1</v>
      </c>
      <c r="CK310" s="17">
        <v>111</v>
      </c>
      <c r="CL310" s="1">
        <v>1</v>
      </c>
      <c r="CM310" s="17">
        <v>116</v>
      </c>
      <c r="CN310" s="1">
        <v>1</v>
      </c>
      <c r="CO310" s="17">
        <v>125</v>
      </c>
      <c r="CP310" s="1">
        <v>1</v>
      </c>
      <c r="CQ310" s="17">
        <v>135</v>
      </c>
      <c r="CR310" s="1">
        <v>1</v>
      </c>
      <c r="CS310" s="17">
        <v>140</v>
      </c>
      <c r="CT310" s="1">
        <v>1</v>
      </c>
      <c r="CU310" s="17">
        <v>151</v>
      </c>
      <c r="CV310" s="1">
        <v>1</v>
      </c>
    </row>
    <row r="311" spans="1:100">
      <c r="A311" t="str">
        <f>HYPERLINK("http://exon.niaid.nih.gov/transcriptome/T_rubida/S2/links/pep/Triru-620-pep.txt","Triru-620")</f>
        <v>Triru-620</v>
      </c>
      <c r="B311">
        <v>22</v>
      </c>
      <c r="C311" s="1" t="s">
        <v>8</v>
      </c>
      <c r="D311" s="1" t="s">
        <v>3</v>
      </c>
      <c r="E311" t="str">
        <f>HYPERLINK("http://exon.niaid.nih.gov/transcriptome/T_rubida/S2/links/cds/Triru-620-cds.txt","Triru-620")</f>
        <v>Triru-620</v>
      </c>
      <c r="F311">
        <v>69</v>
      </c>
      <c r="G311" s="2" t="s">
        <v>1755</v>
      </c>
      <c r="H311" s="1">
        <v>1</v>
      </c>
      <c r="I311" s="3" t="s">
        <v>1266</v>
      </c>
      <c r="J311" s="17" t="str">
        <f>HYPERLINK("http://exon.niaid.nih.gov/transcriptome/T_rubida/S2/links/Sigp/Triru-620-SigP.txt","CYT")</f>
        <v>CYT</v>
      </c>
      <c r="K311" t="s">
        <v>5</v>
      </c>
      <c r="L311" s="1">
        <v>2.9039999999999999</v>
      </c>
      <c r="M311" s="1">
        <v>9.8699999999999992</v>
      </c>
      <c r="P311" s="1">
        <v>9.0999999999999998E-2</v>
      </c>
      <c r="Q311" s="1">
        <v>0.59899999999999998</v>
      </c>
      <c r="R311" s="1">
        <v>0.33700000000000002</v>
      </c>
      <c r="S311" s="17" t="s">
        <v>18</v>
      </c>
      <c r="T311">
        <v>4</v>
      </c>
      <c r="U311" t="s">
        <v>1493</v>
      </c>
      <c r="V311" s="17">
        <v>0</v>
      </c>
      <c r="W311" t="s">
        <v>5</v>
      </c>
      <c r="X311" t="s">
        <v>5</v>
      </c>
      <c r="Y311" t="s">
        <v>5</v>
      </c>
      <c r="Z311" t="s">
        <v>5</v>
      </c>
      <c r="AA311" t="s">
        <v>5</v>
      </c>
      <c r="AB311" s="17" t="str">
        <f>HYPERLINK("http://exon.niaid.nih.gov/transcriptome/T_rubida/S2/links/netoglyc/TRIRU-620-netoglyc.txt","0")</f>
        <v>0</v>
      </c>
      <c r="AC311">
        <v>4.5</v>
      </c>
      <c r="AD311" t="s">
        <v>1417</v>
      </c>
      <c r="AE311" t="s">
        <v>1394</v>
      </c>
      <c r="AF311" s="17" t="s">
        <v>5</v>
      </c>
      <c r="AG311" s="2" t="str">
        <f>HYPERLINK("http://exon.niaid.nih.gov/transcriptome/T_rubida/S2/links/NR/Triru-620-NR.txt","hypothetical protein SSCG_01212")</f>
        <v>hypothetical protein SSCG_01212</v>
      </c>
      <c r="AH311" t="str">
        <f>HYPERLINK("http://www.ncbi.nlm.nih.gov/sutils/blink.cgi?pid=254388793","35")</f>
        <v>35</v>
      </c>
      <c r="AI311" t="str">
        <f>HYPERLINK("http://www.ncbi.nlm.nih.gov/protein/254388793","gi|254388793")</f>
        <v>gi|254388793</v>
      </c>
      <c r="AJ311">
        <v>31.6</v>
      </c>
      <c r="AK311">
        <v>15</v>
      </c>
      <c r="AL311">
        <v>49</v>
      </c>
      <c r="AM311">
        <v>68</v>
      </c>
      <c r="AN311">
        <v>33</v>
      </c>
      <c r="AO311" t="s">
        <v>356</v>
      </c>
      <c r="AP311" s="2" t="str">
        <f>HYPERLINK("http://exon.niaid.nih.gov/transcriptome/T_rubida/S2/links/SWISSP/Triru-620-SWISSP.txt","Putative uncharacterized transmembrane protein DDB_G0285949")</f>
        <v>Putative uncharacterized transmembrane protein DDB_G0285949</v>
      </c>
      <c r="AQ311" t="str">
        <f>HYPERLINK("http://www.uniprot.org/uniprot/Q54MI8","3.8")</f>
        <v>3.8</v>
      </c>
      <c r="AR311" t="s">
        <v>354</v>
      </c>
      <c r="AS311">
        <v>30</v>
      </c>
      <c r="AT311">
        <v>21</v>
      </c>
      <c r="AU311">
        <v>129</v>
      </c>
      <c r="AV311">
        <v>68</v>
      </c>
      <c r="AW311">
        <v>17</v>
      </c>
      <c r="AX311">
        <v>7</v>
      </c>
      <c r="AY311">
        <v>0</v>
      </c>
      <c r="AZ311">
        <v>88</v>
      </c>
      <c r="BA311">
        <v>1</v>
      </c>
      <c r="BB311">
        <v>1</v>
      </c>
      <c r="BC311" t="s">
        <v>99</v>
      </c>
      <c r="BD311" s="2" t="s">
        <v>5</v>
      </c>
      <c r="BE311" t="s">
        <v>5</v>
      </c>
      <c r="BF311" t="s">
        <v>5</v>
      </c>
      <c r="BG311" t="s">
        <v>5</v>
      </c>
      <c r="BH311" t="s">
        <v>5</v>
      </c>
      <c r="BI311" s="2" t="s">
        <v>5</v>
      </c>
      <c r="BJ311" t="s">
        <v>5</v>
      </c>
      <c r="BK311" t="s">
        <v>5</v>
      </c>
      <c r="BL311" s="2" t="s">
        <v>5</v>
      </c>
      <c r="BM311" t="s">
        <v>5</v>
      </c>
      <c r="BN311" t="s">
        <v>5</v>
      </c>
      <c r="BO311" s="2" t="s">
        <v>5</v>
      </c>
      <c r="BP311" t="s">
        <v>5</v>
      </c>
      <c r="BQ311" s="2" t="s">
        <v>5</v>
      </c>
      <c r="BR311" t="s">
        <v>5</v>
      </c>
      <c r="BS311" s="17">
        <f>HYPERLINK("http://exon.niaid.nih.gov/transcriptome/T_rubida/S2/links/cluster/Triru-pep-ext25-50-Sim-CLU1.txt", 1)</f>
        <v>1</v>
      </c>
      <c r="BT311" s="1">
        <f>HYPERLINK("http://exon.niaid.nih.gov/transcriptome/T_rubida/S2/links/cluster/Triru-pep-ext25-50-Sim-CLTL1.txt", 359)</f>
        <v>359</v>
      </c>
      <c r="BU311" s="17">
        <f>HYPERLINK("http://exon.niaid.nih.gov/transcriptome/T_rubida/S2/links/cluster/Triru-pep-ext30-50-Sim-CLU1.txt", 1)</f>
        <v>1</v>
      </c>
      <c r="BV311" s="1">
        <f>HYPERLINK("http://exon.niaid.nih.gov/transcriptome/T_rubida/S2/links/cluster/Triru-pep-ext30-50-Sim-CLTL1.txt", 225)</f>
        <v>225</v>
      </c>
      <c r="BW311" s="17">
        <f>HYPERLINK("http://exon.niaid.nih.gov/transcriptome/T_rubida/S2/links/cluster/Triru-pep-ext35-50-Sim-CLU1.txt", 1)</f>
        <v>1</v>
      </c>
      <c r="BX311" s="1">
        <f>HYPERLINK("http://exon.niaid.nih.gov/transcriptome/T_rubida/S2/links/cluster/Triru-pep-ext35-50-Sim-CLTL1.txt", 75)</f>
        <v>75</v>
      </c>
      <c r="BY311" s="17">
        <f>HYPERLINK("http://exon.niaid.nih.gov/transcriptome/T_rubida/S2/links/cluster/Triru-pep-ext40-50-Sim-CLU2.txt", 2)</f>
        <v>2</v>
      </c>
      <c r="BZ311" s="1">
        <f>HYPERLINK("http://exon.niaid.nih.gov/transcriptome/T_rubida/S2/links/cluster/Triru-pep-ext40-50-Sim-CLTL2.txt", 42)</f>
        <v>42</v>
      </c>
      <c r="CA311" s="17">
        <f>HYPERLINK("http://exon.niaid.nih.gov/transcriptome/T_rubida/S2/links/cluster/Triru-pep-ext45-50-Sim-CLU2.txt", 2)</f>
        <v>2</v>
      </c>
      <c r="CB311" s="1">
        <f>HYPERLINK("http://exon.niaid.nih.gov/transcriptome/T_rubida/S2/links/cluster/Triru-pep-ext45-50-Sim-CLTL2.txt", 33)</f>
        <v>33</v>
      </c>
      <c r="CC311" s="17">
        <f>HYPERLINK("http://exon.niaid.nih.gov/transcriptome/T_rubida/S2/links/cluster/Triru-pep-ext50-50-Sim-CLU3.txt", 3)</f>
        <v>3</v>
      </c>
      <c r="CD311" s="1">
        <f>HYPERLINK("http://exon.niaid.nih.gov/transcriptome/T_rubida/S2/links/cluster/Triru-pep-ext50-50-Sim-CLTL3.txt", 23)</f>
        <v>23</v>
      </c>
      <c r="CE311" s="17">
        <v>443</v>
      </c>
      <c r="CF311" s="1">
        <v>1</v>
      </c>
      <c r="CG311" s="17">
        <v>450</v>
      </c>
      <c r="CH311" s="1">
        <v>1</v>
      </c>
      <c r="CI311" s="17">
        <v>464</v>
      </c>
      <c r="CJ311" s="1">
        <v>1</v>
      </c>
      <c r="CK311" s="17">
        <v>470</v>
      </c>
      <c r="CL311" s="1">
        <v>1</v>
      </c>
      <c r="CM311" s="17">
        <v>482</v>
      </c>
      <c r="CN311" s="1">
        <v>1</v>
      </c>
      <c r="CO311" s="17">
        <v>494</v>
      </c>
      <c r="CP311" s="1">
        <v>1</v>
      </c>
      <c r="CQ311" s="17">
        <v>504</v>
      </c>
      <c r="CR311" s="1">
        <v>1</v>
      </c>
      <c r="CS311" s="17">
        <v>517</v>
      </c>
      <c r="CT311" s="1">
        <v>1</v>
      </c>
      <c r="CU311" s="17">
        <v>529</v>
      </c>
      <c r="CV311" s="1">
        <v>1</v>
      </c>
    </row>
    <row r="312" spans="1:100">
      <c r="A312" t="str">
        <f>HYPERLINK("http://exon.niaid.nih.gov/transcriptome/T_rubida/S2/links/pep/Triru-329-pep.txt","Triru-329")</f>
        <v>Triru-329</v>
      </c>
      <c r="B312">
        <v>65</v>
      </c>
      <c r="C312" s="1" t="s">
        <v>4</v>
      </c>
      <c r="D312" s="1" t="s">
        <v>3</v>
      </c>
      <c r="E312" t="str">
        <f>HYPERLINK("http://exon.niaid.nih.gov/transcriptome/T_rubida/S2/links/cds/Triru-329-cds.txt","Triru-329")</f>
        <v>Triru-329</v>
      </c>
      <c r="F312">
        <v>198</v>
      </c>
      <c r="G312" s="2" t="s">
        <v>1756</v>
      </c>
      <c r="H312" s="1">
        <v>1</v>
      </c>
      <c r="I312" s="3" t="s">
        <v>1266</v>
      </c>
      <c r="J312" s="17" t="str">
        <f>HYPERLINK("http://exon.niaid.nih.gov/transcriptome/T_rubida/S2/links/Sigp/Triru-329-SigP.txt","CYT")</f>
        <v>CYT</v>
      </c>
      <c r="K312" t="s">
        <v>5</v>
      </c>
      <c r="L312" s="1">
        <v>7.3979999999999997</v>
      </c>
      <c r="M312" s="1">
        <v>4.2</v>
      </c>
      <c r="P312" s="1">
        <v>6.8000000000000005E-2</v>
      </c>
      <c r="Q312" s="1">
        <v>5.0999999999999997E-2</v>
      </c>
      <c r="R312" s="1">
        <v>0.95099999999999996</v>
      </c>
      <c r="S312" s="17" t="s">
        <v>1346</v>
      </c>
      <c r="T312">
        <v>1</v>
      </c>
      <c r="U312" t="s">
        <v>1348</v>
      </c>
      <c r="V312" s="17">
        <v>0</v>
      </c>
      <c r="W312" t="s">
        <v>5</v>
      </c>
      <c r="X312" t="s">
        <v>5</v>
      </c>
      <c r="Y312" t="s">
        <v>5</v>
      </c>
      <c r="Z312" t="s">
        <v>5</v>
      </c>
      <c r="AA312" t="s">
        <v>5</v>
      </c>
      <c r="AB312" s="17" t="str">
        <f>HYPERLINK("http://exon.niaid.nih.gov/transcriptome/T_rubida/S2/links/netoglyc/TRIRU-329-netoglyc.txt","0")</f>
        <v>0</v>
      </c>
      <c r="AC312">
        <v>7.7</v>
      </c>
      <c r="AD312">
        <v>6.2</v>
      </c>
      <c r="AE312">
        <v>1.5</v>
      </c>
      <c r="AF312" s="17" t="s">
        <v>5</v>
      </c>
      <c r="AG312" s="2" t="str">
        <f>HYPERLINK("http://exon.niaid.nih.gov/transcriptome/T_rubida/S2/links/NR/Triru-329-NR.txt","nucleoplasmin isoform 1-like protein")</f>
        <v>nucleoplasmin isoform 1-like protein</v>
      </c>
      <c r="AH312" t="str">
        <f>HYPERLINK("http://www.ncbi.nlm.nih.gov/sutils/blink.cgi?pid=121543851","1E-009")</f>
        <v>1E-009</v>
      </c>
      <c r="AI312" t="str">
        <f>HYPERLINK("http://www.ncbi.nlm.nih.gov/protein/121543851","gi|121543851")</f>
        <v>gi|121543851</v>
      </c>
      <c r="AJ312">
        <v>66.599999999999994</v>
      </c>
      <c r="AK312">
        <v>57</v>
      </c>
      <c r="AL312">
        <v>176</v>
      </c>
      <c r="AM312">
        <v>54</v>
      </c>
      <c r="AN312">
        <v>33</v>
      </c>
      <c r="AO312" t="s">
        <v>156</v>
      </c>
      <c r="AP312" s="2" t="str">
        <f>HYPERLINK("http://exon.niaid.nih.gov/transcriptome/T_rubida/S2/links/SWISSP/Triru-329-SWISSP.txt","Nucleolin")</f>
        <v>Nucleolin</v>
      </c>
      <c r="AQ312" t="str">
        <f>HYPERLINK("http://www.uniprot.org/uniprot/Q5RF26","3E-004")</f>
        <v>3E-004</v>
      </c>
      <c r="AR312" t="s">
        <v>157</v>
      </c>
      <c r="AS312">
        <v>43.9</v>
      </c>
      <c r="AT312">
        <v>162</v>
      </c>
      <c r="AU312">
        <v>712</v>
      </c>
      <c r="AV312">
        <v>42</v>
      </c>
      <c r="AW312">
        <v>23</v>
      </c>
      <c r="AX312">
        <v>28</v>
      </c>
      <c r="AY312">
        <v>0</v>
      </c>
      <c r="AZ312">
        <v>137</v>
      </c>
      <c r="BA312">
        <v>5</v>
      </c>
      <c r="BB312">
        <v>7</v>
      </c>
      <c r="BC312" t="s">
        <v>158</v>
      </c>
      <c r="BD312" s="2" t="s">
        <v>159</v>
      </c>
      <c r="BE312">
        <f>HYPERLINK("http://exon.niaid.nih.gov/transcriptome/T_rubida/S2/links/GO/Triru-329-GO.txt",0.00005)</f>
        <v>5.0000000000000002E-5</v>
      </c>
      <c r="BF312" t="s">
        <v>77</v>
      </c>
      <c r="BG312" t="s">
        <v>77</v>
      </c>
      <c r="BI312" s="2" t="str">
        <f>HYPERLINK("http://exon.niaid.nih.gov/transcriptome/T_rubida/S2/links/CDD/Triru-329-CDD.txt","PTZ00415")</f>
        <v>PTZ00415</v>
      </c>
      <c r="BJ312" t="str">
        <f>HYPERLINK("http://www.ncbi.nlm.nih.gov/Structure/cdd/cddsrv.cgi?uid=PTZ00415&amp;version=v4.0","0.12")</f>
        <v>0.12</v>
      </c>
      <c r="BK312" t="s">
        <v>160</v>
      </c>
      <c r="BL312" s="2" t="str">
        <f>HYPERLINK("http://exon.niaid.nih.gov/transcriptome/T_rubida/S2/links/KOG/Triru-329-KOG.txt","HIV-1 Vpr-binding protein")</f>
        <v>HIV-1 Vpr-binding protein</v>
      </c>
      <c r="BM312" t="str">
        <f>HYPERLINK("http://www.ncbi.nlm.nih.gov/COG/grace/shokog.cgi?KOG1832","0.59")</f>
        <v>0.59</v>
      </c>
      <c r="BN312" t="s">
        <v>124</v>
      </c>
      <c r="BO312" s="2" t="str">
        <f>HYPERLINK("http://exon.niaid.nih.gov/transcriptome/T_rubida/S2/links/PFAM/Triru-329-PFAM.txt","Nop14")</f>
        <v>Nop14</v>
      </c>
      <c r="BP312" t="str">
        <f>HYPERLINK("http://pfam.sanger.ac.uk/family?acc=PF04147","0.20")</f>
        <v>0.20</v>
      </c>
      <c r="BQ312" s="2" t="str">
        <f>HYPERLINK("http://exon.niaid.nih.gov/transcriptome/T_rubida/S2/links/SMART/Triru-329-SMART.txt","SHR3_chaperone")</f>
        <v>SHR3_chaperone</v>
      </c>
      <c r="BR312" t="str">
        <f>HYPERLINK("http://smart.embl-heidelberg.de/smart/do_annotation.pl?DOMAIN=SHR3_chaperone&amp;BLAST=DUMMY","0.19")</f>
        <v>0.19</v>
      </c>
      <c r="BS312" s="17">
        <f>HYPERLINK("http://exon.niaid.nih.gov/transcriptome/T_rubida/S2/links/cluster/Triru-pep-ext25-50-Sim-CLU1.txt", 1)</f>
        <v>1</v>
      </c>
      <c r="BT312" s="1">
        <f>HYPERLINK("http://exon.niaid.nih.gov/transcriptome/T_rubida/S2/links/cluster/Triru-pep-ext25-50-Sim-CLTL1.txt", 359)</f>
        <v>359</v>
      </c>
      <c r="BU312" s="17">
        <v>152</v>
      </c>
      <c r="BV312" s="1">
        <v>1</v>
      </c>
      <c r="BW312" s="17">
        <v>184</v>
      </c>
      <c r="BX312" s="1">
        <v>1</v>
      </c>
      <c r="BY312" s="17">
        <v>196</v>
      </c>
      <c r="BZ312" s="1">
        <v>1</v>
      </c>
      <c r="CA312" s="17">
        <v>202</v>
      </c>
      <c r="CB312" s="1">
        <v>1</v>
      </c>
      <c r="CC312" s="17">
        <v>207</v>
      </c>
      <c r="CD312" s="1">
        <v>1</v>
      </c>
      <c r="CE312" s="17">
        <v>213</v>
      </c>
      <c r="CF312" s="1">
        <v>1</v>
      </c>
      <c r="CG312" s="17">
        <v>215</v>
      </c>
      <c r="CH312" s="1">
        <v>1</v>
      </c>
      <c r="CI312" s="17">
        <v>225</v>
      </c>
      <c r="CJ312" s="1">
        <v>1</v>
      </c>
      <c r="CK312" s="17">
        <v>230</v>
      </c>
      <c r="CL312" s="1">
        <v>1</v>
      </c>
      <c r="CM312" s="17">
        <v>237</v>
      </c>
      <c r="CN312" s="1">
        <v>1</v>
      </c>
      <c r="CO312" s="17">
        <v>248</v>
      </c>
      <c r="CP312" s="1">
        <v>1</v>
      </c>
      <c r="CQ312" s="17">
        <v>258</v>
      </c>
      <c r="CR312" s="1">
        <v>1</v>
      </c>
      <c r="CS312" s="17">
        <v>268</v>
      </c>
      <c r="CT312" s="1">
        <v>1</v>
      </c>
      <c r="CU312" s="17">
        <v>279</v>
      </c>
      <c r="CV312" s="1">
        <v>1</v>
      </c>
    </row>
    <row r="313" spans="1:100">
      <c r="A313" t="str">
        <f>HYPERLINK("http://exon.niaid.nih.gov/transcriptome/T_rubida/S2/links/pep/Triru-513-pep.txt","Triru-513")</f>
        <v>Triru-513</v>
      </c>
      <c r="B313">
        <v>27</v>
      </c>
      <c r="C313" s="1" t="s">
        <v>10</v>
      </c>
      <c r="D313" s="1" t="s">
        <v>3</v>
      </c>
      <c r="E313" t="str">
        <f>HYPERLINK("http://exon.niaid.nih.gov/transcriptome/T_rubida/S2/links/cds/Triru-513-cds.txt","Triru-513")</f>
        <v>Triru-513</v>
      </c>
      <c r="F313">
        <v>84</v>
      </c>
      <c r="G313" s="2" t="s">
        <v>1757</v>
      </c>
      <c r="H313" s="1">
        <v>1</v>
      </c>
      <c r="I313" s="3" t="s">
        <v>1266</v>
      </c>
      <c r="J313" s="17" t="str">
        <f>HYPERLINK("http://exon.niaid.nih.gov/transcriptome/T_rubida/S2/links/Sigp/Triru-513-SigP.txt","CYT")</f>
        <v>CYT</v>
      </c>
      <c r="K313" t="s">
        <v>5</v>
      </c>
      <c r="L313" s="1">
        <v>2.9169999999999998</v>
      </c>
      <c r="M313" s="1">
        <v>9.56</v>
      </c>
      <c r="P313" s="1">
        <v>0.10299999999999999</v>
      </c>
      <c r="Q313" s="1">
        <v>4.1000000000000002E-2</v>
      </c>
      <c r="R313" s="1">
        <v>0.92500000000000004</v>
      </c>
      <c r="S313" s="17" t="s">
        <v>1346</v>
      </c>
      <c r="T313">
        <v>1</v>
      </c>
      <c r="U313" t="s">
        <v>1348</v>
      </c>
      <c r="V313" s="17">
        <v>0</v>
      </c>
      <c r="W313" t="s">
        <v>5</v>
      </c>
      <c r="X313" t="s">
        <v>5</v>
      </c>
      <c r="Y313" t="s">
        <v>5</v>
      </c>
      <c r="Z313" t="s">
        <v>5</v>
      </c>
      <c r="AA313" t="s">
        <v>5</v>
      </c>
      <c r="AB313" s="17" t="str">
        <f>HYPERLINK("http://exon.niaid.nih.gov/transcriptome/T_rubida/S2/links/netoglyc/TRIRU-513-netoglyc.txt","0")</f>
        <v>0</v>
      </c>
      <c r="AC313">
        <v>7.4</v>
      </c>
      <c r="AD313">
        <v>14.8</v>
      </c>
      <c r="AE313">
        <v>14.8</v>
      </c>
      <c r="AF313" s="17" t="s">
        <v>5</v>
      </c>
      <c r="AG313" s="2" t="str">
        <f>HYPERLINK("http://exon.niaid.nih.gov/transcriptome/T_rubida/S2/links/NR/Triru-513-NR.txt","AGAP010163-PA")</f>
        <v>AGAP010163-PA</v>
      </c>
      <c r="AH313" t="str">
        <f>HYPERLINK("http://www.ncbi.nlm.nih.gov/sutils/blink.cgi?pid=58392387","0.72")</f>
        <v>0.72</v>
      </c>
      <c r="AI313" t="str">
        <f>HYPERLINK("http://www.ncbi.nlm.nih.gov/protein/58392387","gi|58392387")</f>
        <v>gi|58392387</v>
      </c>
      <c r="AJ313">
        <v>37.4</v>
      </c>
      <c r="AK313">
        <v>20</v>
      </c>
      <c r="AL313">
        <v>70</v>
      </c>
      <c r="AM313">
        <v>80</v>
      </c>
      <c r="AN313">
        <v>30</v>
      </c>
      <c r="AO313" t="s">
        <v>125</v>
      </c>
      <c r="AP313" s="2" t="str">
        <f>HYPERLINK("http://exon.niaid.nih.gov/transcriptome/T_rubida/S2/links/SWISSP/Triru-513-SWISSP.txt","60S ribosomal protein L38")</f>
        <v>60S ribosomal protein L38</v>
      </c>
      <c r="AQ313" t="str">
        <f>HYPERLINK("http://www.uniprot.org/uniprot/Q7Q0U1","0.027")</f>
        <v>0.027</v>
      </c>
      <c r="AR313" t="s">
        <v>915</v>
      </c>
      <c r="AS313">
        <v>37.4</v>
      </c>
      <c r="AT313">
        <v>20</v>
      </c>
      <c r="AU313">
        <v>70</v>
      </c>
      <c r="AV313">
        <v>80</v>
      </c>
      <c r="AW313">
        <v>30</v>
      </c>
      <c r="AX313">
        <v>4</v>
      </c>
      <c r="AY313">
        <v>0</v>
      </c>
      <c r="AZ313">
        <v>50</v>
      </c>
      <c r="BA313">
        <v>7</v>
      </c>
      <c r="BB313">
        <v>1</v>
      </c>
      <c r="BC313" t="s">
        <v>450</v>
      </c>
      <c r="BD313" s="2" t="s">
        <v>5</v>
      </c>
      <c r="BE313" t="s">
        <v>5</v>
      </c>
      <c r="BF313" t="s">
        <v>5</v>
      </c>
      <c r="BG313" t="s">
        <v>5</v>
      </c>
      <c r="BH313" t="s">
        <v>5</v>
      </c>
      <c r="BI313" s="2" t="str">
        <f>HYPERLINK("http://exon.niaid.nih.gov/transcriptome/T_rubida/S2/links/CDD/Triru-513-CDD.txt","Ribosomal_L38e")</f>
        <v>Ribosomal_L38e</v>
      </c>
      <c r="BJ313" t="str">
        <f>HYPERLINK("http://www.ncbi.nlm.nih.gov/Structure/cdd/cddsrv.cgi?uid=pfam01781&amp;version=v4.0","0.049")</f>
        <v>0.049</v>
      </c>
      <c r="BK313" t="s">
        <v>916</v>
      </c>
      <c r="BL313" s="2" t="str">
        <f>HYPERLINK("http://exon.niaid.nih.gov/transcriptome/T_rubida/S2/links/KOG/Triru-513-KOG.txt","60S ribosomal protein L38")</f>
        <v>60S ribosomal protein L38</v>
      </c>
      <c r="BM313" t="str">
        <f>HYPERLINK("http://www.ncbi.nlm.nih.gov/COG/grace/shokog.cgi?KOG3499","0.020")</f>
        <v>0.020</v>
      </c>
      <c r="BN313" t="s">
        <v>84</v>
      </c>
      <c r="BO313" s="2" t="str">
        <f>HYPERLINK("http://exon.niaid.nih.gov/transcriptome/T_rubida/S2/links/PFAM/Triru-513-PFAM.txt","Ribosomal_L38e")</f>
        <v>Ribosomal_L38e</v>
      </c>
      <c r="BP313" t="str">
        <f>HYPERLINK("http://pfam.sanger.ac.uk/family?acc=PF01781","0.010")</f>
        <v>0.010</v>
      </c>
      <c r="BQ313" s="2" t="str">
        <f>HYPERLINK("http://exon.niaid.nih.gov/transcriptome/T_rubida/S2/links/SMART/Triru-513-SMART.txt","Citrate_ly_lig")</f>
        <v>Citrate_ly_lig</v>
      </c>
      <c r="BR313" t="str">
        <f>HYPERLINK("http://smart.embl-heidelberg.de/smart/do_annotation.pl?DOMAIN=Citrate_ly_lig&amp;BLAST=DUMMY","1.9")</f>
        <v>1.9</v>
      </c>
      <c r="BS313" s="17">
        <v>158</v>
      </c>
      <c r="BT313" s="1">
        <v>1</v>
      </c>
      <c r="BU313" s="17">
        <v>235</v>
      </c>
      <c r="BV313" s="1">
        <v>1</v>
      </c>
      <c r="BW313" s="17">
        <v>300</v>
      </c>
      <c r="BX313" s="1">
        <v>1</v>
      </c>
      <c r="BY313" s="17">
        <v>326</v>
      </c>
      <c r="BZ313" s="1">
        <v>1</v>
      </c>
      <c r="CA313" s="17">
        <v>337</v>
      </c>
      <c r="CB313" s="1">
        <v>1</v>
      </c>
      <c r="CC313" s="17">
        <v>349</v>
      </c>
      <c r="CD313" s="1">
        <v>1</v>
      </c>
      <c r="CE313" s="17">
        <v>361</v>
      </c>
      <c r="CF313" s="1">
        <v>1</v>
      </c>
      <c r="CG313" s="17">
        <v>367</v>
      </c>
      <c r="CH313" s="1">
        <v>1</v>
      </c>
      <c r="CI313" s="17">
        <v>379</v>
      </c>
      <c r="CJ313" s="1">
        <v>1</v>
      </c>
      <c r="CK313" s="17">
        <v>385</v>
      </c>
      <c r="CL313" s="1">
        <v>1</v>
      </c>
      <c r="CM313" s="17">
        <v>393</v>
      </c>
      <c r="CN313" s="1">
        <v>1</v>
      </c>
      <c r="CO313" s="17">
        <v>405</v>
      </c>
      <c r="CP313" s="1">
        <v>1</v>
      </c>
      <c r="CQ313" s="17">
        <v>415</v>
      </c>
      <c r="CR313" s="1">
        <v>1</v>
      </c>
      <c r="CS313" s="17">
        <v>428</v>
      </c>
      <c r="CT313" s="1">
        <v>1</v>
      </c>
      <c r="CU313" s="17">
        <v>439</v>
      </c>
      <c r="CV313" s="1">
        <v>1</v>
      </c>
    </row>
    <row r="314" spans="1:100">
      <c r="A314" t="str">
        <f>HYPERLINK("http://exon.niaid.nih.gov/transcriptome/T_rubida/S2/links/pep/Triru-479-pep.txt","Triru-479")</f>
        <v>Triru-479</v>
      </c>
      <c r="B314">
        <v>47</v>
      </c>
      <c r="C314" s="1" t="s">
        <v>16</v>
      </c>
      <c r="D314" s="1" t="s">
        <v>5</v>
      </c>
      <c r="E314" t="str">
        <f>HYPERLINK("http://exon.niaid.nih.gov/transcriptome/T_rubida/S2/links/cds/Triru-479-cds.txt","Triru-479")</f>
        <v>Triru-479</v>
      </c>
      <c r="F314">
        <v>138</v>
      </c>
      <c r="G314" s="2" t="s">
        <v>1759</v>
      </c>
      <c r="H314" s="1">
        <v>1</v>
      </c>
      <c r="I314" s="3" t="s">
        <v>1266</v>
      </c>
      <c r="J314" s="17" t="str">
        <f>HYPERLINK("http://exon.niaid.nih.gov/transcriptome/T_rubida/S2/links/Sigp/Triru-479-SigP.txt","CYT")</f>
        <v>CYT</v>
      </c>
      <c r="K314" t="s">
        <v>5</v>
      </c>
      <c r="L314" s="1">
        <v>5.3840000000000003</v>
      </c>
      <c r="M314" s="1">
        <v>6.27</v>
      </c>
      <c r="P314" s="1">
        <v>1.4E-2</v>
      </c>
      <c r="Q314" s="1">
        <v>0.55700000000000005</v>
      </c>
      <c r="R314" s="1">
        <v>0.68899999999999995</v>
      </c>
      <c r="S314" s="17" t="s">
        <v>1346</v>
      </c>
      <c r="T314">
        <v>5</v>
      </c>
      <c r="U314" t="s">
        <v>1496</v>
      </c>
      <c r="V314" s="17">
        <v>0</v>
      </c>
      <c r="W314" t="s">
        <v>5</v>
      </c>
      <c r="X314" t="s">
        <v>5</v>
      </c>
      <c r="Y314" t="s">
        <v>5</v>
      </c>
      <c r="Z314" t="s">
        <v>5</v>
      </c>
      <c r="AA314" t="s">
        <v>5</v>
      </c>
      <c r="AB314" s="17" t="str">
        <f>HYPERLINK("http://exon.niaid.nih.gov/transcriptome/T_rubida/S2/links/netoglyc/TRIRU-479-netoglyc.txt","0")</f>
        <v>0</v>
      </c>
      <c r="AC314">
        <v>17</v>
      </c>
      <c r="AD314">
        <v>4.3</v>
      </c>
      <c r="AE314">
        <v>2.1</v>
      </c>
      <c r="AF314" s="17" t="s">
        <v>5</v>
      </c>
      <c r="AG314" s="2" t="str">
        <f>HYPERLINK("http://exon.niaid.nih.gov/transcriptome/T_rubida/S2/links/NR/Triru-479-NR.txt","hypothetical protein A9601_16051")</f>
        <v>hypothetical protein A9601_16051</v>
      </c>
      <c r="AH314" t="str">
        <f>HYPERLINK("http://www.ncbi.nlm.nih.gov/sutils/blink.cgi?pid=123969137","13")</f>
        <v>13</v>
      </c>
      <c r="AI314" t="str">
        <f>HYPERLINK("http://www.ncbi.nlm.nih.gov/protein/123969137","gi|123969137")</f>
        <v>gi|123969137</v>
      </c>
      <c r="AJ314">
        <v>33.1</v>
      </c>
      <c r="AK314">
        <v>34</v>
      </c>
      <c r="AL314">
        <v>126</v>
      </c>
      <c r="AM314">
        <v>48</v>
      </c>
      <c r="AN314">
        <v>28</v>
      </c>
      <c r="AO314" t="s">
        <v>282</v>
      </c>
      <c r="AP314" s="2" t="str">
        <f>HYPERLINK("http://exon.niaid.nih.gov/transcriptome/T_rubida/S2/links/SWISSP/Triru-479-SWISSP.txt","Microtubule-associated protein VP8")</f>
        <v>Microtubule-associated protein VP8</v>
      </c>
      <c r="AQ314" t="str">
        <f>HYPERLINK("http://www.uniprot.org/uniprot/Q7TF75","4.2")</f>
        <v>4.2</v>
      </c>
      <c r="AR314" t="s">
        <v>283</v>
      </c>
      <c r="AS314">
        <v>30</v>
      </c>
      <c r="AT314">
        <v>37</v>
      </c>
      <c r="AU314">
        <v>594</v>
      </c>
      <c r="AV314">
        <v>36</v>
      </c>
      <c r="AW314">
        <v>6</v>
      </c>
      <c r="AX314">
        <v>24</v>
      </c>
      <c r="AY314">
        <v>1</v>
      </c>
      <c r="AZ314">
        <v>407</v>
      </c>
      <c r="BA314">
        <v>1</v>
      </c>
      <c r="BB314">
        <v>1</v>
      </c>
      <c r="BC314" t="s">
        <v>284</v>
      </c>
      <c r="BD314" s="2" t="s">
        <v>5</v>
      </c>
      <c r="BE314" t="s">
        <v>5</v>
      </c>
      <c r="BF314" t="s">
        <v>5</v>
      </c>
      <c r="BG314" t="s">
        <v>5</v>
      </c>
      <c r="BH314" t="s">
        <v>5</v>
      </c>
      <c r="BI314" s="2" t="s">
        <v>5</v>
      </c>
      <c r="BJ314" t="s">
        <v>5</v>
      </c>
      <c r="BK314" t="s">
        <v>5</v>
      </c>
      <c r="BL314" s="2" t="str">
        <f>HYPERLINK("http://exon.niaid.nih.gov/transcriptome/T_rubida/S2/links/KOG/Triru-479-KOG.txt","Vesicle coat complex AP-2, alpha subunit")</f>
        <v>Vesicle coat complex AP-2, alpha subunit</v>
      </c>
      <c r="BM314" t="str">
        <f>HYPERLINK("http://www.ncbi.nlm.nih.gov/COG/grace/shokog.cgi?KOG1077","9.0")</f>
        <v>9.0</v>
      </c>
      <c r="BN314" t="s">
        <v>164</v>
      </c>
      <c r="BO314" s="2" t="str">
        <f>HYPERLINK("http://exon.niaid.nih.gov/transcriptome/T_rubida/S2/links/PFAM/Triru-479-PFAM.txt","Hemocyanin_C")</f>
        <v>Hemocyanin_C</v>
      </c>
      <c r="BP314" t="str">
        <f>HYPERLINK("http://pfam.sanger.ac.uk/family?acc=PF03723","3.5")</f>
        <v>3.5</v>
      </c>
      <c r="BQ314" s="2" t="s">
        <v>5</v>
      </c>
      <c r="BR314" t="s">
        <v>5</v>
      </c>
      <c r="BS314" s="17">
        <f>HYPERLINK("http://exon.niaid.nih.gov/transcriptome/T_rubida/S2/links/cluster/Triru-pep-ext25-50-Sim-CLU1.txt", 1)</f>
        <v>1</v>
      </c>
      <c r="BT314" s="1">
        <f>HYPERLINK("http://exon.niaid.nih.gov/transcriptome/T_rubida/S2/links/cluster/Triru-pep-ext25-50-Sim-CLTL1.txt", 359)</f>
        <v>359</v>
      </c>
      <c r="BU314" s="17">
        <v>215</v>
      </c>
      <c r="BV314" s="1">
        <v>1</v>
      </c>
      <c r="BW314" s="17">
        <v>279</v>
      </c>
      <c r="BX314" s="1">
        <v>1</v>
      </c>
      <c r="BY314" s="17">
        <v>301</v>
      </c>
      <c r="BZ314" s="1">
        <v>1</v>
      </c>
      <c r="CA314" s="17">
        <v>311</v>
      </c>
      <c r="CB314" s="1">
        <v>1</v>
      </c>
      <c r="CC314" s="17">
        <v>322</v>
      </c>
      <c r="CD314" s="1">
        <v>1</v>
      </c>
      <c r="CE314" s="17">
        <v>334</v>
      </c>
      <c r="CF314" s="1">
        <v>1</v>
      </c>
      <c r="CG314" s="17">
        <v>339</v>
      </c>
      <c r="CH314" s="1">
        <v>1</v>
      </c>
      <c r="CI314" s="17">
        <v>350</v>
      </c>
      <c r="CJ314" s="1">
        <v>1</v>
      </c>
      <c r="CK314" s="17">
        <v>356</v>
      </c>
      <c r="CL314" s="1">
        <v>1</v>
      </c>
      <c r="CM314" s="17">
        <v>364</v>
      </c>
      <c r="CN314" s="1">
        <v>1</v>
      </c>
      <c r="CO314" s="17">
        <v>376</v>
      </c>
      <c r="CP314" s="1">
        <v>1</v>
      </c>
      <c r="CQ314" s="17">
        <v>386</v>
      </c>
      <c r="CR314" s="1">
        <v>1</v>
      </c>
      <c r="CS314" s="17">
        <v>399</v>
      </c>
      <c r="CT314" s="1">
        <v>1</v>
      </c>
      <c r="CU314" s="17">
        <v>410</v>
      </c>
      <c r="CV314" s="1">
        <v>1</v>
      </c>
    </row>
    <row r="315" spans="1:100">
      <c r="A315" t="str">
        <f>HYPERLINK("http://exon.niaid.nih.gov/transcriptome/T_rubida/S2/links/pep/Triru-316-pep.txt","Triru-316")</f>
        <v>Triru-316</v>
      </c>
      <c r="B315">
        <v>74</v>
      </c>
      <c r="C315" s="1" t="s">
        <v>20</v>
      </c>
      <c r="D315" s="1" t="s">
        <v>3</v>
      </c>
      <c r="E315" t="str">
        <f>HYPERLINK("http://exon.niaid.nih.gov/transcriptome/T_rubida/S2/links/cds/Triru-316-cds.txt","Triru-316")</f>
        <v>Triru-316</v>
      </c>
      <c r="F315">
        <v>225</v>
      </c>
      <c r="G315" s="2" t="s">
        <v>1760</v>
      </c>
      <c r="H315" s="1">
        <v>1</v>
      </c>
      <c r="I315" s="3" t="s">
        <v>1266</v>
      </c>
      <c r="J315" s="17" t="str">
        <f>HYPERLINK("http://exon.niaid.nih.gov/transcriptome/T_rubida/S2/links/Sigp/Triru-316-SigP.txt","CYT")</f>
        <v>CYT</v>
      </c>
      <c r="K315" t="s">
        <v>5</v>
      </c>
      <c r="L315" s="1">
        <v>8.9019999999999992</v>
      </c>
      <c r="M315" s="1">
        <v>10.78</v>
      </c>
      <c r="P315" s="1">
        <v>7.1999999999999995E-2</v>
      </c>
      <c r="Q315" s="1">
        <v>4.5999999999999999E-2</v>
      </c>
      <c r="R315" s="1">
        <v>0.95399999999999996</v>
      </c>
      <c r="S315" s="17" t="s">
        <v>1346</v>
      </c>
      <c r="T315">
        <v>1</v>
      </c>
      <c r="U315" t="s">
        <v>1382</v>
      </c>
      <c r="V315" s="17">
        <v>0</v>
      </c>
      <c r="W315" t="s">
        <v>5</v>
      </c>
      <c r="X315" t="s">
        <v>5</v>
      </c>
      <c r="Y315" t="s">
        <v>5</v>
      </c>
      <c r="Z315" t="s">
        <v>5</v>
      </c>
      <c r="AA315" t="s">
        <v>5</v>
      </c>
      <c r="AB315" s="17" t="str">
        <f>HYPERLINK("http://exon.niaid.nih.gov/transcriptome/T_rubida/S2/links/netoglyc/TRIRU-316-netoglyc.txt","0")</f>
        <v>0</v>
      </c>
      <c r="AC315">
        <v>10.8</v>
      </c>
      <c r="AD315">
        <v>1.4</v>
      </c>
      <c r="AE315">
        <v>1.4</v>
      </c>
      <c r="AF315" s="17" t="s">
        <v>5</v>
      </c>
      <c r="AG315" s="2" t="str">
        <f>HYPERLINK("http://exon.niaid.nih.gov/transcriptome/T_rubida/S2/links/NR/Triru-316-NR.txt","Nucleolar protein 12")</f>
        <v>Nucleolar protein 12</v>
      </c>
      <c r="AH315" t="str">
        <f>HYPERLINK("http://www.ncbi.nlm.nih.gov/sutils/blink.cgi?pid=332028141","8E-008")</f>
        <v>8E-008</v>
      </c>
      <c r="AI315" t="str">
        <f>HYPERLINK("http://www.ncbi.nlm.nih.gov/protein/332028141","gi|332028141")</f>
        <v>gi|332028141</v>
      </c>
      <c r="AJ315">
        <v>60.5</v>
      </c>
      <c r="AK315">
        <v>64</v>
      </c>
      <c r="AL315">
        <v>235</v>
      </c>
      <c r="AM315">
        <v>49</v>
      </c>
      <c r="AN315">
        <v>28</v>
      </c>
      <c r="AO315" t="s">
        <v>300</v>
      </c>
      <c r="AP315" s="2" t="str">
        <f>HYPERLINK("http://exon.niaid.nih.gov/transcriptome/T_rubida/S2/links/SWISSP/Triru-316-SWISSP.txt","Nucleolar protein 58")</f>
        <v>Nucleolar protein 58</v>
      </c>
      <c r="AQ315" t="str">
        <f>HYPERLINK("http://www.uniprot.org/uniprot/Q55FI4","4E-005")</f>
        <v>4E-005</v>
      </c>
      <c r="AR315" t="s">
        <v>886</v>
      </c>
      <c r="AS315">
        <v>46.6</v>
      </c>
      <c r="AT315">
        <v>161</v>
      </c>
      <c r="AU315">
        <v>638</v>
      </c>
      <c r="AV315">
        <v>36</v>
      </c>
      <c r="AW315">
        <v>25</v>
      </c>
      <c r="AX315">
        <v>48</v>
      </c>
      <c r="AY315">
        <v>3</v>
      </c>
      <c r="AZ315">
        <v>476</v>
      </c>
      <c r="BA315">
        <v>2</v>
      </c>
      <c r="BB315">
        <v>13</v>
      </c>
      <c r="BC315" t="s">
        <v>99</v>
      </c>
      <c r="BD315" s="2" t="s">
        <v>887</v>
      </c>
      <c r="BE315">
        <f>HYPERLINK("http://exon.niaid.nih.gov/transcriptome/T_rubida/S2/links/GO/Triru-316-GO.txt",0.000003)</f>
        <v>3.0000000000000001E-6</v>
      </c>
      <c r="BF315" t="s">
        <v>186</v>
      </c>
      <c r="BG315" t="s">
        <v>153</v>
      </c>
      <c r="BH315" t="s">
        <v>154</v>
      </c>
      <c r="BI315" s="2" t="str">
        <f>HYPERLINK("http://exon.niaid.nih.gov/transcriptome/T_rubida/S2/links/CDD/Triru-316-CDD.txt","Bap31")</f>
        <v>Bap31</v>
      </c>
      <c r="BJ315" t="str">
        <f>HYPERLINK("http://www.ncbi.nlm.nih.gov/Structure/cdd/cddsrv.cgi?uid=pfam05529&amp;version=v4.0","1.9")</f>
        <v>1.9</v>
      </c>
      <c r="BK315" t="s">
        <v>888</v>
      </c>
      <c r="BL315" s="2" t="str">
        <f>HYPERLINK("http://exon.niaid.nih.gov/transcriptome/T_rubida/S2/links/KOG/Triru-316-KOG.txt","Endocytic adaptor protein intersectin")</f>
        <v>Endocytic adaptor protein intersectin</v>
      </c>
      <c r="BM315" t="str">
        <f>HYPERLINK("http://www.ncbi.nlm.nih.gov/COG/grace/shokog.cgi?KOG1029","0.73")</f>
        <v>0.73</v>
      </c>
      <c r="BN315" t="s">
        <v>755</v>
      </c>
      <c r="BO315" s="2" t="str">
        <f>HYPERLINK("http://exon.niaid.nih.gov/transcriptome/T_rubida/S2/links/PFAM/Triru-316-PFAM.txt","Bap31")</f>
        <v>Bap31</v>
      </c>
      <c r="BP315" t="str">
        <f>HYPERLINK("http://pfam.sanger.ac.uk/family?acc=PF05529","0.41")</f>
        <v>0.41</v>
      </c>
      <c r="BQ315" s="2" t="str">
        <f>HYPERLINK("http://exon.niaid.nih.gov/transcriptome/T_rubida/S2/links/SMART/Triru-316-SMART.txt","TOPEUc")</f>
        <v>TOPEUc</v>
      </c>
      <c r="BR315" t="str">
        <f>HYPERLINK("http://smart.embl-heidelberg.de/smart/do_annotation.pl?DOMAIN=TOPEUc&amp;BLAST=DUMMY","4.4")</f>
        <v>4.4</v>
      </c>
      <c r="BS315" s="17">
        <f>HYPERLINK("http://exon.niaid.nih.gov/transcriptome/T_rubida/S2/links/cluster/Triru-pep-ext25-50-Sim-CLU1.txt", 1)</f>
        <v>1</v>
      </c>
      <c r="BT315" s="1">
        <f>HYPERLINK("http://exon.niaid.nih.gov/transcriptome/T_rubida/S2/links/cluster/Triru-pep-ext25-50-Sim-CLTL1.txt", 359)</f>
        <v>359</v>
      </c>
      <c r="BU315" s="17">
        <f>HYPERLINK("http://exon.niaid.nih.gov/transcriptome/T_rubida/S2/links/cluster/Triru-pep-ext30-50-Sim-CLU1.txt", 1)</f>
        <v>1</v>
      </c>
      <c r="BV315" s="1">
        <f>HYPERLINK("http://exon.niaid.nih.gov/transcriptome/T_rubida/S2/links/cluster/Triru-pep-ext30-50-Sim-CLTL1.txt", 225)</f>
        <v>225</v>
      </c>
      <c r="BW315" s="17">
        <v>178</v>
      </c>
      <c r="BX315" s="1">
        <v>1</v>
      </c>
      <c r="BY315" s="17">
        <v>189</v>
      </c>
      <c r="BZ315" s="1">
        <v>1</v>
      </c>
      <c r="CA315" s="17">
        <v>195</v>
      </c>
      <c r="CB315" s="1">
        <v>1</v>
      </c>
      <c r="CC315" s="17">
        <v>200</v>
      </c>
      <c r="CD315" s="1">
        <v>1</v>
      </c>
      <c r="CE315" s="17">
        <v>206</v>
      </c>
      <c r="CF315" s="1">
        <v>1</v>
      </c>
      <c r="CG315" s="17">
        <v>208</v>
      </c>
      <c r="CH315" s="1">
        <v>1</v>
      </c>
      <c r="CI315" s="17">
        <v>217</v>
      </c>
      <c r="CJ315" s="1">
        <v>1</v>
      </c>
      <c r="CK315" s="17">
        <v>222</v>
      </c>
      <c r="CL315" s="1">
        <v>1</v>
      </c>
      <c r="CM315" s="17">
        <v>229</v>
      </c>
      <c r="CN315" s="1">
        <v>1</v>
      </c>
      <c r="CO315" s="17">
        <v>240</v>
      </c>
      <c r="CP315" s="1">
        <v>1</v>
      </c>
      <c r="CQ315" s="17">
        <v>250</v>
      </c>
      <c r="CR315" s="1">
        <v>1</v>
      </c>
      <c r="CS315" s="17">
        <v>259</v>
      </c>
      <c r="CT315" s="1">
        <v>1</v>
      </c>
      <c r="CU315" s="17">
        <v>270</v>
      </c>
      <c r="CV315" s="1">
        <v>1</v>
      </c>
    </row>
    <row r="316" spans="1:100">
      <c r="A316" t="str">
        <f>HYPERLINK("http://exon.niaid.nih.gov/transcriptome/T_rubida/S2/links/pep/Triru-607-pep.txt","Triru-607")</f>
        <v>Triru-607</v>
      </c>
      <c r="B316">
        <v>21</v>
      </c>
      <c r="C316" s="1" t="s">
        <v>19</v>
      </c>
      <c r="D316" s="1" t="s">
        <v>3</v>
      </c>
      <c r="E316" t="str">
        <f>HYPERLINK("http://exon.niaid.nih.gov/transcriptome/T_rubida/S2/links/cds/Triru-607-cds.txt","Triru-607")</f>
        <v>Triru-607</v>
      </c>
      <c r="F316">
        <v>66</v>
      </c>
      <c r="G316" s="2" t="s">
        <v>1761</v>
      </c>
      <c r="H316" s="1">
        <v>1</v>
      </c>
      <c r="I316" s="3" t="s">
        <v>1266</v>
      </c>
      <c r="J316" s="17" t="str">
        <f>HYPERLINK("http://exon.niaid.nih.gov/transcriptome/T_rubida/S2/links/Sigp/Triru-607-SigP.txt","CYT")</f>
        <v>CYT</v>
      </c>
      <c r="K316" t="s">
        <v>5</v>
      </c>
      <c r="L316" s="1">
        <v>2.4729999999999999</v>
      </c>
      <c r="M316" s="1">
        <v>3.57</v>
      </c>
      <c r="P316" s="1">
        <v>3.3000000000000002E-2</v>
      </c>
      <c r="Q316" s="1">
        <v>0.56299999999999994</v>
      </c>
      <c r="R316" s="1">
        <v>0.59299999999999997</v>
      </c>
      <c r="S316" s="17" t="s">
        <v>1346</v>
      </c>
      <c r="T316">
        <v>5</v>
      </c>
      <c r="U316" t="s">
        <v>1497</v>
      </c>
      <c r="V316" s="17" t="str">
        <f>HYPERLINK("http://exon.niaid.nih.gov/transcriptome/T_rubida/S2/links/tmhmm/TRIRU-607-tmhmm.txt","1")</f>
        <v>1</v>
      </c>
      <c r="W316">
        <v>76.2</v>
      </c>
      <c r="X316">
        <v>19</v>
      </c>
      <c r="Y316">
        <v>4.8</v>
      </c>
      <c r="Z316">
        <v>1</v>
      </c>
      <c r="AA316">
        <v>1</v>
      </c>
      <c r="AB316" s="17" t="str">
        <f>HYPERLINK("http://exon.niaid.nih.gov/transcriptome/T_rubida/S2/links/netoglyc/TRIRU-607-netoglyc.txt","0")</f>
        <v>0</v>
      </c>
      <c r="AC316">
        <v>4.8</v>
      </c>
      <c r="AD316" t="s">
        <v>1417</v>
      </c>
      <c r="AE316">
        <v>4.8</v>
      </c>
      <c r="AF316" s="17" t="s">
        <v>5</v>
      </c>
      <c r="AG316" s="2" t="str">
        <f>HYPERLINK("http://exon.niaid.nih.gov/transcriptome/T_rubida/S2/links/NR/Triru-607-NR.txt","Transmembrane protein 167A")</f>
        <v>Transmembrane protein 167A</v>
      </c>
      <c r="AH316" t="str">
        <f>HYPERLINK("http://www.ncbi.nlm.nih.gov/sutils/blink.cgi?pid=332026062","1.0")</f>
        <v>1.0</v>
      </c>
      <c r="AI316" t="str">
        <f>HYPERLINK("http://www.ncbi.nlm.nih.gov/protein/332026062","gi|332026062")</f>
        <v>gi|332026062</v>
      </c>
      <c r="AJ316">
        <v>36.6</v>
      </c>
      <c r="AK316">
        <v>19</v>
      </c>
      <c r="AL316">
        <v>75</v>
      </c>
      <c r="AM316">
        <v>65</v>
      </c>
      <c r="AN316">
        <v>27</v>
      </c>
      <c r="AO316" t="s">
        <v>300</v>
      </c>
      <c r="AP316" s="2" t="str">
        <f>HYPERLINK("http://exon.niaid.nih.gov/transcriptome/T_rubida/S2/links/SWISSP/Triru-607-SWISSP.txt","Protein kish-A")</f>
        <v>Protein kish-A</v>
      </c>
      <c r="AQ316" t="str">
        <f>HYPERLINK("http://www.uniprot.org/uniprot/Q5BJC2","0.43")</f>
        <v>0.43</v>
      </c>
      <c r="AR316" t="s">
        <v>301</v>
      </c>
      <c r="AS316">
        <v>33.1</v>
      </c>
      <c r="AT316">
        <v>17</v>
      </c>
      <c r="AU316">
        <v>72</v>
      </c>
      <c r="AV316">
        <v>61</v>
      </c>
      <c r="AW316">
        <v>25</v>
      </c>
      <c r="AX316">
        <v>7</v>
      </c>
      <c r="AY316">
        <v>0</v>
      </c>
      <c r="AZ316">
        <v>53</v>
      </c>
      <c r="BA316">
        <v>2</v>
      </c>
      <c r="BB316">
        <v>1</v>
      </c>
      <c r="BC316" t="s">
        <v>165</v>
      </c>
      <c r="BD316" s="2" t="s">
        <v>5</v>
      </c>
      <c r="BE316" t="s">
        <v>5</v>
      </c>
      <c r="BF316" t="s">
        <v>5</v>
      </c>
      <c r="BG316" t="s">
        <v>5</v>
      </c>
      <c r="BH316" t="s">
        <v>5</v>
      </c>
      <c r="BI316" s="2" t="s">
        <v>5</v>
      </c>
      <c r="BJ316" t="s">
        <v>5</v>
      </c>
      <c r="BK316" t="s">
        <v>5</v>
      </c>
      <c r="BL316" s="2" t="str">
        <f>HYPERLINK("http://exon.niaid.nih.gov/transcriptome/T_rubida/S2/links/KOG/Triru-607-KOG.txt","Uncharacterized conserved protein")</f>
        <v>Uncharacterized conserved protein</v>
      </c>
      <c r="BM316" t="str">
        <f>HYPERLINK("http://www.ncbi.nlm.nih.gov/COG/grace/shokog.cgi?KOG3808","3.1")</f>
        <v>3.1</v>
      </c>
      <c r="BN316" t="s">
        <v>264</v>
      </c>
      <c r="BO316" s="2" t="s">
        <v>5</v>
      </c>
      <c r="BP316" t="s">
        <v>5</v>
      </c>
      <c r="BQ316" s="2" t="s">
        <v>5</v>
      </c>
      <c r="BR316" t="s">
        <v>5</v>
      </c>
      <c r="BS316" s="17">
        <f>HYPERLINK("http://exon.niaid.nih.gov/transcriptome/T_rubida/S2/links/cluster/Triru-pep-ext25-50-Sim-CLU1.txt", 1)</f>
        <v>1</v>
      </c>
      <c r="BT316" s="1">
        <f>HYPERLINK("http://exon.niaid.nih.gov/transcriptome/T_rubida/S2/links/cluster/Triru-pep-ext25-50-Sim-CLTL1.txt", 359)</f>
        <v>359</v>
      </c>
      <c r="BU316" s="17">
        <f>HYPERLINK("http://exon.niaid.nih.gov/transcriptome/T_rubida/S2/links/cluster/Triru-pep-ext30-50-Sim-CLU1.txt", 1)</f>
        <v>1</v>
      </c>
      <c r="BV316" s="1">
        <f>HYPERLINK("http://exon.niaid.nih.gov/transcriptome/T_rubida/S2/links/cluster/Triru-pep-ext30-50-Sim-CLTL1.txt", 225)</f>
        <v>225</v>
      </c>
      <c r="BW316" s="17">
        <v>353</v>
      </c>
      <c r="BX316" s="1">
        <v>1</v>
      </c>
      <c r="BY316" s="17">
        <v>388</v>
      </c>
      <c r="BZ316" s="1">
        <v>1</v>
      </c>
      <c r="CA316" s="17">
        <v>403</v>
      </c>
      <c r="CB316" s="1">
        <v>1</v>
      </c>
      <c r="CC316" s="17">
        <v>418</v>
      </c>
      <c r="CD316" s="1">
        <v>1</v>
      </c>
      <c r="CE316" s="17">
        <v>433</v>
      </c>
      <c r="CF316" s="1">
        <v>1</v>
      </c>
      <c r="CG316" s="17">
        <v>440</v>
      </c>
      <c r="CH316" s="1">
        <v>1</v>
      </c>
      <c r="CI316" s="17">
        <v>454</v>
      </c>
      <c r="CJ316" s="1">
        <v>1</v>
      </c>
      <c r="CK316" s="17">
        <v>460</v>
      </c>
      <c r="CL316" s="1">
        <v>1</v>
      </c>
      <c r="CM316" s="17">
        <v>472</v>
      </c>
      <c r="CN316" s="1">
        <v>1</v>
      </c>
      <c r="CO316" s="17">
        <v>484</v>
      </c>
      <c r="CP316" s="1">
        <v>1</v>
      </c>
      <c r="CQ316" s="17">
        <v>494</v>
      </c>
      <c r="CR316" s="1">
        <v>1</v>
      </c>
      <c r="CS316" s="17">
        <v>507</v>
      </c>
      <c r="CT316" s="1">
        <v>1</v>
      </c>
      <c r="CU316" s="17">
        <v>519</v>
      </c>
      <c r="CV316" s="1">
        <v>1</v>
      </c>
    </row>
    <row r="317" spans="1:100">
      <c r="A317" t="str">
        <f>HYPERLINK("http://exon.niaid.nih.gov/transcriptome/T_rubida/S2/links/pep/Triru-305-pep.txt","Triru-305")</f>
        <v>Triru-305</v>
      </c>
      <c r="B317">
        <v>66</v>
      </c>
      <c r="C317" s="1" t="s">
        <v>6</v>
      </c>
      <c r="D317" s="1" t="s">
        <v>3</v>
      </c>
      <c r="E317" t="str">
        <f>HYPERLINK("http://exon.niaid.nih.gov/transcriptome/T_rubida/S2/links/cds/Triru-305-cds.txt","Triru-305")</f>
        <v>Triru-305</v>
      </c>
      <c r="F317">
        <v>201</v>
      </c>
      <c r="G317" s="2" t="s">
        <v>1762</v>
      </c>
      <c r="H317" s="1">
        <v>1</v>
      </c>
      <c r="I317" s="3" t="s">
        <v>1266</v>
      </c>
      <c r="J317" s="17" t="str">
        <f>HYPERLINK("http://exon.niaid.nih.gov/transcriptome/T_rubida/S2/links/Sigp/Triru-305-SigP.txt","CYT")</f>
        <v>CYT</v>
      </c>
      <c r="K317" t="s">
        <v>5</v>
      </c>
      <c r="L317" s="1">
        <v>8.1479999999999997</v>
      </c>
      <c r="M317" s="1">
        <v>9.06</v>
      </c>
      <c r="P317" s="1">
        <v>1.2999999999999999E-2</v>
      </c>
      <c r="Q317" s="1">
        <v>0.98499999999999999</v>
      </c>
      <c r="R317" s="1">
        <v>7.9000000000000001E-2</v>
      </c>
      <c r="S317" s="17" t="s">
        <v>18</v>
      </c>
      <c r="T317">
        <v>1</v>
      </c>
      <c r="U317" t="s">
        <v>1498</v>
      </c>
      <c r="V317" s="17" t="str">
        <f>HYPERLINK("http://exon.niaid.nih.gov/transcriptome/T_rubida/S2/links/tmhmm/TRIRU-305-tmhmm.txt","2")</f>
        <v>2</v>
      </c>
      <c r="W317">
        <v>66.7</v>
      </c>
      <c r="X317">
        <v>22.7</v>
      </c>
      <c r="Y317">
        <v>10.6</v>
      </c>
      <c r="Z317">
        <v>1</v>
      </c>
      <c r="AA317">
        <v>2</v>
      </c>
      <c r="AB317" s="17" t="s">
        <v>5</v>
      </c>
      <c r="AC317" t="s">
        <v>5</v>
      </c>
      <c r="AD317" t="s">
        <v>5</v>
      </c>
      <c r="AE317" t="s">
        <v>5</v>
      </c>
      <c r="AF317" s="17" t="s">
        <v>5</v>
      </c>
      <c r="AG317" s="2" t="str">
        <f>HYPERLINK("http://exon.niaid.nih.gov/transcriptome/T_rubida/S2/links/NR/Triru-305-NR.txt","NADH dehydrogenase subunit 2")</f>
        <v>NADH dehydrogenase subunit 2</v>
      </c>
      <c r="AH317" t="str">
        <f>HYPERLINK("http://www.ncbi.nlm.nih.gov/sutils/blink.cgi?pid=302151389","0.42")</f>
        <v>0.42</v>
      </c>
      <c r="AI317" t="str">
        <f>HYPERLINK("http://www.ncbi.nlm.nih.gov/protein/302151389","gi|302151389")</f>
        <v>gi|302151389</v>
      </c>
      <c r="AJ317">
        <v>38.1</v>
      </c>
      <c r="AK317">
        <v>66</v>
      </c>
      <c r="AL317">
        <v>252</v>
      </c>
      <c r="AM317">
        <v>23</v>
      </c>
      <c r="AN317">
        <v>27</v>
      </c>
      <c r="AO317" t="s">
        <v>506</v>
      </c>
      <c r="AP317" s="2" t="str">
        <f>HYPERLINK("http://exon.niaid.nih.gov/transcriptome/T_rubida/S2/links/SWISSP/Triru-305-SWISSP.txt","Uncharacterized transporter BU466")</f>
        <v>Uncharacterized transporter BU466</v>
      </c>
      <c r="AQ317" t="str">
        <f>HYPERLINK("http://www.uniprot.org/uniprot/P57538","1.9")</f>
        <v>1.9</v>
      </c>
      <c r="AR317" t="s">
        <v>385</v>
      </c>
      <c r="AS317">
        <v>31.2</v>
      </c>
      <c r="AT317">
        <v>61</v>
      </c>
      <c r="AU317">
        <v>390</v>
      </c>
      <c r="AV317">
        <v>35</v>
      </c>
      <c r="AW317">
        <v>16</v>
      </c>
      <c r="AX317">
        <v>42</v>
      </c>
      <c r="AY317">
        <v>6</v>
      </c>
      <c r="AZ317">
        <v>205</v>
      </c>
      <c r="BA317">
        <v>5</v>
      </c>
      <c r="BB317">
        <v>1</v>
      </c>
      <c r="BC317" t="s">
        <v>386</v>
      </c>
      <c r="BD317" s="2" t="s">
        <v>5</v>
      </c>
      <c r="BE317" t="s">
        <v>5</v>
      </c>
      <c r="BF317" t="s">
        <v>5</v>
      </c>
      <c r="BG317" t="s">
        <v>5</v>
      </c>
      <c r="BH317" t="s">
        <v>5</v>
      </c>
      <c r="BI317" s="2" t="s">
        <v>5</v>
      </c>
      <c r="BJ317" t="s">
        <v>5</v>
      </c>
      <c r="BK317" t="s">
        <v>5</v>
      </c>
      <c r="BL317" s="2" t="str">
        <f>HYPERLINK("http://exon.niaid.nih.gov/transcriptome/T_rubida/S2/links/KOG/Triru-305-KOG.txt","Ras1 guanine nucleotide exchange factor")</f>
        <v>Ras1 guanine nucleotide exchange factor</v>
      </c>
      <c r="BM317" t="str">
        <f>HYPERLINK("http://www.ncbi.nlm.nih.gov/COG/grace/shokog.cgi?KOG3417","4.5")</f>
        <v>4.5</v>
      </c>
      <c r="BN317" t="s">
        <v>179</v>
      </c>
      <c r="BO317" s="2" t="s">
        <v>5</v>
      </c>
      <c r="BP317" t="s">
        <v>5</v>
      </c>
      <c r="BQ317" s="2" t="str">
        <f>HYPERLINK("http://exon.niaid.nih.gov/transcriptome/T_rubida/S2/links/SMART/Triru-305-SMART.txt","ZP")</f>
        <v>ZP</v>
      </c>
      <c r="BR317" t="str">
        <f>HYPERLINK("http://smart.embl-heidelberg.de/smart/do_annotation.pl?DOMAIN=ZP&amp;BLAST=DUMMY","2.8")</f>
        <v>2.8</v>
      </c>
      <c r="BS317" s="17">
        <f>HYPERLINK("http://exon.niaid.nih.gov/transcriptome/T_rubida/S2/links/cluster/Triru-pep-ext25-50-Sim-CLU1.txt", 1)</f>
        <v>1</v>
      </c>
      <c r="BT317" s="1">
        <f>HYPERLINK("http://exon.niaid.nih.gov/transcriptome/T_rubida/S2/links/cluster/Triru-pep-ext25-50-Sim-CLTL1.txt", 359)</f>
        <v>359</v>
      </c>
      <c r="BU317" s="17">
        <f>HYPERLINK("http://exon.niaid.nih.gov/transcriptome/T_rubida/S2/links/cluster/Triru-pep-ext30-50-Sim-CLU1.txt", 1)</f>
        <v>1</v>
      </c>
      <c r="BV317" s="1">
        <f>HYPERLINK("http://exon.niaid.nih.gov/transcriptome/T_rubida/S2/links/cluster/Triru-pep-ext30-50-Sim-CLTL1.txt", 225)</f>
        <v>225</v>
      </c>
      <c r="BW317" s="17">
        <f>HYPERLINK("http://exon.niaid.nih.gov/transcriptome/T_rubida/S2/links/cluster/Triru-pep-ext35-50-Sim-CLU5.txt", 5)</f>
        <v>5</v>
      </c>
      <c r="BX317" s="1">
        <f>HYPERLINK("http://exon.niaid.nih.gov/transcriptome/T_rubida/S2/links/cluster/Triru-pep-ext35-50-Sim-CLTL5.txt", 5)</f>
        <v>5</v>
      </c>
      <c r="BY317" s="17">
        <f>HYPERLINK("http://exon.niaid.nih.gov/transcriptome/T_rubida/S2/links/cluster/Triru-pep-ext40-50-Sim-CLU17.txt", 17)</f>
        <v>17</v>
      </c>
      <c r="BZ317" s="1">
        <f>HYPERLINK("http://exon.niaid.nih.gov/transcriptome/T_rubida/S2/links/cluster/Triru-pep-ext40-50-Sim-CLTL17.txt", 2)</f>
        <v>2</v>
      </c>
      <c r="CA317" s="17">
        <v>186</v>
      </c>
      <c r="CB317" s="1">
        <v>1</v>
      </c>
      <c r="CC317" s="17">
        <v>191</v>
      </c>
      <c r="CD317" s="1">
        <v>1</v>
      </c>
      <c r="CE317" s="17">
        <v>197</v>
      </c>
      <c r="CF317" s="1">
        <v>1</v>
      </c>
      <c r="CG317" s="17">
        <v>199</v>
      </c>
      <c r="CH317" s="1">
        <v>1</v>
      </c>
      <c r="CI317" s="17">
        <v>208</v>
      </c>
      <c r="CJ317" s="1">
        <v>1</v>
      </c>
      <c r="CK317" s="17">
        <v>213</v>
      </c>
      <c r="CL317" s="1">
        <v>1</v>
      </c>
      <c r="CM317" s="17">
        <v>219</v>
      </c>
      <c r="CN317" s="1">
        <v>1</v>
      </c>
      <c r="CO317" s="17">
        <v>230</v>
      </c>
      <c r="CP317" s="1">
        <v>1</v>
      </c>
      <c r="CQ317" s="17">
        <v>240</v>
      </c>
      <c r="CR317" s="1">
        <v>1</v>
      </c>
      <c r="CS317" s="17">
        <v>249</v>
      </c>
      <c r="CT317" s="1">
        <v>1</v>
      </c>
      <c r="CU317" s="17">
        <v>260</v>
      </c>
      <c r="CV317" s="1">
        <v>1</v>
      </c>
    </row>
    <row r="318" spans="1:100">
      <c r="A318" t="str">
        <f>HYPERLINK("http://exon.niaid.nih.gov/transcriptome/T_rubida/S2/links/pep/Triru-616-pep.txt","Triru-616")</f>
        <v>Triru-616</v>
      </c>
      <c r="B318">
        <v>144</v>
      </c>
      <c r="C318" s="1" t="s">
        <v>4</v>
      </c>
      <c r="D318" s="1" t="s">
        <v>3</v>
      </c>
      <c r="E318" t="str">
        <f>HYPERLINK("http://exon.niaid.nih.gov/transcriptome/T_rubida/S2/links/cds/Triru-616-cds.txt","Triru-616")</f>
        <v>Triru-616</v>
      </c>
      <c r="F318">
        <v>435</v>
      </c>
      <c r="G318" s="2" t="s">
        <v>1763</v>
      </c>
      <c r="H318" s="1">
        <v>1</v>
      </c>
      <c r="I318" s="3" t="s">
        <v>1266</v>
      </c>
      <c r="J318" s="17" t="str">
        <f>HYPERLINK("http://exon.niaid.nih.gov/transcriptome/T_rubida/S2/links/Sigp/Triru-616-SigP.txt","CYT")</f>
        <v>CYT</v>
      </c>
      <c r="K318" t="s">
        <v>5</v>
      </c>
      <c r="L318" s="1">
        <v>15.476000000000001</v>
      </c>
      <c r="M318" s="1">
        <v>3.7</v>
      </c>
      <c r="P318" s="1">
        <v>5.5E-2</v>
      </c>
      <c r="Q318" s="1">
        <v>6.8000000000000005E-2</v>
      </c>
      <c r="R318" s="1">
        <v>0.94299999999999995</v>
      </c>
      <c r="S318" s="17" t="s">
        <v>1346</v>
      </c>
      <c r="T318">
        <v>1</v>
      </c>
      <c r="U318" t="s">
        <v>1348</v>
      </c>
      <c r="V318" s="17">
        <v>0</v>
      </c>
      <c r="W318" t="s">
        <v>5</v>
      </c>
      <c r="X318" t="s">
        <v>5</v>
      </c>
      <c r="Y318" t="s">
        <v>5</v>
      </c>
      <c r="Z318" t="s">
        <v>5</v>
      </c>
      <c r="AA318" t="s">
        <v>5</v>
      </c>
      <c r="AB318" s="17" t="str">
        <f>HYPERLINK("http://exon.niaid.nih.gov/transcriptome/T_rubida/S2/links/netoglyc/TRIRU-616-netoglyc.txt","9")</f>
        <v>9</v>
      </c>
      <c r="AC318">
        <v>22.2</v>
      </c>
      <c r="AD318">
        <v>3.5</v>
      </c>
      <c r="AE318">
        <v>8.3000000000000007</v>
      </c>
      <c r="AF318" s="17" t="s">
        <v>5</v>
      </c>
      <c r="AG318" s="2" t="str">
        <f>HYPERLINK("http://exon.niaid.nih.gov/transcriptome/T_rubida/S2/links/NR/Triru-616-NR.txt","X-box-binding protein 1")</f>
        <v>X-box-binding protein 1</v>
      </c>
      <c r="AH318" t="str">
        <f>HYPERLINK("http://www.ncbi.nlm.nih.gov/sutils/blink.cgi?pid=307174008","0.32")</f>
        <v>0.32</v>
      </c>
      <c r="AI318" t="str">
        <f>HYPERLINK("http://www.ncbi.nlm.nih.gov/protein/307174008","gi|307174008")</f>
        <v>gi|307174008</v>
      </c>
      <c r="AJ318">
        <v>38.5</v>
      </c>
      <c r="AK318">
        <v>136</v>
      </c>
      <c r="AL318">
        <v>501</v>
      </c>
      <c r="AM318">
        <v>30</v>
      </c>
      <c r="AN318">
        <v>27</v>
      </c>
      <c r="AO318" t="s">
        <v>142</v>
      </c>
      <c r="AP318" s="2" t="str">
        <f>HYPERLINK("http://exon.niaid.nih.gov/transcriptome/T_rubida/S2/links/SWISSP/Triru-616-SWISSP.txt","Topoisomerase I damage affected protein 7")</f>
        <v>Topoisomerase I damage affected protein 7</v>
      </c>
      <c r="AQ318" t="str">
        <f>HYPERLINK("http://www.uniprot.org/uniprot/E7QJS8","0.24")</f>
        <v>0.24</v>
      </c>
      <c r="AR318" t="s">
        <v>255</v>
      </c>
      <c r="AS318">
        <v>34.299999999999997</v>
      </c>
      <c r="AT318">
        <v>111</v>
      </c>
      <c r="AU318">
        <v>636</v>
      </c>
      <c r="AV318">
        <v>26</v>
      </c>
      <c r="AW318">
        <v>18</v>
      </c>
      <c r="AX318">
        <v>84</v>
      </c>
      <c r="AY318">
        <v>6</v>
      </c>
      <c r="AZ318">
        <v>10</v>
      </c>
      <c r="BA318">
        <v>34</v>
      </c>
      <c r="BB318">
        <v>1</v>
      </c>
      <c r="BC318" t="s">
        <v>256</v>
      </c>
      <c r="BD318" s="2" t="s">
        <v>5</v>
      </c>
      <c r="BE318" t="s">
        <v>5</v>
      </c>
      <c r="BF318" t="s">
        <v>5</v>
      </c>
      <c r="BG318" t="s">
        <v>5</v>
      </c>
      <c r="BH318" t="s">
        <v>5</v>
      </c>
      <c r="BI318" s="2" t="str">
        <f>HYPERLINK("http://exon.niaid.nih.gov/transcriptome/T_rubida/S2/links/CDD/Triru-616-CDD.txt","NDP-sugDHase")</f>
        <v>NDP-sugDHase</v>
      </c>
      <c r="BJ318" t="str">
        <f>HYPERLINK("http://www.ncbi.nlm.nih.gov/Structure/cdd/cddsrv.cgi?uid=TIGR03026&amp;version=v4.0","4E-004")</f>
        <v>4E-004</v>
      </c>
      <c r="BK318" t="s">
        <v>257</v>
      </c>
      <c r="BL318" s="2" t="str">
        <f>HYPERLINK("http://exon.niaid.nih.gov/transcriptome/T_rubida/S2/links/KOG/Triru-616-KOG.txt","N-myristoyl transferase")</f>
        <v>N-myristoyl transferase</v>
      </c>
      <c r="BM318" t="str">
        <f>HYPERLINK("http://www.ncbi.nlm.nih.gov/COG/grace/shokog.cgi?KOG2779","4.3")</f>
        <v>4.3</v>
      </c>
      <c r="BN318" t="s">
        <v>88</v>
      </c>
      <c r="BO318" s="2" t="str">
        <f>HYPERLINK("http://exon.niaid.nih.gov/transcriptome/T_rubida/S2/links/PFAM/Triru-616-PFAM.txt","UDPG_MGDP_dh_N")</f>
        <v>UDPG_MGDP_dh_N</v>
      </c>
      <c r="BP318" t="str">
        <f>HYPERLINK("http://pfam.sanger.ac.uk/family?acc=PF03721","0.002")</f>
        <v>0.002</v>
      </c>
      <c r="BQ318" s="2" t="str">
        <f>HYPERLINK("http://exon.niaid.nih.gov/transcriptome/T_rubida/S2/links/SMART/Triru-616-SMART.txt","BTP")</f>
        <v>BTP</v>
      </c>
      <c r="BR318" t="str">
        <f>HYPERLINK("http://smart.embl-heidelberg.de/smart/do_annotation.pl?DOMAIN=BTP&amp;BLAST=DUMMY","1.6")</f>
        <v>1.6</v>
      </c>
      <c r="BS318" s="17">
        <v>182</v>
      </c>
      <c r="BT318" s="1">
        <v>1</v>
      </c>
      <c r="BU318" s="17">
        <v>279</v>
      </c>
      <c r="BV318" s="1">
        <v>1</v>
      </c>
      <c r="BW318" s="17">
        <v>361</v>
      </c>
      <c r="BX318" s="1">
        <v>1</v>
      </c>
      <c r="BY318" s="17">
        <v>396</v>
      </c>
      <c r="BZ318" s="1">
        <v>1</v>
      </c>
      <c r="CA318" s="17">
        <v>411</v>
      </c>
      <c r="CB318" s="1">
        <v>1</v>
      </c>
      <c r="CC318" s="17">
        <v>426</v>
      </c>
      <c r="CD318" s="1">
        <v>1</v>
      </c>
      <c r="CE318" s="17">
        <v>441</v>
      </c>
      <c r="CF318" s="1">
        <v>1</v>
      </c>
      <c r="CG318" s="17">
        <v>448</v>
      </c>
      <c r="CH318" s="1">
        <v>1</v>
      </c>
      <c r="CI318" s="17">
        <v>462</v>
      </c>
      <c r="CJ318" s="1">
        <v>1</v>
      </c>
      <c r="CK318" s="17">
        <v>468</v>
      </c>
      <c r="CL318" s="1">
        <v>1</v>
      </c>
      <c r="CM318" s="17">
        <v>480</v>
      </c>
      <c r="CN318" s="1">
        <v>1</v>
      </c>
      <c r="CO318" s="17">
        <v>492</v>
      </c>
      <c r="CP318" s="1">
        <v>1</v>
      </c>
      <c r="CQ318" s="17">
        <v>502</v>
      </c>
      <c r="CR318" s="1">
        <v>1</v>
      </c>
      <c r="CS318" s="17">
        <v>515</v>
      </c>
      <c r="CT318" s="1">
        <v>1</v>
      </c>
      <c r="CU318" s="17">
        <v>527</v>
      </c>
      <c r="CV318" s="1">
        <v>1</v>
      </c>
    </row>
    <row r="319" spans="1:100">
      <c r="A319" t="str">
        <f>HYPERLINK("http://exon.niaid.nih.gov/transcriptome/T_rubida/S2/links/pep/Triru-341-pep.txt","Triru-341")</f>
        <v>Triru-341</v>
      </c>
      <c r="B319">
        <v>45</v>
      </c>
      <c r="C319" s="1" t="s">
        <v>9</v>
      </c>
      <c r="D319" s="1" t="s">
        <v>3</v>
      </c>
      <c r="E319" t="str">
        <f>HYPERLINK("http://exon.niaid.nih.gov/transcriptome/T_rubida/S2/links/cds/Triru-341-cds.txt","Triru-341")</f>
        <v>Triru-341</v>
      </c>
      <c r="F319">
        <v>138</v>
      </c>
      <c r="G319" s="2" t="s">
        <v>1764</v>
      </c>
      <c r="H319" s="1">
        <v>1</v>
      </c>
      <c r="I319" s="3" t="s">
        <v>1266</v>
      </c>
      <c r="J319" s="17" t="str">
        <f>HYPERLINK("http://exon.niaid.nih.gov/transcriptome/T_rubida/S2/links/Sigp/Triru-341-SigP.txt","CYT")</f>
        <v>CYT</v>
      </c>
      <c r="K319" t="s">
        <v>5</v>
      </c>
      <c r="L319" s="1">
        <v>4.8280000000000003</v>
      </c>
      <c r="M319" s="1">
        <v>5.45</v>
      </c>
      <c r="P319" s="1">
        <v>0.113</v>
      </c>
      <c r="Q319" s="1">
        <v>4.9000000000000002E-2</v>
      </c>
      <c r="R319" s="1">
        <v>0.89400000000000002</v>
      </c>
      <c r="S319" s="17" t="s">
        <v>1346</v>
      </c>
      <c r="T319">
        <v>2</v>
      </c>
      <c r="U319" t="s">
        <v>1348</v>
      </c>
      <c r="V319" s="17">
        <v>0</v>
      </c>
      <c r="W319" t="s">
        <v>5</v>
      </c>
      <c r="X319" t="s">
        <v>5</v>
      </c>
      <c r="Y319" t="s">
        <v>5</v>
      </c>
      <c r="Z319" t="s">
        <v>5</v>
      </c>
      <c r="AA319" t="s">
        <v>5</v>
      </c>
      <c r="AB319" s="17" t="str">
        <f>HYPERLINK("http://exon.niaid.nih.gov/transcriptome/T_rubida/S2/links/netoglyc/TRIRU-341-netoglyc.txt","0")</f>
        <v>0</v>
      </c>
      <c r="AC319">
        <v>15.6</v>
      </c>
      <c r="AD319">
        <v>11.1</v>
      </c>
      <c r="AE319">
        <v>8.9</v>
      </c>
      <c r="AF319" s="17" t="s">
        <v>5</v>
      </c>
      <c r="AG319" s="2" t="str">
        <f>HYPERLINK("http://exon.niaid.nih.gov/transcriptome/T_rubida/S2/links/NR/Triru-341-NR.txt","RING finger motif containing protein")</f>
        <v>RING finger motif containing protein</v>
      </c>
      <c r="AH319" t="str">
        <f>HYPERLINK("http://www.ncbi.nlm.nih.gov/sutils/blink.cgi?pid=241601356","5E-005")</f>
        <v>5E-005</v>
      </c>
      <c r="AI319" t="str">
        <f>HYPERLINK("http://www.ncbi.nlm.nih.gov/protein/241601356","gi|241601356")</f>
        <v>gi|241601356</v>
      </c>
      <c r="AJ319">
        <v>51.2</v>
      </c>
      <c r="AK319">
        <v>36</v>
      </c>
      <c r="AL319">
        <v>145</v>
      </c>
      <c r="AM319">
        <v>59</v>
      </c>
      <c r="AN319">
        <v>26</v>
      </c>
      <c r="AO319" t="s">
        <v>810</v>
      </c>
      <c r="AP319" s="2" t="str">
        <f>HYPERLINK("http://exon.niaid.nih.gov/transcriptome/T_rubida/S2/links/SWISSP/Triru-341-SWISSP.txt","RING finger protein 11")</f>
        <v>RING finger protein 11</v>
      </c>
      <c r="AQ319" t="str">
        <f>HYPERLINK("http://www.uniprot.org/uniprot/Q9QYK7","0.009")</f>
        <v>0.009</v>
      </c>
      <c r="AR319" t="s">
        <v>811</v>
      </c>
      <c r="AS319">
        <v>38.9</v>
      </c>
      <c r="AT319">
        <v>40</v>
      </c>
      <c r="AU319">
        <v>154</v>
      </c>
      <c r="AV319">
        <v>48</v>
      </c>
      <c r="AW319">
        <v>27</v>
      </c>
      <c r="AX319">
        <v>21</v>
      </c>
      <c r="AY319">
        <v>4</v>
      </c>
      <c r="AZ319">
        <v>1</v>
      </c>
      <c r="BA319">
        <v>1</v>
      </c>
      <c r="BB319">
        <v>1</v>
      </c>
      <c r="BC319" t="s">
        <v>75</v>
      </c>
      <c r="BD319" s="2" t="s">
        <v>5</v>
      </c>
      <c r="BE319" t="s">
        <v>5</v>
      </c>
      <c r="BF319" t="s">
        <v>5</v>
      </c>
      <c r="BG319" t="s">
        <v>5</v>
      </c>
      <c r="BH319" t="s">
        <v>5</v>
      </c>
      <c r="BI319" s="2" t="str">
        <f>HYPERLINK("http://exon.niaid.nih.gov/transcriptome/T_rubida/S2/links/CDD/Triru-341-CDD.txt","SDP_N")</f>
        <v>SDP_N</v>
      </c>
      <c r="BJ319" t="str">
        <f>HYPERLINK("http://www.ncbi.nlm.nih.gov/Structure/cdd/cddsrv.cgi?uid=pfam12278&amp;version=v4.0","3.6")</f>
        <v>3.6</v>
      </c>
      <c r="BK319" t="s">
        <v>812</v>
      </c>
      <c r="BL319" s="2" t="s">
        <v>5</v>
      </c>
      <c r="BM319" t="s">
        <v>5</v>
      </c>
      <c r="BN319" t="s">
        <v>5</v>
      </c>
      <c r="BO319" s="2" t="str">
        <f>HYPERLINK("http://exon.niaid.nih.gov/transcriptome/T_rubida/S2/links/PFAM/Triru-341-PFAM.txt","SDP_N")</f>
        <v>SDP_N</v>
      </c>
      <c r="BP319" t="str">
        <f>HYPERLINK("http://pfam.sanger.ac.uk/family?acc=PF12278","0.78")</f>
        <v>0.78</v>
      </c>
      <c r="BQ319" s="2" t="str">
        <f>HYPERLINK("http://exon.niaid.nih.gov/transcriptome/T_rubida/S2/links/SMART/Triru-341-SMART.txt","MeTrc")</f>
        <v>MeTrc</v>
      </c>
      <c r="BR319" t="str">
        <f>HYPERLINK("http://smart.embl-heidelberg.de/smart/do_annotation.pl?DOMAIN=MeTrc&amp;BLAST=DUMMY","4.8")</f>
        <v>4.8</v>
      </c>
      <c r="BS319" s="17">
        <v>102</v>
      </c>
      <c r="BT319" s="1">
        <v>1</v>
      </c>
      <c r="BU319" s="17">
        <v>159</v>
      </c>
      <c r="BV319" s="1">
        <v>1</v>
      </c>
      <c r="BW319" s="17">
        <v>192</v>
      </c>
      <c r="BX319" s="1">
        <v>1</v>
      </c>
      <c r="BY319" s="17">
        <v>204</v>
      </c>
      <c r="BZ319" s="1">
        <v>1</v>
      </c>
      <c r="CA319" s="17">
        <v>210</v>
      </c>
      <c r="CB319" s="1">
        <v>1</v>
      </c>
      <c r="CC319" s="17">
        <v>215</v>
      </c>
      <c r="CD319" s="1">
        <v>1</v>
      </c>
      <c r="CE319" s="17">
        <v>221</v>
      </c>
      <c r="CF319" s="1">
        <v>1</v>
      </c>
      <c r="CG319" s="17">
        <v>223</v>
      </c>
      <c r="CH319" s="1">
        <v>1</v>
      </c>
      <c r="CI319" s="17">
        <v>233</v>
      </c>
      <c r="CJ319" s="1">
        <v>1</v>
      </c>
      <c r="CK319" s="17">
        <v>238</v>
      </c>
      <c r="CL319" s="1">
        <v>1</v>
      </c>
      <c r="CM319" s="17">
        <v>245</v>
      </c>
      <c r="CN319" s="1">
        <v>1</v>
      </c>
      <c r="CO319" s="17">
        <v>256</v>
      </c>
      <c r="CP319" s="1">
        <v>1</v>
      </c>
      <c r="CQ319" s="17">
        <v>266</v>
      </c>
      <c r="CR319" s="1">
        <v>1</v>
      </c>
      <c r="CS319" s="17">
        <v>276</v>
      </c>
      <c r="CT319" s="1">
        <v>1</v>
      </c>
      <c r="CU319" s="17">
        <v>287</v>
      </c>
      <c r="CV319" s="1">
        <v>1</v>
      </c>
    </row>
    <row r="320" spans="1:100">
      <c r="A320" t="str">
        <f>HYPERLINK("http://exon.niaid.nih.gov/transcriptome/T_rubida/S2/links/pep/Triru-425-pep.txt","Triru-425")</f>
        <v>Triru-425</v>
      </c>
      <c r="B320">
        <v>47</v>
      </c>
      <c r="C320" s="1" t="s">
        <v>8</v>
      </c>
      <c r="D320" s="1" t="s">
        <v>3</v>
      </c>
      <c r="E320" t="str">
        <f>HYPERLINK("http://exon.niaid.nih.gov/transcriptome/T_rubida/S2/links/cds/Triru-425-cds.txt","Triru-425")</f>
        <v>Triru-425</v>
      </c>
      <c r="F320">
        <v>144</v>
      </c>
      <c r="G320" s="2" t="s">
        <v>1765</v>
      </c>
      <c r="H320" s="1">
        <v>1</v>
      </c>
      <c r="I320" s="3" t="s">
        <v>1266</v>
      </c>
      <c r="J320" s="17" t="str">
        <f>HYPERLINK("http://exon.niaid.nih.gov/transcriptome/T_rubida/S2/links/Sigp/Triru-425-SigP.txt","CYT")</f>
        <v>CYT</v>
      </c>
      <c r="K320" t="s">
        <v>5</v>
      </c>
      <c r="L320" s="1">
        <v>6.048</v>
      </c>
      <c r="M320" s="1">
        <v>8.8699999999999992</v>
      </c>
      <c r="P320" s="1">
        <v>0.17299999999999999</v>
      </c>
      <c r="Q320" s="1">
        <v>0.75</v>
      </c>
      <c r="R320" s="1">
        <v>8.4000000000000005E-2</v>
      </c>
      <c r="S320" s="17" t="s">
        <v>18</v>
      </c>
      <c r="T320">
        <v>3</v>
      </c>
      <c r="U320" t="s">
        <v>1499</v>
      </c>
      <c r="V320" s="17">
        <v>0</v>
      </c>
      <c r="W320" t="s">
        <v>5</v>
      </c>
      <c r="X320" t="s">
        <v>5</v>
      </c>
      <c r="Y320" t="s">
        <v>5</v>
      </c>
      <c r="Z320" t="s">
        <v>5</v>
      </c>
      <c r="AA320" t="s">
        <v>5</v>
      </c>
      <c r="AB320" s="17" t="str">
        <f>HYPERLINK("http://exon.niaid.nih.gov/transcriptome/T_rubida/S2/links/netoglyc/TRIRU-425-netoglyc.txt","0")</f>
        <v>0</v>
      </c>
      <c r="AC320">
        <v>10.6</v>
      </c>
      <c r="AD320" t="s">
        <v>1417</v>
      </c>
      <c r="AE320" t="s">
        <v>1394</v>
      </c>
      <c r="AF320" s="17" t="s">
        <v>5</v>
      </c>
      <c r="AG320" s="2" t="str">
        <f>HYPERLINK("http://exon.niaid.nih.gov/transcriptome/T_rubida/S2/links/NR/Triru-425-NR.txt","ATP synthase F0 subunit 6")</f>
        <v>ATP synthase F0 subunit 6</v>
      </c>
      <c r="AH320" t="str">
        <f>HYPERLINK("http://www.ncbi.nlm.nih.gov/sutils/blink.cgi?pid=302151394","0.19")</f>
        <v>0.19</v>
      </c>
      <c r="AI320" t="str">
        <f>HYPERLINK("http://www.ncbi.nlm.nih.gov/protein/302151394","gi|302151394")</f>
        <v>gi|302151394</v>
      </c>
      <c r="AJ320">
        <v>39.299999999999997</v>
      </c>
      <c r="AK320">
        <v>49</v>
      </c>
      <c r="AL320">
        <v>189</v>
      </c>
      <c r="AM320">
        <v>38</v>
      </c>
      <c r="AN320">
        <v>26</v>
      </c>
      <c r="AO320" t="s">
        <v>327</v>
      </c>
      <c r="AP320" s="2" t="str">
        <f>HYPERLINK("http://exon.niaid.nih.gov/transcriptome/T_rubida/S2/links/SWISSP/Triru-425-SWISSP.txt","Putative uncharacterized transmembrane protein DDB_G0280807")</f>
        <v>Putative uncharacterized transmembrane protein DDB_G0280807</v>
      </c>
      <c r="AQ320" t="str">
        <f>HYPERLINK("http://www.uniprot.org/uniprot/Q54UX2","7.2")</f>
        <v>7.2</v>
      </c>
      <c r="AR320" t="s">
        <v>350</v>
      </c>
      <c r="AS320">
        <v>29.3</v>
      </c>
      <c r="AT320">
        <v>41</v>
      </c>
      <c r="AU320">
        <v>159</v>
      </c>
      <c r="AV320">
        <v>27</v>
      </c>
      <c r="AW320">
        <v>26</v>
      </c>
      <c r="AX320">
        <v>32</v>
      </c>
      <c r="AY320">
        <v>2</v>
      </c>
      <c r="AZ320">
        <v>53</v>
      </c>
      <c r="BA320">
        <v>1</v>
      </c>
      <c r="BB320">
        <v>1</v>
      </c>
      <c r="BC320" t="s">
        <v>99</v>
      </c>
      <c r="BD320" s="2" t="s">
        <v>5</v>
      </c>
      <c r="BE320" t="s">
        <v>5</v>
      </c>
      <c r="BF320" t="s">
        <v>5</v>
      </c>
      <c r="BG320" t="s">
        <v>5</v>
      </c>
      <c r="BH320" t="s">
        <v>5</v>
      </c>
      <c r="BI320" s="2" t="s">
        <v>5</v>
      </c>
      <c r="BJ320" t="s">
        <v>5</v>
      </c>
      <c r="BK320" t="s">
        <v>5</v>
      </c>
      <c r="BL320" s="2" t="s">
        <v>5</v>
      </c>
      <c r="BM320" t="s">
        <v>5</v>
      </c>
      <c r="BN320" t="s">
        <v>5</v>
      </c>
      <c r="BO320" s="2" t="s">
        <v>5</v>
      </c>
      <c r="BP320" t="s">
        <v>5</v>
      </c>
      <c r="BQ320" s="2" t="str">
        <f>HYPERLINK("http://exon.niaid.nih.gov/transcriptome/T_rubida/S2/links/SMART/Triru-425-SMART.txt","Transket_pyr")</f>
        <v>Transket_pyr</v>
      </c>
      <c r="BR320" t="str">
        <f>HYPERLINK("http://smart.embl-heidelberg.de/smart/do_annotation.pl?DOMAIN=Transket_pyr&amp;BLAST=DUMMY","2.0")</f>
        <v>2.0</v>
      </c>
      <c r="BS320" s="17">
        <f>HYPERLINK("http://exon.niaid.nih.gov/transcriptome/T_rubida/S2/links/cluster/Triru-pep-ext25-50-Sim-CLU1.txt", 1)</f>
        <v>1</v>
      </c>
      <c r="BT320" s="1">
        <f>HYPERLINK("http://exon.niaid.nih.gov/transcriptome/T_rubida/S2/links/cluster/Triru-pep-ext25-50-Sim-CLTL1.txt", 359)</f>
        <v>359</v>
      </c>
      <c r="BU320" s="17">
        <f>HYPERLINK("http://exon.niaid.nih.gov/transcriptome/T_rubida/S2/links/cluster/Triru-pep-ext30-50-Sim-CLU1.txt", 1)</f>
        <v>1</v>
      </c>
      <c r="BV320" s="1">
        <f>HYPERLINK("http://exon.niaid.nih.gov/transcriptome/T_rubida/S2/links/cluster/Triru-pep-ext30-50-Sim-CLTL1.txt", 225)</f>
        <v>225</v>
      </c>
      <c r="BW320" s="17">
        <f>HYPERLINK("http://exon.niaid.nih.gov/transcriptome/T_rubida/S2/links/cluster/Triru-pep-ext35-50-Sim-CLU1.txt", 1)</f>
        <v>1</v>
      </c>
      <c r="BX320" s="1">
        <f>HYPERLINK("http://exon.niaid.nih.gov/transcriptome/T_rubida/S2/links/cluster/Triru-pep-ext35-50-Sim-CLTL1.txt", 75)</f>
        <v>75</v>
      </c>
      <c r="BY320" s="17">
        <f>HYPERLINK("http://exon.niaid.nih.gov/transcriptome/T_rubida/S2/links/cluster/Triru-pep-ext40-50-Sim-CLU4.txt", 4)</f>
        <v>4</v>
      </c>
      <c r="BZ320" s="1">
        <f>HYPERLINK("http://exon.niaid.nih.gov/transcriptome/T_rubida/S2/links/cluster/Triru-pep-ext40-50-Sim-CLTL4.txt", 6)</f>
        <v>6</v>
      </c>
      <c r="CA320" s="17">
        <f>HYPERLINK("http://exon.niaid.nih.gov/transcriptome/T_rubida/S2/links/cluster/Triru-pep-ext45-50-Sim-CLU4.txt", 4)</f>
        <v>4</v>
      </c>
      <c r="CB320" s="1">
        <f>HYPERLINK("http://exon.niaid.nih.gov/transcriptome/T_rubida/S2/links/cluster/Triru-pep-ext45-50-Sim-CLTL4.txt", 4)</f>
        <v>4</v>
      </c>
      <c r="CC320" s="17">
        <v>278</v>
      </c>
      <c r="CD320" s="1">
        <v>1</v>
      </c>
      <c r="CE320" s="17">
        <v>288</v>
      </c>
      <c r="CF320" s="1">
        <v>1</v>
      </c>
      <c r="CG320" s="17">
        <v>291</v>
      </c>
      <c r="CH320" s="1">
        <v>1</v>
      </c>
      <c r="CI320" s="17">
        <v>301</v>
      </c>
      <c r="CJ320" s="1">
        <v>1</v>
      </c>
      <c r="CK320" s="17">
        <v>307</v>
      </c>
      <c r="CL320" s="1">
        <v>1</v>
      </c>
      <c r="CM320" s="17">
        <v>315</v>
      </c>
      <c r="CN320" s="1">
        <v>1</v>
      </c>
      <c r="CO320" s="17">
        <v>327</v>
      </c>
      <c r="CP320" s="1">
        <v>1</v>
      </c>
      <c r="CQ320" s="17">
        <v>337</v>
      </c>
      <c r="CR320" s="1">
        <v>1</v>
      </c>
      <c r="CS320" s="17">
        <v>349</v>
      </c>
      <c r="CT320" s="1">
        <v>1</v>
      </c>
      <c r="CU320" s="17">
        <v>360</v>
      </c>
      <c r="CV320" s="1">
        <v>1</v>
      </c>
    </row>
    <row r="321" spans="1:100">
      <c r="A321" t="str">
        <f>HYPERLINK("http://exon.niaid.nih.gov/transcriptome/T_rubida/S2/links/pep/Triru-358-pep.txt","Triru-358")</f>
        <v>Triru-358</v>
      </c>
      <c r="B321">
        <v>72</v>
      </c>
      <c r="C321" s="1" t="s">
        <v>17</v>
      </c>
      <c r="D321" s="1" t="s">
        <v>3</v>
      </c>
      <c r="E321" t="str">
        <f>HYPERLINK("http://exon.niaid.nih.gov/transcriptome/T_rubida/S2/links/cds/Triru-358-cds.txt","Triru-358")</f>
        <v>Triru-358</v>
      </c>
      <c r="F321">
        <v>219</v>
      </c>
      <c r="G321" s="2" t="s">
        <v>1767</v>
      </c>
      <c r="H321" s="1">
        <v>1</v>
      </c>
      <c r="I321" s="3" t="s">
        <v>1266</v>
      </c>
      <c r="J321" s="17" t="str">
        <f>HYPERLINK("http://exon.niaid.nih.gov/transcriptome/T_rubida/S2/links/Sigp/Triru-358-SigP.txt","CYT")</f>
        <v>CYT</v>
      </c>
      <c r="K321" t="s">
        <v>5</v>
      </c>
      <c r="L321" s="1">
        <v>8.5530000000000008</v>
      </c>
      <c r="M321" s="1">
        <v>10.02</v>
      </c>
      <c r="P321" s="1">
        <v>0.72</v>
      </c>
      <c r="Q321" s="1">
        <v>3.6999999999999998E-2</v>
      </c>
      <c r="R321" s="1">
        <v>0.215</v>
      </c>
      <c r="S321" s="17" t="s">
        <v>9</v>
      </c>
      <c r="T321">
        <v>3</v>
      </c>
      <c r="U321" t="s">
        <v>1501</v>
      </c>
      <c r="V321" s="17">
        <v>0</v>
      </c>
      <c r="W321" t="s">
        <v>5</v>
      </c>
      <c r="X321" t="s">
        <v>5</v>
      </c>
      <c r="Y321" t="s">
        <v>5</v>
      </c>
      <c r="Z321" t="s">
        <v>5</v>
      </c>
      <c r="AA321" t="s">
        <v>5</v>
      </c>
      <c r="AB321" s="17" t="str">
        <f>HYPERLINK("http://exon.niaid.nih.gov/transcriptome/T_rubida/S2/links/netoglyc/TRIRU-358-netoglyc.txt","0")</f>
        <v>0</v>
      </c>
      <c r="AC321">
        <v>15.3</v>
      </c>
      <c r="AD321">
        <v>2.8</v>
      </c>
      <c r="AE321">
        <v>5.6</v>
      </c>
      <c r="AF321" s="17" t="s">
        <v>1502</v>
      </c>
      <c r="AG321" s="2" t="str">
        <f>HYPERLINK("http://exon.niaid.nih.gov/transcriptome/T_rubida/S2/links/NR/Triru-358-NR.txt","myogenic factor, putative")</f>
        <v>myogenic factor, putative</v>
      </c>
      <c r="AH321" t="str">
        <f>HYPERLINK("http://www.ncbi.nlm.nih.gov/sutils/blink.cgi?pid=242017454","30")</f>
        <v>30</v>
      </c>
      <c r="AI321" t="str">
        <f>HYPERLINK("http://www.ncbi.nlm.nih.gov/protein/242017454","gi|242017454")</f>
        <v>gi|242017454</v>
      </c>
      <c r="AJ321">
        <v>32</v>
      </c>
      <c r="AK321">
        <v>51</v>
      </c>
      <c r="AL321">
        <v>215</v>
      </c>
      <c r="AM321">
        <v>37</v>
      </c>
      <c r="AN321">
        <v>24</v>
      </c>
      <c r="AO321" t="s">
        <v>54</v>
      </c>
      <c r="AP321" s="2" t="str">
        <f>HYPERLINK("http://exon.niaid.nih.gov/transcriptome/T_rubida/S2/links/SWISSP/Triru-358-SWISSP.txt","Probable cation-transporting ATPase W08D2.5")</f>
        <v>Probable cation-transporting ATPase W08D2.5</v>
      </c>
      <c r="AQ321" t="str">
        <f>HYPERLINK("http://www.uniprot.org/uniprot/Q27533","21")</f>
        <v>21</v>
      </c>
      <c r="AR321" t="s">
        <v>1080</v>
      </c>
      <c r="AS321">
        <v>27.7</v>
      </c>
      <c r="AT321">
        <v>47</v>
      </c>
      <c r="AU321">
        <v>1256</v>
      </c>
      <c r="AV321">
        <v>36</v>
      </c>
      <c r="AW321">
        <v>4</v>
      </c>
      <c r="AX321">
        <v>33</v>
      </c>
      <c r="AY321">
        <v>5</v>
      </c>
      <c r="AZ321">
        <v>361</v>
      </c>
      <c r="BA321">
        <v>20</v>
      </c>
      <c r="BB321">
        <v>1</v>
      </c>
      <c r="BC321" t="s">
        <v>315</v>
      </c>
      <c r="BD321" s="2" t="s">
        <v>5</v>
      </c>
      <c r="BE321" t="s">
        <v>5</v>
      </c>
      <c r="BF321" t="s">
        <v>5</v>
      </c>
      <c r="BG321" t="s">
        <v>5</v>
      </c>
      <c r="BH321" t="s">
        <v>5</v>
      </c>
      <c r="BI321" s="2" t="str">
        <f>HYPERLINK("http://exon.niaid.nih.gov/transcriptome/T_rubida/S2/links/CDD/Triru-358-CDD.txt","PRK07318")</f>
        <v>PRK07318</v>
      </c>
      <c r="BJ321" t="str">
        <f>HYPERLINK("http://www.ncbi.nlm.nih.gov/Structure/cdd/cddsrv.cgi?uid=PRK07318&amp;version=v4.0","2.6")</f>
        <v>2.6</v>
      </c>
      <c r="BK321" t="s">
        <v>1081</v>
      </c>
      <c r="BL321" s="2" t="str">
        <f>HYPERLINK("http://exon.niaid.nih.gov/transcriptome/T_rubida/S2/links/KOG/Triru-358-KOG.txt","Uncharacterized conserved protein")</f>
        <v>Uncharacterized conserved protein</v>
      </c>
      <c r="BM321" t="str">
        <f>HYPERLINK("http://www.ncbi.nlm.nih.gov/COG/grace/shokog.cgi?KOG4383","3.2")</f>
        <v>3.2</v>
      </c>
      <c r="BN321" t="s">
        <v>264</v>
      </c>
      <c r="BO321" s="2" t="str">
        <f>HYPERLINK("http://exon.niaid.nih.gov/transcriptome/T_rubida/S2/links/PFAM/Triru-358-PFAM.txt","Pantoate_ligase")</f>
        <v>Pantoate_ligase</v>
      </c>
      <c r="BP321" t="str">
        <f>HYPERLINK("http://pfam.sanger.ac.uk/family?acc=PF02569","2.6")</f>
        <v>2.6</v>
      </c>
      <c r="BQ321" s="2" t="str">
        <f>HYPERLINK("http://exon.niaid.nih.gov/transcriptome/T_rubida/S2/links/SMART/Triru-358-SMART.txt","TOP1Ac")</f>
        <v>TOP1Ac</v>
      </c>
      <c r="BR321" t="str">
        <f>HYPERLINK("http://smart.embl-heidelberg.de/smart/do_annotation.pl?DOMAIN=TOP1Ac&amp;BLAST=DUMMY","1.3")</f>
        <v>1.3</v>
      </c>
      <c r="BS321" s="17">
        <v>107</v>
      </c>
      <c r="BT321" s="1">
        <v>1</v>
      </c>
      <c r="BU321" s="17">
        <v>166</v>
      </c>
      <c r="BV321" s="1">
        <v>1</v>
      </c>
      <c r="BW321" s="17">
        <v>201</v>
      </c>
      <c r="BX321" s="1">
        <v>1</v>
      </c>
      <c r="BY321" s="17">
        <v>216</v>
      </c>
      <c r="BZ321" s="1">
        <v>1</v>
      </c>
      <c r="CA321" s="17">
        <v>223</v>
      </c>
      <c r="CB321" s="1">
        <v>1</v>
      </c>
      <c r="CC321" s="17">
        <v>228</v>
      </c>
      <c r="CD321" s="1">
        <v>1</v>
      </c>
      <c r="CE321" s="17">
        <v>235</v>
      </c>
      <c r="CF321" s="1">
        <v>1</v>
      </c>
      <c r="CG321" s="17">
        <v>237</v>
      </c>
      <c r="CH321" s="1">
        <v>1</v>
      </c>
      <c r="CI321" s="17">
        <v>247</v>
      </c>
      <c r="CJ321" s="1">
        <v>1</v>
      </c>
      <c r="CK321" s="17">
        <v>252</v>
      </c>
      <c r="CL321" s="1">
        <v>1</v>
      </c>
      <c r="CM321" s="17">
        <v>260</v>
      </c>
      <c r="CN321" s="1">
        <v>1</v>
      </c>
      <c r="CO321" s="17">
        <v>271</v>
      </c>
      <c r="CP321" s="1">
        <v>1</v>
      </c>
      <c r="CQ321" s="17">
        <v>281</v>
      </c>
      <c r="CR321" s="1">
        <v>1</v>
      </c>
      <c r="CS321" s="17">
        <v>291</v>
      </c>
      <c r="CT321" s="1">
        <v>1</v>
      </c>
      <c r="CU321" s="17">
        <v>302</v>
      </c>
      <c r="CV321" s="1">
        <v>1</v>
      </c>
    </row>
    <row r="322" spans="1:100">
      <c r="A322" t="str">
        <f>HYPERLINK("http://exon.niaid.nih.gov/transcriptome/T_rubida/S2/links/pep/Triru-652-pep.txt","Triru-652")</f>
        <v>Triru-652</v>
      </c>
      <c r="B322">
        <v>37</v>
      </c>
      <c r="C322" s="1" t="s">
        <v>4</v>
      </c>
      <c r="D322" s="1" t="s">
        <v>3</v>
      </c>
      <c r="E322" t="str">
        <f>HYPERLINK("http://exon.niaid.nih.gov/transcriptome/T_rubida/S2/links/cds/Triru-652-cds.txt","Triru-652")</f>
        <v>Triru-652</v>
      </c>
      <c r="F322">
        <v>114</v>
      </c>
      <c r="G322" s="2" t="s">
        <v>1768</v>
      </c>
      <c r="H322" s="1">
        <v>1</v>
      </c>
      <c r="I322" s="3" t="s">
        <v>1266</v>
      </c>
      <c r="J322" s="17" t="str">
        <f>HYPERLINK("http://exon.niaid.nih.gov/transcriptome/T_rubida/S2/links/Sigp/Triru-652-SigP.txt","CYT")</f>
        <v>CYT</v>
      </c>
      <c r="K322" t="s">
        <v>5</v>
      </c>
      <c r="L322" s="1">
        <v>4.0819999999999999</v>
      </c>
      <c r="M322" s="1">
        <v>10.74</v>
      </c>
      <c r="P322" s="1">
        <v>0.55400000000000005</v>
      </c>
      <c r="Q322" s="1">
        <v>3.4000000000000002E-2</v>
      </c>
      <c r="R322" s="1">
        <v>0.55300000000000005</v>
      </c>
      <c r="S322" s="17" t="s">
        <v>9</v>
      </c>
      <c r="T322">
        <v>5</v>
      </c>
      <c r="U322" t="s">
        <v>1382</v>
      </c>
      <c r="V322" s="17">
        <v>0</v>
      </c>
      <c r="W322" t="s">
        <v>5</v>
      </c>
      <c r="X322" t="s">
        <v>5</v>
      </c>
      <c r="Y322" t="s">
        <v>5</v>
      </c>
      <c r="Z322" t="s">
        <v>5</v>
      </c>
      <c r="AA322" t="s">
        <v>5</v>
      </c>
      <c r="AB322" s="17" t="s">
        <v>5</v>
      </c>
      <c r="AC322" t="s">
        <v>5</v>
      </c>
      <c r="AD322" t="s">
        <v>5</v>
      </c>
      <c r="AE322" t="s">
        <v>5</v>
      </c>
      <c r="AF322" s="17" t="s">
        <v>5</v>
      </c>
      <c r="AG322" s="2" t="str">
        <f>HYPERLINK("http://exon.niaid.nih.gov/transcriptome/T_rubida/S2/links/NR/Triru-652-NR.txt","hypothetical protein, conserved")</f>
        <v>hypothetical protein, conserved</v>
      </c>
      <c r="AH322" t="str">
        <f>HYPERLINK("http://www.ncbi.nlm.nih.gov/sutils/blink.cgi?pid=261332623","1E-005")</f>
        <v>1E-005</v>
      </c>
      <c r="AI322" t="str">
        <f>HYPERLINK("http://www.ncbi.nlm.nih.gov/protein/261332623","gi|261332623")</f>
        <v>gi|261332623</v>
      </c>
      <c r="AJ322">
        <v>53.1</v>
      </c>
      <c r="AK322">
        <v>31</v>
      </c>
      <c r="AL322">
        <v>141</v>
      </c>
      <c r="AM322">
        <v>81</v>
      </c>
      <c r="AN322">
        <v>23</v>
      </c>
      <c r="AO322" t="s">
        <v>97</v>
      </c>
      <c r="AP322" s="2" t="str">
        <f>HYPERLINK("http://exon.niaid.nih.gov/transcriptome/T_rubida/S2/links/SWISSP/Triru-652-SWISSP.txt","Copine-D")</f>
        <v>Copine-D</v>
      </c>
      <c r="AQ322" t="str">
        <f>HYPERLINK("http://www.uniprot.org/uniprot/Q55GG1","82")</f>
        <v>82</v>
      </c>
      <c r="AR322" t="s">
        <v>98</v>
      </c>
      <c r="AS322">
        <v>25.8</v>
      </c>
      <c r="AT322">
        <v>32</v>
      </c>
      <c r="AU322">
        <v>530</v>
      </c>
      <c r="AV322">
        <v>36</v>
      </c>
      <c r="AW322">
        <v>6</v>
      </c>
      <c r="AX322">
        <v>21</v>
      </c>
      <c r="AY322">
        <v>0</v>
      </c>
      <c r="AZ322">
        <v>117</v>
      </c>
      <c r="BA322">
        <v>2</v>
      </c>
      <c r="BB322">
        <v>1</v>
      </c>
      <c r="BC322" t="s">
        <v>99</v>
      </c>
      <c r="BD322" s="2" t="s">
        <v>5</v>
      </c>
      <c r="BE322" t="s">
        <v>5</v>
      </c>
      <c r="BF322" t="s">
        <v>5</v>
      </c>
      <c r="BG322" t="s">
        <v>5</v>
      </c>
      <c r="BH322" t="s">
        <v>5</v>
      </c>
      <c r="BI322" s="2" t="str">
        <f>HYPERLINK("http://exon.niaid.nih.gov/transcriptome/T_rubida/S2/links/CDD/Triru-652-CDD.txt","glmM")</f>
        <v>glmM</v>
      </c>
      <c r="BJ322" t="str">
        <f>HYPERLINK("http://www.ncbi.nlm.nih.gov/Structure/cdd/cddsrv.cgi?uid=PRK14314&amp;version=v4.0","8.1")</f>
        <v>8.1</v>
      </c>
      <c r="BK322" t="s">
        <v>100</v>
      </c>
      <c r="BL322" s="2" t="s">
        <v>5</v>
      </c>
      <c r="BM322" t="s">
        <v>5</v>
      </c>
      <c r="BN322" t="s">
        <v>5</v>
      </c>
      <c r="BO322" s="2" t="s">
        <v>5</v>
      </c>
      <c r="BP322" t="s">
        <v>5</v>
      </c>
      <c r="BQ322" s="2" t="str">
        <f>HYPERLINK("http://exon.niaid.nih.gov/transcriptome/T_rubida/S2/links/SMART/Triru-652-SMART.txt","POLBc")</f>
        <v>POLBc</v>
      </c>
      <c r="BR322" t="str">
        <f>HYPERLINK("http://smart.embl-heidelberg.de/smart/do_annotation.pl?DOMAIN=POLBc&amp;BLAST=DUMMY","1.4")</f>
        <v>1.4</v>
      </c>
      <c r="BS322" s="17">
        <f>HYPERLINK("http://exon.niaid.nih.gov/transcriptome/T_rubida/S2/links/cluster/Triru-pep-ext25-50-Sim-CLU8.txt", 8)</f>
        <v>8</v>
      </c>
      <c r="BT322" s="1">
        <f>HYPERLINK("http://exon.niaid.nih.gov/transcriptome/T_rubida/S2/links/cluster/Triru-pep-ext25-50-Sim-CLTL8.txt", 2)</f>
        <v>2</v>
      </c>
      <c r="BU322" s="17">
        <v>286</v>
      </c>
      <c r="BV322" s="1">
        <v>1</v>
      </c>
      <c r="BW322" s="17">
        <v>371</v>
      </c>
      <c r="BX322" s="1">
        <v>1</v>
      </c>
      <c r="BY322" s="17">
        <v>413</v>
      </c>
      <c r="BZ322" s="1">
        <v>1</v>
      </c>
      <c r="CA322" s="17">
        <v>430</v>
      </c>
      <c r="CB322" s="1">
        <v>1</v>
      </c>
      <c r="CC322" s="17">
        <v>447</v>
      </c>
      <c r="CD322" s="1">
        <v>1</v>
      </c>
      <c r="CE322" s="17">
        <v>465</v>
      </c>
      <c r="CF322" s="1">
        <v>1</v>
      </c>
      <c r="CG322" s="17">
        <v>474</v>
      </c>
      <c r="CH322" s="1">
        <v>1</v>
      </c>
      <c r="CI322" s="17">
        <v>488</v>
      </c>
      <c r="CJ322" s="1">
        <v>1</v>
      </c>
      <c r="CK322" s="17">
        <v>494</v>
      </c>
      <c r="CL322" s="1">
        <v>1</v>
      </c>
      <c r="CM322" s="17">
        <v>507</v>
      </c>
      <c r="CN322" s="1">
        <v>1</v>
      </c>
      <c r="CO322" s="17">
        <v>519</v>
      </c>
      <c r="CP322" s="1">
        <v>1</v>
      </c>
      <c r="CQ322" s="17">
        <v>529</v>
      </c>
      <c r="CR322" s="1">
        <v>1</v>
      </c>
      <c r="CS322" s="17">
        <v>542</v>
      </c>
      <c r="CT322" s="1">
        <v>1</v>
      </c>
      <c r="CU322" s="17">
        <v>555</v>
      </c>
      <c r="CV322" s="1">
        <v>1</v>
      </c>
    </row>
    <row r="323" spans="1:100">
      <c r="A323" t="str">
        <f>HYPERLINK("http://exon.niaid.nih.gov/transcriptome/T_rubida/S2/links/pep/Triru-470-pep.txt","Triru-470")</f>
        <v>Triru-470</v>
      </c>
      <c r="B323">
        <v>53</v>
      </c>
      <c r="C323" s="1" t="s">
        <v>4</v>
      </c>
      <c r="D323" s="1" t="s">
        <v>3</v>
      </c>
      <c r="E323" t="str">
        <f>HYPERLINK("http://exon.niaid.nih.gov/transcriptome/T_rubida/S2/links/cds/Triru-470-cds.txt","Triru-470")</f>
        <v>Triru-470</v>
      </c>
      <c r="F323">
        <v>162</v>
      </c>
      <c r="G323" s="2" t="s">
        <v>1689</v>
      </c>
      <c r="H323" s="1">
        <v>1</v>
      </c>
      <c r="I323" s="3" t="s">
        <v>1266</v>
      </c>
      <c r="J323" s="17" t="str">
        <f>HYPERLINK("http://exon.niaid.nih.gov/transcriptome/T_rubida/S2/links/Sigp/Triru-470-SigP.txt","CYT")</f>
        <v>CYT</v>
      </c>
      <c r="K323" t="s">
        <v>5</v>
      </c>
      <c r="L323" s="1">
        <v>5.4539999999999997</v>
      </c>
      <c r="M323" s="1">
        <v>10.62</v>
      </c>
      <c r="P323" s="1">
        <v>0.27800000000000002</v>
      </c>
      <c r="Q323" s="1">
        <v>3.5000000000000003E-2</v>
      </c>
      <c r="R323" s="1">
        <v>0.79</v>
      </c>
      <c r="S323" s="17" t="s">
        <v>1346</v>
      </c>
      <c r="T323">
        <v>3</v>
      </c>
      <c r="U323" t="s">
        <v>1503</v>
      </c>
      <c r="V323" s="17">
        <v>0</v>
      </c>
      <c r="W323" t="s">
        <v>5</v>
      </c>
      <c r="X323" t="s">
        <v>5</v>
      </c>
      <c r="Y323" t="s">
        <v>5</v>
      </c>
      <c r="Z323" t="s">
        <v>5</v>
      </c>
      <c r="AA323" t="s">
        <v>5</v>
      </c>
      <c r="AB323" s="17" t="str">
        <f>HYPERLINK("http://exon.niaid.nih.gov/transcriptome/T_rubida/S2/links/netoglyc/TRIRU-470-netoglyc.txt","2")</f>
        <v>2</v>
      </c>
      <c r="AC323">
        <v>7.5</v>
      </c>
      <c r="AD323">
        <v>13.2</v>
      </c>
      <c r="AE323">
        <v>5.7</v>
      </c>
      <c r="AF323" s="17" t="s">
        <v>5</v>
      </c>
      <c r="AG323" s="2" t="str">
        <f>HYPERLINK("http://exon.niaid.nih.gov/transcriptome/T_rubida/S2/links/NR/Triru-470-NR.txt","AGAP010933-PA")</f>
        <v>AGAP010933-PA</v>
      </c>
      <c r="AH323" t="str">
        <f>HYPERLINK("http://www.ncbi.nlm.nih.gov/sutils/blink.cgi?pid=57970204","0.006")</f>
        <v>0.006</v>
      </c>
      <c r="AI323" t="str">
        <f>HYPERLINK("http://www.ncbi.nlm.nih.gov/protein/57970204","gi|57970204")</f>
        <v>gi|57970204</v>
      </c>
      <c r="AJ323">
        <v>44.3</v>
      </c>
      <c r="AK323">
        <v>35</v>
      </c>
      <c r="AL323">
        <v>158</v>
      </c>
      <c r="AM323">
        <v>63</v>
      </c>
      <c r="AN323">
        <v>23</v>
      </c>
      <c r="AO323" t="s">
        <v>125</v>
      </c>
      <c r="AP323" s="2" t="str">
        <f>HYPERLINK("http://exon.niaid.nih.gov/transcriptome/T_rubida/S2/links/SWISSP/Triru-470-SWISSP.txt","40S ribosomal protein S19")</f>
        <v>40S ribosomal protein S19</v>
      </c>
      <c r="AQ323" t="str">
        <f>HYPERLINK("http://www.uniprot.org/uniprot/Q8ITC3","0.009")</f>
        <v>0.009</v>
      </c>
      <c r="AR323" t="s">
        <v>126</v>
      </c>
      <c r="AS323">
        <v>38.9</v>
      </c>
      <c r="AT323">
        <v>28</v>
      </c>
      <c r="AU323">
        <v>144</v>
      </c>
      <c r="AV323">
        <v>55</v>
      </c>
      <c r="AW323">
        <v>20</v>
      </c>
      <c r="AX323">
        <v>13</v>
      </c>
      <c r="AY323">
        <v>0</v>
      </c>
      <c r="AZ323">
        <v>116</v>
      </c>
      <c r="BA323">
        <v>1</v>
      </c>
      <c r="BB323">
        <v>1</v>
      </c>
      <c r="BC323" t="s">
        <v>127</v>
      </c>
      <c r="BD323" s="2" t="s">
        <v>5</v>
      </c>
      <c r="BE323" t="s">
        <v>5</v>
      </c>
      <c r="BF323" t="s">
        <v>5</v>
      </c>
      <c r="BG323" t="s">
        <v>5</v>
      </c>
      <c r="BH323" t="s">
        <v>5</v>
      </c>
      <c r="BI323" s="2" t="str">
        <f>HYPERLINK("http://exon.niaid.nih.gov/transcriptome/T_rubida/S2/links/CDD/Triru-470-CDD.txt","Ribosomal_S19e")</f>
        <v>Ribosomal_S19e</v>
      </c>
      <c r="BJ323" t="str">
        <f>HYPERLINK("http://www.ncbi.nlm.nih.gov/Structure/cdd/cddsrv.cgi?uid=pfam01090&amp;version=v4.0","0.026")</f>
        <v>0.026</v>
      </c>
      <c r="BK323" t="s">
        <v>128</v>
      </c>
      <c r="BL323" s="2" t="str">
        <f>HYPERLINK("http://exon.niaid.nih.gov/transcriptome/T_rubida/S2/links/KOG/Triru-470-KOG.txt","40S ribosomal protein S19")</f>
        <v>40S ribosomal protein S19</v>
      </c>
      <c r="BM323" t="str">
        <f>HYPERLINK("http://www.ncbi.nlm.nih.gov/COG/grace/shokog.cgi?KOG3411","0.025")</f>
        <v>0.025</v>
      </c>
      <c r="BN323" t="s">
        <v>84</v>
      </c>
      <c r="BO323" s="2" t="str">
        <f>HYPERLINK("http://exon.niaid.nih.gov/transcriptome/T_rubida/S2/links/PFAM/Triru-470-PFAM.txt","Ribosomal_S19e")</f>
        <v>Ribosomal_S19e</v>
      </c>
      <c r="BP323" t="str">
        <f>HYPERLINK("http://pfam.sanger.ac.uk/family?acc=PF01090","0.005")</f>
        <v>0.005</v>
      </c>
      <c r="BQ323" s="2" t="str">
        <f>HYPERLINK("http://exon.niaid.nih.gov/transcriptome/T_rubida/S2/links/SMART/Triru-470-SMART.txt","PA14")</f>
        <v>PA14</v>
      </c>
      <c r="BR323" t="str">
        <f>HYPERLINK("http://smart.embl-heidelberg.de/smart/do_annotation.pl?DOMAIN=PA14&amp;BLAST=DUMMY","0.90")</f>
        <v>0.90</v>
      </c>
      <c r="BS323" s="17">
        <f>HYPERLINK("http://exon.niaid.nih.gov/transcriptome/T_rubida/S2/links/cluster/Triru-pep-ext25-50-Sim-CLU1.txt", 1)</f>
        <v>1</v>
      </c>
      <c r="BT323" s="1">
        <f>HYPERLINK("http://exon.niaid.nih.gov/transcriptome/T_rubida/S2/links/cluster/Triru-pep-ext25-50-Sim-CLTL1.txt", 359)</f>
        <v>359</v>
      </c>
      <c r="BU323" s="17">
        <f>HYPERLINK("http://exon.niaid.nih.gov/transcriptome/T_rubida/S2/links/cluster/Triru-pep-ext30-50-Sim-CLU1.txt", 1)</f>
        <v>1</v>
      </c>
      <c r="BV323" s="1">
        <f>HYPERLINK("http://exon.niaid.nih.gov/transcriptome/T_rubida/S2/links/cluster/Triru-pep-ext30-50-Sim-CLTL1.txt", 225)</f>
        <v>225</v>
      </c>
      <c r="BW323" s="17">
        <f>HYPERLINK("http://exon.niaid.nih.gov/transcriptome/T_rubida/S2/links/cluster/Triru-pep-ext35-50-Sim-CLU40.txt", 40)</f>
        <v>40</v>
      </c>
      <c r="BX323" s="1">
        <f>HYPERLINK("http://exon.niaid.nih.gov/transcriptome/T_rubida/S2/links/cluster/Triru-pep-ext35-50-Sim-CLTL40.txt", 2)</f>
        <v>2</v>
      </c>
      <c r="BY323" s="17">
        <f>HYPERLINK("http://exon.niaid.nih.gov/transcriptome/T_rubida/S2/links/cluster/Triru-pep-ext40-50-Sim-CLU37.txt", 37)</f>
        <v>37</v>
      </c>
      <c r="BZ323" s="1">
        <f>HYPERLINK("http://exon.niaid.nih.gov/transcriptome/T_rubida/S2/links/cluster/Triru-pep-ext40-50-Sim-CLTL37.txt", 2)</f>
        <v>2</v>
      </c>
      <c r="CA323" s="17">
        <f>HYPERLINK("http://exon.niaid.nih.gov/transcriptome/T_rubida/S2/links/cluster/Triru-pep-ext45-50-Sim-CLU32.txt", 32)</f>
        <v>32</v>
      </c>
      <c r="CB323" s="1">
        <f>HYPERLINK("http://exon.niaid.nih.gov/transcriptome/T_rubida/S2/links/cluster/Triru-pep-ext45-50-Sim-CLTL32.txt", 2)</f>
        <v>2</v>
      </c>
      <c r="CC323" s="17">
        <f>HYPERLINK("http://exon.niaid.nih.gov/transcriptome/T_rubida/S2/links/cluster/Triru-pep-ext50-50-Sim-CLU30.txt", 30)</f>
        <v>30</v>
      </c>
      <c r="CD323" s="1">
        <f>HYPERLINK("http://exon.niaid.nih.gov/transcriptome/T_rubida/S2/links/cluster/Triru-pep-ext50-50-Sim-CLTL30.txt", 2)</f>
        <v>2</v>
      </c>
      <c r="CE323" s="17">
        <f>HYPERLINK("http://exon.niaid.nih.gov/transcriptome/T_rubida/S2/links/cluster/Triru-pep-ext55-50-Sim-CLU24.txt", 24)</f>
        <v>24</v>
      </c>
      <c r="CF323" s="1">
        <f>HYPERLINK("http://exon.niaid.nih.gov/transcriptome/T_rubida/S2/links/cluster/Triru-pep-ext55-50-Sim-CLTL24.txt", 2)</f>
        <v>2</v>
      </c>
      <c r="CG323" s="17">
        <f>HYPERLINK("http://exon.niaid.nih.gov/transcriptome/T_rubida/S2/links/cluster/Triru-pep-ext60-50-Sim-CLU24.txt", 24)</f>
        <v>24</v>
      </c>
      <c r="CH323" s="1">
        <f>HYPERLINK("http://exon.niaid.nih.gov/transcriptome/T_rubida/S2/links/cluster/Triru-pep-ext60-50-Sim-CLTL24.txt", 2)</f>
        <v>2</v>
      </c>
      <c r="CI323" s="17">
        <v>341</v>
      </c>
      <c r="CJ323" s="1">
        <v>1</v>
      </c>
      <c r="CK323" s="17">
        <v>347</v>
      </c>
      <c r="CL323" s="1">
        <v>1</v>
      </c>
      <c r="CM323" s="17">
        <v>355</v>
      </c>
      <c r="CN323" s="1">
        <v>1</v>
      </c>
      <c r="CO323" s="17">
        <v>367</v>
      </c>
      <c r="CP323" s="1">
        <v>1</v>
      </c>
      <c r="CQ323" s="17">
        <v>377</v>
      </c>
      <c r="CR323" s="1">
        <v>1</v>
      </c>
      <c r="CS323" s="17">
        <v>390</v>
      </c>
      <c r="CT323" s="1">
        <v>1</v>
      </c>
      <c r="CU323" s="17">
        <v>401</v>
      </c>
      <c r="CV323" s="1">
        <v>1</v>
      </c>
    </row>
    <row r="324" spans="1:100">
      <c r="A324" t="str">
        <f>HYPERLINK("http://exon.niaid.nih.gov/transcriptome/T_rubida/S2/links/pep/Triru-268-pep.txt","Triru-268")</f>
        <v>Triru-268</v>
      </c>
      <c r="B324">
        <v>49</v>
      </c>
      <c r="C324" s="1" t="s">
        <v>14</v>
      </c>
      <c r="D324" s="1" t="s">
        <v>3</v>
      </c>
      <c r="E324" t="str">
        <f>HYPERLINK("http://exon.niaid.nih.gov/transcriptome/T_rubida/S2/links/cds/Triru-268-cds.txt","Triru-268")</f>
        <v>Triru-268</v>
      </c>
      <c r="F324">
        <v>150</v>
      </c>
      <c r="G324" s="2" t="s">
        <v>1769</v>
      </c>
      <c r="H324" s="1">
        <v>1</v>
      </c>
      <c r="I324" s="3" t="s">
        <v>1266</v>
      </c>
      <c r="J324" s="17" t="str">
        <f>HYPERLINK("http://exon.niaid.nih.gov/transcriptome/T_rubida/S2/links/Sigp/Triru-268-SigP.txt","CYT")</f>
        <v>CYT</v>
      </c>
      <c r="K324" t="s">
        <v>5</v>
      </c>
      <c r="L324" s="1">
        <v>6.3230000000000004</v>
      </c>
      <c r="M324" s="1">
        <v>9.7799999999999994</v>
      </c>
      <c r="P324" s="1">
        <v>4.3999999999999997E-2</v>
      </c>
      <c r="Q324" s="1">
        <v>0.80200000000000005</v>
      </c>
      <c r="R324" s="1">
        <v>0.191</v>
      </c>
      <c r="S324" s="17" t="s">
        <v>18</v>
      </c>
      <c r="T324">
        <v>2</v>
      </c>
      <c r="U324" t="s">
        <v>1504</v>
      </c>
      <c r="V324" s="17" t="str">
        <f>HYPERLINK("http://exon.niaid.nih.gov/transcriptome/T_rubida/S2/links/tmhmm/TRIRU-268-tmhmm.txt","1")</f>
        <v>1</v>
      </c>
      <c r="W324">
        <v>44.9</v>
      </c>
      <c r="X324">
        <v>12.2</v>
      </c>
      <c r="Y324">
        <v>42.9</v>
      </c>
      <c r="Z324" t="s">
        <v>5</v>
      </c>
      <c r="AA324">
        <v>6</v>
      </c>
      <c r="AB324" s="17" t="str">
        <f>HYPERLINK("http://exon.niaid.nih.gov/transcriptome/T_rubida/S2/links/netoglyc/TRIRU-268-netoglyc.txt","0")</f>
        <v>0</v>
      </c>
      <c r="AC324">
        <v>4.0999999999999996</v>
      </c>
      <c r="AD324" t="s">
        <v>1417</v>
      </c>
      <c r="AE324" t="s">
        <v>1394</v>
      </c>
      <c r="AF324" s="17" t="s">
        <v>5</v>
      </c>
      <c r="AG324" s="2" t="str">
        <f>HYPERLINK("http://exon.niaid.nih.gov/transcriptome/T_rubida/S2/links/NR/Triru-268-NR.txt","apolipoprotein N-acyltransferase")</f>
        <v>apolipoprotein N-acyltransferase</v>
      </c>
      <c r="AH324" t="str">
        <f>HYPERLINK("http://www.ncbi.nlm.nih.gov/sutils/blink.cgi?pid=315635820","23")</f>
        <v>23</v>
      </c>
      <c r="AI324" t="str">
        <f>HYPERLINK("http://www.ncbi.nlm.nih.gov/protein/315635820","gi|315635820")</f>
        <v>gi|315635820</v>
      </c>
      <c r="AJ324">
        <v>32.299999999999997</v>
      </c>
      <c r="AK324">
        <v>38</v>
      </c>
      <c r="AL324">
        <v>169</v>
      </c>
      <c r="AM324">
        <v>35</v>
      </c>
      <c r="AN324">
        <v>23</v>
      </c>
      <c r="AO324" t="s">
        <v>732</v>
      </c>
      <c r="AP324" s="2" t="str">
        <f>HYPERLINK("http://exon.niaid.nih.gov/transcriptome/T_rubida/S2/links/SWISSP/Triru-268-SWISSP.txt","Interleukin-6")</f>
        <v>Interleukin-6</v>
      </c>
      <c r="AQ324" t="str">
        <f>HYPERLINK("http://www.uniprot.org/uniprot/Q6L6X6","13")</f>
        <v>13</v>
      </c>
      <c r="AR324" t="s">
        <v>733</v>
      </c>
      <c r="AS324">
        <v>28.5</v>
      </c>
      <c r="AT324">
        <v>31</v>
      </c>
      <c r="AU324">
        <v>227</v>
      </c>
      <c r="AV324">
        <v>34</v>
      </c>
      <c r="AW324">
        <v>14</v>
      </c>
      <c r="AX324">
        <v>21</v>
      </c>
      <c r="AY324">
        <v>0</v>
      </c>
      <c r="AZ324">
        <v>176</v>
      </c>
      <c r="BA324">
        <v>18</v>
      </c>
      <c r="BB324">
        <v>1</v>
      </c>
      <c r="BC324" t="s">
        <v>734</v>
      </c>
      <c r="BD324" s="2" t="s">
        <v>5</v>
      </c>
      <c r="BE324" t="s">
        <v>5</v>
      </c>
      <c r="BF324" t="s">
        <v>5</v>
      </c>
      <c r="BG324" t="s">
        <v>5</v>
      </c>
      <c r="BH324" t="s">
        <v>5</v>
      </c>
      <c r="BI324" s="2" t="str">
        <f>HYPERLINK("http://exon.niaid.nih.gov/transcriptome/T_rubida/S2/links/CDD/Triru-268-CDD.txt","CheR")</f>
        <v>CheR</v>
      </c>
      <c r="BJ324" t="str">
        <f>HYPERLINK("http://www.ncbi.nlm.nih.gov/Structure/cdd/cddsrv.cgi?uid=pfam01739&amp;version=v4.0","7.3")</f>
        <v>7.3</v>
      </c>
      <c r="BK324" t="s">
        <v>735</v>
      </c>
      <c r="BL324" s="2" t="str">
        <f>HYPERLINK("http://exon.niaid.nih.gov/transcriptome/T_rubida/S2/links/KOG/Triru-268-KOG.txt","LST7 amino acid permease Golgi transport protein")</f>
        <v>LST7 amino acid permease Golgi transport protein</v>
      </c>
      <c r="BM324" t="str">
        <f>HYPERLINK("http://www.ncbi.nlm.nih.gov/COG/grace/shokog.cgi?KOG3715","0.45")</f>
        <v>0.45</v>
      </c>
      <c r="BN324" t="s">
        <v>736</v>
      </c>
      <c r="BO324" s="2" t="str">
        <f>HYPERLINK("http://exon.niaid.nih.gov/transcriptome/T_rubida/S2/links/PFAM/Triru-268-PFAM.txt","CheR")</f>
        <v>CheR</v>
      </c>
      <c r="BP324" t="str">
        <f>HYPERLINK("http://pfam.sanger.ac.uk/family?acc=PF01739","1.6")</f>
        <v>1.6</v>
      </c>
      <c r="BQ324" s="2" t="str">
        <f>HYPERLINK("http://exon.niaid.nih.gov/transcriptome/T_rubida/S2/links/SMART/Triru-268-SMART.txt","MeTrc")</f>
        <v>MeTrc</v>
      </c>
      <c r="BR324" t="str">
        <f>HYPERLINK("http://smart.embl-heidelberg.de/smart/do_annotation.pl?DOMAIN=MeTrc&amp;BLAST=DUMMY","0.38")</f>
        <v>0.38</v>
      </c>
      <c r="BS324" s="17">
        <f>HYPERLINK("http://exon.niaid.nih.gov/transcriptome/T_rubida/S2/links/cluster/Triru-pep-ext25-50-Sim-CLU1.txt", 1)</f>
        <v>1</v>
      </c>
      <c r="BT324" s="1">
        <f>HYPERLINK("http://exon.niaid.nih.gov/transcriptome/T_rubida/S2/links/cluster/Triru-pep-ext25-50-Sim-CLTL1.txt", 359)</f>
        <v>359</v>
      </c>
      <c r="BU324" s="17">
        <f>HYPERLINK("http://exon.niaid.nih.gov/transcriptome/T_rubida/S2/links/cluster/Triru-pep-ext30-50-Sim-CLU1.txt", 1)</f>
        <v>1</v>
      </c>
      <c r="BV324" s="1">
        <f>HYPERLINK("http://exon.niaid.nih.gov/transcriptome/T_rubida/S2/links/cluster/Triru-pep-ext30-50-Sim-CLTL1.txt", 225)</f>
        <v>225</v>
      </c>
      <c r="BW324" s="17">
        <f>HYPERLINK("http://exon.niaid.nih.gov/transcriptome/T_rubida/S2/links/cluster/Triru-pep-ext35-50-Sim-CLU26.txt", 26)</f>
        <v>26</v>
      </c>
      <c r="BX324" s="1">
        <f>HYPERLINK("http://exon.niaid.nih.gov/transcriptome/T_rubida/S2/links/cluster/Triru-pep-ext35-50-Sim-CLTL26.txt", 2)</f>
        <v>2</v>
      </c>
      <c r="BY324" s="17">
        <f>HYPERLINK("http://exon.niaid.nih.gov/transcriptome/T_rubida/S2/links/cluster/Triru-pep-ext40-50-Sim-CLU24.txt", 24)</f>
        <v>24</v>
      </c>
      <c r="BZ324" s="1">
        <f>HYPERLINK("http://exon.niaid.nih.gov/transcriptome/T_rubida/S2/links/cluster/Triru-pep-ext40-50-Sim-CLTL24.txt", 2)</f>
        <v>2</v>
      </c>
      <c r="CA324" s="17">
        <f>HYPERLINK("http://exon.niaid.nih.gov/transcriptome/T_rubida/S2/links/cluster/Triru-pep-ext45-50-Sim-CLU19.txt", 19)</f>
        <v>19</v>
      </c>
      <c r="CB324" s="1">
        <f>HYPERLINK("http://exon.niaid.nih.gov/transcriptome/T_rubida/S2/links/cluster/Triru-pep-ext45-50-Sim-CLTL19.txt", 2)</f>
        <v>2</v>
      </c>
      <c r="CC324" s="17">
        <f>HYPERLINK("http://exon.niaid.nih.gov/transcriptome/T_rubida/S2/links/cluster/Triru-pep-ext50-50-Sim-CLU18.txt", 18)</f>
        <v>18</v>
      </c>
      <c r="CD324" s="1">
        <f>HYPERLINK("http://exon.niaid.nih.gov/transcriptome/T_rubida/S2/links/cluster/Triru-pep-ext50-50-Sim-CLTL18.txt", 2)</f>
        <v>2</v>
      </c>
      <c r="CE324" s="17">
        <f>HYPERLINK("http://exon.niaid.nih.gov/transcriptome/T_rubida/S2/links/cluster/Triru-pep-ext55-50-Sim-CLU13.txt", 13)</f>
        <v>13</v>
      </c>
      <c r="CF324" s="1">
        <f>HYPERLINK("http://exon.niaid.nih.gov/transcriptome/T_rubida/S2/links/cluster/Triru-pep-ext55-50-Sim-CLTL13.txt", 2)</f>
        <v>2</v>
      </c>
      <c r="CG324" s="17">
        <f>HYPERLINK("http://exon.niaid.nih.gov/transcriptome/T_rubida/S2/links/cluster/Triru-pep-ext60-50-Sim-CLU14.txt", 14)</f>
        <v>14</v>
      </c>
      <c r="CH324" s="1">
        <f>HYPERLINK("http://exon.niaid.nih.gov/transcriptome/T_rubida/S2/links/cluster/Triru-pep-ext60-50-Sim-CLTL14.txt", 2)</f>
        <v>2</v>
      </c>
      <c r="CI324" s="17">
        <f>HYPERLINK("http://exon.niaid.nih.gov/transcriptome/T_rubida/S2/links/cluster/Triru-pep-ext65-50-Sim-CLU14.txt", 14)</f>
        <v>14</v>
      </c>
      <c r="CJ324" s="1">
        <f>HYPERLINK("http://exon.niaid.nih.gov/transcriptome/T_rubida/S2/links/cluster/Triru-pep-ext65-50-Sim-CLTL14.txt", 2)</f>
        <v>2</v>
      </c>
      <c r="CK324" s="17">
        <f>HYPERLINK("http://exon.niaid.nih.gov/transcriptome/T_rubida/S2/links/cluster/Triru-pep-ext70-50-Sim-CLU14.txt", 14)</f>
        <v>14</v>
      </c>
      <c r="CL324" s="1">
        <f>HYPERLINK("http://exon.niaid.nih.gov/transcriptome/T_rubida/S2/links/cluster/Triru-pep-ext70-50-Sim-CLTL14.txt", 2)</f>
        <v>2</v>
      </c>
      <c r="CM324" s="17">
        <f>HYPERLINK("http://exon.niaid.nih.gov/transcriptome/T_rubida/S2/links/cluster/Triru-pep-ext75-50-Sim-CLU15.txt", 15)</f>
        <v>15</v>
      </c>
      <c r="CN324" s="1">
        <f>HYPERLINK("http://exon.niaid.nih.gov/transcriptome/T_rubida/S2/links/cluster/Triru-pep-ext75-50-Sim-CLTL15.txt", 2)</f>
        <v>2</v>
      </c>
      <c r="CO324" s="17">
        <f>HYPERLINK("http://exon.niaid.nih.gov/transcriptome/T_rubida/S2/links/cluster/Triru-pep-ext80-50-Sim-CLU13.txt", 13)</f>
        <v>13</v>
      </c>
      <c r="CP324" s="1">
        <f>HYPERLINK("http://exon.niaid.nih.gov/transcriptome/T_rubida/S2/links/cluster/Triru-pep-ext80-50-Sim-CLTL13.txt", 2)</f>
        <v>2</v>
      </c>
      <c r="CQ324" s="17">
        <f>HYPERLINK("http://exon.niaid.nih.gov/transcriptome/T_rubida/S2/links/cluster/Triru-pep-ext85-50-Sim-CLU11.txt", 11)</f>
        <v>11</v>
      </c>
      <c r="CR324" s="1">
        <f>HYPERLINK("http://exon.niaid.nih.gov/transcriptome/T_rubida/S2/links/cluster/Triru-pep-ext85-50-Sim-CLTL11.txt", 2)</f>
        <v>2</v>
      </c>
      <c r="CS324" s="17">
        <f>HYPERLINK("http://exon.niaid.nih.gov/transcriptome/T_rubida/S2/links/cluster/Triru-pep-ext90-50-Sim-CLU12.txt", 12)</f>
        <v>12</v>
      </c>
      <c r="CT324" s="1">
        <f>HYPERLINK("http://exon.niaid.nih.gov/transcriptome/T_rubida/S2/links/cluster/Triru-pep-ext90-50-Sim-CLTL12.txt", 2)</f>
        <v>2</v>
      </c>
      <c r="CU324" s="17">
        <f>HYPERLINK("http://exon.niaid.nih.gov/transcriptome/T_rubida/S2/links/cluster/Triru-pep-ext95-50-Sim-CLU9.txt", 9)</f>
        <v>9</v>
      </c>
      <c r="CV324" s="1">
        <f>HYPERLINK("http://exon.niaid.nih.gov/transcriptome/T_rubida/S2/links/cluster/Triru-pep-ext95-50-Sim-CLTL9.txt", 2)</f>
        <v>2</v>
      </c>
    </row>
    <row r="325" spans="1:100">
      <c r="A325" t="str">
        <f>HYPERLINK("http://exon.niaid.nih.gov/transcriptome/T_rubida/S2/links/pep/Triru-459-pep.txt","Triru-459")</f>
        <v>Triru-459</v>
      </c>
      <c r="B325">
        <v>49</v>
      </c>
      <c r="C325" s="1" t="s">
        <v>14</v>
      </c>
      <c r="D325" s="1" t="s">
        <v>3</v>
      </c>
      <c r="E325" t="str">
        <f>HYPERLINK("http://exon.niaid.nih.gov/transcriptome/T_rubida/S2/links/cds/Triru-459-cds.txt","Triru-459")</f>
        <v>Triru-459</v>
      </c>
      <c r="F325">
        <v>150</v>
      </c>
      <c r="G325" s="2" t="s">
        <v>1769</v>
      </c>
      <c r="H325" s="1">
        <v>1</v>
      </c>
      <c r="I325" s="3" t="s">
        <v>1266</v>
      </c>
      <c r="J325" s="17" t="str">
        <f>HYPERLINK("http://exon.niaid.nih.gov/transcriptome/T_rubida/S2/links/Sigp/Triru-459-SigP.txt","CYT")</f>
        <v>CYT</v>
      </c>
      <c r="K325" t="s">
        <v>5</v>
      </c>
      <c r="L325" s="1">
        <v>6.3419999999999996</v>
      </c>
      <c r="M325" s="1">
        <v>9.7799999999999994</v>
      </c>
      <c r="P325" s="1">
        <v>4.7E-2</v>
      </c>
      <c r="Q325" s="1">
        <v>0.77</v>
      </c>
      <c r="R325" s="1">
        <v>0.20499999999999999</v>
      </c>
      <c r="S325" s="17" t="s">
        <v>18</v>
      </c>
      <c r="T325">
        <v>3</v>
      </c>
      <c r="U325" t="s">
        <v>1505</v>
      </c>
      <c r="V325" s="17" t="str">
        <f>HYPERLINK("http://exon.niaid.nih.gov/transcriptome/T_rubida/S2/links/tmhmm/TRIRU-459-tmhmm.txt","1")</f>
        <v>1</v>
      </c>
      <c r="W325">
        <v>44.9</v>
      </c>
      <c r="X325">
        <v>12.2</v>
      </c>
      <c r="Y325">
        <v>42.9</v>
      </c>
      <c r="Z325" t="s">
        <v>5</v>
      </c>
      <c r="AA325">
        <v>6</v>
      </c>
      <c r="AB325" s="17" t="str">
        <f>HYPERLINK("http://exon.niaid.nih.gov/transcriptome/T_rubida/S2/links/netoglyc/TRIRU-459-netoglyc.txt","0")</f>
        <v>0</v>
      </c>
      <c r="AC325">
        <v>4.0999999999999996</v>
      </c>
      <c r="AD325" t="s">
        <v>1417</v>
      </c>
      <c r="AE325" t="s">
        <v>1394</v>
      </c>
      <c r="AF325" s="17" t="s">
        <v>5</v>
      </c>
      <c r="AG325" s="2" t="str">
        <f>HYPERLINK("http://exon.niaid.nih.gov/transcriptome/T_rubida/S2/links/NR/Triru-459-NR.txt","apolipoprotein N-acyltransferase")</f>
        <v>apolipoprotein N-acyltransferase</v>
      </c>
      <c r="AH325" t="str">
        <f>HYPERLINK("http://www.ncbi.nlm.nih.gov/sutils/blink.cgi?pid=315635820","23")</f>
        <v>23</v>
      </c>
      <c r="AI325" t="str">
        <f>HYPERLINK("http://www.ncbi.nlm.nih.gov/protein/315635820","gi|315635820")</f>
        <v>gi|315635820</v>
      </c>
      <c r="AJ325">
        <v>32.299999999999997</v>
      </c>
      <c r="AK325">
        <v>38</v>
      </c>
      <c r="AL325">
        <v>169</v>
      </c>
      <c r="AM325">
        <v>35</v>
      </c>
      <c r="AN325">
        <v>23</v>
      </c>
      <c r="AO325" t="s">
        <v>732</v>
      </c>
      <c r="AP325" s="2" t="str">
        <f>HYPERLINK("http://exon.niaid.nih.gov/transcriptome/T_rubida/S2/links/SWISSP/Triru-459-SWISSP.txt","Interleukin-6")</f>
        <v>Interleukin-6</v>
      </c>
      <c r="AQ325" t="str">
        <f>HYPERLINK("http://www.uniprot.org/uniprot/Q6L6X6","13")</f>
        <v>13</v>
      </c>
      <c r="AR325" t="s">
        <v>733</v>
      </c>
      <c r="AS325">
        <v>28.5</v>
      </c>
      <c r="AT325">
        <v>31</v>
      </c>
      <c r="AU325">
        <v>227</v>
      </c>
      <c r="AV325">
        <v>34</v>
      </c>
      <c r="AW325">
        <v>14</v>
      </c>
      <c r="AX325">
        <v>21</v>
      </c>
      <c r="AY325">
        <v>0</v>
      </c>
      <c r="AZ325">
        <v>176</v>
      </c>
      <c r="BA325">
        <v>18</v>
      </c>
      <c r="BB325">
        <v>1</v>
      </c>
      <c r="BC325" t="s">
        <v>734</v>
      </c>
      <c r="BD325" s="2" t="s">
        <v>5</v>
      </c>
      <c r="BE325" t="s">
        <v>5</v>
      </c>
      <c r="BF325" t="s">
        <v>5</v>
      </c>
      <c r="BG325" t="s">
        <v>5</v>
      </c>
      <c r="BH325" t="s">
        <v>5</v>
      </c>
      <c r="BI325" s="2" t="s">
        <v>5</v>
      </c>
      <c r="BJ325" t="s">
        <v>5</v>
      </c>
      <c r="BK325" t="s">
        <v>5</v>
      </c>
      <c r="BL325" s="2" t="str">
        <f>HYPERLINK("http://exon.niaid.nih.gov/transcriptome/T_rubida/S2/links/KOG/Triru-459-KOG.txt","LST7 amino acid permease Golgi transport protein")</f>
        <v>LST7 amino acid permease Golgi transport protein</v>
      </c>
      <c r="BM325" t="str">
        <f>HYPERLINK("http://www.ncbi.nlm.nih.gov/COG/grace/shokog.cgi?KOG3715","0.46")</f>
        <v>0.46</v>
      </c>
      <c r="BN325" t="s">
        <v>736</v>
      </c>
      <c r="BO325" s="2" t="str">
        <f>HYPERLINK("http://exon.niaid.nih.gov/transcriptome/T_rubida/S2/links/PFAM/Triru-459-PFAM.txt","XAP5")</f>
        <v>XAP5</v>
      </c>
      <c r="BP325" t="str">
        <f>HYPERLINK("http://pfam.sanger.ac.uk/family?acc=PF04921","5.7")</f>
        <v>5.7</v>
      </c>
      <c r="BQ325" s="2" t="str">
        <f>HYPERLINK("http://exon.niaid.nih.gov/transcriptome/T_rubida/S2/links/SMART/Triru-459-SMART.txt","Alpha_TIF")</f>
        <v>Alpha_TIF</v>
      </c>
      <c r="BR325" t="str">
        <f>HYPERLINK("http://smart.embl-heidelberg.de/smart/do_annotation.pl?DOMAIN=Alpha_TIF&amp;BLAST=DUMMY","1.6")</f>
        <v>1.6</v>
      </c>
      <c r="BS325" s="17">
        <f>HYPERLINK("http://exon.niaid.nih.gov/transcriptome/T_rubida/S2/links/cluster/Triru-pep-ext25-50-Sim-CLU1.txt", 1)</f>
        <v>1</v>
      </c>
      <c r="BT325" s="1">
        <f>HYPERLINK("http://exon.niaid.nih.gov/transcriptome/T_rubida/S2/links/cluster/Triru-pep-ext25-50-Sim-CLTL1.txt", 359)</f>
        <v>359</v>
      </c>
      <c r="BU325" s="17">
        <f>HYPERLINK("http://exon.niaid.nih.gov/transcriptome/T_rubida/S2/links/cluster/Triru-pep-ext30-50-Sim-CLU1.txt", 1)</f>
        <v>1</v>
      </c>
      <c r="BV325" s="1">
        <f>HYPERLINK("http://exon.niaid.nih.gov/transcriptome/T_rubida/S2/links/cluster/Triru-pep-ext30-50-Sim-CLTL1.txt", 225)</f>
        <v>225</v>
      </c>
      <c r="BW325" s="17">
        <f>HYPERLINK("http://exon.niaid.nih.gov/transcriptome/T_rubida/S2/links/cluster/Triru-pep-ext35-50-Sim-CLU26.txt", 26)</f>
        <v>26</v>
      </c>
      <c r="BX325" s="1">
        <f>HYPERLINK("http://exon.niaid.nih.gov/transcriptome/T_rubida/S2/links/cluster/Triru-pep-ext35-50-Sim-CLTL26.txt", 2)</f>
        <v>2</v>
      </c>
      <c r="BY325" s="17">
        <f>HYPERLINK("http://exon.niaid.nih.gov/transcriptome/T_rubida/S2/links/cluster/Triru-pep-ext40-50-Sim-CLU24.txt", 24)</f>
        <v>24</v>
      </c>
      <c r="BZ325" s="1">
        <f>HYPERLINK("http://exon.niaid.nih.gov/transcriptome/T_rubida/S2/links/cluster/Triru-pep-ext40-50-Sim-CLTL24.txt", 2)</f>
        <v>2</v>
      </c>
      <c r="CA325" s="17">
        <f>HYPERLINK("http://exon.niaid.nih.gov/transcriptome/T_rubida/S2/links/cluster/Triru-pep-ext45-50-Sim-CLU19.txt", 19)</f>
        <v>19</v>
      </c>
      <c r="CB325" s="1">
        <f>HYPERLINK("http://exon.niaid.nih.gov/transcriptome/T_rubida/S2/links/cluster/Triru-pep-ext45-50-Sim-CLTL19.txt", 2)</f>
        <v>2</v>
      </c>
      <c r="CC325" s="17">
        <f>HYPERLINK("http://exon.niaid.nih.gov/transcriptome/T_rubida/S2/links/cluster/Triru-pep-ext50-50-Sim-CLU18.txt", 18)</f>
        <v>18</v>
      </c>
      <c r="CD325" s="1">
        <f>HYPERLINK("http://exon.niaid.nih.gov/transcriptome/T_rubida/S2/links/cluster/Triru-pep-ext50-50-Sim-CLTL18.txt", 2)</f>
        <v>2</v>
      </c>
      <c r="CE325" s="17">
        <f>HYPERLINK("http://exon.niaid.nih.gov/transcriptome/T_rubida/S2/links/cluster/Triru-pep-ext55-50-Sim-CLU13.txt", 13)</f>
        <v>13</v>
      </c>
      <c r="CF325" s="1">
        <f>HYPERLINK("http://exon.niaid.nih.gov/transcriptome/T_rubida/S2/links/cluster/Triru-pep-ext55-50-Sim-CLTL13.txt", 2)</f>
        <v>2</v>
      </c>
      <c r="CG325" s="17">
        <f>HYPERLINK("http://exon.niaid.nih.gov/transcriptome/T_rubida/S2/links/cluster/Triru-pep-ext60-50-Sim-CLU14.txt", 14)</f>
        <v>14</v>
      </c>
      <c r="CH325" s="1">
        <f>HYPERLINK("http://exon.niaid.nih.gov/transcriptome/T_rubida/S2/links/cluster/Triru-pep-ext60-50-Sim-CLTL14.txt", 2)</f>
        <v>2</v>
      </c>
      <c r="CI325" s="17">
        <f>HYPERLINK("http://exon.niaid.nih.gov/transcriptome/T_rubida/S2/links/cluster/Triru-pep-ext65-50-Sim-CLU14.txt", 14)</f>
        <v>14</v>
      </c>
      <c r="CJ325" s="1">
        <f>HYPERLINK("http://exon.niaid.nih.gov/transcriptome/T_rubida/S2/links/cluster/Triru-pep-ext65-50-Sim-CLTL14.txt", 2)</f>
        <v>2</v>
      </c>
      <c r="CK325" s="17">
        <f>HYPERLINK("http://exon.niaid.nih.gov/transcriptome/T_rubida/S2/links/cluster/Triru-pep-ext70-50-Sim-CLU14.txt", 14)</f>
        <v>14</v>
      </c>
      <c r="CL325" s="1">
        <f>HYPERLINK("http://exon.niaid.nih.gov/transcriptome/T_rubida/S2/links/cluster/Triru-pep-ext70-50-Sim-CLTL14.txt", 2)</f>
        <v>2</v>
      </c>
      <c r="CM325" s="17">
        <f>HYPERLINK("http://exon.niaid.nih.gov/transcriptome/T_rubida/S2/links/cluster/Triru-pep-ext75-50-Sim-CLU15.txt", 15)</f>
        <v>15</v>
      </c>
      <c r="CN325" s="1">
        <f>HYPERLINK("http://exon.niaid.nih.gov/transcriptome/T_rubida/S2/links/cluster/Triru-pep-ext75-50-Sim-CLTL15.txt", 2)</f>
        <v>2</v>
      </c>
      <c r="CO325" s="17">
        <f>HYPERLINK("http://exon.niaid.nih.gov/transcriptome/T_rubida/S2/links/cluster/Triru-pep-ext80-50-Sim-CLU13.txt", 13)</f>
        <v>13</v>
      </c>
      <c r="CP325" s="1">
        <f>HYPERLINK("http://exon.niaid.nih.gov/transcriptome/T_rubida/S2/links/cluster/Triru-pep-ext80-50-Sim-CLTL13.txt", 2)</f>
        <v>2</v>
      </c>
      <c r="CQ325" s="17">
        <f>HYPERLINK("http://exon.niaid.nih.gov/transcriptome/T_rubida/S2/links/cluster/Triru-pep-ext85-50-Sim-CLU11.txt", 11)</f>
        <v>11</v>
      </c>
      <c r="CR325" s="1">
        <f>HYPERLINK("http://exon.niaid.nih.gov/transcriptome/T_rubida/S2/links/cluster/Triru-pep-ext85-50-Sim-CLTL11.txt", 2)</f>
        <v>2</v>
      </c>
      <c r="CS325" s="17">
        <f>HYPERLINK("http://exon.niaid.nih.gov/transcriptome/T_rubida/S2/links/cluster/Triru-pep-ext90-50-Sim-CLU12.txt", 12)</f>
        <v>12</v>
      </c>
      <c r="CT325" s="1">
        <f>HYPERLINK("http://exon.niaid.nih.gov/transcriptome/T_rubida/S2/links/cluster/Triru-pep-ext90-50-Sim-CLTL12.txt", 2)</f>
        <v>2</v>
      </c>
      <c r="CU325" s="17">
        <f>HYPERLINK("http://exon.niaid.nih.gov/transcriptome/T_rubida/S2/links/cluster/Triru-pep-ext95-50-Sim-CLU9.txt", 9)</f>
        <v>9</v>
      </c>
      <c r="CV325" s="1">
        <f>HYPERLINK("http://exon.niaid.nih.gov/transcriptome/T_rubida/S2/links/cluster/Triru-pep-ext95-50-Sim-CLTL9.txt", 2)</f>
        <v>2</v>
      </c>
    </row>
    <row r="326" spans="1:100">
      <c r="A326" t="str">
        <f>HYPERLINK("http://exon.niaid.nih.gov/transcriptome/T_rubida/S2/links/pep/Triru-176-pep.txt","Triru-176")</f>
        <v>Triru-176</v>
      </c>
      <c r="B326">
        <v>45</v>
      </c>
      <c r="C326" s="1" t="s">
        <v>6</v>
      </c>
      <c r="D326" s="1" t="s">
        <v>3</v>
      </c>
      <c r="E326" t="str">
        <f>HYPERLINK("http://exon.niaid.nih.gov/transcriptome/T_rubida/S2/links/cds/Triru-176-cds.txt","Triru-176")</f>
        <v>Triru-176</v>
      </c>
      <c r="F326">
        <v>138</v>
      </c>
      <c r="G326" s="2" t="s">
        <v>1770</v>
      </c>
      <c r="H326" s="1">
        <v>1</v>
      </c>
      <c r="I326" s="3" t="s">
        <v>1266</v>
      </c>
      <c r="J326" s="17" t="str">
        <f>HYPERLINK("http://exon.niaid.nih.gov/transcriptome/T_rubida/S2/links/Sigp/Triru-176-SigP.txt","CYT")</f>
        <v>CYT</v>
      </c>
      <c r="K326" t="s">
        <v>5</v>
      </c>
      <c r="L326" s="1">
        <v>5.0979999999999999</v>
      </c>
      <c r="M326" s="1">
        <v>4.0199999999999996</v>
      </c>
      <c r="P326" s="1">
        <v>5.8000000000000003E-2</v>
      </c>
      <c r="Q326" s="1">
        <v>0.13900000000000001</v>
      </c>
      <c r="R326" s="1">
        <v>0.872</v>
      </c>
      <c r="S326" s="17" t="s">
        <v>1346</v>
      </c>
      <c r="T326">
        <v>2</v>
      </c>
      <c r="U326" t="s">
        <v>1347</v>
      </c>
      <c r="V326" s="17">
        <v>0</v>
      </c>
      <c r="W326" t="s">
        <v>5</v>
      </c>
      <c r="X326" t="s">
        <v>5</v>
      </c>
      <c r="Y326" t="s">
        <v>5</v>
      </c>
      <c r="Z326" t="s">
        <v>5</v>
      </c>
      <c r="AA326" t="s">
        <v>5</v>
      </c>
      <c r="AB326" s="17" t="s">
        <v>5</v>
      </c>
      <c r="AC326" t="s">
        <v>5</v>
      </c>
      <c r="AD326" t="s">
        <v>5</v>
      </c>
      <c r="AE326" t="s">
        <v>5</v>
      </c>
      <c r="AF326" s="17" t="s">
        <v>5</v>
      </c>
      <c r="AG326" s="2" t="str">
        <f>HYPERLINK("http://exon.niaid.nih.gov/transcriptome/T_rubida/S2/links/NR/Triru-176-NR.txt","cytidine deaminase")</f>
        <v>cytidine deaminase</v>
      </c>
      <c r="AH326" t="str">
        <f>HYPERLINK("http://www.ncbi.nlm.nih.gov/sutils/blink.cgi?pid=114051311","0.003")</f>
        <v>0.003</v>
      </c>
      <c r="AI326" t="str">
        <f>HYPERLINK("http://www.ncbi.nlm.nih.gov/protein/114051311","gi|114051311")</f>
        <v>gi|114051311</v>
      </c>
      <c r="AJ326">
        <v>45.4</v>
      </c>
      <c r="AK326">
        <v>40</v>
      </c>
      <c r="AL326">
        <v>186</v>
      </c>
      <c r="AM326">
        <v>46</v>
      </c>
      <c r="AN326">
        <v>22</v>
      </c>
      <c r="AO326" t="s">
        <v>144</v>
      </c>
      <c r="AP326" s="2" t="str">
        <f>HYPERLINK("http://exon.niaid.nih.gov/transcriptome/T_rubida/S2/links/SWISSP/Triru-176-SWISSP.txt","UPF0428 protein CXorf56 homolog")</f>
        <v>UPF0428 protein CXorf56 homolog</v>
      </c>
      <c r="AQ326" t="str">
        <f>HYPERLINK("http://www.uniprot.org/uniprot/Q8VDP2","61")</f>
        <v>61</v>
      </c>
      <c r="AR326" t="s">
        <v>447</v>
      </c>
      <c r="AS326">
        <v>26.2</v>
      </c>
      <c r="AT326">
        <v>16</v>
      </c>
      <c r="AU326">
        <v>222</v>
      </c>
      <c r="AV326">
        <v>58</v>
      </c>
      <c r="AW326">
        <v>8</v>
      </c>
      <c r="AX326">
        <v>7</v>
      </c>
      <c r="AY326">
        <v>0</v>
      </c>
      <c r="AZ326">
        <v>67</v>
      </c>
      <c r="BA326">
        <v>10</v>
      </c>
      <c r="BB326">
        <v>1</v>
      </c>
      <c r="BC326" t="s">
        <v>75</v>
      </c>
      <c r="BD326" s="2" t="s">
        <v>5</v>
      </c>
      <c r="BE326" t="s">
        <v>5</v>
      </c>
      <c r="BF326" t="s">
        <v>5</v>
      </c>
      <c r="BG326" t="s">
        <v>5</v>
      </c>
      <c r="BH326" t="s">
        <v>5</v>
      </c>
      <c r="BI326" s="2" t="str">
        <f>HYPERLINK("http://exon.niaid.nih.gov/transcriptome/T_rubida/S2/links/CDD/Triru-176-CDD.txt","PRK12411")</f>
        <v>PRK12411</v>
      </c>
      <c r="BJ326" t="str">
        <f>HYPERLINK("http://www.ncbi.nlm.nih.gov/Structure/cdd/cddsrv.cgi?uid=PRK12411&amp;version=v4.0","4.2")</f>
        <v>4.2</v>
      </c>
      <c r="BK326" t="s">
        <v>448</v>
      </c>
      <c r="BL326" s="2" t="str">
        <f>HYPERLINK("http://exon.niaid.nih.gov/transcriptome/T_rubida/S2/links/KOG/Triru-176-KOG.txt","Metalloendopeptidase family - mitochondrial intermediate peptidase")</f>
        <v>Metalloendopeptidase family - mitochondrial intermediate peptidase</v>
      </c>
      <c r="BM326" t="str">
        <f>HYPERLINK("http://www.ncbi.nlm.nih.gov/COG/grace/shokog.cgi?KOG2090","3.2")</f>
        <v>3.2</v>
      </c>
      <c r="BN326" t="s">
        <v>72</v>
      </c>
      <c r="BO326" s="2" t="s">
        <v>5</v>
      </c>
      <c r="BP326" t="s">
        <v>5</v>
      </c>
      <c r="BQ326" s="2" t="str">
        <f>HYPERLINK("http://exon.niaid.nih.gov/transcriptome/T_rubida/S2/links/SMART/Triru-176-SMART.txt","AP2Ec")</f>
        <v>AP2Ec</v>
      </c>
      <c r="BR326" t="str">
        <f>HYPERLINK("http://smart.embl-heidelberg.de/smart/do_annotation.pl?DOMAIN=AP2Ec&amp;BLAST=DUMMY","1.7")</f>
        <v>1.7</v>
      </c>
      <c r="BS326" s="17">
        <f>HYPERLINK("http://exon.niaid.nih.gov/transcriptome/T_rubida/S2/links/cluster/Triru-pep-ext25-50-Sim-CLU18.txt", 18)</f>
        <v>18</v>
      </c>
      <c r="BT326" s="1">
        <f>HYPERLINK("http://exon.niaid.nih.gov/transcriptome/T_rubida/S2/links/cluster/Triru-pep-ext25-50-Sim-CLTL18.txt", 2)</f>
        <v>2</v>
      </c>
      <c r="BU326" s="17">
        <f>HYPERLINK("http://exon.niaid.nih.gov/transcriptome/T_rubida/S2/links/cluster/Triru-pep-ext30-50-Sim-CLU23.txt", 23)</f>
        <v>23</v>
      </c>
      <c r="BV326" s="1">
        <f>HYPERLINK("http://exon.niaid.nih.gov/transcriptome/T_rubida/S2/links/cluster/Triru-pep-ext30-50-Sim-CLTL23.txt", 2)</f>
        <v>2</v>
      </c>
      <c r="BW326" s="17">
        <f>HYPERLINK("http://exon.niaid.nih.gov/transcriptome/T_rubida/S2/links/cluster/Triru-pep-ext35-50-Sim-CLU17.txt", 17)</f>
        <v>17</v>
      </c>
      <c r="BX326" s="1">
        <f>HYPERLINK("http://exon.niaid.nih.gov/transcriptome/T_rubida/S2/links/cluster/Triru-pep-ext35-50-Sim-CLTL17.txt", 2)</f>
        <v>2</v>
      </c>
      <c r="BY326" s="17">
        <f>HYPERLINK("http://exon.niaid.nih.gov/transcriptome/T_rubida/S2/links/cluster/Triru-pep-ext40-50-Sim-CLU14.txt", 14)</f>
        <v>14</v>
      </c>
      <c r="BZ326" s="1">
        <f>HYPERLINK("http://exon.niaid.nih.gov/transcriptome/T_rubida/S2/links/cluster/Triru-pep-ext40-50-Sim-CLTL14.txt", 2)</f>
        <v>2</v>
      </c>
      <c r="CA326" s="17">
        <v>109</v>
      </c>
      <c r="CB326" s="1">
        <v>1</v>
      </c>
      <c r="CC326" s="17">
        <v>110</v>
      </c>
      <c r="CD326" s="1">
        <v>1</v>
      </c>
      <c r="CE326" s="17">
        <v>105</v>
      </c>
      <c r="CF326" s="1">
        <v>1</v>
      </c>
      <c r="CG326" s="17">
        <v>106</v>
      </c>
      <c r="CH326" s="1">
        <v>1</v>
      </c>
      <c r="CI326" s="17">
        <v>112</v>
      </c>
      <c r="CJ326" s="1">
        <v>1</v>
      </c>
      <c r="CK326" s="17">
        <v>117</v>
      </c>
      <c r="CL326" s="1">
        <v>1</v>
      </c>
      <c r="CM326" s="17">
        <v>122</v>
      </c>
      <c r="CN326" s="1">
        <v>1</v>
      </c>
      <c r="CO326" s="17">
        <v>131</v>
      </c>
      <c r="CP326" s="1">
        <v>1</v>
      </c>
      <c r="CQ326" s="17">
        <v>141</v>
      </c>
      <c r="CR326" s="1">
        <v>1</v>
      </c>
      <c r="CS326" s="17">
        <v>146</v>
      </c>
      <c r="CT326" s="1">
        <v>1</v>
      </c>
      <c r="CU326" s="17">
        <v>157</v>
      </c>
      <c r="CV326" s="1">
        <v>1</v>
      </c>
    </row>
    <row r="327" spans="1:100">
      <c r="A327" t="str">
        <f>HYPERLINK("http://exon.niaid.nih.gov/transcriptome/T_rubida/S2/links/pep/Triru-601-pep.txt","Triru-601")</f>
        <v>Triru-601</v>
      </c>
      <c r="B327">
        <v>23</v>
      </c>
      <c r="C327" s="1" t="s">
        <v>6</v>
      </c>
      <c r="D327" s="1" t="s">
        <v>3</v>
      </c>
      <c r="E327" t="str">
        <f>HYPERLINK("http://exon.niaid.nih.gov/transcriptome/T_rubida/S2/links/cds/Triru-601-cds.txt","Triru-601")</f>
        <v>Triru-601</v>
      </c>
      <c r="F327">
        <v>72</v>
      </c>
      <c r="G327" s="2" t="s">
        <v>1771</v>
      </c>
      <c r="H327" s="1">
        <v>1</v>
      </c>
      <c r="I327" s="3" t="s">
        <v>1266</v>
      </c>
      <c r="J327" s="17" t="str">
        <f>HYPERLINK("http://exon.niaid.nih.gov/transcriptome/T_rubida/S2/links/Sigp/Triru-601-SigP.txt","CYT")</f>
        <v>CYT</v>
      </c>
      <c r="K327" t="s">
        <v>5</v>
      </c>
      <c r="L327" s="1">
        <v>2.3620000000000001</v>
      </c>
      <c r="M327" s="1">
        <v>10.26</v>
      </c>
      <c r="P327" s="1">
        <v>0.47399999999999998</v>
      </c>
      <c r="Q327" s="1">
        <v>2.5999999999999999E-2</v>
      </c>
      <c r="R327" s="1">
        <v>0.629</v>
      </c>
      <c r="S327" s="17" t="s">
        <v>1346</v>
      </c>
      <c r="T327">
        <v>5</v>
      </c>
      <c r="U327" t="s">
        <v>1348</v>
      </c>
      <c r="V327" s="17">
        <v>0</v>
      </c>
      <c r="W327" t="s">
        <v>5</v>
      </c>
      <c r="X327" t="s">
        <v>5</v>
      </c>
      <c r="Y327" t="s">
        <v>5</v>
      </c>
      <c r="Z327" t="s">
        <v>5</v>
      </c>
      <c r="AA327" t="s">
        <v>5</v>
      </c>
      <c r="AB327" s="17" t="str">
        <f>HYPERLINK("http://exon.niaid.nih.gov/transcriptome/T_rubida/S2/links/netoglyc/TRIRU-601-netoglyc.txt","1")</f>
        <v>1</v>
      </c>
      <c r="AC327">
        <v>17.399999999999999</v>
      </c>
      <c r="AD327">
        <v>17.399999999999999</v>
      </c>
      <c r="AE327">
        <v>4.3</v>
      </c>
      <c r="AF327" s="17" t="s">
        <v>5</v>
      </c>
      <c r="AG327" s="2" t="str">
        <f>HYPERLINK("http://exon.niaid.nih.gov/transcriptome/T_rubida/S2/links/NR/Triru-601-NR.txt","putative interleukin-4")</f>
        <v>putative interleukin-4</v>
      </c>
      <c r="AH327" t="str">
        <f>HYPERLINK("http://www.ncbi.nlm.nih.gov/sutils/blink.cgi?pid=339262160","16")</f>
        <v>16</v>
      </c>
      <c r="AI327" t="str">
        <f>HYPERLINK("http://www.ncbi.nlm.nih.gov/protein/339262160","gi|339262160")</f>
        <v>gi|339262160</v>
      </c>
      <c r="AJ327">
        <v>32.700000000000003</v>
      </c>
      <c r="AK327">
        <v>20</v>
      </c>
      <c r="AL327">
        <v>102</v>
      </c>
      <c r="AM327">
        <v>71</v>
      </c>
      <c r="AN327">
        <v>21</v>
      </c>
      <c r="AO327" t="s">
        <v>416</v>
      </c>
      <c r="AP327" s="2" t="s">
        <v>5</v>
      </c>
      <c r="AQ327" t="s">
        <v>5</v>
      </c>
      <c r="AR327" t="s">
        <v>5</v>
      </c>
      <c r="AS327" t="s">
        <v>5</v>
      </c>
      <c r="AT327" t="s">
        <v>5</v>
      </c>
      <c r="AU327" t="s">
        <v>5</v>
      </c>
      <c r="AV327" t="s">
        <v>5</v>
      </c>
      <c r="AW327" t="s">
        <v>5</v>
      </c>
      <c r="AX327" t="s">
        <v>5</v>
      </c>
      <c r="AY327" t="s">
        <v>5</v>
      </c>
      <c r="AZ327" t="s">
        <v>5</v>
      </c>
      <c r="BA327" t="s">
        <v>5</v>
      </c>
      <c r="BB327" t="s">
        <v>5</v>
      </c>
      <c r="BC327" t="s">
        <v>5</v>
      </c>
      <c r="BD327" s="2" t="s">
        <v>5</v>
      </c>
      <c r="BE327" t="s">
        <v>5</v>
      </c>
      <c r="BF327" t="s">
        <v>5</v>
      </c>
      <c r="BG327" t="s">
        <v>5</v>
      </c>
      <c r="BH327" t="s">
        <v>5</v>
      </c>
      <c r="BI327" s="2" t="s">
        <v>5</v>
      </c>
      <c r="BJ327" t="s">
        <v>5</v>
      </c>
      <c r="BK327" t="s">
        <v>5</v>
      </c>
      <c r="BL327" s="2" t="s">
        <v>5</v>
      </c>
      <c r="BM327" t="s">
        <v>5</v>
      </c>
      <c r="BN327" t="s">
        <v>5</v>
      </c>
      <c r="BO327" s="2" t="s">
        <v>5</v>
      </c>
      <c r="BP327" t="s">
        <v>5</v>
      </c>
      <c r="BQ327" s="2" t="str">
        <f>HYPERLINK("http://exon.niaid.nih.gov/transcriptome/T_rubida/S2/links/SMART/Triru-601-SMART.txt","PKS_KS")</f>
        <v>PKS_KS</v>
      </c>
      <c r="BR327" t="str">
        <f>HYPERLINK("http://smart.embl-heidelberg.de/smart/do_annotation.pl?DOMAIN=PKS_KS&amp;BLAST=DUMMY","8.1")</f>
        <v>8.1</v>
      </c>
      <c r="BS327" s="17">
        <f>HYPERLINK("http://exon.niaid.nih.gov/transcriptome/T_rubida/S2/links/cluster/Triru-pep-ext25-50-Sim-CLU20.txt", 20)</f>
        <v>20</v>
      </c>
      <c r="BT327" s="1">
        <f>HYPERLINK("http://exon.niaid.nih.gov/transcriptome/T_rubida/S2/links/cluster/Triru-pep-ext25-50-Sim-CLTL20.txt", 2)</f>
        <v>2</v>
      </c>
      <c r="BU327" s="17">
        <f>HYPERLINK("http://exon.niaid.nih.gov/transcriptome/T_rubida/S2/links/cluster/Triru-pep-ext30-50-Sim-CLU24.txt", 24)</f>
        <v>24</v>
      </c>
      <c r="BV327" s="1">
        <f>HYPERLINK("http://exon.niaid.nih.gov/transcriptome/T_rubida/S2/links/cluster/Triru-pep-ext30-50-Sim-CLTL24.txt", 2)</f>
        <v>2</v>
      </c>
      <c r="BW327" s="17">
        <v>349</v>
      </c>
      <c r="BX327" s="1">
        <v>1</v>
      </c>
      <c r="BY327" s="17">
        <v>384</v>
      </c>
      <c r="BZ327" s="1">
        <v>1</v>
      </c>
      <c r="CA327" s="17">
        <v>399</v>
      </c>
      <c r="CB327" s="1">
        <v>1</v>
      </c>
      <c r="CC327" s="17">
        <v>413</v>
      </c>
      <c r="CD327" s="1">
        <v>1</v>
      </c>
      <c r="CE327" s="17">
        <v>428</v>
      </c>
      <c r="CF327" s="1">
        <v>1</v>
      </c>
      <c r="CG327" s="17">
        <v>435</v>
      </c>
      <c r="CH327" s="1">
        <v>1</v>
      </c>
      <c r="CI327" s="17">
        <v>448</v>
      </c>
      <c r="CJ327" s="1">
        <v>1</v>
      </c>
      <c r="CK327" s="17">
        <v>454</v>
      </c>
      <c r="CL327" s="1">
        <v>1</v>
      </c>
      <c r="CM327" s="17">
        <v>466</v>
      </c>
      <c r="CN327" s="1">
        <v>1</v>
      </c>
      <c r="CO327" s="17">
        <v>478</v>
      </c>
      <c r="CP327" s="1">
        <v>1</v>
      </c>
      <c r="CQ327" s="17">
        <v>488</v>
      </c>
      <c r="CR327" s="1">
        <v>1</v>
      </c>
      <c r="CS327" s="17">
        <v>501</v>
      </c>
      <c r="CT327" s="1">
        <v>1</v>
      </c>
      <c r="CU327" s="17">
        <v>513</v>
      </c>
      <c r="CV327" s="1">
        <v>1</v>
      </c>
    </row>
    <row r="328" spans="1:100">
      <c r="A328" t="str">
        <f>HYPERLINK("http://exon.niaid.nih.gov/transcriptome/T_rubida/S2/links/pep/Triru-256-pep.txt","Triru-256")</f>
        <v>Triru-256</v>
      </c>
      <c r="B328">
        <v>24</v>
      </c>
      <c r="C328" s="1" t="s">
        <v>6</v>
      </c>
      <c r="D328" s="1" t="s">
        <v>3</v>
      </c>
      <c r="E328" t="str">
        <f>HYPERLINK("http://exon.niaid.nih.gov/transcriptome/T_rubida/S2/links/cds/Triru-256-cds.txt","Triru-256")</f>
        <v>Triru-256</v>
      </c>
      <c r="F328">
        <v>75</v>
      </c>
      <c r="G328" s="2" t="s">
        <v>1772</v>
      </c>
      <c r="H328" s="1">
        <v>1</v>
      </c>
      <c r="I328" s="3" t="s">
        <v>1266</v>
      </c>
      <c r="J328" s="17" t="str">
        <f>HYPERLINK("http://exon.niaid.nih.gov/transcriptome/T_rubida/S2/links/Sigp/Triru-256-SigP.txt","CYT")</f>
        <v>CYT</v>
      </c>
      <c r="K328" t="s">
        <v>5</v>
      </c>
      <c r="L328" s="1">
        <v>2.9260000000000002</v>
      </c>
      <c r="M328" s="1">
        <v>11.55</v>
      </c>
      <c r="P328" s="1">
        <v>0.13300000000000001</v>
      </c>
      <c r="Q328" s="1">
        <v>4.7E-2</v>
      </c>
      <c r="R328" s="1">
        <v>0.89400000000000002</v>
      </c>
      <c r="S328" s="17" t="s">
        <v>1346</v>
      </c>
      <c r="T328">
        <v>2</v>
      </c>
      <c r="U328" t="s">
        <v>1382</v>
      </c>
      <c r="V328" s="17">
        <v>0</v>
      </c>
      <c r="W328" t="s">
        <v>5</v>
      </c>
      <c r="X328" t="s">
        <v>5</v>
      </c>
      <c r="Y328" t="s">
        <v>5</v>
      </c>
      <c r="Z328" t="s">
        <v>5</v>
      </c>
      <c r="AA328" t="s">
        <v>5</v>
      </c>
      <c r="AB328" s="17" t="s">
        <v>5</v>
      </c>
      <c r="AC328" t="s">
        <v>5</v>
      </c>
      <c r="AD328" t="s">
        <v>5</v>
      </c>
      <c r="AE328" t="s">
        <v>5</v>
      </c>
      <c r="AF328" s="17" t="s">
        <v>5</v>
      </c>
      <c r="AG328" s="2" t="str">
        <f>HYPERLINK("http://exon.niaid.nih.gov/transcriptome/T_rubida/S2/links/NR/Triru-256-NR.txt","TD01073p")</f>
        <v>TD01073p</v>
      </c>
      <c r="AH328" t="str">
        <f>HYPERLINK("http://www.ncbi.nlm.nih.gov/sutils/blink.cgi?pid=325505061","17")</f>
        <v>17</v>
      </c>
      <c r="AI328" t="str">
        <f>HYPERLINK("http://www.ncbi.nlm.nih.gov/protein/325505061","gi|325505061")</f>
        <v>gi|325505061</v>
      </c>
      <c r="AJ328">
        <v>32.700000000000003</v>
      </c>
      <c r="AK328">
        <v>18</v>
      </c>
      <c r="AL328">
        <v>89</v>
      </c>
      <c r="AM328">
        <v>73</v>
      </c>
      <c r="AN328">
        <v>21</v>
      </c>
      <c r="AO328" t="s">
        <v>150</v>
      </c>
      <c r="AP328" s="2" t="str">
        <f>HYPERLINK("http://exon.niaid.nih.gov/transcriptome/T_rubida/S2/links/SWISSP/Triru-256-SWISSP.txt","39S ribosomal protein L34, mitochondrial")</f>
        <v>39S ribosomal protein L34, mitochondrial</v>
      </c>
      <c r="AQ328" t="str">
        <f>HYPERLINK("http://www.uniprot.org/uniprot/Q0E959","0.64")</f>
        <v>0.64</v>
      </c>
      <c r="AR328" t="s">
        <v>417</v>
      </c>
      <c r="AS328">
        <v>32.700000000000003</v>
      </c>
      <c r="AT328">
        <v>18</v>
      </c>
      <c r="AU328">
        <v>81</v>
      </c>
      <c r="AV328">
        <v>73</v>
      </c>
      <c r="AW328">
        <v>23</v>
      </c>
      <c r="AX328">
        <v>5</v>
      </c>
      <c r="AY328">
        <v>0</v>
      </c>
      <c r="AZ328">
        <v>63</v>
      </c>
      <c r="BA328">
        <v>6</v>
      </c>
      <c r="BB328">
        <v>1</v>
      </c>
      <c r="BC328" t="s">
        <v>150</v>
      </c>
      <c r="BD328" s="2" t="s">
        <v>5</v>
      </c>
      <c r="BE328" t="s">
        <v>5</v>
      </c>
      <c r="BF328" t="s">
        <v>5</v>
      </c>
      <c r="BG328" t="s">
        <v>5</v>
      </c>
      <c r="BH328" t="s">
        <v>5</v>
      </c>
      <c r="BI328" s="2" t="s">
        <v>5</v>
      </c>
      <c r="BJ328" t="s">
        <v>5</v>
      </c>
      <c r="BK328" t="s">
        <v>5</v>
      </c>
      <c r="BL328" s="2" t="str">
        <f>HYPERLINK("http://exon.niaid.nih.gov/transcriptome/T_rubida/S2/links/KOG/Triru-256-KOG.txt","Acetylornithine aminotransferase")</f>
        <v>Acetylornithine aminotransferase</v>
      </c>
      <c r="BM328" t="str">
        <f>HYPERLINK("http://www.ncbi.nlm.nih.gov/COG/grace/shokog.cgi?KOG1401","8.6")</f>
        <v>8.6</v>
      </c>
      <c r="BN328" t="s">
        <v>418</v>
      </c>
      <c r="BO328" s="2" t="s">
        <v>5</v>
      </c>
      <c r="BP328" t="s">
        <v>5</v>
      </c>
      <c r="BQ328" s="2" t="str">
        <f>HYPERLINK("http://exon.niaid.nih.gov/transcriptome/T_rubida/S2/links/SMART/Triru-256-SMART.txt","LYZ2")</f>
        <v>LYZ2</v>
      </c>
      <c r="BR328" t="str">
        <f>HYPERLINK("http://smart.embl-heidelberg.de/smart/do_annotation.pl?DOMAIN=LYZ2&amp;BLAST=DUMMY","3.4")</f>
        <v>3.4</v>
      </c>
      <c r="BS328" s="17">
        <f>HYPERLINK("http://exon.niaid.nih.gov/transcriptome/T_rubida/S2/links/cluster/Triru-pep-ext25-50-Sim-CLU19.txt", 19)</f>
        <v>19</v>
      </c>
      <c r="BT328" s="1">
        <f>HYPERLINK("http://exon.niaid.nih.gov/transcriptome/T_rubida/S2/links/cluster/Triru-pep-ext25-50-Sim-CLTL19.txt", 2)</f>
        <v>2</v>
      </c>
      <c r="BU328" s="17">
        <v>122</v>
      </c>
      <c r="BV328" s="1">
        <v>1</v>
      </c>
      <c r="BW328" s="17">
        <v>146</v>
      </c>
      <c r="BX328" s="1">
        <v>1</v>
      </c>
      <c r="BY328" s="17">
        <v>153</v>
      </c>
      <c r="BZ328" s="1">
        <v>1</v>
      </c>
      <c r="CA328" s="17">
        <v>157</v>
      </c>
      <c r="CB328" s="1">
        <v>1</v>
      </c>
      <c r="CC328" s="17">
        <v>160</v>
      </c>
      <c r="CD328" s="1">
        <v>1</v>
      </c>
      <c r="CE328" s="17">
        <v>163</v>
      </c>
      <c r="CF328" s="1">
        <v>1</v>
      </c>
      <c r="CG328" s="17">
        <v>165</v>
      </c>
      <c r="CH328" s="1">
        <v>1</v>
      </c>
      <c r="CI328" s="17">
        <v>172</v>
      </c>
      <c r="CJ328" s="1">
        <v>1</v>
      </c>
      <c r="CK328" s="17">
        <v>177</v>
      </c>
      <c r="CL328" s="1">
        <v>1</v>
      </c>
      <c r="CM328" s="17">
        <v>183</v>
      </c>
      <c r="CN328" s="1">
        <v>1</v>
      </c>
      <c r="CO328" s="17">
        <v>193</v>
      </c>
      <c r="CP328" s="1">
        <v>1</v>
      </c>
      <c r="CQ328" s="17">
        <v>203</v>
      </c>
      <c r="CR328" s="1">
        <v>1</v>
      </c>
      <c r="CS328" s="17">
        <v>208</v>
      </c>
      <c r="CT328" s="1">
        <v>1</v>
      </c>
      <c r="CU328" s="17">
        <v>219</v>
      </c>
      <c r="CV328" s="1">
        <v>1</v>
      </c>
    </row>
    <row r="329" spans="1:100">
      <c r="A329" t="str">
        <f>HYPERLINK("http://exon.niaid.nih.gov/transcriptome/T_rubida/S2/links/pep/Triru-554-pep.txt","Triru-554")</f>
        <v>Triru-554</v>
      </c>
      <c r="B329">
        <v>128</v>
      </c>
      <c r="C329" s="1" t="s">
        <v>10</v>
      </c>
      <c r="D329" s="1" t="s">
        <v>3</v>
      </c>
      <c r="E329" t="str">
        <f>HYPERLINK("http://exon.niaid.nih.gov/transcriptome/T_rubida/S2/links/cds/Triru-554-cds.txt","Triru-554")</f>
        <v>Triru-554</v>
      </c>
      <c r="F329">
        <v>387</v>
      </c>
      <c r="G329" s="2" t="s">
        <v>1773</v>
      </c>
      <c r="H329" s="1">
        <v>1</v>
      </c>
      <c r="I329" s="3" t="s">
        <v>1266</v>
      </c>
      <c r="J329" s="17" t="str">
        <f>HYPERLINK("http://exon.niaid.nih.gov/transcriptome/T_rubida/S2/links/Sigp/Triru-554-SigP.txt","CYT")</f>
        <v>CYT</v>
      </c>
      <c r="K329" t="s">
        <v>5</v>
      </c>
      <c r="L329" s="1">
        <v>13.648999999999999</v>
      </c>
      <c r="M329" s="1">
        <v>4.2300000000000004</v>
      </c>
      <c r="P329" s="1">
        <v>7.3999999999999996E-2</v>
      </c>
      <c r="Q329" s="1">
        <v>0.10100000000000001</v>
      </c>
      <c r="R329" s="1">
        <v>0.84699999999999998</v>
      </c>
      <c r="S329" s="17" t="s">
        <v>1346</v>
      </c>
      <c r="T329">
        <v>2</v>
      </c>
      <c r="U329" t="s">
        <v>1348</v>
      </c>
      <c r="V329" s="17">
        <v>0</v>
      </c>
      <c r="W329" t="s">
        <v>5</v>
      </c>
      <c r="X329" t="s">
        <v>5</v>
      </c>
      <c r="Y329" t="s">
        <v>5</v>
      </c>
      <c r="Z329" t="s">
        <v>5</v>
      </c>
      <c r="AA329" t="s">
        <v>5</v>
      </c>
      <c r="AB329" s="17" t="str">
        <f>HYPERLINK("http://exon.niaid.nih.gov/transcriptome/T_rubida/S2/links/netoglyc/TRIRU-554-netoglyc.txt","1")</f>
        <v>1</v>
      </c>
      <c r="AC329">
        <v>18.8</v>
      </c>
      <c r="AD329">
        <v>12.5</v>
      </c>
      <c r="AE329">
        <v>7</v>
      </c>
      <c r="AF329" s="17" t="s">
        <v>5</v>
      </c>
      <c r="AG329" s="2" t="str">
        <f>HYPERLINK("http://exon.niaid.nih.gov/transcriptome/T_rubida/S2/links/NR/Triru-554-NR.txt","longitudinals lacking isoform 5")</f>
        <v>longitudinals lacking isoform 5</v>
      </c>
      <c r="AH329" t="str">
        <f>HYPERLINK("http://www.ncbi.nlm.nih.gov/sutils/blink.cgi?pid=255522803","7E-006")</f>
        <v>7E-006</v>
      </c>
      <c r="AI329" t="str">
        <f>HYPERLINK("http://www.ncbi.nlm.nih.gov/protein/255522803","gi|255522803")</f>
        <v>gi|255522803</v>
      </c>
      <c r="AJ329">
        <v>53.9</v>
      </c>
      <c r="AK329">
        <v>82</v>
      </c>
      <c r="AL329">
        <v>402</v>
      </c>
      <c r="AM329">
        <v>37</v>
      </c>
      <c r="AN329">
        <v>21</v>
      </c>
      <c r="AO329" t="s">
        <v>671</v>
      </c>
      <c r="AP329" s="2" t="str">
        <f>HYPERLINK("http://exon.niaid.nih.gov/transcriptome/T_rubida/S2/links/SWISSP/Triru-554-SWISSP.txt","Longitudinals lacking protein, isoforms J/P/Q/S/Z")</f>
        <v>Longitudinals lacking protein, isoforms J/P/Q/S/Z</v>
      </c>
      <c r="AQ329" t="str">
        <f>HYPERLINK("http://www.uniprot.org/uniprot/Q9V5M6","3E-005")</f>
        <v>3E-005</v>
      </c>
      <c r="AR329" t="s">
        <v>995</v>
      </c>
      <c r="AS329">
        <v>47</v>
      </c>
      <c r="AT329">
        <v>91</v>
      </c>
      <c r="AU329">
        <v>963</v>
      </c>
      <c r="AV329">
        <v>37</v>
      </c>
      <c r="AW329">
        <v>10</v>
      </c>
      <c r="AX329">
        <v>58</v>
      </c>
      <c r="AY329">
        <v>12</v>
      </c>
      <c r="AZ329">
        <v>374</v>
      </c>
      <c r="BA329">
        <v>8</v>
      </c>
      <c r="BB329">
        <v>1</v>
      </c>
      <c r="BC329" t="s">
        <v>150</v>
      </c>
      <c r="BD329" s="2" t="s">
        <v>5</v>
      </c>
      <c r="BE329" t="s">
        <v>5</v>
      </c>
      <c r="BF329" t="s">
        <v>5</v>
      </c>
      <c r="BG329" t="s">
        <v>5</v>
      </c>
      <c r="BH329" t="s">
        <v>5</v>
      </c>
      <c r="BI329" s="2" t="str">
        <f>HYPERLINK("http://exon.niaid.nih.gov/transcriptome/T_rubida/S2/links/CDD/Triru-554-CDD.txt","LanC_like")</f>
        <v>LanC_like</v>
      </c>
      <c r="BJ329" t="str">
        <f>HYPERLINK("http://www.ncbi.nlm.nih.gov/Structure/cdd/cddsrv.cgi?uid=cd04434&amp;version=v4.0","1.1")</f>
        <v>1.1</v>
      </c>
      <c r="BK329" t="s">
        <v>996</v>
      </c>
      <c r="BL329" s="2" t="str">
        <f>HYPERLINK("http://exon.niaid.nih.gov/transcriptome/T_rubida/S2/links/KOG/Triru-554-KOG.txt","PH domain-containing protein")</f>
        <v>PH domain-containing protein</v>
      </c>
      <c r="BM329" t="str">
        <f>HYPERLINK("http://www.ncbi.nlm.nih.gov/COG/grace/shokog.cgi?KOG1997","0.60")</f>
        <v>0.60</v>
      </c>
      <c r="BN329" t="s">
        <v>179</v>
      </c>
      <c r="BO329" s="2" t="str">
        <f>HYPERLINK("http://exon.niaid.nih.gov/transcriptome/T_rubida/S2/links/PFAM/Triru-554-PFAM.txt","AAA-ATPase_like")</f>
        <v>AAA-ATPase_like</v>
      </c>
      <c r="BP329" t="str">
        <f>HYPERLINK("http://pfam.sanger.ac.uk/family?acc=PF09820","1.4")</f>
        <v>1.4</v>
      </c>
      <c r="BQ329" s="2" t="str">
        <f>HYPERLINK("http://exon.niaid.nih.gov/transcriptome/T_rubida/S2/links/SMART/Triru-554-SMART.txt","VPS10")</f>
        <v>VPS10</v>
      </c>
      <c r="BR329" t="str">
        <f>HYPERLINK("http://smart.embl-heidelberg.de/smart/do_annotation.pl?DOMAIN=VPS10&amp;BLAST=DUMMY","0.21")</f>
        <v>0.21</v>
      </c>
      <c r="BS329" s="17">
        <f>HYPERLINK("http://exon.niaid.nih.gov/transcriptome/T_rubida/S2/links/cluster/Triru-pep-ext25-50-Sim-CLU1.txt", 1)</f>
        <v>1</v>
      </c>
      <c r="BT329" s="1">
        <f>HYPERLINK("http://exon.niaid.nih.gov/transcriptome/T_rubida/S2/links/cluster/Triru-pep-ext25-50-Sim-CLTL1.txt", 359)</f>
        <v>359</v>
      </c>
      <c r="BU329" s="17">
        <f>HYPERLINK("http://exon.niaid.nih.gov/transcriptome/T_rubida/S2/links/cluster/Triru-pep-ext30-50-Sim-CLU34.txt", 34)</f>
        <v>34</v>
      </c>
      <c r="BV329" s="1">
        <f>HYPERLINK("http://exon.niaid.nih.gov/transcriptome/T_rubida/S2/links/cluster/Triru-pep-ext30-50-Sim-CLTL34.txt", 2)</f>
        <v>2</v>
      </c>
      <c r="BW329" s="17">
        <v>320</v>
      </c>
      <c r="BX329" s="1">
        <v>1</v>
      </c>
      <c r="BY329" s="17">
        <v>350</v>
      </c>
      <c r="BZ329" s="1">
        <v>1</v>
      </c>
      <c r="CA329" s="17">
        <v>364</v>
      </c>
      <c r="CB329" s="1">
        <v>1</v>
      </c>
      <c r="CC329" s="17">
        <v>377</v>
      </c>
      <c r="CD329" s="1">
        <v>1</v>
      </c>
      <c r="CE329" s="17">
        <v>392</v>
      </c>
      <c r="CF329" s="1">
        <v>1</v>
      </c>
      <c r="CG329" s="17">
        <v>398</v>
      </c>
      <c r="CH329" s="1">
        <v>1</v>
      </c>
      <c r="CI329" s="17">
        <v>410</v>
      </c>
      <c r="CJ329" s="1">
        <v>1</v>
      </c>
      <c r="CK329" s="17">
        <v>416</v>
      </c>
      <c r="CL329" s="1">
        <v>1</v>
      </c>
      <c r="CM329" s="17">
        <v>427</v>
      </c>
      <c r="CN329" s="1">
        <v>1</v>
      </c>
      <c r="CO329" s="17">
        <v>439</v>
      </c>
      <c r="CP329" s="1">
        <v>1</v>
      </c>
      <c r="CQ329" s="17">
        <v>449</v>
      </c>
      <c r="CR329" s="1">
        <v>1</v>
      </c>
      <c r="CS329" s="17">
        <v>462</v>
      </c>
      <c r="CT329" s="1">
        <v>1</v>
      </c>
      <c r="CU329" s="17">
        <v>473</v>
      </c>
      <c r="CV329" s="1">
        <v>1</v>
      </c>
    </row>
    <row r="330" spans="1:100">
      <c r="A330" t="str">
        <f>HYPERLINK("http://exon.niaid.nih.gov/transcriptome/T_rubida/S2/links/pep/Triru-286-pep.txt","Triru-286")</f>
        <v>Triru-286</v>
      </c>
      <c r="B330">
        <v>42</v>
      </c>
      <c r="C330" s="1" t="s">
        <v>22</v>
      </c>
      <c r="D330" s="1" t="s">
        <v>5</v>
      </c>
      <c r="E330" t="str">
        <f>HYPERLINK("http://exon.niaid.nih.gov/transcriptome/T_rubida/S2/links/cds/Triru-286-cds.txt","Triru-286")</f>
        <v>Triru-286</v>
      </c>
      <c r="F330">
        <v>124</v>
      </c>
      <c r="G330" s="2" t="s">
        <v>1774</v>
      </c>
      <c r="H330" s="1">
        <v>1</v>
      </c>
      <c r="I330" s="3" t="s">
        <v>1266</v>
      </c>
      <c r="J330" s="17" t="str">
        <f>HYPERLINK("http://exon.niaid.nih.gov/transcriptome/T_rubida/S2/links/Sigp/Triru-286-SigP.txt","CYT")</f>
        <v>CYT</v>
      </c>
      <c r="K330" t="s">
        <v>5</v>
      </c>
      <c r="L330" s="1">
        <v>4.718</v>
      </c>
      <c r="M330" s="1">
        <v>10.37</v>
      </c>
      <c r="P330" s="1">
        <v>0.08</v>
      </c>
      <c r="Q330" s="1">
        <v>0.69199999999999995</v>
      </c>
      <c r="R330" s="1">
        <v>0.22</v>
      </c>
      <c r="S330" s="17" t="s">
        <v>18</v>
      </c>
      <c r="T330">
        <v>3</v>
      </c>
      <c r="U330" t="s">
        <v>1348</v>
      </c>
      <c r="V330" s="17">
        <v>0</v>
      </c>
      <c r="W330" t="s">
        <v>5</v>
      </c>
      <c r="X330" t="s">
        <v>5</v>
      </c>
      <c r="Y330" t="s">
        <v>5</v>
      </c>
      <c r="Z330" t="s">
        <v>5</v>
      </c>
      <c r="AA330" t="s">
        <v>5</v>
      </c>
      <c r="AB330" s="17" t="str">
        <f>HYPERLINK("http://exon.niaid.nih.gov/transcriptome/T_rubida/S2/links/netoglyc/TRIRU-286-netoglyc.txt","4")</f>
        <v>4</v>
      </c>
      <c r="AC330">
        <v>14.3</v>
      </c>
      <c r="AD330">
        <v>4.8</v>
      </c>
      <c r="AE330">
        <v>14.3</v>
      </c>
      <c r="AF330" s="17" t="s">
        <v>5</v>
      </c>
      <c r="AG330" s="2" t="str">
        <f>HYPERLINK("http://exon.niaid.nih.gov/transcriptome/T_rubida/S2/links/NR/Triru-286-NR.txt","acetyltransferase")</f>
        <v>acetyltransferase</v>
      </c>
      <c r="AH330" t="str">
        <f>HYPERLINK("http://www.ncbi.nlm.nih.gov/sutils/blink.cgi?pid=71280519","88")</f>
        <v>88</v>
      </c>
      <c r="AI330" t="str">
        <f>HYPERLINK("http://www.ncbi.nlm.nih.gov/protein/71280519","gi|71280519")</f>
        <v>gi|71280519</v>
      </c>
      <c r="AJ330">
        <v>30.4</v>
      </c>
      <c r="AK330">
        <v>31</v>
      </c>
      <c r="AL330">
        <v>163</v>
      </c>
      <c r="AM330">
        <v>43</v>
      </c>
      <c r="AN330">
        <v>20</v>
      </c>
      <c r="AO330" t="s">
        <v>705</v>
      </c>
      <c r="AP330" s="2" t="str">
        <f>HYPERLINK("http://exon.niaid.nih.gov/transcriptome/T_rubida/S2/links/SWISSP/Triru-286-SWISSP.txt","Armadillo repeat-containing X-linked protein 5")</f>
        <v>Armadillo repeat-containing X-linked protein 5</v>
      </c>
      <c r="AQ330" t="str">
        <f>HYPERLINK("http://www.uniprot.org/uniprot/Q3UZB0","28")</f>
        <v>28</v>
      </c>
      <c r="AR330" t="s">
        <v>706</v>
      </c>
      <c r="AS330">
        <v>27.3</v>
      </c>
      <c r="AT330">
        <v>20</v>
      </c>
      <c r="AU330">
        <v>606</v>
      </c>
      <c r="AV330">
        <v>52</v>
      </c>
      <c r="AW330">
        <v>3</v>
      </c>
      <c r="AX330">
        <v>10</v>
      </c>
      <c r="AY330">
        <v>0</v>
      </c>
      <c r="AZ330">
        <v>279</v>
      </c>
      <c r="BA330">
        <v>7</v>
      </c>
      <c r="BB330">
        <v>1</v>
      </c>
      <c r="BC330" t="s">
        <v>75</v>
      </c>
      <c r="BD330" s="2" t="s">
        <v>5</v>
      </c>
      <c r="BE330" t="s">
        <v>5</v>
      </c>
      <c r="BF330" t="s">
        <v>5</v>
      </c>
      <c r="BG330" t="s">
        <v>5</v>
      </c>
      <c r="BH330" t="s">
        <v>5</v>
      </c>
      <c r="BI330" s="2" t="str">
        <f>HYPERLINK("http://exon.niaid.nih.gov/transcriptome/T_rubida/S2/links/CDD/Triru-286-CDD.txt","PLN03157")</f>
        <v>PLN03157</v>
      </c>
      <c r="BJ330" t="str">
        <f>HYPERLINK("http://www.ncbi.nlm.nih.gov/Structure/cdd/cddsrv.cgi?uid=PLN03157&amp;version=v4.0","4.4")</f>
        <v>4.4</v>
      </c>
      <c r="BK330" t="s">
        <v>707</v>
      </c>
      <c r="BL330" s="2" t="str">
        <f>HYPERLINK("http://exon.niaid.nih.gov/transcriptome/T_rubida/S2/links/KOG/Triru-286-KOG.txt","N-end rule pathway, recognition component UBR1")</f>
        <v>N-end rule pathway, recognition component UBR1</v>
      </c>
      <c r="BM330" t="str">
        <f>HYPERLINK("http://www.ncbi.nlm.nih.gov/COG/grace/shokog.cgi?KOG1140","2.6")</f>
        <v>2.6</v>
      </c>
      <c r="BN330" t="s">
        <v>72</v>
      </c>
      <c r="BO330" s="2" t="str">
        <f>HYPERLINK("http://exon.niaid.nih.gov/transcriptome/T_rubida/S2/links/PFAM/Triru-286-PFAM.txt","DUF1350")</f>
        <v>DUF1350</v>
      </c>
      <c r="BP330" t="str">
        <f>HYPERLINK("http://pfam.sanger.ac.uk/family?acc=PF07082","2.7")</f>
        <v>2.7</v>
      </c>
      <c r="BQ330" s="2" t="str">
        <f>HYPERLINK("http://exon.niaid.nih.gov/transcriptome/T_rubida/S2/links/SMART/Triru-286-SMART.txt","CCP")</f>
        <v>CCP</v>
      </c>
      <c r="BR330" t="str">
        <f>HYPERLINK("http://smart.embl-heidelberg.de/smart/do_annotation.pl?DOMAIN=CCP&amp;BLAST=DUMMY","2.8")</f>
        <v>2.8</v>
      </c>
      <c r="BS330" s="17">
        <f>HYPERLINK("http://exon.niaid.nih.gov/transcriptome/T_rubida/S2/links/cluster/Triru-pep-ext25-50-Sim-CLU1.txt", 1)</f>
        <v>1</v>
      </c>
      <c r="BT330" s="1">
        <f>HYPERLINK("http://exon.niaid.nih.gov/transcriptome/T_rubida/S2/links/cluster/Triru-pep-ext25-50-Sim-CLTL1.txt", 359)</f>
        <v>359</v>
      </c>
      <c r="BU330" s="17">
        <f>HYPERLINK("http://exon.niaid.nih.gov/transcriptome/T_rubida/S2/links/cluster/Triru-pep-ext30-50-Sim-CLU1.txt", 1)</f>
        <v>1</v>
      </c>
      <c r="BV330" s="1">
        <f>HYPERLINK("http://exon.niaid.nih.gov/transcriptome/T_rubida/S2/links/cluster/Triru-pep-ext30-50-Sim-CLTL1.txt", 225)</f>
        <v>225</v>
      </c>
      <c r="BW330" s="17">
        <f>HYPERLINK("http://exon.niaid.nih.gov/transcriptome/T_rubida/S2/links/cluster/Triru-pep-ext35-50-Sim-CLU27.txt", 27)</f>
        <v>27</v>
      </c>
      <c r="BX330" s="1">
        <f>HYPERLINK("http://exon.niaid.nih.gov/transcriptome/T_rubida/S2/links/cluster/Triru-pep-ext35-50-Sim-CLTL27.txt", 2)</f>
        <v>2</v>
      </c>
      <c r="BY330" s="17">
        <v>170</v>
      </c>
      <c r="BZ330" s="1">
        <v>1</v>
      </c>
      <c r="CA330" s="17">
        <v>174</v>
      </c>
      <c r="CB330" s="1">
        <v>1</v>
      </c>
      <c r="CC330" s="17">
        <v>178</v>
      </c>
      <c r="CD330" s="1">
        <v>1</v>
      </c>
      <c r="CE330" s="17">
        <v>183</v>
      </c>
      <c r="CF330" s="1">
        <v>1</v>
      </c>
      <c r="CG330" s="17">
        <v>185</v>
      </c>
      <c r="CH330" s="1">
        <v>1</v>
      </c>
      <c r="CI330" s="17">
        <v>192</v>
      </c>
      <c r="CJ330" s="1">
        <v>1</v>
      </c>
      <c r="CK330" s="17">
        <v>197</v>
      </c>
      <c r="CL330" s="1">
        <v>1</v>
      </c>
      <c r="CM330" s="17">
        <v>203</v>
      </c>
      <c r="CN330" s="1">
        <v>1</v>
      </c>
      <c r="CO330" s="17">
        <v>213</v>
      </c>
      <c r="CP330" s="1">
        <v>1</v>
      </c>
      <c r="CQ330" s="17">
        <v>223</v>
      </c>
      <c r="CR330" s="1">
        <v>1</v>
      </c>
      <c r="CS330" s="17">
        <v>230</v>
      </c>
      <c r="CT330" s="1">
        <v>1</v>
      </c>
      <c r="CU330" s="17">
        <v>241</v>
      </c>
      <c r="CV330" s="1">
        <v>1</v>
      </c>
    </row>
    <row r="331" spans="1:100">
      <c r="A331" t="str">
        <f>HYPERLINK("http://exon.niaid.nih.gov/transcriptome/T_rubida/S2/links/pep/Triru-506-pep.txt","Triru-506")</f>
        <v>Triru-506</v>
      </c>
      <c r="B331">
        <v>80</v>
      </c>
      <c r="C331" s="1" t="s">
        <v>10</v>
      </c>
      <c r="D331" s="1" t="s">
        <v>3</v>
      </c>
      <c r="E331" t="str">
        <f>HYPERLINK("http://exon.niaid.nih.gov/transcriptome/T_rubida/S2/links/cds/Triru-506-cds.txt","Triru-506")</f>
        <v>Triru-506</v>
      </c>
      <c r="F331">
        <v>243</v>
      </c>
      <c r="G331" s="2" t="s">
        <v>1775</v>
      </c>
      <c r="H331" s="1">
        <v>1</v>
      </c>
      <c r="I331" s="3" t="s">
        <v>1266</v>
      </c>
      <c r="J331" s="17" t="str">
        <f>HYPERLINK("http://exon.niaid.nih.gov/transcriptome/T_rubida/S2/links/Sigp/Triru-506-SigP.txt","CYT")</f>
        <v>CYT</v>
      </c>
      <c r="K331" t="s">
        <v>5</v>
      </c>
      <c r="L331" s="1">
        <v>8.8670000000000009</v>
      </c>
      <c r="M331" s="1">
        <v>9.61</v>
      </c>
      <c r="P331" s="1">
        <v>0.39600000000000002</v>
      </c>
      <c r="Q331" s="1">
        <v>2.3E-2</v>
      </c>
      <c r="R331" s="1">
        <v>0.71699999999999997</v>
      </c>
      <c r="S331" s="17" t="s">
        <v>1346</v>
      </c>
      <c r="T331">
        <v>4</v>
      </c>
      <c r="U331" t="s">
        <v>1348</v>
      </c>
      <c r="V331" s="17">
        <v>0</v>
      </c>
      <c r="W331" t="s">
        <v>5</v>
      </c>
      <c r="X331" t="s">
        <v>5</v>
      </c>
      <c r="Y331" t="s">
        <v>5</v>
      </c>
      <c r="Z331" t="s">
        <v>5</v>
      </c>
      <c r="AA331" t="s">
        <v>5</v>
      </c>
      <c r="AB331" s="17" t="str">
        <f>HYPERLINK("http://exon.niaid.nih.gov/transcriptome/T_rubida/S2/links/netoglyc/TRIRU-506-netoglyc.txt","0")</f>
        <v>0</v>
      </c>
      <c r="AC331">
        <v>21.3</v>
      </c>
      <c r="AD331">
        <v>12.5</v>
      </c>
      <c r="AE331">
        <v>5</v>
      </c>
      <c r="AF331" s="17" t="s">
        <v>1506</v>
      </c>
      <c r="AG331" s="2" t="str">
        <f>HYPERLINK("http://exon.niaid.nih.gov/transcriptome/T_rubida/S2/links/NR/Triru-506-NR.txt","conserved hypothetical protein")</f>
        <v>conserved hypothetical protein</v>
      </c>
      <c r="AH331" t="str">
        <f>HYPERLINK("http://www.ncbi.nlm.nih.gov/sutils/blink.cgi?pid=302509272","0.71")</f>
        <v>0.71</v>
      </c>
      <c r="AI331" t="str">
        <f>HYPERLINK("http://www.ncbi.nlm.nih.gov/protein/302509272","gi|302509272")</f>
        <v>gi|302509272</v>
      </c>
      <c r="AJ331">
        <v>37.4</v>
      </c>
      <c r="AK331">
        <v>67</v>
      </c>
      <c r="AL331">
        <v>347</v>
      </c>
      <c r="AM331">
        <v>36</v>
      </c>
      <c r="AN331">
        <v>20</v>
      </c>
      <c r="AO331" t="s">
        <v>973</v>
      </c>
      <c r="AP331" s="2" t="str">
        <f>HYPERLINK("http://exon.niaid.nih.gov/transcriptome/T_rubida/S2/links/SWISSP/Triru-506-SWISSP.txt","Hornerin")</f>
        <v>Hornerin</v>
      </c>
      <c r="AQ331" t="str">
        <f>HYPERLINK("http://www.uniprot.org/uniprot/Q86YZ3","0.046")</f>
        <v>0.046</v>
      </c>
      <c r="AR331" t="s">
        <v>974</v>
      </c>
      <c r="AS331">
        <v>36.6</v>
      </c>
      <c r="AT331">
        <v>2552</v>
      </c>
      <c r="AU331">
        <v>2850</v>
      </c>
      <c r="AV331">
        <v>46</v>
      </c>
      <c r="AW331">
        <v>90</v>
      </c>
      <c r="AX331">
        <v>21</v>
      </c>
      <c r="AY331">
        <v>0</v>
      </c>
      <c r="AZ331">
        <v>0</v>
      </c>
      <c r="BA331">
        <v>0</v>
      </c>
      <c r="BB331">
        <v>28</v>
      </c>
      <c r="BC331" t="s">
        <v>208</v>
      </c>
      <c r="BD331" s="2" t="s">
        <v>5</v>
      </c>
      <c r="BE331" t="s">
        <v>5</v>
      </c>
      <c r="BF331" t="s">
        <v>5</v>
      </c>
      <c r="BG331" t="s">
        <v>5</v>
      </c>
      <c r="BH331" t="s">
        <v>5</v>
      </c>
      <c r="BI331" s="2" t="str">
        <f>HYPERLINK("http://exon.niaid.nih.gov/transcriptome/T_rubida/S2/links/CDD/Triru-506-CDD.txt","PHA03368")</f>
        <v>PHA03368</v>
      </c>
      <c r="BJ331" t="str">
        <f>HYPERLINK("http://www.ncbi.nlm.nih.gov/Structure/cdd/cddsrv.cgi?uid=PHA03368&amp;version=v4.0","0.77")</f>
        <v>0.77</v>
      </c>
      <c r="BK331" t="s">
        <v>975</v>
      </c>
      <c r="BL331" s="2" t="str">
        <f>HYPERLINK("http://exon.niaid.nih.gov/transcriptome/T_rubida/S2/links/KOG/Triru-506-KOG.txt","Karyopherin (importin) alpha")</f>
        <v>Karyopherin (importin) alpha</v>
      </c>
      <c r="BM331" t="str">
        <f>HYPERLINK("http://www.ncbi.nlm.nih.gov/COG/grace/shokog.cgi?KOG0166","0.28")</f>
        <v>0.28</v>
      </c>
      <c r="BN331" t="s">
        <v>164</v>
      </c>
      <c r="BO331" s="2" t="str">
        <f>HYPERLINK("http://exon.niaid.nih.gov/transcriptome/T_rubida/S2/links/PFAM/Triru-506-PFAM.txt","Herpes_LMP2")</f>
        <v>Herpes_LMP2</v>
      </c>
      <c r="BP331" t="str">
        <f>HYPERLINK("http://pfam.sanger.ac.uk/family?acc=PF07415","1.1")</f>
        <v>1.1</v>
      </c>
      <c r="BQ331" s="2" t="str">
        <f>HYPERLINK("http://exon.niaid.nih.gov/transcriptome/T_rubida/S2/links/SMART/Triru-506-SMART.txt","MIF4G")</f>
        <v>MIF4G</v>
      </c>
      <c r="BR331" t="str">
        <f>HYPERLINK("http://smart.embl-heidelberg.de/smart/do_annotation.pl?DOMAIN=MIF4G&amp;BLAST=DUMMY","0.85")</f>
        <v>0.85</v>
      </c>
      <c r="BS331" s="17">
        <v>154</v>
      </c>
      <c r="BT331" s="1">
        <v>1</v>
      </c>
      <c r="BU331" s="17">
        <v>229</v>
      </c>
      <c r="BV331" s="1">
        <v>1</v>
      </c>
      <c r="BW331" s="17">
        <v>294</v>
      </c>
      <c r="BX331" s="1">
        <v>1</v>
      </c>
      <c r="BY331" s="17">
        <v>320</v>
      </c>
      <c r="BZ331" s="1">
        <v>1</v>
      </c>
      <c r="CA331" s="17">
        <v>330</v>
      </c>
      <c r="CB331" s="1">
        <v>1</v>
      </c>
      <c r="CC331" s="17">
        <v>342</v>
      </c>
      <c r="CD331" s="1">
        <v>1</v>
      </c>
      <c r="CE331" s="17">
        <v>354</v>
      </c>
      <c r="CF331" s="1">
        <v>1</v>
      </c>
      <c r="CG331" s="17">
        <v>360</v>
      </c>
      <c r="CH331" s="1">
        <v>1</v>
      </c>
      <c r="CI331" s="17">
        <v>372</v>
      </c>
      <c r="CJ331" s="1">
        <v>1</v>
      </c>
      <c r="CK331" s="17">
        <v>378</v>
      </c>
      <c r="CL331" s="1">
        <v>1</v>
      </c>
      <c r="CM331" s="17">
        <v>386</v>
      </c>
      <c r="CN331" s="1">
        <v>1</v>
      </c>
      <c r="CO331" s="17">
        <v>398</v>
      </c>
      <c r="CP331" s="1">
        <v>1</v>
      </c>
      <c r="CQ331" s="17">
        <v>408</v>
      </c>
      <c r="CR331" s="1">
        <v>1</v>
      </c>
      <c r="CS331" s="17">
        <v>421</v>
      </c>
      <c r="CT331" s="1">
        <v>1</v>
      </c>
      <c r="CU331" s="17">
        <v>432</v>
      </c>
      <c r="CV331" s="1">
        <v>1</v>
      </c>
    </row>
    <row r="332" spans="1:100">
      <c r="A332" t="str">
        <f>HYPERLINK("http://exon.niaid.nih.gov/transcriptome/T_rubida/S2/links/pep/Triru-583-pep.txt","Triru-583")</f>
        <v>Triru-583</v>
      </c>
      <c r="B332">
        <v>65</v>
      </c>
      <c r="C332" s="1" t="s">
        <v>15</v>
      </c>
      <c r="D332" s="1" t="s">
        <v>3</v>
      </c>
      <c r="E332" t="str">
        <f>HYPERLINK("http://exon.niaid.nih.gov/transcriptome/T_rubida/S2/links/cds/Triru-583-cds.txt","Triru-583")</f>
        <v>Triru-583</v>
      </c>
      <c r="F332">
        <v>198</v>
      </c>
      <c r="G332" s="2" t="s">
        <v>1776</v>
      </c>
      <c r="H332" s="1">
        <v>1</v>
      </c>
      <c r="I332" s="3" t="s">
        <v>1266</v>
      </c>
      <c r="J332" s="17" t="str">
        <f>HYPERLINK("http://exon.niaid.nih.gov/transcriptome/T_rubida/S2/links/Sigp/Triru-583-SigP.txt","CYT")</f>
        <v>CYT</v>
      </c>
      <c r="K332" t="s">
        <v>5</v>
      </c>
      <c r="L332" s="1">
        <v>7.9459999999999997</v>
      </c>
      <c r="M332" s="1">
        <v>9.99</v>
      </c>
      <c r="P332" s="1">
        <v>0.88700000000000001</v>
      </c>
      <c r="Q332" s="1">
        <v>1.2E-2</v>
      </c>
      <c r="R332" s="1">
        <v>0.2</v>
      </c>
      <c r="S332" s="17" t="s">
        <v>9</v>
      </c>
      <c r="T332">
        <v>2</v>
      </c>
      <c r="U332" t="s">
        <v>1507</v>
      </c>
      <c r="V332" s="17">
        <v>0</v>
      </c>
      <c r="W332" t="s">
        <v>5</v>
      </c>
      <c r="X332" t="s">
        <v>5</v>
      </c>
      <c r="Y332" t="s">
        <v>5</v>
      </c>
      <c r="Z332" t="s">
        <v>5</v>
      </c>
      <c r="AA332" t="s">
        <v>5</v>
      </c>
      <c r="AB332" s="17" t="str">
        <f>HYPERLINK("http://exon.niaid.nih.gov/transcriptome/T_rubida/S2/links/netoglyc/TRIRU-583-netoglyc.txt","0")</f>
        <v>0</v>
      </c>
      <c r="AC332">
        <v>10.8</v>
      </c>
      <c r="AD332" t="s">
        <v>1417</v>
      </c>
      <c r="AE332">
        <v>1.5</v>
      </c>
      <c r="AF332" s="17" t="s">
        <v>5</v>
      </c>
      <c r="AG332" s="2" t="str">
        <f>HYPERLINK("http://exon.niaid.nih.gov/transcriptome/T_rubida/S2/links/NR/Triru-583-NR.txt","olfactory receptor family 5")</f>
        <v>olfactory receptor family 5</v>
      </c>
      <c r="AH332" t="str">
        <f>HYPERLINK("http://www.ncbi.nlm.nih.gov/sutils/blink.cgi?pid=254943266","1.2")</f>
        <v>1.2</v>
      </c>
      <c r="AI332" t="str">
        <f>HYPERLINK("http://www.ncbi.nlm.nih.gov/protein/254943266","gi|254943266")</f>
        <v>gi|254943266</v>
      </c>
      <c r="AJ332">
        <v>36.6</v>
      </c>
      <c r="AK332">
        <v>47</v>
      </c>
      <c r="AL332">
        <v>237</v>
      </c>
      <c r="AM332">
        <v>38</v>
      </c>
      <c r="AN332">
        <v>20</v>
      </c>
      <c r="AO332" t="s">
        <v>781</v>
      </c>
      <c r="AP332" s="2" t="str">
        <f>HYPERLINK("http://exon.niaid.nih.gov/transcriptome/T_rubida/S2/links/SWISSP/Triru-583-SWISSP.txt","Olfactory receptor 5AC1")</f>
        <v>Olfactory receptor 5AC1</v>
      </c>
      <c r="AQ332" t="str">
        <f>HYPERLINK("http://www.uniprot.org/uniprot/P0C628","0.30")</f>
        <v>0.30</v>
      </c>
      <c r="AR332" t="s">
        <v>782</v>
      </c>
      <c r="AS332">
        <v>33.9</v>
      </c>
      <c r="AT332">
        <v>47</v>
      </c>
      <c r="AU332">
        <v>307</v>
      </c>
      <c r="AV332">
        <v>36</v>
      </c>
      <c r="AW332">
        <v>16</v>
      </c>
      <c r="AX332">
        <v>33</v>
      </c>
      <c r="AY332">
        <v>4</v>
      </c>
      <c r="AZ332">
        <v>158</v>
      </c>
      <c r="BA332">
        <v>14</v>
      </c>
      <c r="BB332">
        <v>1</v>
      </c>
      <c r="BC332" t="s">
        <v>208</v>
      </c>
      <c r="BD332" s="2" t="s">
        <v>5</v>
      </c>
      <c r="BE332" t="s">
        <v>5</v>
      </c>
      <c r="BF332" t="s">
        <v>5</v>
      </c>
      <c r="BG332" t="s">
        <v>5</v>
      </c>
      <c r="BH332" t="s">
        <v>5</v>
      </c>
      <c r="BI332" s="2" t="s">
        <v>5</v>
      </c>
      <c r="BJ332" t="s">
        <v>5</v>
      </c>
      <c r="BK332" t="s">
        <v>5</v>
      </c>
      <c r="BL332" s="2" t="str">
        <f>HYPERLINK("http://exon.niaid.nih.gov/transcriptome/T_rubida/S2/links/KOG/Triru-583-KOG.txt","T-type voltage-gated Ca2+ channel, pore-forming alpha1I subunit")</f>
        <v>T-type voltage-gated Ca2+ channel, pore-forming alpha1I subunit</v>
      </c>
      <c r="BM332" t="str">
        <f>HYPERLINK("http://www.ncbi.nlm.nih.gov/COG/grace/shokog.cgi?KOG2302","0.49")</f>
        <v>0.49</v>
      </c>
      <c r="BN332" t="s">
        <v>58</v>
      </c>
      <c r="BO332" s="2" t="str">
        <f>HYPERLINK("http://exon.niaid.nih.gov/transcriptome/T_rubida/S2/links/PFAM/Triru-583-PFAM.txt","DUF1776")</f>
        <v>DUF1776</v>
      </c>
      <c r="BP332" t="str">
        <f>HYPERLINK("http://pfam.sanger.ac.uk/family?acc=PF08643","7.9")</f>
        <v>7.9</v>
      </c>
      <c r="BQ332" s="2" t="str">
        <f>HYPERLINK("http://exon.niaid.nih.gov/transcriptome/T_rubida/S2/links/SMART/Triru-583-SMART.txt","Sm")</f>
        <v>Sm</v>
      </c>
      <c r="BR332" t="str">
        <f>HYPERLINK("http://smart.embl-heidelberg.de/smart/do_annotation.pl?DOMAIN=Sm&amp;BLAST=DUMMY","8.5")</f>
        <v>8.5</v>
      </c>
      <c r="BS332" s="17">
        <f>HYPERLINK("http://exon.niaid.nih.gov/transcriptome/T_rubida/S2/links/cluster/Triru-pep-ext25-50-Sim-CLU1.txt", 1)</f>
        <v>1</v>
      </c>
      <c r="BT332" s="1">
        <f>HYPERLINK("http://exon.niaid.nih.gov/transcriptome/T_rubida/S2/links/cluster/Triru-pep-ext25-50-Sim-CLTL1.txt", 359)</f>
        <v>359</v>
      </c>
      <c r="BU332" s="17">
        <v>265</v>
      </c>
      <c r="BV332" s="1">
        <v>1</v>
      </c>
      <c r="BW332" s="17">
        <v>339</v>
      </c>
      <c r="BX332" s="1">
        <v>1</v>
      </c>
      <c r="BY332" s="17">
        <v>372</v>
      </c>
      <c r="BZ332" s="1">
        <v>1</v>
      </c>
      <c r="CA332" s="17">
        <v>387</v>
      </c>
      <c r="CB332" s="1">
        <v>1</v>
      </c>
      <c r="CC332" s="17">
        <v>401</v>
      </c>
      <c r="CD332" s="1">
        <v>1</v>
      </c>
      <c r="CE332" s="17">
        <v>416</v>
      </c>
      <c r="CF332" s="1">
        <v>1</v>
      </c>
      <c r="CG332" s="17">
        <v>423</v>
      </c>
      <c r="CH332" s="1">
        <v>1</v>
      </c>
      <c r="CI332" s="17">
        <v>435</v>
      </c>
      <c r="CJ332" s="1">
        <v>1</v>
      </c>
      <c r="CK332" s="17">
        <v>441</v>
      </c>
      <c r="CL332" s="1">
        <v>1</v>
      </c>
      <c r="CM332" s="17">
        <v>452</v>
      </c>
      <c r="CN332" s="1">
        <v>1</v>
      </c>
      <c r="CO332" s="17">
        <v>464</v>
      </c>
      <c r="CP332" s="1">
        <v>1</v>
      </c>
      <c r="CQ332" s="17">
        <v>474</v>
      </c>
      <c r="CR332" s="1">
        <v>1</v>
      </c>
      <c r="CS332" s="17">
        <v>487</v>
      </c>
      <c r="CT332" s="1">
        <v>1</v>
      </c>
      <c r="CU332" s="17">
        <v>499</v>
      </c>
      <c r="CV332" s="1">
        <v>1</v>
      </c>
    </row>
    <row r="333" spans="1:100">
      <c r="A333" t="str">
        <f>HYPERLINK("http://exon.niaid.nih.gov/transcriptome/T_rubida/S2/links/pep/Triru-654-pep.txt","Triru-654")</f>
        <v>Triru-654</v>
      </c>
      <c r="B333">
        <v>30</v>
      </c>
      <c r="C333" s="1" t="s">
        <v>17</v>
      </c>
      <c r="D333" s="1" t="s">
        <v>3</v>
      </c>
      <c r="E333" t="str">
        <f>HYPERLINK("http://exon.niaid.nih.gov/transcriptome/T_rubida/S2/links/cds/Triru-654-cds.txt","Triru-654")</f>
        <v>Triru-654</v>
      </c>
      <c r="F333">
        <v>93</v>
      </c>
      <c r="G333" s="2" t="s">
        <v>1777</v>
      </c>
      <c r="H333" s="1">
        <v>1</v>
      </c>
      <c r="I333" s="3" t="s">
        <v>1266</v>
      </c>
      <c r="J333" s="17" t="str">
        <f>HYPERLINK("http://exon.niaid.nih.gov/transcriptome/T_rubida/S2/links/Sigp/Triru-654-SigP.txt","CYT")</f>
        <v>CYT</v>
      </c>
      <c r="K333" t="s">
        <v>5</v>
      </c>
      <c r="L333" s="1">
        <v>3.6219999999999999</v>
      </c>
      <c r="M333" s="1">
        <v>6.34</v>
      </c>
      <c r="P333" s="1">
        <v>8.8999999999999996E-2</v>
      </c>
      <c r="Q333" s="1">
        <v>4.7E-2</v>
      </c>
      <c r="R333" s="1">
        <v>0.92600000000000005</v>
      </c>
      <c r="S333" s="17" t="s">
        <v>1346</v>
      </c>
      <c r="T333">
        <v>1</v>
      </c>
      <c r="U333" t="s">
        <v>1382</v>
      </c>
      <c r="V333" s="17">
        <v>0</v>
      </c>
      <c r="W333" t="s">
        <v>5</v>
      </c>
      <c r="X333" t="s">
        <v>5</v>
      </c>
      <c r="Y333" t="s">
        <v>5</v>
      </c>
      <c r="Z333" t="s">
        <v>5</v>
      </c>
      <c r="AA333" t="s">
        <v>5</v>
      </c>
      <c r="AB333" s="17" t="str">
        <f>HYPERLINK("http://exon.niaid.nih.gov/transcriptome/T_rubida/S2/links/netoglyc/TRIRU-654-netoglyc.txt","0")</f>
        <v>0</v>
      </c>
      <c r="AC333">
        <v>13.3</v>
      </c>
      <c r="AD333" t="s">
        <v>1417</v>
      </c>
      <c r="AE333" t="s">
        <v>1394</v>
      </c>
      <c r="AF333" s="17" t="s">
        <v>5</v>
      </c>
      <c r="AG333" s="2" t="str">
        <f>HYPERLINK("http://exon.niaid.nih.gov/transcriptome/T_rubida/S2/links/NR/Triru-654-NR.txt","MPA13 allergen")</f>
        <v>MPA13 allergen</v>
      </c>
      <c r="AH333" t="str">
        <f>HYPERLINK("http://www.ncbi.nlm.nih.gov/sutils/blink.cgi?pid=60678801","6E-005")</f>
        <v>6E-005</v>
      </c>
      <c r="AI333" t="str">
        <f>HYPERLINK("http://www.ncbi.nlm.nih.gov/protein/60678801","gi|60678801")</f>
        <v>gi|60678801</v>
      </c>
      <c r="AJ333">
        <v>50.8</v>
      </c>
      <c r="AK333">
        <v>25</v>
      </c>
      <c r="AL333">
        <v>131</v>
      </c>
      <c r="AM333">
        <v>80</v>
      </c>
      <c r="AN333">
        <v>20</v>
      </c>
      <c r="AO333" t="s">
        <v>1032</v>
      </c>
      <c r="AP333" s="2" t="str">
        <f>HYPERLINK("http://exon.niaid.nih.gov/transcriptome/T_rubida/S2/links/SWISSP/Triru-654-SWISSP.txt","Fatty acid-binding protein, muscle")</f>
        <v>Fatty acid-binding protein, muscle</v>
      </c>
      <c r="AQ333" t="str">
        <f>HYPERLINK("http://www.uniprot.org/uniprot/P41496","0.13")</f>
        <v>0.13</v>
      </c>
      <c r="AR333" t="s">
        <v>1033</v>
      </c>
      <c r="AS333">
        <v>35</v>
      </c>
      <c r="AT333">
        <v>25</v>
      </c>
      <c r="AU333">
        <v>134</v>
      </c>
      <c r="AV333">
        <v>53</v>
      </c>
      <c r="AW333">
        <v>19</v>
      </c>
      <c r="AX333">
        <v>12</v>
      </c>
      <c r="AY333">
        <v>0</v>
      </c>
      <c r="AZ333">
        <v>107</v>
      </c>
      <c r="BA333">
        <v>2</v>
      </c>
      <c r="BB333">
        <v>1</v>
      </c>
      <c r="BC333" t="s">
        <v>1034</v>
      </c>
      <c r="BD333" s="2" t="s">
        <v>5</v>
      </c>
      <c r="BE333" t="s">
        <v>5</v>
      </c>
      <c r="BF333" t="s">
        <v>5</v>
      </c>
      <c r="BG333" t="s">
        <v>5</v>
      </c>
      <c r="BH333" t="s">
        <v>5</v>
      </c>
      <c r="BI333" s="2" t="s">
        <v>5</v>
      </c>
      <c r="BJ333" t="s">
        <v>5</v>
      </c>
      <c r="BK333" t="s">
        <v>5</v>
      </c>
      <c r="BL333" s="2" t="str">
        <f>HYPERLINK("http://exon.niaid.nih.gov/transcriptome/T_rubida/S2/links/KOG/Triru-654-KOG.txt","Fatty acid-binding protein FABP")</f>
        <v>Fatty acid-binding protein FABP</v>
      </c>
      <c r="BM333" t="str">
        <f>HYPERLINK("http://www.ncbi.nlm.nih.gov/COG/grace/shokog.cgi?KOG4015","0.11")</f>
        <v>0.11</v>
      </c>
      <c r="BN333" t="s">
        <v>88</v>
      </c>
      <c r="BO333" s="2" t="s">
        <v>5</v>
      </c>
      <c r="BP333" t="s">
        <v>5</v>
      </c>
      <c r="BQ333" s="2" t="str">
        <f>HYPERLINK("http://exon.niaid.nih.gov/transcriptome/T_rubida/S2/links/SMART/Triru-654-SMART.txt","UBX")</f>
        <v>UBX</v>
      </c>
      <c r="BR333" t="str">
        <f>HYPERLINK("http://smart.embl-heidelberg.de/smart/do_annotation.pl?DOMAIN=UBX&amp;BLAST=DUMMY","9.5")</f>
        <v>9.5</v>
      </c>
      <c r="BS333" s="17">
        <f>HYPERLINK("http://exon.niaid.nih.gov/transcriptome/T_rubida/S2/links/cluster/Triru-pep-ext25-50-Sim-CLU18.txt", 18)</f>
        <v>18</v>
      </c>
      <c r="BT333" s="1">
        <f>HYPERLINK("http://exon.niaid.nih.gov/transcriptome/T_rubida/S2/links/cluster/Triru-pep-ext25-50-Sim-CLTL18.txt", 2)</f>
        <v>2</v>
      </c>
      <c r="BU333" s="17">
        <f>HYPERLINK("http://exon.niaid.nih.gov/transcriptome/T_rubida/S2/links/cluster/Triru-pep-ext30-50-Sim-CLU23.txt", 23)</f>
        <v>23</v>
      </c>
      <c r="BV333" s="1">
        <f>HYPERLINK("http://exon.niaid.nih.gov/transcriptome/T_rubida/S2/links/cluster/Triru-pep-ext30-50-Sim-CLTL23.txt", 2)</f>
        <v>2</v>
      </c>
      <c r="BW333" s="17">
        <f>HYPERLINK("http://exon.niaid.nih.gov/transcriptome/T_rubida/S2/links/cluster/Triru-pep-ext35-50-Sim-CLU17.txt", 17)</f>
        <v>17</v>
      </c>
      <c r="BX333" s="1">
        <f>HYPERLINK("http://exon.niaid.nih.gov/transcriptome/T_rubida/S2/links/cluster/Triru-pep-ext35-50-Sim-CLTL17.txt", 2)</f>
        <v>2</v>
      </c>
      <c r="BY333" s="17">
        <f>HYPERLINK("http://exon.niaid.nih.gov/transcriptome/T_rubida/S2/links/cluster/Triru-pep-ext40-50-Sim-CLU14.txt", 14)</f>
        <v>14</v>
      </c>
      <c r="BZ333" s="1">
        <f>HYPERLINK("http://exon.niaid.nih.gov/transcriptome/T_rubida/S2/links/cluster/Triru-pep-ext40-50-Sim-CLTL14.txt", 2)</f>
        <v>2</v>
      </c>
      <c r="CA333" s="17">
        <v>431</v>
      </c>
      <c r="CB333" s="1">
        <v>1</v>
      </c>
      <c r="CC333" s="17">
        <v>448</v>
      </c>
      <c r="CD333" s="1">
        <v>1</v>
      </c>
      <c r="CE333" s="17">
        <v>466</v>
      </c>
      <c r="CF333" s="1">
        <v>1</v>
      </c>
      <c r="CG333" s="17">
        <v>475</v>
      </c>
      <c r="CH333" s="1">
        <v>1</v>
      </c>
      <c r="CI333" s="17">
        <v>490</v>
      </c>
      <c r="CJ333" s="1">
        <v>1</v>
      </c>
      <c r="CK333" s="17">
        <v>496</v>
      </c>
      <c r="CL333" s="1">
        <v>1</v>
      </c>
      <c r="CM333" s="17">
        <v>509</v>
      </c>
      <c r="CN333" s="1">
        <v>1</v>
      </c>
      <c r="CO333" s="17">
        <v>521</v>
      </c>
      <c r="CP333" s="1">
        <v>1</v>
      </c>
      <c r="CQ333" s="17">
        <v>531</v>
      </c>
      <c r="CR333" s="1">
        <v>1</v>
      </c>
      <c r="CS333" s="17">
        <v>544</v>
      </c>
      <c r="CT333" s="1">
        <v>1</v>
      </c>
      <c r="CU333" s="17">
        <v>557</v>
      </c>
      <c r="CV333" s="1">
        <v>1</v>
      </c>
    </row>
    <row r="334" spans="1:100">
      <c r="A334" t="str">
        <f>HYPERLINK("http://exon.niaid.nih.gov/transcriptome/T_rubida/S2/links/pep/Triru-228-pep.txt","Triru-228")</f>
        <v>Triru-228</v>
      </c>
      <c r="B334">
        <v>57</v>
      </c>
      <c r="C334" s="1" t="s">
        <v>17</v>
      </c>
      <c r="D334" s="1" t="s">
        <v>3</v>
      </c>
      <c r="E334" t="str">
        <f>HYPERLINK("http://exon.niaid.nih.gov/transcriptome/T_rubida/S2/links/cds/Triru-228-cds.txt","Triru-228")</f>
        <v>Triru-228</v>
      </c>
      <c r="F334">
        <v>174</v>
      </c>
      <c r="G334" s="2" t="s">
        <v>1779</v>
      </c>
      <c r="H334" s="1">
        <v>1</v>
      </c>
      <c r="I334" s="3" t="s">
        <v>1266</v>
      </c>
      <c r="J334" s="17" t="str">
        <f>HYPERLINK("http://exon.niaid.nih.gov/transcriptome/T_rubida/S2/links/Sigp/Triru-228-SigP.txt","CYT")</f>
        <v>CYT</v>
      </c>
      <c r="K334" t="s">
        <v>5</v>
      </c>
      <c r="L334" s="1">
        <v>6.32</v>
      </c>
      <c r="M334" s="1">
        <v>9.9700000000000006</v>
      </c>
      <c r="P334" s="1">
        <v>0.33400000000000002</v>
      </c>
      <c r="Q334" s="1">
        <v>1.6E-2</v>
      </c>
      <c r="R334" s="1">
        <v>0.81</v>
      </c>
      <c r="S334" s="17" t="s">
        <v>1346</v>
      </c>
      <c r="T334">
        <v>3</v>
      </c>
      <c r="U334" t="s">
        <v>1382</v>
      </c>
      <c r="V334" s="17">
        <v>0</v>
      </c>
      <c r="W334" t="s">
        <v>5</v>
      </c>
      <c r="X334" t="s">
        <v>5</v>
      </c>
      <c r="Y334" t="s">
        <v>5</v>
      </c>
      <c r="Z334" t="s">
        <v>5</v>
      </c>
      <c r="AA334" t="s">
        <v>5</v>
      </c>
      <c r="AB334" s="17" t="str">
        <f>HYPERLINK("http://exon.niaid.nih.gov/transcriptome/T_rubida/S2/links/netoglyc/TRIRU-228-netoglyc.txt","4")</f>
        <v>4</v>
      </c>
      <c r="AC334">
        <v>17.5</v>
      </c>
      <c r="AD334">
        <v>5.3</v>
      </c>
      <c r="AE334">
        <v>10.5</v>
      </c>
      <c r="AF334" s="17" t="s">
        <v>5</v>
      </c>
      <c r="AG334" s="2" t="str">
        <f>HYPERLINK("http://exon.niaid.nih.gov/transcriptome/T_rubida/S2/links/NR/Triru-228-NR.txt","unknown")</f>
        <v>unknown</v>
      </c>
      <c r="AH334" t="str">
        <f>HYPERLINK("http://www.ncbi.nlm.nih.gov/sutils/blink.cgi?pid=81295782","0.55")</f>
        <v>0.55</v>
      </c>
      <c r="AI334" t="str">
        <f>HYPERLINK("http://www.ncbi.nlm.nih.gov/protein/81295782","gi|81295782")</f>
        <v>gi|81295782</v>
      </c>
      <c r="AJ334">
        <v>37.700000000000003</v>
      </c>
      <c r="AK334">
        <v>38</v>
      </c>
      <c r="AL334">
        <v>210</v>
      </c>
      <c r="AM334">
        <v>50</v>
      </c>
      <c r="AN334">
        <v>19</v>
      </c>
      <c r="AO334" t="s">
        <v>1060</v>
      </c>
      <c r="AP334" s="2" t="str">
        <f>HYPERLINK("http://exon.niaid.nih.gov/transcriptome/T_rubida/S2/links/SWISSP/Triru-228-SWISSP.txt","Tumor necrosis factor receptor superfamily member 13C")</f>
        <v>Tumor necrosis factor receptor superfamily member 13C</v>
      </c>
      <c r="AQ334" t="str">
        <f>HYPERLINK("http://www.uniprot.org/uniprot/Q96RJ3","7.2")</f>
        <v>7.2</v>
      </c>
      <c r="AR334" t="s">
        <v>1061</v>
      </c>
      <c r="AS334">
        <v>29.3</v>
      </c>
      <c r="AT334">
        <v>38</v>
      </c>
      <c r="AU334">
        <v>184</v>
      </c>
      <c r="AV334">
        <v>35</v>
      </c>
      <c r="AW334">
        <v>21</v>
      </c>
      <c r="AX334">
        <v>25</v>
      </c>
      <c r="AY334">
        <v>0</v>
      </c>
      <c r="AZ334">
        <v>35</v>
      </c>
      <c r="BA334">
        <v>7</v>
      </c>
      <c r="BB334">
        <v>1</v>
      </c>
      <c r="BC334" t="s">
        <v>208</v>
      </c>
      <c r="BD334" s="2" t="s">
        <v>5</v>
      </c>
      <c r="BE334" t="s">
        <v>5</v>
      </c>
      <c r="BF334" t="s">
        <v>5</v>
      </c>
      <c r="BG334" t="s">
        <v>5</v>
      </c>
      <c r="BH334" t="s">
        <v>5</v>
      </c>
      <c r="BI334" s="2" t="str">
        <f>HYPERLINK("http://exon.niaid.nih.gov/transcriptome/T_rubida/S2/links/CDD/Triru-228-CDD.txt","PRK14725")</f>
        <v>PRK14725</v>
      </c>
      <c r="BJ334" t="str">
        <f>HYPERLINK("http://www.ncbi.nlm.nih.gov/Structure/cdd/cddsrv.cgi?uid=PRK14725&amp;version=v4.0","5.0")</f>
        <v>5.0</v>
      </c>
      <c r="BK334" t="s">
        <v>1062</v>
      </c>
      <c r="BL334" s="2" t="str">
        <f>HYPERLINK("http://exon.niaid.nih.gov/transcriptome/T_rubida/S2/links/KOG/Triru-228-KOG.txt","ACK and related non-receptor tyrosine kinases")</f>
        <v>ACK and related non-receptor tyrosine kinases</v>
      </c>
      <c r="BM334" t="str">
        <f>HYPERLINK("http://www.ncbi.nlm.nih.gov/COG/grace/shokog.cgi?KOG0199","6.7")</f>
        <v>6.7</v>
      </c>
      <c r="BN334" t="s">
        <v>179</v>
      </c>
      <c r="BO334" s="2" t="str">
        <f>HYPERLINK("http://exon.niaid.nih.gov/transcriptome/T_rubida/S2/links/PFAM/Triru-228-PFAM.txt","Uso1_p115_head")</f>
        <v>Uso1_p115_head</v>
      </c>
      <c r="BP334" t="str">
        <f>HYPERLINK("http://pfam.sanger.ac.uk/family?acc=PF04869","3.0")</f>
        <v>3.0</v>
      </c>
      <c r="BQ334" s="2" t="str">
        <f>HYPERLINK("http://exon.niaid.nih.gov/transcriptome/T_rubida/S2/links/SMART/Triru-228-SMART.txt","Sema")</f>
        <v>Sema</v>
      </c>
      <c r="BR334" t="str">
        <f>HYPERLINK("http://smart.embl-heidelberg.de/smart/do_annotation.pl?DOMAIN=Sema&amp;BLAST=DUMMY","1.5")</f>
        <v>1.5</v>
      </c>
      <c r="BS334" s="17">
        <v>77</v>
      </c>
      <c r="BT334" s="1">
        <v>1</v>
      </c>
      <c r="BU334" s="17">
        <v>111</v>
      </c>
      <c r="BV334" s="1">
        <v>1</v>
      </c>
      <c r="BW334" s="17">
        <v>130</v>
      </c>
      <c r="BX334" s="1">
        <v>1</v>
      </c>
      <c r="BY334" s="17">
        <v>136</v>
      </c>
      <c r="BZ334" s="1">
        <v>1</v>
      </c>
      <c r="CA334" s="17">
        <v>138</v>
      </c>
      <c r="CB334" s="1">
        <v>1</v>
      </c>
      <c r="CC334" s="17">
        <v>141</v>
      </c>
      <c r="CD334" s="1">
        <v>1</v>
      </c>
      <c r="CE334" s="17">
        <v>141</v>
      </c>
      <c r="CF334" s="1">
        <v>1</v>
      </c>
      <c r="CG334" s="17">
        <v>143</v>
      </c>
      <c r="CH334" s="1">
        <v>1</v>
      </c>
      <c r="CI334" s="17">
        <v>149</v>
      </c>
      <c r="CJ334" s="1">
        <v>1</v>
      </c>
      <c r="CK334" s="17">
        <v>154</v>
      </c>
      <c r="CL334" s="1">
        <v>1</v>
      </c>
      <c r="CM334" s="17">
        <v>160</v>
      </c>
      <c r="CN334" s="1">
        <v>1</v>
      </c>
      <c r="CO334" s="17">
        <v>170</v>
      </c>
      <c r="CP334" s="1">
        <v>1</v>
      </c>
      <c r="CQ334" s="17">
        <v>180</v>
      </c>
      <c r="CR334" s="1">
        <v>1</v>
      </c>
      <c r="CS334" s="17">
        <v>185</v>
      </c>
      <c r="CT334" s="1">
        <v>1</v>
      </c>
      <c r="CU334" s="17">
        <v>196</v>
      </c>
      <c r="CV334" s="1">
        <v>1</v>
      </c>
    </row>
    <row r="335" spans="1:100">
      <c r="A335" t="str">
        <f>HYPERLINK("http://exon.niaid.nih.gov/transcriptome/T_rubida/S2/links/pep/Triru-199-pep.txt","Triru-199")</f>
        <v>Triru-199</v>
      </c>
      <c r="B335">
        <v>64</v>
      </c>
      <c r="C335" s="1" t="s">
        <v>17</v>
      </c>
      <c r="D335" s="1" t="s">
        <v>3</v>
      </c>
      <c r="E335" t="str">
        <f>HYPERLINK("http://exon.niaid.nih.gov/transcriptome/T_rubida/S2/links/cds/Triru-199-cds.txt","Triru-199")</f>
        <v>Triru-199</v>
      </c>
      <c r="F335">
        <v>195</v>
      </c>
      <c r="G335" s="2" t="s">
        <v>1780</v>
      </c>
      <c r="H335" s="1">
        <v>1</v>
      </c>
      <c r="I335" s="3" t="s">
        <v>1266</v>
      </c>
      <c r="J335" s="17" t="str">
        <f>HYPERLINK("http://exon.niaid.nih.gov/transcriptome/T_rubida/S2/links/Sigp/Triru-199-SigP.txt","CYT")</f>
        <v>CYT</v>
      </c>
      <c r="K335" t="s">
        <v>5</v>
      </c>
      <c r="L335" s="1">
        <v>7.093</v>
      </c>
      <c r="M335" s="1">
        <v>6.07</v>
      </c>
      <c r="P335" s="1">
        <v>0.436</v>
      </c>
      <c r="Q335" s="1">
        <v>3.3000000000000002E-2</v>
      </c>
      <c r="R335" s="1">
        <v>0.60799999999999998</v>
      </c>
      <c r="S335" s="17" t="s">
        <v>1346</v>
      </c>
      <c r="T335">
        <v>5</v>
      </c>
      <c r="U335" t="s">
        <v>1382</v>
      </c>
      <c r="V335" s="17">
        <v>0</v>
      </c>
      <c r="W335" t="s">
        <v>5</v>
      </c>
      <c r="X335" t="s">
        <v>5</v>
      </c>
      <c r="Y335" t="s">
        <v>5</v>
      </c>
      <c r="Z335" t="s">
        <v>5</v>
      </c>
      <c r="AA335" t="s">
        <v>5</v>
      </c>
      <c r="AB335" s="17" t="str">
        <f>HYPERLINK("http://exon.niaid.nih.gov/transcriptome/T_rubida/S2/links/netoglyc/TRIRU-199-netoglyc.txt","0")</f>
        <v>0</v>
      </c>
      <c r="AC335">
        <v>9.4</v>
      </c>
      <c r="AD335">
        <v>12.5</v>
      </c>
      <c r="AE335">
        <v>6.3</v>
      </c>
      <c r="AF335" s="17" t="s">
        <v>5</v>
      </c>
      <c r="AG335" s="2" t="str">
        <f>HYPERLINK("http://exon.niaid.nih.gov/transcriptome/T_rubida/S2/links/NR/Triru-199-NR.txt","Phosphoglycerate Mutase")</f>
        <v>Phosphoglycerate Mutase</v>
      </c>
      <c r="AH335" t="str">
        <f>HYPERLINK("http://www.ncbi.nlm.nih.gov/sutils/blink.cgi?pid=329113799","8.0")</f>
        <v>8.0</v>
      </c>
      <c r="AI335" t="str">
        <f>HYPERLINK("http://www.ncbi.nlm.nih.gov/protein/329113799","gi|329113799")</f>
        <v>gi|329113799</v>
      </c>
      <c r="AJ335">
        <v>33.9</v>
      </c>
      <c r="AK335">
        <v>44</v>
      </c>
      <c r="AL335">
        <v>243</v>
      </c>
      <c r="AM335">
        <v>35</v>
      </c>
      <c r="AN335">
        <v>19</v>
      </c>
      <c r="AO335" t="s">
        <v>1073</v>
      </c>
      <c r="AP335" s="2" t="str">
        <f>HYPERLINK("http://exon.niaid.nih.gov/transcriptome/T_rubida/S2/links/SWISSP/Triru-199-SWISSP.txt","Glutathione synthetase")</f>
        <v>Glutathione synthetase</v>
      </c>
      <c r="AQ335" t="str">
        <f>HYPERLINK("http://www.uniprot.org/uniprot/Q7TUG9","13")</f>
        <v>13</v>
      </c>
      <c r="AR335" t="s">
        <v>1074</v>
      </c>
      <c r="AS335">
        <v>28.5</v>
      </c>
      <c r="AT335">
        <v>36</v>
      </c>
      <c r="AU335">
        <v>307</v>
      </c>
      <c r="AV335">
        <v>32</v>
      </c>
      <c r="AW335">
        <v>12</v>
      </c>
      <c r="AX335">
        <v>25</v>
      </c>
      <c r="AY335">
        <v>0</v>
      </c>
      <c r="AZ335">
        <v>14</v>
      </c>
      <c r="BA335">
        <v>19</v>
      </c>
      <c r="BB335">
        <v>1</v>
      </c>
      <c r="BC335" t="s">
        <v>1075</v>
      </c>
      <c r="BD335" s="2" t="s">
        <v>5</v>
      </c>
      <c r="BE335" t="s">
        <v>5</v>
      </c>
      <c r="BF335" t="s">
        <v>5</v>
      </c>
      <c r="BG335" t="s">
        <v>5</v>
      </c>
      <c r="BH335" t="s">
        <v>5</v>
      </c>
      <c r="BI335" s="2" t="str">
        <f>HYPERLINK("http://exon.niaid.nih.gov/transcriptome/T_rubida/S2/links/CDD/Triru-199-CDD.txt","PRK07429")</f>
        <v>PRK07429</v>
      </c>
      <c r="BJ335" t="str">
        <f>HYPERLINK("http://www.ncbi.nlm.nih.gov/Structure/cdd/cddsrv.cgi?uid=PRK07429&amp;version=v4.0","2.1")</f>
        <v>2.1</v>
      </c>
      <c r="BK335" t="s">
        <v>1076</v>
      </c>
      <c r="BL335" s="2" t="str">
        <f>HYPERLINK("http://exon.niaid.nih.gov/transcriptome/T_rubida/S2/links/KOG/Triru-199-KOG.txt","Vesicle coat complex COPI, beta' subunit")</f>
        <v>Vesicle coat complex COPI, beta' subunit</v>
      </c>
      <c r="BM335" t="str">
        <f>HYPERLINK("http://www.ncbi.nlm.nih.gov/COG/grace/shokog.cgi?KOG0276","1.7")</f>
        <v>1.7</v>
      </c>
      <c r="BN335" t="s">
        <v>164</v>
      </c>
      <c r="BO335" s="2" t="str">
        <f>HYPERLINK("http://exon.niaid.nih.gov/transcriptome/T_rubida/S2/links/PFAM/Triru-199-PFAM.txt","Rhabdo_glycop")</f>
        <v>Rhabdo_glycop</v>
      </c>
      <c r="BP335" t="str">
        <f>HYPERLINK("http://pfam.sanger.ac.uk/family?acc=PF00974","2.2")</f>
        <v>2.2</v>
      </c>
      <c r="BQ335" s="2" t="str">
        <f>HYPERLINK("http://exon.niaid.nih.gov/transcriptome/T_rubida/S2/links/SMART/Triru-199-SMART.txt","ENDO3c")</f>
        <v>ENDO3c</v>
      </c>
      <c r="BR335" t="str">
        <f>HYPERLINK("http://smart.embl-heidelberg.de/smart/do_annotation.pl?DOMAIN=ENDO3c&amp;BLAST=DUMMY","1.7")</f>
        <v>1.7</v>
      </c>
      <c r="BS335" s="17">
        <v>70</v>
      </c>
      <c r="BT335" s="1">
        <v>1</v>
      </c>
      <c r="BU335" s="17">
        <v>102</v>
      </c>
      <c r="BV335" s="1">
        <v>1</v>
      </c>
      <c r="BW335" s="17">
        <v>116</v>
      </c>
      <c r="BX335" s="1">
        <v>1</v>
      </c>
      <c r="BY335" s="17">
        <v>120</v>
      </c>
      <c r="BZ335" s="1">
        <v>1</v>
      </c>
      <c r="CA335" s="17">
        <v>120</v>
      </c>
      <c r="CB335" s="1">
        <v>1</v>
      </c>
      <c r="CC335" s="17">
        <v>123</v>
      </c>
      <c r="CD335" s="1">
        <v>1</v>
      </c>
      <c r="CE335" s="17">
        <v>120</v>
      </c>
      <c r="CF335" s="1">
        <v>1</v>
      </c>
      <c r="CG335" s="17">
        <v>121</v>
      </c>
      <c r="CH335" s="1">
        <v>1</v>
      </c>
      <c r="CI335" s="17">
        <v>127</v>
      </c>
      <c r="CJ335" s="1">
        <v>1</v>
      </c>
      <c r="CK335" s="17">
        <v>132</v>
      </c>
      <c r="CL335" s="1">
        <v>1</v>
      </c>
      <c r="CM335" s="17">
        <v>138</v>
      </c>
      <c r="CN335" s="1">
        <v>1</v>
      </c>
      <c r="CO335" s="17">
        <v>148</v>
      </c>
      <c r="CP335" s="1">
        <v>1</v>
      </c>
      <c r="CQ335" s="17">
        <v>158</v>
      </c>
      <c r="CR335" s="1">
        <v>1</v>
      </c>
      <c r="CS335" s="17">
        <v>163</v>
      </c>
      <c r="CT335" s="1">
        <v>1</v>
      </c>
      <c r="CU335" s="17">
        <v>174</v>
      </c>
      <c r="CV335" s="1">
        <v>1</v>
      </c>
    </row>
    <row r="336" spans="1:100">
      <c r="A336" t="str">
        <f>HYPERLINK("http://exon.niaid.nih.gov/transcriptome/T_rubida/S2/links/pep/Triru-549-pep.txt","Triru-549")</f>
        <v>Triru-549</v>
      </c>
      <c r="B336">
        <v>52</v>
      </c>
      <c r="C336" s="1" t="s">
        <v>17</v>
      </c>
      <c r="D336" s="1" t="s">
        <v>3</v>
      </c>
      <c r="E336" t="str">
        <f>HYPERLINK("http://exon.niaid.nih.gov/transcriptome/T_rubida/S2/links/cds/Triru-549-cds.txt","Triru-549")</f>
        <v>Triru-549</v>
      </c>
      <c r="F336">
        <v>159</v>
      </c>
      <c r="G336" s="2" t="s">
        <v>1781</v>
      </c>
      <c r="H336" s="1">
        <v>1</v>
      </c>
      <c r="I336" s="3" t="s">
        <v>1266</v>
      </c>
      <c r="J336" s="17" t="str">
        <f>HYPERLINK("http://exon.niaid.nih.gov/transcriptome/T_rubida/S2/links/Sigp/Triru-549-SigP.txt","CYT")</f>
        <v>CYT</v>
      </c>
      <c r="K336" t="s">
        <v>5</v>
      </c>
      <c r="L336" s="1">
        <v>6.1059999999999999</v>
      </c>
      <c r="M336" s="1">
        <v>6.03</v>
      </c>
      <c r="P336" s="1">
        <v>0.14399999999999999</v>
      </c>
      <c r="Q336" s="1">
        <v>8.8999999999999996E-2</v>
      </c>
      <c r="R336" s="1">
        <v>0.75600000000000001</v>
      </c>
      <c r="S336" s="17" t="s">
        <v>1346</v>
      </c>
      <c r="T336">
        <v>2</v>
      </c>
      <c r="U336" t="s">
        <v>1509</v>
      </c>
      <c r="V336" s="17">
        <v>0</v>
      </c>
      <c r="W336" t="s">
        <v>5</v>
      </c>
      <c r="X336" t="s">
        <v>5</v>
      </c>
      <c r="Y336" t="s">
        <v>5</v>
      </c>
      <c r="Z336" t="s">
        <v>5</v>
      </c>
      <c r="AA336" t="s">
        <v>5</v>
      </c>
      <c r="AB336" s="17" t="str">
        <f>HYPERLINK("http://exon.niaid.nih.gov/transcriptome/T_rubida/S2/links/netoglyc/TRIRU-549-netoglyc.txt","0")</f>
        <v>0</v>
      </c>
      <c r="AC336">
        <v>15.4</v>
      </c>
      <c r="AD336">
        <v>3.8</v>
      </c>
      <c r="AE336">
        <v>5.8</v>
      </c>
      <c r="AF336" s="17" t="s">
        <v>5</v>
      </c>
      <c r="AG336" s="2" t="str">
        <f>HYPERLINK("http://exon.niaid.nih.gov/transcriptome/T_rubida/S2/links/NR/Triru-549-NR.txt","NmrA family protein")</f>
        <v>NmrA family protein</v>
      </c>
      <c r="AH336" t="str">
        <f>HYPERLINK("http://www.ncbi.nlm.nih.gov/sutils/blink.cgi?pid=262202496","18")</f>
        <v>18</v>
      </c>
      <c r="AI336" t="str">
        <f>HYPERLINK("http://www.ncbi.nlm.nih.gov/protein/262202496","gi|262202496")</f>
        <v>gi|262202496</v>
      </c>
      <c r="AJ336">
        <v>32.700000000000003</v>
      </c>
      <c r="AK336">
        <v>51</v>
      </c>
      <c r="AL336">
        <v>295</v>
      </c>
      <c r="AM336">
        <v>36</v>
      </c>
      <c r="AN336">
        <v>18</v>
      </c>
      <c r="AO336" t="s">
        <v>1052</v>
      </c>
      <c r="AP336" s="2" t="str">
        <f>HYPERLINK("http://exon.niaid.nih.gov/transcriptome/T_rubida/S2/links/SWISSP/Triru-549-SWISSP.txt","Protein FAR1-RELATED SEQUENCE 8")</f>
        <v>Protein FAR1-RELATED SEQUENCE 8</v>
      </c>
      <c r="AQ336" t="str">
        <f>HYPERLINK("http://www.uniprot.org/uniprot/Q9S793","16")</f>
        <v>16</v>
      </c>
      <c r="AR336" t="s">
        <v>1053</v>
      </c>
      <c r="AS336">
        <v>28.1</v>
      </c>
      <c r="AT336">
        <v>41</v>
      </c>
      <c r="AU336">
        <v>725</v>
      </c>
      <c r="AV336">
        <v>31</v>
      </c>
      <c r="AW336">
        <v>6</v>
      </c>
      <c r="AX336">
        <v>35</v>
      </c>
      <c r="AY336">
        <v>9</v>
      </c>
      <c r="AZ336">
        <v>564</v>
      </c>
      <c r="BA336">
        <v>1</v>
      </c>
      <c r="BB336">
        <v>1</v>
      </c>
      <c r="BC336" t="s">
        <v>71</v>
      </c>
      <c r="BD336" s="2" t="s">
        <v>5</v>
      </c>
      <c r="BE336" t="s">
        <v>5</v>
      </c>
      <c r="BF336" t="s">
        <v>5</v>
      </c>
      <c r="BG336" t="s">
        <v>5</v>
      </c>
      <c r="BH336" t="s">
        <v>5</v>
      </c>
      <c r="BI336" s="2" t="str">
        <f>HYPERLINK("http://exon.niaid.nih.gov/transcriptome/T_rubida/S2/links/CDD/Triru-549-CDD.txt","COG3957")</f>
        <v>COG3957</v>
      </c>
      <c r="BJ336" t="str">
        <f>HYPERLINK("http://www.ncbi.nlm.nih.gov/Structure/cdd/cddsrv.cgi?uid=COG3957&amp;version=v4.0","3.2")</f>
        <v>3.2</v>
      </c>
      <c r="BK336" t="s">
        <v>1054</v>
      </c>
      <c r="BL336" s="2" t="str">
        <f>HYPERLINK("http://exon.niaid.nih.gov/transcriptome/T_rubida/S2/links/KOG/Triru-549-KOG.txt","Kinesin-like protein")</f>
        <v>Kinesin-like protein</v>
      </c>
      <c r="BM336" t="str">
        <f>HYPERLINK("http://www.ncbi.nlm.nih.gov/COG/grace/shokog.cgi?KOG4280","1.1")</f>
        <v>1.1</v>
      </c>
      <c r="BN336" t="s">
        <v>147</v>
      </c>
      <c r="BO336" s="2" t="str">
        <f>HYPERLINK("http://exon.niaid.nih.gov/transcriptome/T_rubida/S2/links/PFAM/Triru-549-PFAM.txt","DUF1028")</f>
        <v>DUF1028</v>
      </c>
      <c r="BP336" t="str">
        <f>HYPERLINK("http://pfam.sanger.ac.uk/family?acc=PF06267","1.9")</f>
        <v>1.9</v>
      </c>
      <c r="BQ336" s="2" t="str">
        <f>HYPERLINK("http://exon.niaid.nih.gov/transcriptome/T_rubida/S2/links/SMART/Triru-549-SMART.txt","DM13")</f>
        <v>DM13</v>
      </c>
      <c r="BR336" t="str">
        <f>HYPERLINK("http://smart.embl-heidelberg.de/smart/do_annotation.pl?DOMAIN=DM13&amp;BLAST=DUMMY","1.6")</f>
        <v>1.6</v>
      </c>
      <c r="BS336" s="17">
        <f>HYPERLINK("http://exon.niaid.nih.gov/transcriptome/T_rubida/S2/links/cluster/Triru-pep-ext25-50-Sim-CLU1.txt", 1)</f>
        <v>1</v>
      </c>
      <c r="BT336" s="1">
        <f>HYPERLINK("http://exon.niaid.nih.gov/transcriptome/T_rubida/S2/links/cluster/Triru-pep-ext25-50-Sim-CLTL1.txt", 359)</f>
        <v>359</v>
      </c>
      <c r="BU336" s="17">
        <v>249</v>
      </c>
      <c r="BV336" s="1">
        <v>1</v>
      </c>
      <c r="BW336" s="17">
        <v>317</v>
      </c>
      <c r="BX336" s="1">
        <v>1</v>
      </c>
      <c r="BY336" s="17">
        <v>347</v>
      </c>
      <c r="BZ336" s="1">
        <v>1</v>
      </c>
      <c r="CA336" s="17">
        <v>359</v>
      </c>
      <c r="CB336" s="1">
        <v>1</v>
      </c>
      <c r="CC336" s="17">
        <v>372</v>
      </c>
      <c r="CD336" s="1">
        <v>1</v>
      </c>
      <c r="CE336" s="17">
        <v>387</v>
      </c>
      <c r="CF336" s="1">
        <v>1</v>
      </c>
      <c r="CG336" s="17">
        <v>393</v>
      </c>
      <c r="CH336" s="1">
        <v>1</v>
      </c>
      <c r="CI336" s="17">
        <v>405</v>
      </c>
      <c r="CJ336" s="1">
        <v>1</v>
      </c>
      <c r="CK336" s="17">
        <v>411</v>
      </c>
      <c r="CL336" s="1">
        <v>1</v>
      </c>
      <c r="CM336" s="17">
        <v>422</v>
      </c>
      <c r="CN336" s="1">
        <v>1</v>
      </c>
      <c r="CO336" s="17">
        <v>434</v>
      </c>
      <c r="CP336" s="1">
        <v>1</v>
      </c>
      <c r="CQ336" s="17">
        <v>444</v>
      </c>
      <c r="CR336" s="1">
        <v>1</v>
      </c>
      <c r="CS336" s="17">
        <v>457</v>
      </c>
      <c r="CT336" s="1">
        <v>1</v>
      </c>
      <c r="CU336" s="17">
        <v>468</v>
      </c>
      <c r="CV336" s="1">
        <v>1</v>
      </c>
    </row>
    <row r="337" spans="1:100">
      <c r="A337" t="str">
        <f>HYPERLINK("http://exon.niaid.nih.gov/transcriptome/T_rubida/S2/links/pep/Triru-158-pep.txt","Triru-158")</f>
        <v>Triru-158</v>
      </c>
      <c r="B337">
        <v>38</v>
      </c>
      <c r="C337" s="1" t="s">
        <v>6</v>
      </c>
      <c r="D337" s="1" t="s">
        <v>3</v>
      </c>
      <c r="E337" t="str">
        <f>HYPERLINK("http://exon.niaid.nih.gov/transcriptome/T_rubida/S2/links/cds/Triru-158-cds.txt","Triru-158")</f>
        <v>Triru-158</v>
      </c>
      <c r="F337">
        <v>117</v>
      </c>
      <c r="G337" s="2" t="s">
        <v>1782</v>
      </c>
      <c r="H337" s="1">
        <v>1</v>
      </c>
      <c r="I337" s="3" t="s">
        <v>1266</v>
      </c>
      <c r="J337" s="17" t="str">
        <f>HYPERLINK("http://exon.niaid.nih.gov/transcriptome/T_rubida/S2/links/Sigp/Triru-158-SigP.txt","CYT")</f>
        <v>CYT</v>
      </c>
      <c r="K337" t="s">
        <v>5</v>
      </c>
      <c r="L337" s="1">
        <v>4.234</v>
      </c>
      <c r="M337" s="1">
        <v>4.5199999999999996</v>
      </c>
      <c r="P337" s="1">
        <v>5.2999999999999999E-2</v>
      </c>
      <c r="Q337" s="1">
        <v>8.5000000000000006E-2</v>
      </c>
      <c r="R337" s="1">
        <v>0.92500000000000004</v>
      </c>
      <c r="S337" s="17" t="s">
        <v>1346</v>
      </c>
      <c r="T337">
        <v>1</v>
      </c>
      <c r="U337" t="s">
        <v>1348</v>
      </c>
      <c r="V337" s="17">
        <v>0</v>
      </c>
      <c r="W337" t="s">
        <v>5</v>
      </c>
      <c r="X337" t="s">
        <v>5</v>
      </c>
      <c r="Y337" t="s">
        <v>5</v>
      </c>
      <c r="Z337" t="s">
        <v>5</v>
      </c>
      <c r="AA337" t="s">
        <v>5</v>
      </c>
      <c r="AB337" s="17" t="str">
        <f>HYPERLINK("http://exon.niaid.nih.gov/transcriptome/T_rubida/S2/links/netoglyc/TRIRU-158-netoglyc.txt","0")</f>
        <v>0</v>
      </c>
      <c r="AC337">
        <v>15.8</v>
      </c>
      <c r="AD337">
        <v>13.2</v>
      </c>
      <c r="AE337" t="s">
        <v>1394</v>
      </c>
      <c r="AF337" s="17" t="s">
        <v>5</v>
      </c>
      <c r="AG337" s="2" t="str">
        <f>HYPERLINK("http://exon.niaid.nih.gov/transcriptome/T_rubida/S2/links/NR/Triru-158-NR.txt","unnamed protein product")</f>
        <v>unnamed protein product</v>
      </c>
      <c r="AH337" t="str">
        <f>HYPERLINK("http://www.ncbi.nlm.nih.gov/sutils/blink.cgi?pid=270046188","5E-005")</f>
        <v>5E-005</v>
      </c>
      <c r="AI337" t="str">
        <f>HYPERLINK("http://www.ncbi.nlm.nih.gov/protein/270046188","gi|270046188")</f>
        <v>gi|270046188</v>
      </c>
      <c r="AJ337">
        <v>51.2</v>
      </c>
      <c r="AK337">
        <v>35</v>
      </c>
      <c r="AL337">
        <v>197</v>
      </c>
      <c r="AM337">
        <v>61</v>
      </c>
      <c r="AN337">
        <v>18</v>
      </c>
      <c r="AO337" t="s">
        <v>59</v>
      </c>
      <c r="AP337" s="2" t="str">
        <f>HYPERLINK("http://exon.niaid.nih.gov/transcriptome/T_rubida/S2/links/SWISSP/Triru-158-SWISSP.txt","Serine/threonine transporter sstT")</f>
        <v>Serine/threonine transporter sstT</v>
      </c>
      <c r="AQ337" t="str">
        <f>HYPERLINK("http://www.uniprot.org/uniprot/C0MG44","7.4")</f>
        <v>7.4</v>
      </c>
      <c r="AR337" t="s">
        <v>432</v>
      </c>
      <c r="AS337">
        <v>29.3</v>
      </c>
      <c r="AT337">
        <v>25</v>
      </c>
      <c r="AU337">
        <v>404</v>
      </c>
      <c r="AV337">
        <v>42</v>
      </c>
      <c r="AW337">
        <v>6</v>
      </c>
      <c r="AX337">
        <v>15</v>
      </c>
      <c r="AY337">
        <v>0</v>
      </c>
      <c r="AZ337">
        <v>232</v>
      </c>
      <c r="BA337">
        <v>13</v>
      </c>
      <c r="BB337">
        <v>1</v>
      </c>
      <c r="BC337" t="s">
        <v>433</v>
      </c>
      <c r="BD337" s="2" t="s">
        <v>5</v>
      </c>
      <c r="BE337" t="s">
        <v>5</v>
      </c>
      <c r="BF337" t="s">
        <v>5</v>
      </c>
      <c r="BG337" t="s">
        <v>5</v>
      </c>
      <c r="BH337" t="s">
        <v>5</v>
      </c>
      <c r="BI337" s="2" t="str">
        <f>HYPERLINK("http://exon.niaid.nih.gov/transcriptome/T_rubida/S2/links/CDD/Triru-158-CDD.txt","Triabin")</f>
        <v>Triabin</v>
      </c>
      <c r="BJ337" t="str">
        <f>HYPERLINK("http://www.ncbi.nlm.nih.gov/Structure/cdd/cddsrv.cgi?uid=pfam03973&amp;version=v4.0","0.24")</f>
        <v>0.24</v>
      </c>
      <c r="BK337" t="s">
        <v>434</v>
      </c>
      <c r="BL337" s="2" t="str">
        <f>HYPERLINK("http://exon.niaid.nih.gov/transcriptome/T_rubida/S2/links/KOG/Triru-158-KOG.txt","Translational repressor Pumilio/PUF3 and related RNA-binding proteins (Puf superfamily)")</f>
        <v>Translational repressor Pumilio/PUF3 and related RNA-binding proteins (Puf superfamily)</v>
      </c>
      <c r="BM337" t="str">
        <f>HYPERLINK("http://www.ncbi.nlm.nih.gov/COG/grace/shokog.cgi?KOG1488","4.5")</f>
        <v>4.5</v>
      </c>
      <c r="BN337" t="s">
        <v>84</v>
      </c>
      <c r="BO337" s="2" t="str">
        <f>HYPERLINK("http://exon.niaid.nih.gov/transcriptome/T_rubida/S2/links/PFAM/Triru-158-PFAM.txt","Triabin")</f>
        <v>Triabin</v>
      </c>
      <c r="BP337" t="str">
        <f>HYPERLINK("http://pfam.sanger.ac.uk/family?acc=PF03973","0.052")</f>
        <v>0.052</v>
      </c>
      <c r="BQ337" s="2" t="str">
        <f>HYPERLINK("http://exon.niaid.nih.gov/transcriptome/T_rubida/S2/links/SMART/Triru-158-SMART.txt","ENTH")</f>
        <v>ENTH</v>
      </c>
      <c r="BR337" t="str">
        <f>HYPERLINK("http://smart.embl-heidelberg.de/smart/do_annotation.pl?DOMAIN=ENTH&amp;BLAST=DUMMY","6.7")</f>
        <v>6.7</v>
      </c>
      <c r="BS337" s="17">
        <f>HYPERLINK("http://exon.niaid.nih.gov/transcriptome/T_rubida/S2/links/cluster/Triru-pep-ext25-50-Sim-CLU1.txt", 1)</f>
        <v>1</v>
      </c>
      <c r="BT337" s="1">
        <f>HYPERLINK("http://exon.niaid.nih.gov/transcriptome/T_rubida/S2/links/cluster/Triru-pep-ext25-50-Sim-CLTL1.txt", 359)</f>
        <v>359</v>
      </c>
      <c r="BU337" s="17">
        <f>HYPERLINK("http://exon.niaid.nih.gov/transcriptome/T_rubida/S2/links/cluster/Triru-pep-ext30-50-Sim-CLU4.txt", 4)</f>
        <v>4</v>
      </c>
      <c r="BV337" s="1">
        <f>HYPERLINK("http://exon.niaid.nih.gov/transcriptome/T_rubida/S2/links/cluster/Triru-pep-ext30-50-Sim-CLTL4.txt", 4)</f>
        <v>4</v>
      </c>
      <c r="BW337" s="17">
        <f>HYPERLINK("http://exon.niaid.nih.gov/transcriptome/T_rubida/S2/links/cluster/Triru-pep-ext35-50-Sim-CLU16.txt", 16)</f>
        <v>16</v>
      </c>
      <c r="BX337" s="1">
        <f>HYPERLINK("http://exon.niaid.nih.gov/transcriptome/T_rubida/S2/links/cluster/Triru-pep-ext35-50-Sim-CLTL16.txt", 2)</f>
        <v>2</v>
      </c>
      <c r="BY337" s="17">
        <v>99</v>
      </c>
      <c r="BZ337" s="1">
        <v>1</v>
      </c>
      <c r="CA337" s="17">
        <v>97</v>
      </c>
      <c r="CB337" s="1">
        <v>1</v>
      </c>
      <c r="CC337" s="17">
        <v>96</v>
      </c>
      <c r="CD337" s="1">
        <v>1</v>
      </c>
      <c r="CE337" s="17">
        <v>91</v>
      </c>
      <c r="CF337" s="1">
        <v>1</v>
      </c>
      <c r="CG337" s="17">
        <v>92</v>
      </c>
      <c r="CH337" s="1">
        <v>1</v>
      </c>
      <c r="CI337" s="17">
        <v>98</v>
      </c>
      <c r="CJ337" s="1">
        <v>1</v>
      </c>
      <c r="CK337" s="17">
        <v>102</v>
      </c>
      <c r="CL337" s="1">
        <v>1</v>
      </c>
      <c r="CM337" s="17">
        <v>107</v>
      </c>
      <c r="CN337" s="1">
        <v>1</v>
      </c>
      <c r="CO337" s="17">
        <v>115</v>
      </c>
      <c r="CP337" s="1">
        <v>1</v>
      </c>
      <c r="CQ337" s="17">
        <v>125</v>
      </c>
      <c r="CR337" s="1">
        <v>1</v>
      </c>
      <c r="CS337" s="17">
        <v>130</v>
      </c>
      <c r="CT337" s="1">
        <v>1</v>
      </c>
      <c r="CU337" s="17">
        <v>141</v>
      </c>
      <c r="CV337" s="1">
        <v>1</v>
      </c>
    </row>
    <row r="338" spans="1:100">
      <c r="A338" t="str">
        <f>HYPERLINK("http://exon.niaid.nih.gov/transcriptome/T_rubida/S2/links/pep/Triru-424-pep.txt","Triru-424")</f>
        <v>Triru-424</v>
      </c>
      <c r="B338">
        <v>74</v>
      </c>
      <c r="C338" s="1" t="s">
        <v>10</v>
      </c>
      <c r="D338" s="1" t="s">
        <v>3</v>
      </c>
      <c r="E338" t="str">
        <f>HYPERLINK("http://exon.niaid.nih.gov/transcriptome/T_rubida/S2/links/cds/Triru-424-cds.txt","Triru-424")</f>
        <v>Triru-424</v>
      </c>
      <c r="F338">
        <v>225</v>
      </c>
      <c r="G338" s="2" t="s">
        <v>1783</v>
      </c>
      <c r="H338" s="1">
        <v>1</v>
      </c>
      <c r="I338" s="3" t="s">
        <v>1266</v>
      </c>
      <c r="J338" s="17" t="str">
        <f>HYPERLINK("http://exon.niaid.nih.gov/transcriptome/T_rubida/S2/links/Sigp/Triru-424-SigP.txt","CYT")</f>
        <v>CYT</v>
      </c>
      <c r="K338" t="s">
        <v>5</v>
      </c>
      <c r="L338" s="1">
        <v>8.5</v>
      </c>
      <c r="M338" s="1">
        <v>6.12</v>
      </c>
      <c r="P338" s="1">
        <v>8.7999999999999995E-2</v>
      </c>
      <c r="Q338" s="1">
        <v>6.6000000000000003E-2</v>
      </c>
      <c r="R338" s="1">
        <v>0.90200000000000002</v>
      </c>
      <c r="S338" s="17" t="s">
        <v>1346</v>
      </c>
      <c r="T338">
        <v>1</v>
      </c>
      <c r="U338" t="s">
        <v>1348</v>
      </c>
      <c r="V338" s="17">
        <v>0</v>
      </c>
      <c r="W338" t="s">
        <v>5</v>
      </c>
      <c r="X338" t="s">
        <v>5</v>
      </c>
      <c r="Y338" t="s">
        <v>5</v>
      </c>
      <c r="Z338" t="s">
        <v>5</v>
      </c>
      <c r="AA338" t="s">
        <v>5</v>
      </c>
      <c r="AB338" s="17" t="str">
        <f>HYPERLINK("http://exon.niaid.nih.gov/transcriptome/T_rubida/S2/links/netoglyc/TRIRU-424-netoglyc.txt","0")</f>
        <v>0</v>
      </c>
      <c r="AC338">
        <v>6.8</v>
      </c>
      <c r="AD338">
        <v>6.8</v>
      </c>
      <c r="AE338">
        <v>6.8</v>
      </c>
      <c r="AF338" s="17" t="s">
        <v>5</v>
      </c>
      <c r="AG338" s="2" t="str">
        <f>HYPERLINK("http://exon.niaid.nih.gov/transcriptome/T_rubida/S2/links/NR/Triru-424-NR.txt","conserved hypothetical protein")</f>
        <v>conserved hypothetical protein</v>
      </c>
      <c r="AH338" t="str">
        <f>HYPERLINK("http://www.ncbi.nlm.nih.gov/sutils/blink.cgi?pid=242014473","2E-004")</f>
        <v>2E-004</v>
      </c>
      <c r="AI338" t="str">
        <f>HYPERLINK("http://www.ncbi.nlm.nih.gov/protein/242014473","gi|242014473")</f>
        <v>gi|242014473</v>
      </c>
      <c r="AJ338">
        <v>49.3</v>
      </c>
      <c r="AK338">
        <v>43</v>
      </c>
      <c r="AL338">
        <v>256</v>
      </c>
      <c r="AM338">
        <v>40</v>
      </c>
      <c r="AN338">
        <v>17</v>
      </c>
      <c r="AO338" t="s">
        <v>54</v>
      </c>
      <c r="AP338" s="2" t="str">
        <f>HYPERLINK("http://exon.niaid.nih.gov/transcriptome/T_rubida/S2/links/SWISSP/Triru-424-SWISSP.txt","ES1 protein, mitochondrial")</f>
        <v>ES1 protein, mitochondrial</v>
      </c>
      <c r="AQ338" t="str">
        <f>HYPERLINK("http://www.uniprot.org/uniprot/Q90257","3E-005")</f>
        <v>3E-005</v>
      </c>
      <c r="AR338" t="s">
        <v>956</v>
      </c>
      <c r="AS338">
        <v>47.4</v>
      </c>
      <c r="AT338">
        <v>56</v>
      </c>
      <c r="AU338">
        <v>270</v>
      </c>
      <c r="AV338">
        <v>43</v>
      </c>
      <c r="AW338">
        <v>21</v>
      </c>
      <c r="AX338">
        <v>32</v>
      </c>
      <c r="AY338">
        <v>2</v>
      </c>
      <c r="AZ338">
        <v>214</v>
      </c>
      <c r="BA338">
        <v>4</v>
      </c>
      <c r="BB338">
        <v>1</v>
      </c>
      <c r="BC338" t="s">
        <v>165</v>
      </c>
      <c r="BD338" s="2" t="s">
        <v>957</v>
      </c>
      <c r="BE338">
        <f>HYPERLINK("http://exon.niaid.nih.gov/transcriptome/T_rubida/S2/links/GO/Triru-424-GO.txt",0.00002)</f>
        <v>2.0000000000000002E-5</v>
      </c>
      <c r="BF338" t="s">
        <v>5</v>
      </c>
      <c r="BG338" t="s">
        <v>5</v>
      </c>
      <c r="BH338" t="s">
        <v>5</v>
      </c>
      <c r="BI338" s="2" t="str">
        <f>HYPERLINK("http://exon.niaid.nih.gov/transcriptome/T_rubida/S2/links/CDD/Triru-424-CDD.txt","GATase1_ES1")</f>
        <v>GATase1_ES1</v>
      </c>
      <c r="BJ338" t="str">
        <f>HYPERLINK("http://www.ncbi.nlm.nih.gov/Structure/cdd/cddsrv.cgi?uid=cd03133&amp;version=v4.0","8E-008")</f>
        <v>8E-008</v>
      </c>
      <c r="BK338" t="s">
        <v>958</v>
      </c>
      <c r="BL338" s="2" t="str">
        <f>HYPERLINK("http://exon.niaid.nih.gov/transcriptome/T_rubida/S2/links/KOG/Triru-424-KOG.txt","Permease of the major facilitator superfamily")</f>
        <v>Permease of the major facilitator superfamily</v>
      </c>
      <c r="BM338" t="str">
        <f>HYPERLINK("http://www.ncbi.nlm.nih.gov/COG/grace/shokog.cgi?KOG2532","3.3")</f>
        <v>3.3</v>
      </c>
      <c r="BN338" t="s">
        <v>383</v>
      </c>
      <c r="BO338" s="2" t="str">
        <f>HYPERLINK("http://exon.niaid.nih.gov/transcriptome/T_rubida/S2/links/PFAM/Triru-424-PFAM.txt","ABC_sub_bind")</f>
        <v>ABC_sub_bind</v>
      </c>
      <c r="BP338" t="str">
        <f>HYPERLINK("http://pfam.sanger.ac.uk/family?acc=PF04392","1.1")</f>
        <v>1.1</v>
      </c>
      <c r="BQ338" s="2" t="str">
        <f>HYPERLINK("http://exon.niaid.nih.gov/transcriptome/T_rubida/S2/links/SMART/Triru-424-SMART.txt","PBPb")</f>
        <v>PBPb</v>
      </c>
      <c r="BR338" t="str">
        <f>HYPERLINK("http://smart.embl-heidelberg.de/smart/do_annotation.pl?DOMAIN=PBPb&amp;BLAST=DUMMY","0.62")</f>
        <v>0.62</v>
      </c>
      <c r="BS338" s="17">
        <v>130</v>
      </c>
      <c r="BT338" s="1">
        <v>1</v>
      </c>
      <c r="BU338" s="17">
        <v>194</v>
      </c>
      <c r="BV338" s="1">
        <v>1</v>
      </c>
      <c r="BW338" s="17">
        <v>243</v>
      </c>
      <c r="BX338" s="1">
        <v>1</v>
      </c>
      <c r="BY338" s="17">
        <v>262</v>
      </c>
      <c r="BZ338" s="1">
        <v>1</v>
      </c>
      <c r="CA338" s="17">
        <v>270</v>
      </c>
      <c r="CB338" s="1">
        <v>1</v>
      </c>
      <c r="CC338" s="17">
        <v>277</v>
      </c>
      <c r="CD338" s="1">
        <v>1</v>
      </c>
      <c r="CE338" s="17">
        <v>287</v>
      </c>
      <c r="CF338" s="1">
        <v>1</v>
      </c>
      <c r="CG338" s="17">
        <v>290</v>
      </c>
      <c r="CH338" s="1">
        <v>1</v>
      </c>
      <c r="CI338" s="17">
        <v>300</v>
      </c>
      <c r="CJ338" s="1">
        <v>1</v>
      </c>
      <c r="CK338" s="17">
        <v>306</v>
      </c>
      <c r="CL338" s="1">
        <v>1</v>
      </c>
      <c r="CM338" s="17">
        <v>314</v>
      </c>
      <c r="CN338" s="1">
        <v>1</v>
      </c>
      <c r="CO338" s="17">
        <v>326</v>
      </c>
      <c r="CP338" s="1">
        <v>1</v>
      </c>
      <c r="CQ338" s="17">
        <v>336</v>
      </c>
      <c r="CR338" s="1">
        <v>1</v>
      </c>
      <c r="CS338" s="17">
        <v>348</v>
      </c>
      <c r="CT338" s="1">
        <v>1</v>
      </c>
      <c r="CU338" s="17">
        <v>359</v>
      </c>
      <c r="CV338" s="1">
        <v>1</v>
      </c>
    </row>
    <row r="339" spans="1:100">
      <c r="A339" t="str">
        <f>HYPERLINK("http://exon.niaid.nih.gov/transcriptome/T_rubida/S2/links/pep/Triru-522-pep.txt","Triru-522")</f>
        <v>Triru-522</v>
      </c>
      <c r="B339">
        <v>81</v>
      </c>
      <c r="C339" s="1" t="s">
        <v>20</v>
      </c>
      <c r="D339" s="1" t="s">
        <v>3</v>
      </c>
      <c r="E339" t="str">
        <f>HYPERLINK("http://exon.niaid.nih.gov/transcriptome/T_rubida/S2/links/cds/Triru-522-cds.txt","Triru-522")</f>
        <v>Triru-522</v>
      </c>
      <c r="F339">
        <v>246</v>
      </c>
      <c r="G339" s="2" t="s">
        <v>1785</v>
      </c>
      <c r="H339" s="1">
        <v>1</v>
      </c>
      <c r="I339" s="3" t="s">
        <v>1266</v>
      </c>
      <c r="J339" s="17" t="str">
        <f>HYPERLINK("http://exon.niaid.nih.gov/transcriptome/T_rubida/S2/links/Sigp/Triru-522-SigP.txt","CYT")</f>
        <v>CYT</v>
      </c>
      <c r="K339" t="s">
        <v>5</v>
      </c>
      <c r="L339" s="1">
        <v>9.6020000000000003</v>
      </c>
      <c r="M339" s="1">
        <v>9.1</v>
      </c>
      <c r="P339" s="1">
        <v>0.27400000000000002</v>
      </c>
      <c r="Q339" s="1">
        <v>0.29299999999999998</v>
      </c>
      <c r="R339" s="1">
        <v>0.28100000000000003</v>
      </c>
      <c r="S339" s="17" t="s">
        <v>18</v>
      </c>
      <c r="T339">
        <v>5</v>
      </c>
      <c r="U339" t="s">
        <v>1511</v>
      </c>
      <c r="V339" s="17" t="str">
        <f>HYPERLINK("http://exon.niaid.nih.gov/transcriptome/T_rubida/S2/links/tmhmm/TRIRU-522-tmhmm.txt","1")</f>
        <v>1</v>
      </c>
      <c r="W339">
        <v>27.2</v>
      </c>
      <c r="X339">
        <v>17.3</v>
      </c>
      <c r="Y339">
        <v>55.6</v>
      </c>
      <c r="Z339" t="s">
        <v>5</v>
      </c>
      <c r="AA339">
        <v>14</v>
      </c>
      <c r="AB339" s="17" t="str">
        <f>HYPERLINK("http://exon.niaid.nih.gov/transcriptome/T_rubida/S2/links/netoglyc/TRIRU-522-netoglyc.txt","0")</f>
        <v>0</v>
      </c>
      <c r="AC339">
        <v>8.6</v>
      </c>
      <c r="AD339">
        <v>2.5</v>
      </c>
      <c r="AE339">
        <v>2.5</v>
      </c>
      <c r="AF339" s="17" t="s">
        <v>5</v>
      </c>
      <c r="AG339" s="2" t="str">
        <f>HYPERLINK("http://exon.niaid.nih.gov/transcriptome/T_rubida/S2/links/NR/Triru-522-NR.txt","hypothetical protein FSAG_01242")</f>
        <v>hypothetical protein FSAG_01242</v>
      </c>
      <c r="AH339" t="str">
        <f>HYPERLINK("http://www.ncbi.nlm.nih.gov/sutils/blink.cgi?pid=340753623","6.0")</f>
        <v>6.0</v>
      </c>
      <c r="AI339" t="str">
        <f>HYPERLINK("http://www.ncbi.nlm.nih.gov/protein/340753623","gi|340753623")</f>
        <v>gi|340753623</v>
      </c>
      <c r="AJ339">
        <v>34.299999999999997</v>
      </c>
      <c r="AK339">
        <v>53</v>
      </c>
      <c r="AL339">
        <v>347</v>
      </c>
      <c r="AM339">
        <v>37</v>
      </c>
      <c r="AN339">
        <v>16</v>
      </c>
      <c r="AO339" t="s">
        <v>889</v>
      </c>
      <c r="AP339" s="2" t="str">
        <f>HYPERLINK("http://exon.niaid.nih.gov/transcriptome/T_rubida/S2/links/SWISSP/Triru-522-SWISSP.txt","ATP-binding cassette sub-family A member 10")</f>
        <v>ATP-binding cassette sub-family A member 10</v>
      </c>
      <c r="AQ339" t="str">
        <f>HYPERLINK("http://www.uniprot.org/uniprot/Q8WWZ4","1.5")</f>
        <v>1.5</v>
      </c>
      <c r="AR339" t="s">
        <v>890</v>
      </c>
      <c r="AS339">
        <v>31.6</v>
      </c>
      <c r="AT339">
        <v>77</v>
      </c>
      <c r="AU339">
        <v>1543</v>
      </c>
      <c r="AV339">
        <v>30</v>
      </c>
      <c r="AW339">
        <v>5</v>
      </c>
      <c r="AX339">
        <v>54</v>
      </c>
      <c r="AY339">
        <v>9</v>
      </c>
      <c r="AZ339">
        <v>146</v>
      </c>
      <c r="BA339">
        <v>13</v>
      </c>
      <c r="BB339">
        <v>1</v>
      </c>
      <c r="BC339" t="s">
        <v>208</v>
      </c>
      <c r="BD339" s="2" t="s">
        <v>5</v>
      </c>
      <c r="BE339" t="s">
        <v>5</v>
      </c>
      <c r="BF339" t="s">
        <v>5</v>
      </c>
      <c r="BG339" t="s">
        <v>5</v>
      </c>
      <c r="BH339" t="s">
        <v>5</v>
      </c>
      <c r="BI339" s="2" t="str">
        <f>HYPERLINK("http://exon.niaid.nih.gov/transcriptome/T_rubida/S2/links/CDD/Triru-522-CDD.txt","PTS-IIBC-Tre")</f>
        <v>PTS-IIBC-Tre</v>
      </c>
      <c r="BJ339" t="str">
        <f>HYPERLINK("http://www.ncbi.nlm.nih.gov/Structure/cdd/cddsrv.cgi?uid=TIGR01992&amp;version=v4.0","3.4")</f>
        <v>3.4</v>
      </c>
      <c r="BK339" t="s">
        <v>891</v>
      </c>
      <c r="BL339" s="2" t="str">
        <f>HYPERLINK("http://exon.niaid.nih.gov/transcriptome/T_rubida/S2/links/KOG/Triru-522-KOG.txt","Muscarinic acetylcholine receptor")</f>
        <v>Muscarinic acetylcholine receptor</v>
      </c>
      <c r="BM339" t="str">
        <f>HYPERLINK("http://www.ncbi.nlm.nih.gov/COG/grace/shokog.cgi?KOG4220","0.33")</f>
        <v>0.33</v>
      </c>
      <c r="BN339" t="s">
        <v>179</v>
      </c>
      <c r="BO339" s="2" t="str">
        <f>HYPERLINK("http://exon.niaid.nih.gov/transcriptome/T_rubida/S2/links/PFAM/Triru-522-PFAM.txt","DUF908")</f>
        <v>DUF908</v>
      </c>
      <c r="BP339" t="str">
        <f>HYPERLINK("http://pfam.sanger.ac.uk/family?acc=PF06012","2.5")</f>
        <v>2.5</v>
      </c>
      <c r="BQ339" s="2" t="str">
        <f>HYPERLINK("http://exon.niaid.nih.gov/transcriptome/T_rubida/S2/links/SMART/Triru-522-SMART.txt","JHBP")</f>
        <v>JHBP</v>
      </c>
      <c r="BR339" t="str">
        <f>HYPERLINK("http://smart.embl-heidelberg.de/smart/do_annotation.pl?DOMAIN=JHBP&amp;BLAST=DUMMY","2.4")</f>
        <v>2.4</v>
      </c>
      <c r="BS339" s="17">
        <f>HYPERLINK("http://exon.niaid.nih.gov/transcriptome/T_rubida/S2/links/cluster/Triru-pep-ext25-50-Sim-CLU1.txt", 1)</f>
        <v>1</v>
      </c>
      <c r="BT339" s="1">
        <f>HYPERLINK("http://exon.niaid.nih.gov/transcriptome/T_rubida/S2/links/cluster/Triru-pep-ext25-50-Sim-CLTL1.txt", 359)</f>
        <v>359</v>
      </c>
      <c r="BU339" s="17">
        <v>239</v>
      </c>
      <c r="BV339" s="1">
        <v>1</v>
      </c>
      <c r="BW339" s="17">
        <v>305</v>
      </c>
      <c r="BX339" s="1">
        <v>1</v>
      </c>
      <c r="BY339" s="17">
        <v>331</v>
      </c>
      <c r="BZ339" s="1">
        <v>1</v>
      </c>
      <c r="CA339" s="17">
        <v>343</v>
      </c>
      <c r="CB339" s="1">
        <v>1</v>
      </c>
      <c r="CC339" s="17">
        <v>355</v>
      </c>
      <c r="CD339" s="1">
        <v>1</v>
      </c>
      <c r="CE339" s="17">
        <v>368</v>
      </c>
      <c r="CF339" s="1">
        <v>1</v>
      </c>
      <c r="CG339" s="17">
        <v>374</v>
      </c>
      <c r="CH339" s="1">
        <v>1</v>
      </c>
      <c r="CI339" s="17">
        <v>386</v>
      </c>
      <c r="CJ339" s="1">
        <v>1</v>
      </c>
      <c r="CK339" s="17">
        <v>392</v>
      </c>
      <c r="CL339" s="1">
        <v>1</v>
      </c>
      <c r="CM339" s="17">
        <v>401</v>
      </c>
      <c r="CN339" s="1">
        <v>1</v>
      </c>
      <c r="CO339" s="17">
        <v>413</v>
      </c>
      <c r="CP339" s="1">
        <v>1</v>
      </c>
      <c r="CQ339" s="17">
        <v>423</v>
      </c>
      <c r="CR339" s="1">
        <v>1</v>
      </c>
      <c r="CS339" s="17">
        <v>436</v>
      </c>
      <c r="CT339" s="1">
        <v>1</v>
      </c>
      <c r="CU339" s="17">
        <v>447</v>
      </c>
      <c r="CV339" s="1">
        <v>1</v>
      </c>
    </row>
    <row r="340" spans="1:100">
      <c r="A340" t="str">
        <f>HYPERLINK("http://exon.niaid.nih.gov/transcriptome/T_rubida/S2/links/pep/Triru-241-pep.txt","Triru-241")</f>
        <v>Triru-241</v>
      </c>
      <c r="B340">
        <v>23</v>
      </c>
      <c r="C340" s="1" t="s">
        <v>6</v>
      </c>
      <c r="D340" s="1" t="s">
        <v>3</v>
      </c>
      <c r="E340" t="str">
        <f>HYPERLINK("http://exon.niaid.nih.gov/transcriptome/T_rubida/S2/links/cds/Triru-241-cds.txt","Triru-241")</f>
        <v>Triru-241</v>
      </c>
      <c r="F340">
        <v>72</v>
      </c>
      <c r="G340" s="2" t="s">
        <v>1786</v>
      </c>
      <c r="H340" s="1">
        <v>1</v>
      </c>
      <c r="I340" s="3" t="s">
        <v>1266</v>
      </c>
      <c r="J340" s="17" t="str">
        <f>HYPERLINK("http://exon.niaid.nih.gov/transcriptome/T_rubida/S2/links/Sigp/Triru-241-SigP.txt","CYT")</f>
        <v>CYT</v>
      </c>
      <c r="K340" t="s">
        <v>5</v>
      </c>
      <c r="L340" s="1">
        <v>2.7</v>
      </c>
      <c r="M340" s="1">
        <v>10.119999999999999</v>
      </c>
      <c r="P340" s="1">
        <v>8.6999999999999994E-2</v>
      </c>
      <c r="Q340" s="1">
        <v>4.1000000000000002E-2</v>
      </c>
      <c r="R340" s="1">
        <v>0.94499999999999995</v>
      </c>
      <c r="S340" s="17" t="s">
        <v>1346</v>
      </c>
      <c r="T340">
        <v>1</v>
      </c>
      <c r="U340" t="s">
        <v>1382</v>
      </c>
      <c r="V340" s="17">
        <v>0</v>
      </c>
      <c r="W340" t="s">
        <v>5</v>
      </c>
      <c r="X340" t="s">
        <v>5</v>
      </c>
      <c r="Y340" t="s">
        <v>5</v>
      </c>
      <c r="Z340" t="s">
        <v>5</v>
      </c>
      <c r="AA340" t="s">
        <v>5</v>
      </c>
      <c r="AB340" s="17" t="s">
        <v>5</v>
      </c>
      <c r="AC340" t="s">
        <v>5</v>
      </c>
      <c r="AD340" t="s">
        <v>5</v>
      </c>
      <c r="AE340" t="s">
        <v>5</v>
      </c>
      <c r="AF340" s="17" t="s">
        <v>5</v>
      </c>
      <c r="AG340" s="2" t="str">
        <f>HYPERLINK("http://exon.niaid.nih.gov/transcriptome/T_rubida/S2/links/NR/Triru-241-NR.txt","predicted protein")</f>
        <v>predicted protein</v>
      </c>
      <c r="AH340" t="str">
        <f>HYPERLINK("http://www.ncbi.nlm.nih.gov/sutils/blink.cgi?pid=156389506","1.1")</f>
        <v>1.1</v>
      </c>
      <c r="AI340" t="str">
        <f>HYPERLINK("http://www.ncbi.nlm.nih.gov/protein/156389506","gi|156389506")</f>
        <v>gi|156389506</v>
      </c>
      <c r="AJ340">
        <v>36.6</v>
      </c>
      <c r="AK340">
        <v>21</v>
      </c>
      <c r="AL340">
        <v>136</v>
      </c>
      <c r="AM340">
        <v>63</v>
      </c>
      <c r="AN340">
        <v>16</v>
      </c>
      <c r="AO340" t="s">
        <v>413</v>
      </c>
      <c r="AP340" s="2" t="str">
        <f>HYPERLINK("http://exon.niaid.nih.gov/transcriptome/T_rubida/S2/links/SWISSP/Triru-241-SWISSP.txt","60S ribosomal protein L27")</f>
        <v>60S ribosomal protein L27</v>
      </c>
      <c r="AQ340" t="str">
        <f>HYPERLINK("http://www.uniprot.org/uniprot/P91914","0.27")</f>
        <v>0.27</v>
      </c>
      <c r="AR340" t="s">
        <v>414</v>
      </c>
      <c r="AS340">
        <v>33.9</v>
      </c>
      <c r="AT340">
        <v>21</v>
      </c>
      <c r="AU340">
        <v>136</v>
      </c>
      <c r="AV340">
        <v>59</v>
      </c>
      <c r="AW340">
        <v>16</v>
      </c>
      <c r="AX340">
        <v>9</v>
      </c>
      <c r="AY340">
        <v>0</v>
      </c>
      <c r="AZ340">
        <v>115</v>
      </c>
      <c r="BA340">
        <v>2</v>
      </c>
      <c r="BB340">
        <v>1</v>
      </c>
      <c r="BC340" t="s">
        <v>315</v>
      </c>
      <c r="BD340" s="2" t="s">
        <v>5</v>
      </c>
      <c r="BE340" t="s">
        <v>5</v>
      </c>
      <c r="BF340" t="s">
        <v>5</v>
      </c>
      <c r="BG340" t="s">
        <v>5</v>
      </c>
      <c r="BH340" t="s">
        <v>5</v>
      </c>
      <c r="BI340" s="2" t="str">
        <f>HYPERLINK("http://exon.niaid.nih.gov/transcriptome/T_rubida/S2/links/CDD/Triru-241-CDD.txt","Ribosomal_L27e")</f>
        <v>Ribosomal_L27e</v>
      </c>
      <c r="BJ340" t="str">
        <f>HYPERLINK("http://www.ncbi.nlm.nih.gov/Structure/cdd/cddsrv.cgi?uid=pfam01777&amp;version=v4.0","3.1")</f>
        <v>3.1</v>
      </c>
      <c r="BK340" t="s">
        <v>415</v>
      </c>
      <c r="BL340" s="2" t="str">
        <f>HYPERLINK("http://exon.niaid.nih.gov/transcriptome/T_rubida/S2/links/KOG/Triru-241-KOG.txt","60S ribosomal protein L27")</f>
        <v>60S ribosomal protein L27</v>
      </c>
      <c r="BM340" t="str">
        <f>HYPERLINK("http://www.ncbi.nlm.nih.gov/COG/grace/shokog.cgi?KOG3418","0.67")</f>
        <v>0.67</v>
      </c>
      <c r="BN340" t="s">
        <v>84</v>
      </c>
      <c r="BO340" s="2" t="str">
        <f>HYPERLINK("http://exon.niaid.nih.gov/transcriptome/T_rubida/S2/links/PFAM/Triru-241-PFAM.txt","Ribosomal_L27e")</f>
        <v>Ribosomal_L27e</v>
      </c>
      <c r="BP340" t="str">
        <f>HYPERLINK("http://pfam.sanger.ac.uk/family?acc=PF01777","0.67")</f>
        <v>0.67</v>
      </c>
      <c r="BQ340" s="2" t="str">
        <f>HYPERLINK("http://exon.niaid.nih.gov/transcriptome/T_rubida/S2/links/SMART/Triru-241-SMART.txt","NDK")</f>
        <v>NDK</v>
      </c>
      <c r="BR340" t="str">
        <f>HYPERLINK("http://smart.embl-heidelberg.de/smart/do_annotation.pl?DOMAIN=NDK&amp;BLAST=DUMMY","7.3")</f>
        <v>7.3</v>
      </c>
      <c r="BS340" s="17">
        <v>79</v>
      </c>
      <c r="BT340" s="1">
        <v>1</v>
      </c>
      <c r="BU340" s="17">
        <v>115</v>
      </c>
      <c r="BV340" s="1">
        <v>1</v>
      </c>
      <c r="BW340" s="17">
        <v>137</v>
      </c>
      <c r="BX340" s="1">
        <v>1</v>
      </c>
      <c r="BY340" s="17">
        <v>144</v>
      </c>
      <c r="BZ340" s="1">
        <v>1</v>
      </c>
      <c r="CA340" s="17">
        <v>146</v>
      </c>
      <c r="CB340" s="1">
        <v>1</v>
      </c>
      <c r="CC340" s="17">
        <v>149</v>
      </c>
      <c r="CD340" s="1">
        <v>1</v>
      </c>
      <c r="CE340" s="17">
        <v>149</v>
      </c>
      <c r="CF340" s="1">
        <v>1</v>
      </c>
      <c r="CG340" s="17">
        <v>151</v>
      </c>
      <c r="CH340" s="1">
        <v>1</v>
      </c>
      <c r="CI340" s="17">
        <v>158</v>
      </c>
      <c r="CJ340" s="1">
        <v>1</v>
      </c>
      <c r="CK340" s="17">
        <v>163</v>
      </c>
      <c r="CL340" s="1">
        <v>1</v>
      </c>
      <c r="CM340" s="17">
        <v>169</v>
      </c>
      <c r="CN340" s="1">
        <v>1</v>
      </c>
      <c r="CO340" s="17">
        <v>179</v>
      </c>
      <c r="CP340" s="1">
        <v>1</v>
      </c>
      <c r="CQ340" s="17">
        <v>189</v>
      </c>
      <c r="CR340" s="1">
        <v>1</v>
      </c>
      <c r="CS340" s="17">
        <v>194</v>
      </c>
      <c r="CT340" s="1">
        <v>1</v>
      </c>
      <c r="CU340" s="17">
        <v>205</v>
      </c>
      <c r="CV340" s="1">
        <v>1</v>
      </c>
    </row>
    <row r="341" spans="1:100">
      <c r="A341" t="str">
        <f>HYPERLINK("http://exon.niaid.nih.gov/transcriptome/T_rubida/S2/links/pep/Triru-566-pep.txt","Triru-566")</f>
        <v>Triru-566</v>
      </c>
      <c r="B341">
        <v>113</v>
      </c>
      <c r="C341" s="1" t="s">
        <v>6</v>
      </c>
      <c r="D341" s="1" t="s">
        <v>3</v>
      </c>
      <c r="E341" t="str">
        <f>HYPERLINK("http://exon.niaid.nih.gov/transcriptome/T_rubida/S2/links/cds/Triru-566-cds.txt","Triru-566")</f>
        <v>Triru-566</v>
      </c>
      <c r="F341">
        <v>342</v>
      </c>
      <c r="G341" s="2" t="s">
        <v>1788</v>
      </c>
      <c r="H341" s="1">
        <v>1</v>
      </c>
      <c r="I341" s="3" t="s">
        <v>1266</v>
      </c>
      <c r="J341" s="17" t="str">
        <f>HYPERLINK("http://exon.niaid.nih.gov/transcriptome/T_rubida/S2/links/Sigp/Triru-566-SigP.txt","CYT")</f>
        <v>CYT</v>
      </c>
      <c r="K341" t="s">
        <v>5</v>
      </c>
      <c r="L341" s="1">
        <v>11.565</v>
      </c>
      <c r="M341" s="1">
        <v>4.5599999999999996</v>
      </c>
      <c r="P341" s="1">
        <v>5.8999999999999997E-2</v>
      </c>
      <c r="Q341" s="1">
        <v>0.154</v>
      </c>
      <c r="R341" s="1">
        <v>0.86</v>
      </c>
      <c r="S341" s="17" t="s">
        <v>1346</v>
      </c>
      <c r="T341">
        <v>2</v>
      </c>
      <c r="U341" t="s">
        <v>1513</v>
      </c>
      <c r="V341" s="17">
        <v>0</v>
      </c>
      <c r="W341" t="s">
        <v>5</v>
      </c>
      <c r="X341" t="s">
        <v>5</v>
      </c>
      <c r="Y341" t="s">
        <v>5</v>
      </c>
      <c r="Z341" t="s">
        <v>5</v>
      </c>
      <c r="AA341" t="s">
        <v>5</v>
      </c>
      <c r="AB341" s="17" t="str">
        <f>HYPERLINK("http://exon.niaid.nih.gov/transcriptome/T_rubida/S2/links/netoglyc/TRIRU-566-netoglyc.txt","2")</f>
        <v>2</v>
      </c>
      <c r="AC341">
        <v>10.6</v>
      </c>
      <c r="AD341">
        <v>7.1</v>
      </c>
      <c r="AE341">
        <v>8.8000000000000007</v>
      </c>
      <c r="AF341" s="17" t="s">
        <v>1514</v>
      </c>
      <c r="AG341" s="2" t="str">
        <f>HYPERLINK("http://exon.niaid.nih.gov/transcriptome/T_rubida/S2/links/NR/Triru-566-NR.txt","KH-domain protein, putative")</f>
        <v>KH-domain protein, putative</v>
      </c>
      <c r="AH341" t="str">
        <f>HYPERLINK("http://www.ncbi.nlm.nih.gov/sutils/blink.cgi?pid=242022033","2E-004")</f>
        <v>2E-004</v>
      </c>
      <c r="AI341" t="str">
        <f>HYPERLINK("http://www.ncbi.nlm.nih.gov/protein/242022033","gi|242022033")</f>
        <v>gi|242022033</v>
      </c>
      <c r="AJ341">
        <v>48.9</v>
      </c>
      <c r="AK341">
        <v>53</v>
      </c>
      <c r="AL341">
        <v>338</v>
      </c>
      <c r="AM341">
        <v>45</v>
      </c>
      <c r="AN341">
        <v>16</v>
      </c>
      <c r="AO341" t="s">
        <v>54</v>
      </c>
      <c r="AP341" s="2" t="str">
        <f>HYPERLINK("http://exon.niaid.nih.gov/transcriptome/T_rubida/S2/links/SWISSP/Triru-566-SWISSP.txt","Protein held out wings")</f>
        <v>Protein held out wings</v>
      </c>
      <c r="AQ341" t="str">
        <f>HYPERLINK("http://www.uniprot.org/uniprot/O01367","0.035")</f>
        <v>0.035</v>
      </c>
      <c r="AR341" t="s">
        <v>609</v>
      </c>
      <c r="AS341">
        <v>37</v>
      </c>
      <c r="AT341">
        <v>48</v>
      </c>
      <c r="AU341">
        <v>405</v>
      </c>
      <c r="AV341">
        <v>40</v>
      </c>
      <c r="AW341">
        <v>12</v>
      </c>
      <c r="AX341">
        <v>36</v>
      </c>
      <c r="AY341">
        <v>18</v>
      </c>
      <c r="AZ341">
        <v>320</v>
      </c>
      <c r="BA341">
        <v>23</v>
      </c>
      <c r="BB341">
        <v>1</v>
      </c>
      <c r="BC341" t="s">
        <v>150</v>
      </c>
      <c r="BD341" s="2" t="s">
        <v>5</v>
      </c>
      <c r="BE341" t="s">
        <v>5</v>
      </c>
      <c r="BF341" t="s">
        <v>5</v>
      </c>
      <c r="BG341" t="s">
        <v>5</v>
      </c>
      <c r="BH341" t="s">
        <v>5</v>
      </c>
      <c r="BI341" s="2" t="str">
        <f>HYPERLINK("http://exon.niaid.nih.gov/transcriptome/T_rubida/S2/links/CDD/Triru-566-CDD.txt","PLN03174")</f>
        <v>PLN03174</v>
      </c>
      <c r="BJ341" t="str">
        <f>HYPERLINK("http://www.ncbi.nlm.nih.gov/Structure/cdd/cddsrv.cgi?uid=PLN03174&amp;version=v4.0","0.12")</f>
        <v>0.12</v>
      </c>
      <c r="BK341" t="s">
        <v>610</v>
      </c>
      <c r="BL341" s="2" t="str">
        <f>HYPERLINK("http://exon.niaid.nih.gov/transcriptome/T_rubida/S2/links/KOG/Triru-566-KOG.txt","Translation initiation factor 5B (eIF-5B)")</f>
        <v>Translation initiation factor 5B (eIF-5B)</v>
      </c>
      <c r="BM341" t="str">
        <f>HYPERLINK("http://www.ncbi.nlm.nih.gov/COG/grace/shokog.cgi?KOG1144","0.018")</f>
        <v>0.018</v>
      </c>
      <c r="BN341" t="s">
        <v>84</v>
      </c>
      <c r="BO341" s="2" t="str">
        <f>HYPERLINK("http://exon.niaid.nih.gov/transcriptome/T_rubida/S2/links/PFAM/Triru-566-PFAM.txt","Mit_ribos_Mrp51")</f>
        <v>Mit_ribos_Mrp51</v>
      </c>
      <c r="BP341" t="str">
        <f>HYPERLINK("http://pfam.sanger.ac.uk/family?acc=PF11709","0.24")</f>
        <v>0.24</v>
      </c>
      <c r="BQ341" s="2" t="str">
        <f>HYPERLINK("http://exon.niaid.nih.gov/transcriptome/T_rubida/S2/links/SMART/Triru-566-SMART.txt","SCP")</f>
        <v>SCP</v>
      </c>
      <c r="BR341" t="str">
        <f>HYPERLINK("http://smart.embl-heidelberg.de/smart/do_annotation.pl?DOMAIN=SCP&amp;BLAST=DUMMY","0.55")</f>
        <v>0.55</v>
      </c>
      <c r="BS341" s="17">
        <v>170</v>
      </c>
      <c r="BT341" s="1">
        <v>1</v>
      </c>
      <c r="BU341" s="17">
        <v>255</v>
      </c>
      <c r="BV341" s="1">
        <v>1</v>
      </c>
      <c r="BW341" s="17">
        <v>327</v>
      </c>
      <c r="BX341" s="1">
        <v>1</v>
      </c>
      <c r="BY341" s="17">
        <v>359</v>
      </c>
      <c r="BZ341" s="1">
        <v>1</v>
      </c>
      <c r="CA341" s="17">
        <v>373</v>
      </c>
      <c r="CB341" s="1">
        <v>1</v>
      </c>
      <c r="CC341" s="17">
        <v>386</v>
      </c>
      <c r="CD341" s="1">
        <v>1</v>
      </c>
      <c r="CE341" s="17">
        <v>401</v>
      </c>
      <c r="CF341" s="1">
        <v>1</v>
      </c>
      <c r="CG341" s="17">
        <v>407</v>
      </c>
      <c r="CH341" s="1">
        <v>1</v>
      </c>
      <c r="CI341" s="17">
        <v>419</v>
      </c>
      <c r="CJ341" s="1">
        <v>1</v>
      </c>
      <c r="CK341" s="17">
        <v>425</v>
      </c>
      <c r="CL341" s="1">
        <v>1</v>
      </c>
      <c r="CM341" s="17">
        <v>436</v>
      </c>
      <c r="CN341" s="1">
        <v>1</v>
      </c>
      <c r="CO341" s="17">
        <v>448</v>
      </c>
      <c r="CP341" s="1">
        <v>1</v>
      </c>
      <c r="CQ341" s="17">
        <v>458</v>
      </c>
      <c r="CR341" s="1">
        <v>1</v>
      </c>
      <c r="CS341" s="17">
        <v>471</v>
      </c>
      <c r="CT341" s="1">
        <v>1</v>
      </c>
      <c r="CU341" s="17">
        <v>483</v>
      </c>
      <c r="CV341" s="1">
        <v>1</v>
      </c>
    </row>
    <row r="342" spans="1:100">
      <c r="A342" t="str">
        <f>HYPERLINK("http://exon.niaid.nih.gov/transcriptome/T_rubida/S2/links/pep/Triru-46-pep.txt","Triru-46")</f>
        <v>Triru-46</v>
      </c>
      <c r="B342">
        <v>64</v>
      </c>
      <c r="C342" s="1" t="s">
        <v>18</v>
      </c>
      <c r="D342" s="1" t="s">
        <v>3</v>
      </c>
      <c r="E342" t="str">
        <f>HYPERLINK("http://exon.niaid.nih.gov/transcriptome/T_rubida/S2/links/cds/Triru-46-cds.txt","Triru-46")</f>
        <v>Triru-46</v>
      </c>
      <c r="F342">
        <v>195</v>
      </c>
      <c r="G342" s="2" t="s">
        <v>1789</v>
      </c>
      <c r="H342" s="1">
        <v>1</v>
      </c>
      <c r="I342" s="3" t="s">
        <v>1266</v>
      </c>
      <c r="J342" s="17" t="str">
        <f>HYPERLINK("http://exon.niaid.nih.gov/transcriptome/T_rubida/S2/links/Sigp/Triru-46-SigP.txt","CYT")</f>
        <v>CYT</v>
      </c>
      <c r="K342" t="s">
        <v>5</v>
      </c>
      <c r="L342" s="1">
        <v>7.3760000000000003</v>
      </c>
      <c r="M342" s="1">
        <v>10.01</v>
      </c>
      <c r="P342" s="1">
        <v>0.14699999999999999</v>
      </c>
      <c r="Q342" s="1">
        <v>4.8000000000000001E-2</v>
      </c>
      <c r="R342" s="1">
        <v>0.85699999999999998</v>
      </c>
      <c r="S342" s="17" t="s">
        <v>1346</v>
      </c>
      <c r="T342">
        <v>2</v>
      </c>
      <c r="U342" t="s">
        <v>1348</v>
      </c>
      <c r="V342" s="17">
        <v>0</v>
      </c>
      <c r="W342" t="s">
        <v>5</v>
      </c>
      <c r="X342" t="s">
        <v>5</v>
      </c>
      <c r="Y342" t="s">
        <v>5</v>
      </c>
      <c r="Z342" t="s">
        <v>5</v>
      </c>
      <c r="AA342" t="s">
        <v>5</v>
      </c>
      <c r="AB342" s="17" t="str">
        <f>HYPERLINK("http://exon.niaid.nih.gov/transcriptome/T_rubida/S2/links/netoglyc/TRIRU-46-netoglyc.txt","0")</f>
        <v>0</v>
      </c>
      <c r="AC342">
        <v>20.3</v>
      </c>
      <c r="AD342">
        <v>3.1</v>
      </c>
      <c r="AE342">
        <v>4.7</v>
      </c>
      <c r="AF342" s="17" t="s">
        <v>5</v>
      </c>
      <c r="AG342" s="2" t="str">
        <f>HYPERLINK("http://exon.niaid.nih.gov/transcriptome/T_rubida/S2/links/NR/Triru-46-NR.txt","hypothetical protein")</f>
        <v>hypothetical protein</v>
      </c>
      <c r="AH342" t="str">
        <f>HYPERLINK("http://www.ncbi.nlm.nih.gov/sutils/blink.cgi?pid=145524325","4.7")</f>
        <v>4.7</v>
      </c>
      <c r="AI342" t="str">
        <f>HYPERLINK("http://www.ncbi.nlm.nih.gov/protein/145524325","gi|145524325")</f>
        <v>gi|145524325</v>
      </c>
      <c r="AJ342">
        <v>34.700000000000003</v>
      </c>
      <c r="AK342">
        <v>55</v>
      </c>
      <c r="AL342">
        <v>385</v>
      </c>
      <c r="AM342">
        <v>28</v>
      </c>
      <c r="AN342">
        <v>15</v>
      </c>
      <c r="AO342" t="s">
        <v>161</v>
      </c>
      <c r="AP342" s="2" t="str">
        <f>HYPERLINK("http://exon.niaid.nih.gov/transcriptome/T_rubida/S2/links/SWISSP/Triru-46-SWISSP.txt","Bromodomain and WD repeat-containing protein 1")</f>
        <v>Bromodomain and WD repeat-containing protein 1</v>
      </c>
      <c r="AQ342" t="str">
        <f>HYPERLINK("http://www.uniprot.org/uniprot/Q9NSI6","7.4")</f>
        <v>7.4</v>
      </c>
      <c r="AR342" t="s">
        <v>1201</v>
      </c>
      <c r="AS342">
        <v>29.3</v>
      </c>
      <c r="AT342">
        <v>56</v>
      </c>
      <c r="AU342">
        <v>2320</v>
      </c>
      <c r="AV342">
        <v>26</v>
      </c>
      <c r="AW342">
        <v>2</v>
      </c>
      <c r="AX342">
        <v>42</v>
      </c>
      <c r="AY342">
        <v>0</v>
      </c>
      <c r="AZ342">
        <v>1662</v>
      </c>
      <c r="BA342">
        <v>7</v>
      </c>
      <c r="BB342">
        <v>1</v>
      </c>
      <c r="BC342" t="s">
        <v>208</v>
      </c>
      <c r="BD342" s="2" t="s">
        <v>5</v>
      </c>
      <c r="BE342" t="s">
        <v>5</v>
      </c>
      <c r="BF342" t="s">
        <v>5</v>
      </c>
      <c r="BG342" t="s">
        <v>5</v>
      </c>
      <c r="BH342" t="s">
        <v>5</v>
      </c>
      <c r="BI342" s="2" t="str">
        <f>HYPERLINK("http://exon.niaid.nih.gov/transcriptome/T_rubida/S2/links/CDD/Triru-46-CDD.txt","PRK07122")</f>
        <v>PRK07122</v>
      </c>
      <c r="BJ342" t="str">
        <f>HYPERLINK("http://www.ncbi.nlm.nih.gov/Structure/cdd/cddsrv.cgi?uid=PRK07122&amp;version=v4.0","3.5")</f>
        <v>3.5</v>
      </c>
      <c r="BK342" t="s">
        <v>1202</v>
      </c>
      <c r="BL342" s="2" t="str">
        <f>HYPERLINK("http://exon.niaid.nih.gov/transcriptome/T_rubida/S2/links/KOG/Triru-46-KOG.txt","E3 ubiquitin protein ligase")</f>
        <v>E3 ubiquitin protein ligase</v>
      </c>
      <c r="BM342" t="str">
        <f>HYPERLINK("http://www.ncbi.nlm.nih.gov/COG/grace/shokog.cgi?KOG0170","1.3")</f>
        <v>1.3</v>
      </c>
      <c r="BN342" t="s">
        <v>72</v>
      </c>
      <c r="BO342" s="2" t="str">
        <f>HYPERLINK("http://exon.niaid.nih.gov/transcriptome/T_rubida/S2/links/PFAM/Triru-46-PFAM.txt","SecA_DEAD")</f>
        <v>SecA_DEAD</v>
      </c>
      <c r="BP342" t="str">
        <f>HYPERLINK("http://pfam.sanger.ac.uk/family?acc=PF07517","2.2")</f>
        <v>2.2</v>
      </c>
      <c r="BQ342" s="2" t="str">
        <f>HYPERLINK("http://exon.niaid.nih.gov/transcriptome/T_rubida/S2/links/SMART/Triru-46-SMART.txt","uDENN")</f>
        <v>uDENN</v>
      </c>
      <c r="BR342" t="str">
        <f>HYPERLINK("http://smart.embl-heidelberg.de/smart/do_annotation.pl?DOMAIN=uDENN&amp;BLAST=DUMMY","2.1")</f>
        <v>2.1</v>
      </c>
      <c r="BS342" s="17">
        <f>HYPERLINK("http://exon.niaid.nih.gov/transcriptome/T_rubida/S2/links/cluster/Triru-pep-ext25-50-Sim-CLU1.txt", 1)</f>
        <v>1</v>
      </c>
      <c r="BT342" s="1">
        <f>HYPERLINK("http://exon.niaid.nih.gov/transcriptome/T_rubida/S2/links/cluster/Triru-pep-ext25-50-Sim-CLTL1.txt", 359)</f>
        <v>359</v>
      </c>
      <c r="BU342" s="17">
        <f>HYPERLINK("http://exon.niaid.nih.gov/transcriptome/T_rubida/S2/links/cluster/Triru-pep-ext30-50-Sim-CLU3.txt", 3)</f>
        <v>3</v>
      </c>
      <c r="BV342" s="1">
        <f>HYPERLINK("http://exon.niaid.nih.gov/transcriptome/T_rubida/S2/links/cluster/Triru-pep-ext30-50-Sim-CLTL3.txt", 6)</f>
        <v>6</v>
      </c>
      <c r="BW342" s="17">
        <v>53</v>
      </c>
      <c r="BX342" s="1">
        <v>1</v>
      </c>
      <c r="BY342" s="17">
        <v>50</v>
      </c>
      <c r="BZ342" s="1">
        <v>1</v>
      </c>
      <c r="CA342" s="17">
        <v>47</v>
      </c>
      <c r="CB342" s="1">
        <v>1</v>
      </c>
      <c r="CC342" s="17">
        <v>45</v>
      </c>
      <c r="CD342" s="1">
        <v>1</v>
      </c>
      <c r="CE342" s="17">
        <v>38</v>
      </c>
      <c r="CF342" s="1">
        <v>1</v>
      </c>
      <c r="CG342" s="17">
        <v>37</v>
      </c>
      <c r="CH342" s="1">
        <v>1</v>
      </c>
      <c r="CI342" s="17">
        <v>38</v>
      </c>
      <c r="CJ342" s="1">
        <v>1</v>
      </c>
      <c r="CK342" s="17">
        <v>38</v>
      </c>
      <c r="CL342" s="1">
        <v>1</v>
      </c>
      <c r="CM342" s="17">
        <v>39</v>
      </c>
      <c r="CN342" s="1">
        <v>1</v>
      </c>
      <c r="CO342" s="17">
        <v>41</v>
      </c>
      <c r="CP342" s="1">
        <v>1</v>
      </c>
      <c r="CQ342" s="17">
        <v>43</v>
      </c>
      <c r="CR342" s="1">
        <v>1</v>
      </c>
      <c r="CS342" s="17">
        <v>44</v>
      </c>
      <c r="CT342" s="1">
        <v>1</v>
      </c>
      <c r="CU342" s="17">
        <v>48</v>
      </c>
      <c r="CV342" s="1">
        <v>1</v>
      </c>
    </row>
    <row r="343" spans="1:100">
      <c r="A343" t="str">
        <f>HYPERLINK("http://exon.niaid.nih.gov/transcriptome/T_rubida/S2/links/pep/Triru-650-pep.txt","Triru-650")</f>
        <v>Triru-650</v>
      </c>
      <c r="B343">
        <v>28</v>
      </c>
      <c r="C343" s="1" t="s">
        <v>8</v>
      </c>
      <c r="D343" s="1" t="s">
        <v>3</v>
      </c>
      <c r="E343" t="str">
        <f>HYPERLINK("http://exon.niaid.nih.gov/transcriptome/T_rubida/S2/links/cds/Triru-650-cds.txt","Triru-650")</f>
        <v>Triru-650</v>
      </c>
      <c r="F343">
        <v>87</v>
      </c>
      <c r="G343" s="2" t="s">
        <v>1790</v>
      </c>
      <c r="H343" s="1">
        <v>1</v>
      </c>
      <c r="I343" s="3" t="s">
        <v>1266</v>
      </c>
      <c r="J343" s="17" t="str">
        <f>HYPERLINK("http://exon.niaid.nih.gov/transcriptome/T_rubida/S2/links/Sigp/Triru-650-SigP.txt","CYT")</f>
        <v>CYT</v>
      </c>
      <c r="K343" t="s">
        <v>5</v>
      </c>
      <c r="L343" s="1">
        <v>3.6619999999999999</v>
      </c>
      <c r="M343" s="1">
        <v>9.4</v>
      </c>
      <c r="P343" s="1">
        <v>0.19800000000000001</v>
      </c>
      <c r="Q343" s="1">
        <v>0.129</v>
      </c>
      <c r="R343" s="1">
        <v>0.621</v>
      </c>
      <c r="S343" s="17" t="s">
        <v>1346</v>
      </c>
      <c r="T343">
        <v>3</v>
      </c>
      <c r="U343" t="s">
        <v>1515</v>
      </c>
      <c r="V343" s="17">
        <v>0</v>
      </c>
      <c r="W343" t="s">
        <v>5</v>
      </c>
      <c r="X343" t="s">
        <v>5</v>
      </c>
      <c r="Y343" t="s">
        <v>5</v>
      </c>
      <c r="Z343" t="s">
        <v>5</v>
      </c>
      <c r="AA343" t="s">
        <v>5</v>
      </c>
      <c r="AB343" s="17" t="s">
        <v>5</v>
      </c>
      <c r="AC343" t="s">
        <v>5</v>
      </c>
      <c r="AD343" t="s">
        <v>5</v>
      </c>
      <c r="AE343" t="s">
        <v>5</v>
      </c>
      <c r="AF343" s="17" t="s">
        <v>5</v>
      </c>
      <c r="AG343" s="2" t="str">
        <f>HYPERLINK("http://exon.niaid.nih.gov/transcriptome/T_rubida/S2/links/NR/Triru-650-NR.txt","hypothetical protein Mtub2_02392")</f>
        <v>hypothetical protein Mtub2_02392</v>
      </c>
      <c r="AH343" t="str">
        <f>HYPERLINK("http://www.ncbi.nlm.nih.gov/sutils/blink.cgi?pid=294993368","39")</f>
        <v>39</v>
      </c>
      <c r="AI343" t="str">
        <f>HYPERLINK("http://www.ncbi.nlm.nih.gov/protein/294993368","gi|294993368")</f>
        <v>gi|294993368</v>
      </c>
      <c r="AJ343">
        <v>31.6</v>
      </c>
      <c r="AK343">
        <v>26</v>
      </c>
      <c r="AL343">
        <v>179</v>
      </c>
      <c r="AM343">
        <v>51</v>
      </c>
      <c r="AN343">
        <v>15</v>
      </c>
      <c r="AO343" t="s">
        <v>325</v>
      </c>
      <c r="AP343" s="2" t="str">
        <f>HYPERLINK("http://exon.niaid.nih.gov/transcriptome/T_rubida/S2/links/SWISSP/Triru-650-SWISSP.txt","Maturase K")</f>
        <v>Maturase K</v>
      </c>
      <c r="AQ343" t="str">
        <f>HYPERLINK("http://www.uniprot.org/uniprot/Q9GHE1","21")</f>
        <v>21</v>
      </c>
      <c r="AR343" t="s">
        <v>358</v>
      </c>
      <c r="AS343">
        <v>27.7</v>
      </c>
      <c r="AT343">
        <v>26</v>
      </c>
      <c r="AU343">
        <v>516</v>
      </c>
      <c r="AV343">
        <v>40</v>
      </c>
      <c r="AW343">
        <v>5</v>
      </c>
      <c r="AX343">
        <v>16</v>
      </c>
      <c r="AY343">
        <v>0</v>
      </c>
      <c r="AZ343">
        <v>213</v>
      </c>
      <c r="BA343">
        <v>2</v>
      </c>
      <c r="BB343">
        <v>1</v>
      </c>
      <c r="BC343" t="s">
        <v>359</v>
      </c>
      <c r="BD343" s="2" t="s">
        <v>5</v>
      </c>
      <c r="BE343" t="s">
        <v>5</v>
      </c>
      <c r="BF343" t="s">
        <v>5</v>
      </c>
      <c r="BG343" t="s">
        <v>5</v>
      </c>
      <c r="BH343" t="s">
        <v>5</v>
      </c>
      <c r="BI343" s="2" t="s">
        <v>5</v>
      </c>
      <c r="BJ343" t="s">
        <v>5</v>
      </c>
      <c r="BK343" t="s">
        <v>5</v>
      </c>
      <c r="BL343" s="2" t="s">
        <v>5</v>
      </c>
      <c r="BM343" t="s">
        <v>5</v>
      </c>
      <c r="BN343" t="s">
        <v>5</v>
      </c>
      <c r="BO343" s="2" t="s">
        <v>5</v>
      </c>
      <c r="BP343" t="s">
        <v>5</v>
      </c>
      <c r="BQ343" s="2" t="s">
        <v>5</v>
      </c>
      <c r="BR343" t="s">
        <v>5</v>
      </c>
      <c r="BS343" s="17">
        <f>HYPERLINK("http://exon.niaid.nih.gov/transcriptome/T_rubida/S2/links/cluster/Triru-pep-ext25-50-Sim-CLU1.txt", 1)</f>
        <v>1</v>
      </c>
      <c r="BT343" s="1">
        <f>HYPERLINK("http://exon.niaid.nih.gov/transcriptome/T_rubida/S2/links/cluster/Triru-pep-ext25-50-Sim-CLTL1.txt", 359)</f>
        <v>359</v>
      </c>
      <c r="BU343" s="17">
        <f>HYPERLINK("http://exon.niaid.nih.gov/transcriptome/T_rubida/S2/links/cluster/Triru-pep-ext30-50-Sim-CLU1.txt", 1)</f>
        <v>1</v>
      </c>
      <c r="BV343" s="1">
        <f>HYPERLINK("http://exon.niaid.nih.gov/transcriptome/T_rubida/S2/links/cluster/Triru-pep-ext30-50-Sim-CLTL1.txt", 225)</f>
        <v>225</v>
      </c>
      <c r="BW343" s="17">
        <f>HYPERLINK("http://exon.niaid.nih.gov/transcriptome/T_rubida/S2/links/cluster/Triru-pep-ext35-50-Sim-CLU1.txt", 1)</f>
        <v>1</v>
      </c>
      <c r="BX343" s="1">
        <f>HYPERLINK("http://exon.niaid.nih.gov/transcriptome/T_rubida/S2/links/cluster/Triru-pep-ext35-50-Sim-CLTL1.txt", 75)</f>
        <v>75</v>
      </c>
      <c r="BY343" s="17">
        <f>HYPERLINK("http://exon.niaid.nih.gov/transcriptome/T_rubida/S2/links/cluster/Triru-pep-ext40-50-Sim-CLU2.txt", 2)</f>
        <v>2</v>
      </c>
      <c r="BZ343" s="1">
        <f>HYPERLINK("http://exon.niaid.nih.gov/transcriptome/T_rubida/S2/links/cluster/Triru-pep-ext40-50-Sim-CLTL2.txt", 42)</f>
        <v>42</v>
      </c>
      <c r="CA343" s="17">
        <f>HYPERLINK("http://exon.niaid.nih.gov/transcriptome/T_rubida/S2/links/cluster/Triru-pep-ext45-50-Sim-CLU2.txt", 2)</f>
        <v>2</v>
      </c>
      <c r="CB343" s="1">
        <f>HYPERLINK("http://exon.niaid.nih.gov/transcriptome/T_rubida/S2/links/cluster/Triru-pep-ext45-50-Sim-CLTL2.txt", 33)</f>
        <v>33</v>
      </c>
      <c r="CC343" s="17">
        <f>HYPERLINK("http://exon.niaid.nih.gov/transcriptome/T_rubida/S2/links/cluster/Triru-pep-ext50-50-Sim-CLU32.txt", 32)</f>
        <v>32</v>
      </c>
      <c r="CD343" s="1">
        <f>HYPERLINK("http://exon.niaid.nih.gov/transcriptome/T_rubida/S2/links/cluster/Triru-pep-ext50-50-Sim-CLTL32.txt", 2)</f>
        <v>2</v>
      </c>
      <c r="CE343" s="17">
        <v>464</v>
      </c>
      <c r="CF343" s="1">
        <v>1</v>
      </c>
      <c r="CG343" s="17">
        <v>473</v>
      </c>
      <c r="CH343" s="1">
        <v>1</v>
      </c>
      <c r="CI343" s="17">
        <v>487</v>
      </c>
      <c r="CJ343" s="1">
        <v>1</v>
      </c>
      <c r="CK343" s="17">
        <v>493</v>
      </c>
      <c r="CL343" s="1">
        <v>1</v>
      </c>
      <c r="CM343" s="17">
        <v>505</v>
      </c>
      <c r="CN343" s="1">
        <v>1</v>
      </c>
      <c r="CO343" s="17">
        <v>517</v>
      </c>
      <c r="CP343" s="1">
        <v>1</v>
      </c>
      <c r="CQ343" s="17">
        <v>527</v>
      </c>
      <c r="CR343" s="1">
        <v>1</v>
      </c>
      <c r="CS343" s="17">
        <v>540</v>
      </c>
      <c r="CT343" s="1">
        <v>1</v>
      </c>
      <c r="CU343" s="17">
        <v>553</v>
      </c>
      <c r="CV343" s="1">
        <v>1</v>
      </c>
    </row>
    <row r="344" spans="1:100">
      <c r="A344" t="str">
        <f>HYPERLINK("http://exon.niaid.nih.gov/transcriptome/T_rubida/S2/links/pep/Triru-69-pep.txt","Triru-69")</f>
        <v>Triru-69</v>
      </c>
      <c r="B344">
        <v>39</v>
      </c>
      <c r="C344" s="1" t="s">
        <v>10</v>
      </c>
      <c r="D344" s="1" t="s">
        <v>3</v>
      </c>
      <c r="E344" t="str">
        <f>HYPERLINK("http://exon.niaid.nih.gov/transcriptome/T_rubida/S2/links/cds/Triru-69-cds.txt","Triru-69")</f>
        <v>Triru-69</v>
      </c>
      <c r="F344">
        <v>120</v>
      </c>
      <c r="G344" s="2" t="s">
        <v>1791</v>
      </c>
      <c r="H344" s="1">
        <v>1</v>
      </c>
      <c r="I344" s="3" t="s">
        <v>1266</v>
      </c>
      <c r="J344" s="17" t="str">
        <f>HYPERLINK("http://exon.niaid.nih.gov/transcriptome/T_rubida/S2/links/Sigp/Triru-69-SigP.txt","CYT")</f>
        <v>CYT</v>
      </c>
      <c r="K344" t="s">
        <v>5</v>
      </c>
      <c r="L344" s="1">
        <v>4.4660000000000002</v>
      </c>
      <c r="M344" s="1">
        <v>10.029999999999999</v>
      </c>
      <c r="P344" s="1">
        <v>0.105</v>
      </c>
      <c r="Q344" s="1">
        <v>4.8000000000000001E-2</v>
      </c>
      <c r="R344" s="1">
        <v>0.91300000000000003</v>
      </c>
      <c r="S344" s="17" t="s">
        <v>1346</v>
      </c>
      <c r="T344">
        <v>1</v>
      </c>
      <c r="U344" t="s">
        <v>1348</v>
      </c>
      <c r="V344" s="17">
        <v>0</v>
      </c>
      <c r="W344" t="s">
        <v>5</v>
      </c>
      <c r="X344" t="s">
        <v>5</v>
      </c>
      <c r="Y344" t="s">
        <v>5</v>
      </c>
      <c r="Z344" t="s">
        <v>5</v>
      </c>
      <c r="AA344" t="s">
        <v>5</v>
      </c>
      <c r="AB344" s="17" t="str">
        <f>HYPERLINK("http://exon.niaid.nih.gov/transcriptome/T_rubida/S2/links/netoglyc/TRIRU-69-netoglyc.txt","1")</f>
        <v>1</v>
      </c>
      <c r="AC344">
        <v>15.4</v>
      </c>
      <c r="AD344">
        <v>7.7</v>
      </c>
      <c r="AE344">
        <v>10.3</v>
      </c>
      <c r="AF344" s="17" t="s">
        <v>5</v>
      </c>
      <c r="AG344" s="2" t="str">
        <f>HYPERLINK("http://exon.niaid.nih.gov/transcriptome/T_rubida/S2/links/NR/Triru-69-NR.txt","unnamed protein product")</f>
        <v>unnamed protein product</v>
      </c>
      <c r="AH344" t="str">
        <f>HYPERLINK("http://www.ncbi.nlm.nih.gov/sutils/blink.cgi?pid=270046200","0.010")</f>
        <v>0.010</v>
      </c>
      <c r="AI344" t="str">
        <f>HYPERLINK("http://www.ncbi.nlm.nih.gov/protein/270046200","gi|270046200")</f>
        <v>gi|270046200</v>
      </c>
      <c r="AJ344">
        <v>43.5</v>
      </c>
      <c r="AK344">
        <v>28</v>
      </c>
      <c r="AL344">
        <v>200</v>
      </c>
      <c r="AM344">
        <v>65</v>
      </c>
      <c r="AN344">
        <v>15</v>
      </c>
      <c r="AO344" t="s">
        <v>59</v>
      </c>
      <c r="AP344" s="2" t="str">
        <f>HYPERLINK("http://exon.niaid.nih.gov/transcriptome/T_rubida/S2/links/SWISSP/Triru-69-SWISSP.txt","Histone-lysine N-methyltransferase MLL4")</f>
        <v>Histone-lysine N-methyltransferase MLL4</v>
      </c>
      <c r="AQ344" t="str">
        <f>HYPERLINK("http://www.uniprot.org/uniprot/O08550","62")</f>
        <v>62</v>
      </c>
      <c r="AR344" t="s">
        <v>924</v>
      </c>
      <c r="AS344">
        <v>26.2</v>
      </c>
      <c r="AT344">
        <v>28</v>
      </c>
      <c r="AU344">
        <v>2713</v>
      </c>
      <c r="AV344">
        <v>37</v>
      </c>
      <c r="AW344">
        <v>1</v>
      </c>
      <c r="AX344">
        <v>18</v>
      </c>
      <c r="AY344">
        <v>0</v>
      </c>
      <c r="AZ344">
        <v>136</v>
      </c>
      <c r="BA344">
        <v>10</v>
      </c>
      <c r="BB344">
        <v>1</v>
      </c>
      <c r="BC344" t="s">
        <v>75</v>
      </c>
      <c r="BD344" s="2" t="s">
        <v>5</v>
      </c>
      <c r="BE344" t="s">
        <v>5</v>
      </c>
      <c r="BF344" t="s">
        <v>5</v>
      </c>
      <c r="BG344" t="s">
        <v>5</v>
      </c>
      <c r="BH344" t="s">
        <v>5</v>
      </c>
      <c r="BI344" s="2" t="s">
        <v>5</v>
      </c>
      <c r="BJ344" t="s">
        <v>5</v>
      </c>
      <c r="BK344" t="s">
        <v>5</v>
      </c>
      <c r="BL344" s="2" t="s">
        <v>5</v>
      </c>
      <c r="BM344" t="s">
        <v>5</v>
      </c>
      <c r="BN344" t="s">
        <v>5</v>
      </c>
      <c r="BO344" s="2" t="str">
        <f>HYPERLINK("http://exon.niaid.nih.gov/transcriptome/T_rubida/S2/links/PFAM/Triru-69-PFAM.txt","DUF968")</f>
        <v>DUF968</v>
      </c>
      <c r="BP344" t="str">
        <f>HYPERLINK("http://pfam.sanger.ac.uk/family?acc=PF06147","6.4")</f>
        <v>6.4</v>
      </c>
      <c r="BQ344" s="2" t="str">
        <f>HYPERLINK("http://exon.niaid.nih.gov/transcriptome/T_rubida/S2/links/SMART/Triru-69-SMART.txt","ParB")</f>
        <v>ParB</v>
      </c>
      <c r="BR344" t="str">
        <f>HYPERLINK("http://smart.embl-heidelberg.de/smart/do_annotation.pl?DOMAIN=ParB&amp;BLAST=DUMMY","2.3")</f>
        <v>2.3</v>
      </c>
      <c r="BS344" s="17">
        <v>39</v>
      </c>
      <c r="BT344" s="1">
        <v>1</v>
      </c>
      <c r="BU344" s="17">
        <v>53</v>
      </c>
      <c r="BV344" s="1">
        <v>1</v>
      </c>
      <c r="BW344" s="17">
        <v>56</v>
      </c>
      <c r="BX344" s="1">
        <v>1</v>
      </c>
      <c r="BY344" s="17">
        <v>53</v>
      </c>
      <c r="BZ344" s="1">
        <v>1</v>
      </c>
      <c r="CA344" s="17">
        <v>50</v>
      </c>
      <c r="CB344" s="1">
        <v>1</v>
      </c>
      <c r="CC344" s="17">
        <v>48</v>
      </c>
      <c r="CD344" s="1">
        <v>1</v>
      </c>
      <c r="CE344" s="17">
        <v>41</v>
      </c>
      <c r="CF344" s="1">
        <v>1</v>
      </c>
      <c r="CG344" s="17">
        <v>40</v>
      </c>
      <c r="CH344" s="1">
        <v>1</v>
      </c>
      <c r="CI344" s="17">
        <v>41</v>
      </c>
      <c r="CJ344" s="1">
        <v>1</v>
      </c>
      <c r="CK344" s="17">
        <v>42</v>
      </c>
      <c r="CL344" s="1">
        <v>1</v>
      </c>
      <c r="CM344" s="17">
        <v>44</v>
      </c>
      <c r="CN344" s="1">
        <v>1</v>
      </c>
      <c r="CO344" s="17">
        <v>51</v>
      </c>
      <c r="CP344" s="1">
        <v>1</v>
      </c>
      <c r="CQ344" s="17">
        <v>58</v>
      </c>
      <c r="CR344" s="1">
        <v>1</v>
      </c>
      <c r="CS344" s="17">
        <v>63</v>
      </c>
      <c r="CT344" s="1">
        <v>1</v>
      </c>
      <c r="CU344" s="17">
        <v>69</v>
      </c>
      <c r="CV344" s="1">
        <v>1</v>
      </c>
    </row>
    <row r="345" spans="1:100">
      <c r="A345" t="str">
        <f>HYPERLINK("http://exon.niaid.nih.gov/transcriptome/T_rubida/S2/links/pep/Triru-590-pep.txt","Triru-590")</f>
        <v>Triru-590</v>
      </c>
      <c r="B345">
        <v>59</v>
      </c>
      <c r="C345" s="1" t="s">
        <v>11</v>
      </c>
      <c r="D345" s="1" t="s">
        <v>3</v>
      </c>
      <c r="E345" t="str">
        <f>HYPERLINK("http://exon.niaid.nih.gov/transcriptome/T_rubida/S2/links/cds/Triru-590-cds.txt","Triru-590")</f>
        <v>Triru-590</v>
      </c>
      <c r="F345">
        <v>180</v>
      </c>
      <c r="G345" s="2" t="s">
        <v>1792</v>
      </c>
      <c r="H345" s="1">
        <v>1</v>
      </c>
      <c r="I345" s="3" t="s">
        <v>1266</v>
      </c>
      <c r="J345" s="17" t="str">
        <f>HYPERLINK("http://exon.niaid.nih.gov/transcriptome/T_rubida/S2/links/Sigp/Triru-590-SigP.txt","CYT")</f>
        <v>CYT</v>
      </c>
      <c r="K345" t="s">
        <v>5</v>
      </c>
      <c r="L345" s="1">
        <v>6.89</v>
      </c>
      <c r="M345" s="1">
        <v>9.6</v>
      </c>
      <c r="P345" s="1">
        <v>0.46800000000000003</v>
      </c>
      <c r="Q345" s="1">
        <v>0.06</v>
      </c>
      <c r="R345" s="1">
        <v>0.61499999999999999</v>
      </c>
      <c r="S345" s="17" t="s">
        <v>1346</v>
      </c>
      <c r="T345">
        <v>5</v>
      </c>
      <c r="U345" t="s">
        <v>1516</v>
      </c>
      <c r="V345" s="17">
        <v>0</v>
      </c>
      <c r="W345" t="s">
        <v>5</v>
      </c>
      <c r="X345" t="s">
        <v>5</v>
      </c>
      <c r="Y345" t="s">
        <v>5</v>
      </c>
      <c r="Z345" t="s">
        <v>5</v>
      </c>
      <c r="AA345" t="s">
        <v>5</v>
      </c>
      <c r="AB345" s="17" t="str">
        <f>HYPERLINK("http://exon.niaid.nih.gov/transcriptome/T_rubida/S2/links/netoglyc/TRIRU-590-netoglyc.txt","2")</f>
        <v>2</v>
      </c>
      <c r="AC345">
        <v>22</v>
      </c>
      <c r="AD345">
        <v>5.0999999999999996</v>
      </c>
      <c r="AE345">
        <v>1.7</v>
      </c>
      <c r="AF345" s="17" t="s">
        <v>5</v>
      </c>
      <c r="AG345" s="2" t="str">
        <f>HYPERLINK("http://exon.niaid.nih.gov/transcriptome/T_rubida/S2/links/NR/Triru-590-NR.txt","probable acyltransferase")</f>
        <v>probable acyltransferase</v>
      </c>
      <c r="AH345" t="str">
        <f>HYPERLINK("http://www.ncbi.nlm.nih.gov/sutils/blink.cgi?pid=94502205","86")</f>
        <v>86</v>
      </c>
      <c r="AI345" t="str">
        <f>HYPERLINK("http://www.ncbi.nlm.nih.gov/protein/94502205","gi|94502205")</f>
        <v>gi|94502205</v>
      </c>
      <c r="AJ345">
        <v>30.4</v>
      </c>
      <c r="AK345">
        <v>41</v>
      </c>
      <c r="AL345">
        <v>289</v>
      </c>
      <c r="AM345">
        <v>33</v>
      </c>
      <c r="AN345">
        <v>15</v>
      </c>
      <c r="AO345" t="s">
        <v>1258</v>
      </c>
      <c r="AP345" s="2" t="str">
        <f>HYPERLINK("http://exon.niaid.nih.gov/transcriptome/T_rubida/S2/links/SWISSP/Triru-590-SWISSP.txt","Probable LRR receptor-like serine/threonine-protein kinase At1g51860")</f>
        <v>Probable LRR receptor-like serine/threonine-protein kinase At1g51860</v>
      </c>
      <c r="AQ345" t="str">
        <f>HYPERLINK("http://www.uniprot.org/uniprot/C0LGG4","36")</f>
        <v>36</v>
      </c>
      <c r="AR345" t="s">
        <v>1259</v>
      </c>
      <c r="AS345">
        <v>26.9</v>
      </c>
      <c r="AT345">
        <v>34</v>
      </c>
      <c r="AU345">
        <v>890</v>
      </c>
      <c r="AV345">
        <v>34</v>
      </c>
      <c r="AW345">
        <v>4</v>
      </c>
      <c r="AX345">
        <v>23</v>
      </c>
      <c r="AY345">
        <v>0</v>
      </c>
      <c r="AZ345">
        <v>326</v>
      </c>
      <c r="BA345">
        <v>4</v>
      </c>
      <c r="BB345">
        <v>1</v>
      </c>
      <c r="BC345" t="s">
        <v>71</v>
      </c>
      <c r="BD345" s="2" t="s">
        <v>5</v>
      </c>
      <c r="BE345" t="s">
        <v>5</v>
      </c>
      <c r="BF345" t="s">
        <v>5</v>
      </c>
      <c r="BG345" t="s">
        <v>5</v>
      </c>
      <c r="BH345" t="s">
        <v>5</v>
      </c>
      <c r="BI345" s="2" t="str">
        <f>HYPERLINK("http://exon.niaid.nih.gov/transcriptome/T_rubida/S2/links/CDD/Triru-590-CDD.txt","C2_Intersectin")</f>
        <v>C2_Intersectin</v>
      </c>
      <c r="BJ345" t="str">
        <f>HYPERLINK("http://www.ncbi.nlm.nih.gov/Structure/cdd/cddsrv.cgi?uid=cd08375&amp;version=v4.0","5.8")</f>
        <v>5.8</v>
      </c>
      <c r="BK345" t="s">
        <v>1260</v>
      </c>
      <c r="BL345" s="2" t="str">
        <f>HYPERLINK("http://exon.niaid.nih.gov/transcriptome/T_rubida/S2/links/KOG/Triru-590-KOG.txt","Ribulose kinase and related carbohydrate kinases")</f>
        <v>Ribulose kinase and related carbohydrate kinases</v>
      </c>
      <c r="BM345" t="str">
        <f>HYPERLINK("http://www.ncbi.nlm.nih.gov/COG/grace/shokog.cgi?KOG2517","2.9")</f>
        <v>2.9</v>
      </c>
      <c r="BN345" t="s">
        <v>383</v>
      </c>
      <c r="BO345" s="2" t="str">
        <f>HYPERLINK("http://exon.niaid.nih.gov/transcriptome/T_rubida/S2/links/PFAM/Triru-590-PFAM.txt","Attacin_C")</f>
        <v>Attacin_C</v>
      </c>
      <c r="BP345" t="str">
        <f>HYPERLINK("http://pfam.sanger.ac.uk/family?acc=PF03769","5.3")</f>
        <v>5.3</v>
      </c>
      <c r="BQ345" s="2" t="str">
        <f>HYPERLINK("http://exon.niaid.nih.gov/transcriptome/T_rubida/S2/links/SMART/Triru-590-SMART.txt","BMC")</f>
        <v>BMC</v>
      </c>
      <c r="BR345" t="str">
        <f>HYPERLINK("http://smart.embl-heidelberg.de/smart/do_annotation.pl?DOMAIN=BMC&amp;BLAST=DUMMY","1.2")</f>
        <v>1.2</v>
      </c>
      <c r="BS345" s="17">
        <f>HYPERLINK("http://exon.niaid.nih.gov/transcriptome/T_rubida/S2/links/cluster/Triru-pep-ext25-50-Sim-CLU1.txt", 1)</f>
        <v>1</v>
      </c>
      <c r="BT345" s="1">
        <f>HYPERLINK("http://exon.niaid.nih.gov/transcriptome/T_rubida/S2/links/cluster/Triru-pep-ext25-50-Sim-CLTL1.txt", 359)</f>
        <v>359</v>
      </c>
      <c r="BU345" s="17">
        <f>HYPERLINK("http://exon.niaid.nih.gov/transcriptome/T_rubida/S2/links/cluster/Triru-pep-ext30-50-Sim-CLU1.txt", 1)</f>
        <v>1</v>
      </c>
      <c r="BV345" s="1">
        <f>HYPERLINK("http://exon.niaid.nih.gov/transcriptome/T_rubida/S2/links/cluster/Triru-pep-ext30-50-Sim-CLTL1.txt", 225)</f>
        <v>225</v>
      </c>
      <c r="BW345" s="17">
        <v>343</v>
      </c>
      <c r="BX345" s="1">
        <v>1</v>
      </c>
      <c r="BY345" s="17">
        <v>376</v>
      </c>
      <c r="BZ345" s="1">
        <v>1</v>
      </c>
      <c r="CA345" s="17">
        <v>391</v>
      </c>
      <c r="CB345" s="1">
        <v>1</v>
      </c>
      <c r="CC345" s="17">
        <v>405</v>
      </c>
      <c r="CD345" s="1">
        <v>1</v>
      </c>
      <c r="CE345" s="17">
        <v>420</v>
      </c>
      <c r="CF345" s="1">
        <v>1</v>
      </c>
      <c r="CG345" s="17">
        <v>427</v>
      </c>
      <c r="CH345" s="1">
        <v>1</v>
      </c>
      <c r="CI345" s="17">
        <v>439</v>
      </c>
      <c r="CJ345" s="1">
        <v>1</v>
      </c>
      <c r="CK345" s="17">
        <v>445</v>
      </c>
      <c r="CL345" s="1">
        <v>1</v>
      </c>
      <c r="CM345" s="17">
        <v>457</v>
      </c>
      <c r="CN345" s="1">
        <v>1</v>
      </c>
      <c r="CO345" s="17">
        <v>469</v>
      </c>
      <c r="CP345" s="1">
        <v>1</v>
      </c>
      <c r="CQ345" s="17">
        <v>479</v>
      </c>
      <c r="CR345" s="1">
        <v>1</v>
      </c>
      <c r="CS345" s="17">
        <v>492</v>
      </c>
      <c r="CT345" s="1">
        <v>1</v>
      </c>
      <c r="CU345" s="17">
        <v>504</v>
      </c>
      <c r="CV345" s="1">
        <v>1</v>
      </c>
    </row>
    <row r="346" spans="1:100">
      <c r="A346" t="str">
        <f>HYPERLINK("http://exon.niaid.nih.gov/transcriptome/T_rubida/S2/links/pep/Triru-315-pep.txt","Triru-315")</f>
        <v>Triru-315</v>
      </c>
      <c r="B346">
        <v>104</v>
      </c>
      <c r="C346" s="1" t="s">
        <v>6</v>
      </c>
      <c r="D346" s="1" t="s">
        <v>3</v>
      </c>
      <c r="E346" t="str">
        <f>HYPERLINK("http://exon.niaid.nih.gov/transcriptome/T_rubida/S2/links/cds/Triru-315-cds.txt","Triru-315")</f>
        <v>Triru-315</v>
      </c>
      <c r="F346">
        <v>315</v>
      </c>
      <c r="G346" s="2" t="s">
        <v>1793</v>
      </c>
      <c r="H346" s="1">
        <v>1</v>
      </c>
      <c r="I346" s="3" t="s">
        <v>1266</v>
      </c>
      <c r="J346" s="17" t="str">
        <f>HYPERLINK("http://exon.niaid.nih.gov/transcriptome/T_rubida/S2/links/Sigp/Triru-315-SigP.txt","CYT")</f>
        <v>CYT</v>
      </c>
      <c r="K346" t="s">
        <v>5</v>
      </c>
      <c r="L346" s="1">
        <v>12.574</v>
      </c>
      <c r="M346" s="1">
        <v>11.1</v>
      </c>
      <c r="P346" s="1">
        <v>0.19600000000000001</v>
      </c>
      <c r="Q346" s="1">
        <v>0.378</v>
      </c>
      <c r="R346" s="1">
        <v>0.58499999999999996</v>
      </c>
      <c r="S346" s="17" t="s">
        <v>1346</v>
      </c>
      <c r="T346">
        <v>4</v>
      </c>
      <c r="U346" t="s">
        <v>1517</v>
      </c>
      <c r="V346" s="17" t="str">
        <f>HYPERLINK("http://exon.niaid.nih.gov/transcriptome/T_rubida/S2/links/tmhmm/TRIRU-315-tmhmm.txt","2")</f>
        <v>2</v>
      </c>
      <c r="W346">
        <v>39.4</v>
      </c>
      <c r="X346">
        <v>21.2</v>
      </c>
      <c r="Y346">
        <v>39.4</v>
      </c>
      <c r="Z346" t="s">
        <v>5</v>
      </c>
      <c r="AA346" t="s">
        <v>5</v>
      </c>
      <c r="AB346" s="17" t="str">
        <f>HYPERLINK("http://exon.niaid.nih.gov/transcriptome/T_rubida/S2/links/netoglyc/TRIRU-315-netoglyc.txt","0")</f>
        <v>0</v>
      </c>
      <c r="AC346">
        <v>13.5</v>
      </c>
      <c r="AD346">
        <v>1.9</v>
      </c>
      <c r="AE346">
        <v>2.9</v>
      </c>
      <c r="AF346" s="17" t="s">
        <v>1518</v>
      </c>
      <c r="AG346" s="2" t="str">
        <f>HYPERLINK("http://exon.niaid.nih.gov/transcriptome/T_rubida/S2/links/NR/Triru-315-NR.txt","YaeT")</f>
        <v>YaeT</v>
      </c>
      <c r="AH346" t="str">
        <f>HYPERLINK("http://www.ncbi.nlm.nih.gov/sutils/blink.cgi?pid=116515086","0.43")</f>
        <v>0.43</v>
      </c>
      <c r="AI346" t="str">
        <f>HYPERLINK("http://www.ncbi.nlm.nih.gov/protein/116515086","gi|116515086")</f>
        <v>gi|116515086</v>
      </c>
      <c r="AJ346">
        <v>38.1</v>
      </c>
      <c r="AK346">
        <v>81</v>
      </c>
      <c r="AL346">
        <v>571</v>
      </c>
      <c r="AM346">
        <v>31</v>
      </c>
      <c r="AN346">
        <v>14</v>
      </c>
      <c r="AO346" t="s">
        <v>599</v>
      </c>
      <c r="AP346" s="2" t="str">
        <f>HYPERLINK("http://exon.niaid.nih.gov/transcriptome/T_rubida/S2/links/SWISSP/Triru-315-SWISSP.txt","Cytosolic Fe-S cluster assembly factor NAR1")</f>
        <v>Cytosolic Fe-S cluster assembly factor NAR1</v>
      </c>
      <c r="AQ346" t="str">
        <f>HYPERLINK("http://www.uniprot.org/uniprot/A5DSI2","9.4")</f>
        <v>9.4</v>
      </c>
      <c r="AR346" t="s">
        <v>600</v>
      </c>
      <c r="AS346">
        <v>28.9</v>
      </c>
      <c r="AT346">
        <v>57</v>
      </c>
      <c r="AU346">
        <v>594</v>
      </c>
      <c r="AV346">
        <v>24</v>
      </c>
      <c r="AW346">
        <v>10</v>
      </c>
      <c r="AX346">
        <v>47</v>
      </c>
      <c r="AY346">
        <v>4</v>
      </c>
      <c r="AZ346">
        <v>334</v>
      </c>
      <c r="BA346">
        <v>5</v>
      </c>
      <c r="BB346">
        <v>1</v>
      </c>
      <c r="BC346" t="s">
        <v>601</v>
      </c>
      <c r="BD346" s="2" t="s">
        <v>5</v>
      </c>
      <c r="BE346" t="s">
        <v>5</v>
      </c>
      <c r="BF346" t="s">
        <v>5</v>
      </c>
      <c r="BG346" t="s">
        <v>5</v>
      </c>
      <c r="BH346" t="s">
        <v>5</v>
      </c>
      <c r="BI346" s="2" t="str">
        <f>HYPERLINK("http://exon.niaid.nih.gov/transcriptome/T_rubida/S2/links/CDD/Triru-315-CDD.txt","PTZ00200")</f>
        <v>PTZ00200</v>
      </c>
      <c r="BJ346" t="str">
        <f>HYPERLINK("http://www.ncbi.nlm.nih.gov/Structure/cdd/cddsrv.cgi?uid=PTZ00200&amp;version=v4.0","7.1")</f>
        <v>7.1</v>
      </c>
      <c r="BK346" t="s">
        <v>602</v>
      </c>
      <c r="BL346" s="2" t="str">
        <f>HYPERLINK("http://exon.niaid.nih.gov/transcriptome/T_rubida/S2/links/KOG/Triru-315-KOG.txt","WD40 repeat protein")</f>
        <v>WD40 repeat protein</v>
      </c>
      <c r="BM346" t="str">
        <f>HYPERLINK("http://www.ncbi.nlm.nih.gov/COG/grace/shokog.cgi?KOG2055","2.7")</f>
        <v>2.7</v>
      </c>
      <c r="BN346" t="s">
        <v>96</v>
      </c>
      <c r="BO346" s="2" t="str">
        <f>HYPERLINK("http://exon.niaid.nih.gov/transcriptome/T_rubida/S2/links/PFAM/Triru-315-PFAM.txt","DUF560")</f>
        <v>DUF560</v>
      </c>
      <c r="BP346" t="str">
        <f>HYPERLINK("http://pfam.sanger.ac.uk/family?acc=PF04575","4.0")</f>
        <v>4.0</v>
      </c>
      <c r="BQ346" s="2" t="str">
        <f>HYPERLINK("http://exon.niaid.nih.gov/transcriptome/T_rubida/S2/links/SMART/Triru-315-SMART.txt","Asparaginase")</f>
        <v>Asparaginase</v>
      </c>
      <c r="BR346" t="str">
        <f>HYPERLINK("http://smart.embl-heidelberg.de/smart/do_annotation.pl?DOMAIN=Asparaginase&amp;BLAST=DUMMY","1.2")</f>
        <v>1.2</v>
      </c>
      <c r="BS346" s="17">
        <v>93</v>
      </c>
      <c r="BT346" s="1">
        <v>1</v>
      </c>
      <c r="BU346" s="17">
        <v>146</v>
      </c>
      <c r="BV346" s="1">
        <v>1</v>
      </c>
      <c r="BW346" s="17">
        <v>177</v>
      </c>
      <c r="BX346" s="1">
        <v>1</v>
      </c>
      <c r="BY346" s="17">
        <v>188</v>
      </c>
      <c r="BZ346" s="1">
        <v>1</v>
      </c>
      <c r="CA346" s="17">
        <v>194</v>
      </c>
      <c r="CB346" s="1">
        <v>1</v>
      </c>
      <c r="CC346" s="17">
        <v>199</v>
      </c>
      <c r="CD346" s="1">
        <v>1</v>
      </c>
      <c r="CE346" s="17">
        <v>205</v>
      </c>
      <c r="CF346" s="1">
        <v>1</v>
      </c>
      <c r="CG346" s="17">
        <v>207</v>
      </c>
      <c r="CH346" s="1">
        <v>1</v>
      </c>
      <c r="CI346" s="17">
        <v>216</v>
      </c>
      <c r="CJ346" s="1">
        <v>1</v>
      </c>
      <c r="CK346" s="17">
        <v>221</v>
      </c>
      <c r="CL346" s="1">
        <v>1</v>
      </c>
      <c r="CM346" s="17">
        <v>228</v>
      </c>
      <c r="CN346" s="1">
        <v>1</v>
      </c>
      <c r="CO346" s="17">
        <v>239</v>
      </c>
      <c r="CP346" s="1">
        <v>1</v>
      </c>
      <c r="CQ346" s="17">
        <v>249</v>
      </c>
      <c r="CR346" s="1">
        <v>1</v>
      </c>
      <c r="CS346" s="17">
        <v>258</v>
      </c>
      <c r="CT346" s="1">
        <v>1</v>
      </c>
      <c r="CU346" s="17">
        <v>269</v>
      </c>
      <c r="CV346" s="1">
        <v>1</v>
      </c>
    </row>
    <row r="347" spans="1:100">
      <c r="A347" t="str">
        <f>HYPERLINK("http://exon.niaid.nih.gov/transcriptome/T_rubida/S2/links/pep/Triru-639-pep.txt","Triru-639")</f>
        <v>Triru-639</v>
      </c>
      <c r="B347">
        <v>48</v>
      </c>
      <c r="C347" s="1" t="s">
        <v>4</v>
      </c>
      <c r="D347" s="1" t="s">
        <v>3</v>
      </c>
      <c r="E347" t="str">
        <f>HYPERLINK("http://exon.niaid.nih.gov/transcriptome/T_rubida/S2/links/cds/Triru-639-cds.txt","Triru-639")</f>
        <v>Triru-639</v>
      </c>
      <c r="F347">
        <v>147</v>
      </c>
      <c r="G347" s="2" t="s">
        <v>1796</v>
      </c>
      <c r="H347" s="1">
        <v>1</v>
      </c>
      <c r="I347" s="3" t="s">
        <v>1266</v>
      </c>
      <c r="J347" s="17" t="str">
        <f>HYPERLINK("http://exon.niaid.nih.gov/transcriptome/T_rubida/S2/links/Sigp/Triru-639-SigP.txt","CYT")</f>
        <v>CYT</v>
      </c>
      <c r="K347" t="s">
        <v>5</v>
      </c>
      <c r="L347" s="1">
        <v>5.625</v>
      </c>
      <c r="M347" s="1">
        <v>10.43</v>
      </c>
      <c r="P347" s="1">
        <v>3.6999999999999998E-2</v>
      </c>
      <c r="Q347" s="1">
        <v>0.34899999999999998</v>
      </c>
      <c r="R347" s="1">
        <v>0.46899999999999997</v>
      </c>
      <c r="S347" s="17" t="s">
        <v>1346</v>
      </c>
      <c r="T347">
        <v>5</v>
      </c>
      <c r="U347" t="s">
        <v>1521</v>
      </c>
      <c r="V347" s="17" t="str">
        <f>HYPERLINK("http://exon.niaid.nih.gov/transcriptome/T_rubida/S2/links/tmhmm/TRIRU-639-tmhmm.txt","1")</f>
        <v>1</v>
      </c>
      <c r="W347">
        <v>45.8</v>
      </c>
      <c r="X347">
        <v>39.6</v>
      </c>
      <c r="Y347">
        <v>14.6</v>
      </c>
      <c r="Z347" t="s">
        <v>5</v>
      </c>
      <c r="AA347">
        <v>19</v>
      </c>
      <c r="AB347" s="17" t="str">
        <f>HYPERLINK("http://exon.niaid.nih.gov/transcriptome/T_rubida/S2/links/netoglyc/TRIRU-639-netoglyc.txt","0")</f>
        <v>0</v>
      </c>
      <c r="AC347">
        <v>12.5</v>
      </c>
      <c r="AD347">
        <v>4.2</v>
      </c>
      <c r="AE347">
        <v>2.1</v>
      </c>
      <c r="AF347" s="17" t="s">
        <v>5</v>
      </c>
      <c r="AG347" s="2" t="str">
        <f>HYPERLINK("http://exon.niaid.nih.gov/transcriptome/T_rubida/S2/links/NR/Triru-639-NR.txt","cytochrome c biogenesis protein")</f>
        <v>cytochrome c biogenesis protein</v>
      </c>
      <c r="AH347" t="str">
        <f>HYPERLINK("http://www.ncbi.nlm.nih.gov/sutils/blink.cgi?pid=11466751","4.7")</f>
        <v>4.7</v>
      </c>
      <c r="AI347" t="str">
        <f>HYPERLINK("http://www.ncbi.nlm.nih.gov/protein/11466751","gi|11466751")</f>
        <v>gi|11466751</v>
      </c>
      <c r="AJ347">
        <v>34.700000000000003</v>
      </c>
      <c r="AK347">
        <v>43</v>
      </c>
      <c r="AL347">
        <v>320</v>
      </c>
      <c r="AM347">
        <v>40</v>
      </c>
      <c r="AN347">
        <v>14</v>
      </c>
      <c r="AO347" t="s">
        <v>114</v>
      </c>
      <c r="AP347" s="2" t="str">
        <f>HYPERLINK("http://exon.niaid.nih.gov/transcriptome/T_rubida/S2/links/SWISSP/Triru-639-SWISSP.txt","Cytochrome c biogenesis protein ccsA")</f>
        <v>Cytochrome c biogenesis protein ccsA</v>
      </c>
      <c r="AQ347" t="str">
        <f>HYPERLINK("http://www.uniprot.org/uniprot/P12214","0.18")</f>
        <v>0.18</v>
      </c>
      <c r="AR347" t="s">
        <v>115</v>
      </c>
      <c r="AS347">
        <v>34.700000000000003</v>
      </c>
      <c r="AT347">
        <v>43</v>
      </c>
      <c r="AU347">
        <v>320</v>
      </c>
      <c r="AV347">
        <v>40</v>
      </c>
      <c r="AW347">
        <v>14</v>
      </c>
      <c r="AX347">
        <v>27</v>
      </c>
      <c r="AY347">
        <v>1</v>
      </c>
      <c r="AZ347">
        <v>168</v>
      </c>
      <c r="BA347">
        <v>4</v>
      </c>
      <c r="BB347">
        <v>1</v>
      </c>
      <c r="BC347" t="s">
        <v>114</v>
      </c>
      <c r="BD347" s="2" t="s">
        <v>5</v>
      </c>
      <c r="BE347" t="s">
        <v>5</v>
      </c>
      <c r="BF347" t="s">
        <v>5</v>
      </c>
      <c r="BG347" t="s">
        <v>5</v>
      </c>
      <c r="BH347" t="s">
        <v>5</v>
      </c>
      <c r="BI347" s="2" t="str">
        <f>HYPERLINK("http://exon.niaid.nih.gov/transcriptome/T_rubida/S2/links/CDD/Triru-639-CDD.txt","PLDc_PSS_G_neg_")</f>
        <v>PLDc_PSS_G_neg_</v>
      </c>
      <c r="BJ347" t="str">
        <f>HYPERLINK("http://www.ncbi.nlm.nih.gov/Structure/cdd/cddsrv.cgi?uid=cd09136&amp;version=v4.0","1.6")</f>
        <v>1.6</v>
      </c>
      <c r="BK347" t="s">
        <v>116</v>
      </c>
      <c r="BL347" s="2" t="str">
        <f>HYPERLINK("http://exon.niaid.nih.gov/transcriptome/T_rubida/S2/links/KOG/Triru-639-KOG.txt","Zn2+ transporter")</f>
        <v>Zn2+ transporter</v>
      </c>
      <c r="BM347" t="str">
        <f>HYPERLINK("http://www.ncbi.nlm.nih.gov/COG/grace/shokog.cgi?KOG1482","2.0")</f>
        <v>2.0</v>
      </c>
      <c r="BN347" t="s">
        <v>117</v>
      </c>
      <c r="BO347" s="2" t="str">
        <f>HYPERLINK("http://exon.niaid.nih.gov/transcriptome/T_rubida/S2/links/PFAM/Triru-639-PFAM.txt","NMT_C")</f>
        <v>NMT_C</v>
      </c>
      <c r="BP347" t="str">
        <f>HYPERLINK("http://pfam.sanger.ac.uk/family?acc=PF02799","1.5")</f>
        <v>1.5</v>
      </c>
      <c r="BQ347" s="2" t="str">
        <f>HYPERLINK("http://exon.niaid.nih.gov/transcriptome/T_rubida/S2/links/SMART/Triru-639-SMART.txt","LA")</f>
        <v>LA</v>
      </c>
      <c r="BR347" t="str">
        <f>HYPERLINK("http://smart.embl-heidelberg.de/smart/do_annotation.pl?DOMAIN=LA&amp;BLAST=DUMMY","2.2")</f>
        <v>2.2</v>
      </c>
      <c r="BS347" s="17">
        <f>HYPERLINK("http://exon.niaid.nih.gov/transcriptome/T_rubida/S2/links/cluster/Triru-pep-ext25-50-Sim-CLU1.txt", 1)</f>
        <v>1</v>
      </c>
      <c r="BT347" s="1">
        <f>HYPERLINK("http://exon.niaid.nih.gov/transcriptome/T_rubida/S2/links/cluster/Triru-pep-ext25-50-Sim-CLTL1.txt", 359)</f>
        <v>359</v>
      </c>
      <c r="BU347" s="17">
        <f>HYPERLINK("http://exon.niaid.nih.gov/transcriptome/T_rubida/S2/links/cluster/Triru-pep-ext30-50-Sim-CLU9.txt", 9)</f>
        <v>9</v>
      </c>
      <c r="BV347" s="1">
        <f>HYPERLINK("http://exon.niaid.nih.gov/transcriptome/T_rubida/S2/links/cluster/Triru-pep-ext30-50-Sim-CLTL9.txt", 3)</f>
        <v>3</v>
      </c>
      <c r="BW347" s="17">
        <f>HYPERLINK("http://exon.niaid.nih.gov/transcriptome/T_rubida/S2/links/cluster/Triru-pep-ext35-50-Sim-CLU8.txt", 8)</f>
        <v>8</v>
      </c>
      <c r="BX347" s="1">
        <f>HYPERLINK("http://exon.niaid.nih.gov/transcriptome/T_rubida/S2/links/cluster/Triru-pep-ext35-50-Sim-CLTL8.txt", 3)</f>
        <v>3</v>
      </c>
      <c r="BY347" s="17">
        <v>407</v>
      </c>
      <c r="BZ347" s="1">
        <v>1</v>
      </c>
      <c r="CA347" s="17">
        <v>424</v>
      </c>
      <c r="CB347" s="1">
        <v>1</v>
      </c>
      <c r="CC347" s="17">
        <v>440</v>
      </c>
      <c r="CD347" s="1">
        <v>1</v>
      </c>
      <c r="CE347" s="17">
        <v>456</v>
      </c>
      <c r="CF347" s="1">
        <v>1</v>
      </c>
      <c r="CG347" s="17">
        <v>464</v>
      </c>
      <c r="CH347" s="1">
        <v>1</v>
      </c>
      <c r="CI347" s="17">
        <v>478</v>
      </c>
      <c r="CJ347" s="1">
        <v>1</v>
      </c>
      <c r="CK347" s="17">
        <v>484</v>
      </c>
      <c r="CL347" s="1">
        <v>1</v>
      </c>
      <c r="CM347" s="17">
        <v>496</v>
      </c>
      <c r="CN347" s="1">
        <v>1</v>
      </c>
      <c r="CO347" s="17">
        <v>508</v>
      </c>
      <c r="CP347" s="1">
        <v>1</v>
      </c>
      <c r="CQ347" s="17">
        <v>518</v>
      </c>
      <c r="CR347" s="1">
        <v>1</v>
      </c>
      <c r="CS347" s="17">
        <v>531</v>
      </c>
      <c r="CT347" s="1">
        <v>1</v>
      </c>
      <c r="CU347" s="17">
        <v>544</v>
      </c>
      <c r="CV347" s="1">
        <v>1</v>
      </c>
    </row>
    <row r="348" spans="1:100">
      <c r="A348" t="str">
        <f>HYPERLINK("http://exon.niaid.nih.gov/transcriptome/T_rubida/S2/links/pep/Triru-304-pep.txt","Triru-304")</f>
        <v>Triru-304</v>
      </c>
      <c r="B348">
        <v>19</v>
      </c>
      <c r="C348" s="1" t="s">
        <v>8</v>
      </c>
      <c r="D348" s="1" t="s">
        <v>3</v>
      </c>
      <c r="E348" t="str">
        <f>HYPERLINK("http://exon.niaid.nih.gov/transcriptome/T_rubida/S2/links/cds/Triru-304-cds.txt","Triru-304")</f>
        <v>Triru-304</v>
      </c>
      <c r="F348">
        <v>60</v>
      </c>
      <c r="G348" s="2" t="s">
        <v>1798</v>
      </c>
      <c r="H348" s="1">
        <v>1</v>
      </c>
      <c r="I348" s="3" t="s">
        <v>1266</v>
      </c>
      <c r="J348" s="17" t="str">
        <f>HYPERLINK("http://exon.niaid.nih.gov/transcriptome/T_rubida/S2/links/Sigp/Triru-304-SigP.txt","CYT")</f>
        <v>CYT</v>
      </c>
      <c r="K348" t="s">
        <v>5</v>
      </c>
      <c r="L348" s="1">
        <v>2.72</v>
      </c>
      <c r="M348" s="1">
        <v>8.75</v>
      </c>
      <c r="P348" s="1">
        <v>0.17100000000000001</v>
      </c>
      <c r="Q348" s="1">
        <v>0.10100000000000001</v>
      </c>
      <c r="R348" s="1">
        <v>0.73099999999999998</v>
      </c>
      <c r="S348" s="17" t="s">
        <v>1346</v>
      </c>
      <c r="T348">
        <v>3</v>
      </c>
      <c r="U348" t="s">
        <v>1348</v>
      </c>
      <c r="V348" s="17">
        <v>0</v>
      </c>
      <c r="W348" t="s">
        <v>5</v>
      </c>
      <c r="X348" t="s">
        <v>5</v>
      </c>
      <c r="Y348" t="s">
        <v>5</v>
      </c>
      <c r="Z348" t="s">
        <v>5</v>
      </c>
      <c r="AA348" t="s">
        <v>5</v>
      </c>
      <c r="AB348" s="17" t="str">
        <f>HYPERLINK("http://exon.niaid.nih.gov/transcriptome/T_rubida/S2/links/netoglyc/TRIRU-304-netoglyc.txt","0")</f>
        <v>0</v>
      </c>
      <c r="AC348" t="s">
        <v>1417</v>
      </c>
      <c r="AD348" t="s">
        <v>1417</v>
      </c>
      <c r="AE348">
        <v>5.3</v>
      </c>
      <c r="AF348" s="17" t="s">
        <v>5</v>
      </c>
      <c r="AG348" s="2" t="str">
        <f>HYPERLINK("http://exon.niaid.nih.gov/transcriptome/T_rubida/S2/links/NR/Triru-304-NR.txt","hypothetical protein GTHECHR3154")</f>
        <v>hypothetical protein GTHECHR3154</v>
      </c>
      <c r="AH348" t="str">
        <f>HYPERLINK("http://www.ncbi.nlm.nih.gov/sutils/blink.cgi?pid=162605946","6.1")</f>
        <v>6.1</v>
      </c>
      <c r="AI348" t="str">
        <f>HYPERLINK("http://www.ncbi.nlm.nih.gov/protein/162605946","gi|162605946")</f>
        <v>gi|162605946</v>
      </c>
      <c r="AJ348">
        <v>33.9</v>
      </c>
      <c r="AK348">
        <v>18</v>
      </c>
      <c r="AL348">
        <v>151</v>
      </c>
      <c r="AM348">
        <v>73</v>
      </c>
      <c r="AN348">
        <v>13</v>
      </c>
      <c r="AO348" t="s">
        <v>355</v>
      </c>
      <c r="AP348" s="2" t="str">
        <f>HYPERLINK("http://exon.niaid.nih.gov/transcriptome/T_rubida/S2/links/SWISSP/Triru-304-SWISSP.txt","Putative uncharacterized transmembrane protein DDB_G0285949")</f>
        <v>Putative uncharacterized transmembrane protein DDB_G0285949</v>
      </c>
      <c r="AQ348" t="str">
        <f>HYPERLINK("http://www.uniprot.org/uniprot/Q54MI8","62")</f>
        <v>62</v>
      </c>
      <c r="AR348" t="s">
        <v>354</v>
      </c>
      <c r="AS348">
        <v>25.8</v>
      </c>
      <c r="AT348">
        <v>18</v>
      </c>
      <c r="AU348">
        <v>129</v>
      </c>
      <c r="AV348">
        <v>47</v>
      </c>
      <c r="AW348">
        <v>15</v>
      </c>
      <c r="AX348">
        <v>10</v>
      </c>
      <c r="AY348">
        <v>0</v>
      </c>
      <c r="AZ348">
        <v>88</v>
      </c>
      <c r="BA348">
        <v>1</v>
      </c>
      <c r="BB348">
        <v>1</v>
      </c>
      <c r="BC348" t="s">
        <v>99</v>
      </c>
      <c r="BD348" s="2" t="s">
        <v>5</v>
      </c>
      <c r="BE348" t="s">
        <v>5</v>
      </c>
      <c r="BF348" t="s">
        <v>5</v>
      </c>
      <c r="BG348" t="s">
        <v>5</v>
      </c>
      <c r="BH348" t="s">
        <v>5</v>
      </c>
      <c r="BI348" s="2" t="s">
        <v>5</v>
      </c>
      <c r="BJ348" t="s">
        <v>5</v>
      </c>
      <c r="BK348" t="s">
        <v>5</v>
      </c>
      <c r="BL348" s="2" t="s">
        <v>5</v>
      </c>
      <c r="BM348" t="s">
        <v>5</v>
      </c>
      <c r="BN348" t="s">
        <v>5</v>
      </c>
      <c r="BO348" s="2" t="s">
        <v>5</v>
      </c>
      <c r="BP348" t="s">
        <v>5</v>
      </c>
      <c r="BQ348" s="2" t="str">
        <f>HYPERLINK("http://exon.niaid.nih.gov/transcriptome/T_rubida/S2/links/SMART/Triru-304-SMART.txt","Agro_virD5")</f>
        <v>Agro_virD5</v>
      </c>
      <c r="BR348" t="str">
        <f>HYPERLINK("http://smart.embl-heidelberg.de/smart/do_annotation.pl?DOMAIN=Agro_virD5&amp;BLAST=DUMMY","1.9")</f>
        <v>1.9</v>
      </c>
      <c r="BS348" s="17">
        <f>HYPERLINK("http://exon.niaid.nih.gov/transcriptome/T_rubida/S2/links/cluster/Triru-pep-ext25-50-Sim-CLU1.txt", 1)</f>
        <v>1</v>
      </c>
      <c r="BT348" s="1">
        <f>HYPERLINK("http://exon.niaid.nih.gov/transcriptome/T_rubida/S2/links/cluster/Triru-pep-ext25-50-Sim-CLTL1.txt", 359)</f>
        <v>359</v>
      </c>
      <c r="BU348" s="17">
        <f>HYPERLINK("http://exon.niaid.nih.gov/transcriptome/T_rubida/S2/links/cluster/Triru-pep-ext30-50-Sim-CLU1.txt", 1)</f>
        <v>1</v>
      </c>
      <c r="BV348" s="1">
        <f>HYPERLINK("http://exon.niaid.nih.gov/transcriptome/T_rubida/S2/links/cluster/Triru-pep-ext30-50-Sim-CLTL1.txt", 225)</f>
        <v>225</v>
      </c>
      <c r="BW348" s="17">
        <f>HYPERLINK("http://exon.niaid.nih.gov/transcriptome/T_rubida/S2/links/cluster/Triru-pep-ext35-50-Sim-CLU1.txt", 1)</f>
        <v>1</v>
      </c>
      <c r="BX348" s="1">
        <f>HYPERLINK("http://exon.niaid.nih.gov/transcriptome/T_rubida/S2/links/cluster/Triru-pep-ext35-50-Sim-CLTL1.txt", 75)</f>
        <v>75</v>
      </c>
      <c r="BY348" s="17">
        <f>HYPERLINK("http://exon.niaid.nih.gov/transcriptome/T_rubida/S2/links/cluster/Triru-pep-ext40-50-Sim-CLU2.txt", 2)</f>
        <v>2</v>
      </c>
      <c r="BZ348" s="1">
        <f>HYPERLINK("http://exon.niaid.nih.gov/transcriptome/T_rubida/S2/links/cluster/Triru-pep-ext40-50-Sim-CLTL2.txt", 42)</f>
        <v>42</v>
      </c>
      <c r="CA348" s="17">
        <f>HYPERLINK("http://exon.niaid.nih.gov/transcriptome/T_rubida/S2/links/cluster/Triru-pep-ext45-50-Sim-CLU2.txt", 2)</f>
        <v>2</v>
      </c>
      <c r="CB348" s="1">
        <f>HYPERLINK("http://exon.niaid.nih.gov/transcriptome/T_rubida/S2/links/cluster/Triru-pep-ext45-50-Sim-CLTL2.txt", 33)</f>
        <v>33</v>
      </c>
      <c r="CC348" s="17">
        <f>HYPERLINK("http://exon.niaid.nih.gov/transcriptome/T_rubida/S2/links/cluster/Triru-pep-ext50-50-Sim-CLU3.txt", 3)</f>
        <v>3</v>
      </c>
      <c r="CD348" s="1">
        <f>HYPERLINK("http://exon.niaid.nih.gov/transcriptome/T_rubida/S2/links/cluster/Triru-pep-ext50-50-Sim-CLTL3.txt", 23)</f>
        <v>23</v>
      </c>
      <c r="CE348" s="17">
        <f>HYPERLINK("http://exon.niaid.nih.gov/transcriptome/T_rubida/S2/links/cluster/Triru-pep-ext55-50-Sim-CLU3.txt", 3)</f>
        <v>3</v>
      </c>
      <c r="CF348" s="1">
        <f>HYPERLINK("http://exon.niaid.nih.gov/transcriptome/T_rubida/S2/links/cluster/Triru-pep-ext55-50-Sim-CLTL3.txt", 16)</f>
        <v>16</v>
      </c>
      <c r="CG348" s="17">
        <f>HYPERLINK("http://exon.niaid.nih.gov/transcriptome/T_rubida/S2/links/cluster/Triru-pep-ext60-50-Sim-CLU2.txt", 2)</f>
        <v>2</v>
      </c>
      <c r="CH348" s="1">
        <f>HYPERLINK("http://exon.niaid.nih.gov/transcriptome/T_rubida/S2/links/cluster/Triru-pep-ext60-50-Sim-CLTL2.txt", 13)</f>
        <v>13</v>
      </c>
      <c r="CI348" s="17">
        <v>207</v>
      </c>
      <c r="CJ348" s="1">
        <v>1</v>
      </c>
      <c r="CK348" s="17">
        <v>212</v>
      </c>
      <c r="CL348" s="1">
        <v>1</v>
      </c>
      <c r="CM348" s="17">
        <v>218</v>
      </c>
      <c r="CN348" s="1">
        <v>1</v>
      </c>
      <c r="CO348" s="17">
        <v>229</v>
      </c>
      <c r="CP348" s="1">
        <v>1</v>
      </c>
      <c r="CQ348" s="17">
        <v>239</v>
      </c>
      <c r="CR348" s="1">
        <v>1</v>
      </c>
      <c r="CS348" s="17">
        <v>248</v>
      </c>
      <c r="CT348" s="1">
        <v>1</v>
      </c>
      <c r="CU348" s="17">
        <v>259</v>
      </c>
      <c r="CV348" s="1">
        <v>1</v>
      </c>
    </row>
    <row r="349" spans="1:100">
      <c r="A349" t="str">
        <f>HYPERLINK("http://exon.niaid.nih.gov/transcriptome/T_rubida/S2/links/pep/Triru-263-pep.txt","Triru-263")</f>
        <v>Triru-263</v>
      </c>
      <c r="B349">
        <v>36</v>
      </c>
      <c r="C349" s="1" t="s">
        <v>19</v>
      </c>
      <c r="D349" s="1" t="s">
        <v>3</v>
      </c>
      <c r="E349" t="str">
        <f>HYPERLINK("http://exon.niaid.nih.gov/transcriptome/T_rubida/S2/links/cds/Triru-263-cds.txt","Triru-263")</f>
        <v>Triru-263</v>
      </c>
      <c r="F349">
        <v>111</v>
      </c>
      <c r="G349" s="2" t="s">
        <v>1749</v>
      </c>
      <c r="H349" s="1">
        <v>1</v>
      </c>
      <c r="I349" s="3" t="s">
        <v>1266</v>
      </c>
      <c r="J349" s="17" t="str">
        <f>HYPERLINK("http://exon.niaid.nih.gov/transcriptome/T_rubida/S2/links/Sigp/Triru-263-SigP.txt","CYT")</f>
        <v>CYT</v>
      </c>
      <c r="K349" t="s">
        <v>5</v>
      </c>
      <c r="L349" s="1">
        <v>4.2069999999999999</v>
      </c>
      <c r="M349" s="1">
        <v>6.28</v>
      </c>
      <c r="P349" s="1">
        <v>6.9000000000000006E-2</v>
      </c>
      <c r="Q349" s="1">
        <v>4.8000000000000001E-2</v>
      </c>
      <c r="R349" s="1">
        <v>0.94699999999999995</v>
      </c>
      <c r="S349" s="17" t="s">
        <v>1346</v>
      </c>
      <c r="T349">
        <v>1</v>
      </c>
      <c r="U349" t="s">
        <v>1382</v>
      </c>
      <c r="V349" s="17">
        <v>0</v>
      </c>
      <c r="W349" t="s">
        <v>5</v>
      </c>
      <c r="X349" t="s">
        <v>5</v>
      </c>
      <c r="Y349" t="s">
        <v>5</v>
      </c>
      <c r="Z349" t="s">
        <v>5</v>
      </c>
      <c r="AA349" t="s">
        <v>5</v>
      </c>
      <c r="AB349" s="17" t="str">
        <f>HYPERLINK("http://exon.niaid.nih.gov/transcriptome/T_rubida/S2/links/netoglyc/TRIRU-263-netoglyc.txt","0")</f>
        <v>0</v>
      </c>
      <c r="AC349">
        <v>2.8</v>
      </c>
      <c r="AD349">
        <v>5.6</v>
      </c>
      <c r="AE349">
        <v>5.6</v>
      </c>
      <c r="AF349" s="17" t="s">
        <v>5</v>
      </c>
      <c r="AG349" s="2" t="str">
        <f>HYPERLINK("http://exon.niaid.nih.gov/transcriptome/T_rubida/S2/links/NR/Triru-263-NR.txt","vigilin-like, partial")</f>
        <v>vigilin-like, partial</v>
      </c>
      <c r="AH349" t="str">
        <f>HYPERLINK("http://www.ncbi.nlm.nih.gov/sutils/blink.cgi?pid=328794350","6.2")</f>
        <v>6.2</v>
      </c>
      <c r="AI349" t="str">
        <f>HYPERLINK("http://www.ncbi.nlm.nih.gov/protein/328794350","gi|328794350")</f>
        <v>gi|328794350</v>
      </c>
      <c r="AJ349">
        <v>34.299999999999997</v>
      </c>
      <c r="AK349">
        <v>33</v>
      </c>
      <c r="AL349">
        <v>265</v>
      </c>
      <c r="AM349">
        <v>44</v>
      </c>
      <c r="AN349">
        <v>13</v>
      </c>
      <c r="AO349" t="s">
        <v>302</v>
      </c>
      <c r="AP349" s="2" t="str">
        <f>HYPERLINK("http://exon.niaid.nih.gov/transcriptome/T_rubida/S2/links/SWISSP/Triru-263-SWISSP.txt","Probable histone acetyltransferase MYST1")</f>
        <v>Probable histone acetyltransferase MYST1</v>
      </c>
      <c r="AQ349" t="str">
        <f>HYPERLINK("http://www.uniprot.org/uniprot/Q5XI06","22")</f>
        <v>22</v>
      </c>
      <c r="AR349" t="s">
        <v>303</v>
      </c>
      <c r="AS349">
        <v>27.7</v>
      </c>
      <c r="AT349">
        <v>31</v>
      </c>
      <c r="AU349">
        <v>458</v>
      </c>
      <c r="AV349">
        <v>40</v>
      </c>
      <c r="AW349">
        <v>7</v>
      </c>
      <c r="AX349">
        <v>19</v>
      </c>
      <c r="AY349">
        <v>0</v>
      </c>
      <c r="AZ349">
        <v>279</v>
      </c>
      <c r="BA349">
        <v>3</v>
      </c>
      <c r="BB349">
        <v>1</v>
      </c>
      <c r="BC349" t="s">
        <v>130</v>
      </c>
      <c r="BD349" s="2" t="s">
        <v>5</v>
      </c>
      <c r="BE349" t="s">
        <v>5</v>
      </c>
      <c r="BF349" t="s">
        <v>5</v>
      </c>
      <c r="BG349" t="s">
        <v>5</v>
      </c>
      <c r="BH349" t="s">
        <v>5</v>
      </c>
      <c r="BI349" s="2" t="s">
        <v>5</v>
      </c>
      <c r="BJ349" t="s">
        <v>5</v>
      </c>
      <c r="BK349" t="s">
        <v>5</v>
      </c>
      <c r="BL349" s="2" t="s">
        <v>5</v>
      </c>
      <c r="BM349" t="s">
        <v>5</v>
      </c>
      <c r="BN349" t="s">
        <v>5</v>
      </c>
      <c r="BO349" s="2" t="str">
        <f>HYPERLINK("http://exon.niaid.nih.gov/transcriptome/T_rubida/S2/links/PFAM/Triru-263-PFAM.txt","ISN1")</f>
        <v>ISN1</v>
      </c>
      <c r="BP349" t="str">
        <f>HYPERLINK("http://pfam.sanger.ac.uk/family?acc=PF06437","6.1")</f>
        <v>6.1</v>
      </c>
      <c r="BQ349" s="2" t="str">
        <f>HYPERLINK("http://exon.niaid.nih.gov/transcriptome/T_rubida/S2/links/SMART/Triru-263-SMART.txt","MYSc")</f>
        <v>MYSc</v>
      </c>
      <c r="BR349" t="str">
        <f>HYPERLINK("http://smart.embl-heidelberg.de/smart/do_annotation.pl?DOMAIN=MYSc&amp;BLAST=DUMMY","1.6")</f>
        <v>1.6</v>
      </c>
      <c r="BS349" s="17">
        <f>HYPERLINK("http://exon.niaid.nih.gov/transcriptome/T_rubida/S2/links/cluster/Triru-pep-ext25-50-Sim-CLU1.txt", 1)</f>
        <v>1</v>
      </c>
      <c r="BT349" s="1">
        <f>HYPERLINK("http://exon.niaid.nih.gov/transcriptome/T_rubida/S2/links/cluster/Triru-pep-ext25-50-Sim-CLTL1.txt", 359)</f>
        <v>359</v>
      </c>
      <c r="BU349" s="17">
        <f>HYPERLINK("http://exon.niaid.nih.gov/transcriptome/T_rubida/S2/links/cluster/Triru-pep-ext30-50-Sim-CLU25.txt", 25)</f>
        <v>25</v>
      </c>
      <c r="BV349" s="1">
        <f>HYPERLINK("http://exon.niaid.nih.gov/transcriptome/T_rubida/S2/links/cluster/Triru-pep-ext30-50-Sim-CLTL25.txt", 2)</f>
        <v>2</v>
      </c>
      <c r="BW349" s="17">
        <f>HYPERLINK("http://exon.niaid.nih.gov/transcriptome/T_rubida/S2/links/cluster/Triru-pep-ext35-50-Sim-CLU24.txt", 24)</f>
        <v>24</v>
      </c>
      <c r="BX349" s="1">
        <f>HYPERLINK("http://exon.niaid.nih.gov/transcriptome/T_rubida/S2/links/cluster/Triru-pep-ext35-50-Sim-CLTL24.txt", 2)</f>
        <v>2</v>
      </c>
      <c r="BY349" s="17">
        <f>HYPERLINK("http://exon.niaid.nih.gov/transcriptome/T_rubida/S2/links/cluster/Triru-pep-ext40-50-Sim-CLU22.txt", 22)</f>
        <v>22</v>
      </c>
      <c r="BZ349" s="1">
        <f>HYPERLINK("http://exon.niaid.nih.gov/transcriptome/T_rubida/S2/links/cluster/Triru-pep-ext40-50-Sim-CLTL22.txt", 2)</f>
        <v>2</v>
      </c>
      <c r="CA349" s="17">
        <f>HYPERLINK("http://exon.niaid.nih.gov/transcriptome/T_rubida/S2/links/cluster/Triru-pep-ext45-50-Sim-CLU17.txt", 17)</f>
        <v>17</v>
      </c>
      <c r="CB349" s="1">
        <f>HYPERLINK("http://exon.niaid.nih.gov/transcriptome/T_rubida/S2/links/cluster/Triru-pep-ext45-50-Sim-CLTL17.txt", 2)</f>
        <v>2</v>
      </c>
      <c r="CC349" s="17">
        <f>HYPERLINK("http://exon.niaid.nih.gov/transcriptome/T_rubida/S2/links/cluster/Triru-pep-ext50-50-Sim-CLU17.txt", 17)</f>
        <v>17</v>
      </c>
      <c r="CD349" s="1">
        <f>HYPERLINK("http://exon.niaid.nih.gov/transcriptome/T_rubida/S2/links/cluster/Triru-pep-ext50-50-Sim-CLTL17.txt", 2)</f>
        <v>2</v>
      </c>
      <c r="CE349" s="17">
        <v>168</v>
      </c>
      <c r="CF349" s="1">
        <v>1</v>
      </c>
      <c r="CG349" s="17">
        <v>170</v>
      </c>
      <c r="CH349" s="1">
        <v>1</v>
      </c>
      <c r="CI349" s="17">
        <v>177</v>
      </c>
      <c r="CJ349" s="1">
        <v>1</v>
      </c>
      <c r="CK349" s="17">
        <v>182</v>
      </c>
      <c r="CL349" s="1">
        <v>1</v>
      </c>
      <c r="CM349" s="17">
        <v>188</v>
      </c>
      <c r="CN349" s="1">
        <v>1</v>
      </c>
      <c r="CO349" s="17">
        <v>198</v>
      </c>
      <c r="CP349" s="1">
        <v>1</v>
      </c>
      <c r="CQ349" s="17">
        <v>208</v>
      </c>
      <c r="CR349" s="1">
        <v>1</v>
      </c>
      <c r="CS349" s="17">
        <v>213</v>
      </c>
      <c r="CT349" s="1">
        <v>1</v>
      </c>
      <c r="CU349" s="17">
        <v>224</v>
      </c>
      <c r="CV349" s="1">
        <v>1</v>
      </c>
    </row>
    <row r="350" spans="1:100">
      <c r="A350" t="str">
        <f>HYPERLINK("http://exon.niaid.nih.gov/transcriptome/T_rubida/S2/links/pep/Triru-598-pep.txt","Triru-598")</f>
        <v>Triru-598</v>
      </c>
      <c r="B350">
        <v>18</v>
      </c>
      <c r="C350" s="1" t="s">
        <v>8</v>
      </c>
      <c r="D350" s="1" t="s">
        <v>3</v>
      </c>
      <c r="E350" t="str">
        <f>HYPERLINK("http://exon.niaid.nih.gov/transcriptome/T_rubida/S2/links/cds/Triru-598-cds.txt","Triru-598")</f>
        <v>Triru-598</v>
      </c>
      <c r="F350">
        <v>57</v>
      </c>
      <c r="G350" s="2" t="s">
        <v>1737</v>
      </c>
      <c r="H350" s="1">
        <v>1</v>
      </c>
      <c r="I350" s="3" t="s">
        <v>1266</v>
      </c>
      <c r="J350" s="17" t="str">
        <f>HYPERLINK("http://exon.niaid.nih.gov/transcriptome/T_rubida/S2/links/Sigp/Triru-598-SigP.txt","CYT")</f>
        <v>CYT</v>
      </c>
      <c r="K350" t="s">
        <v>5</v>
      </c>
      <c r="L350" s="1">
        <v>2.4780000000000002</v>
      </c>
      <c r="M350" s="1">
        <v>6.74</v>
      </c>
      <c r="P350" s="1">
        <v>0.14699999999999999</v>
      </c>
      <c r="Q350" s="1">
        <v>0.27900000000000003</v>
      </c>
      <c r="R350" s="1">
        <v>0.59599999999999997</v>
      </c>
      <c r="S350" s="17" t="s">
        <v>1346</v>
      </c>
      <c r="T350">
        <v>4</v>
      </c>
      <c r="U350" t="s">
        <v>1348</v>
      </c>
      <c r="V350" s="17">
        <v>0</v>
      </c>
      <c r="W350" t="s">
        <v>5</v>
      </c>
      <c r="X350" t="s">
        <v>5</v>
      </c>
      <c r="Y350" t="s">
        <v>5</v>
      </c>
      <c r="Z350" t="s">
        <v>5</v>
      </c>
      <c r="AA350" t="s">
        <v>5</v>
      </c>
      <c r="AB350" s="17" t="str">
        <f>HYPERLINK("http://exon.niaid.nih.gov/transcriptome/T_rubida/S2/links/netoglyc/TRIRU-598-netoglyc.txt","0")</f>
        <v>0</v>
      </c>
      <c r="AC350" t="s">
        <v>1417</v>
      </c>
      <c r="AD350" t="s">
        <v>1417</v>
      </c>
      <c r="AE350" t="s">
        <v>1394</v>
      </c>
      <c r="AF350" s="17" t="s">
        <v>5</v>
      </c>
      <c r="AG350" s="2" t="str">
        <f>HYPERLINK("http://exon.niaid.nih.gov/transcriptome/T_rubida/S2/links/NR/Triru-598-NR.txt","hypothetical protein")</f>
        <v>hypothetical protein</v>
      </c>
      <c r="AH350" t="str">
        <f>HYPERLINK("http://www.ncbi.nlm.nih.gov/sutils/blink.cgi?pid=70929484","9.8")</f>
        <v>9.8</v>
      </c>
      <c r="AI350" t="str">
        <f>HYPERLINK("http://www.ncbi.nlm.nih.gov/protein/70929484","gi|70929484")</f>
        <v>gi|70929484</v>
      </c>
      <c r="AJ350">
        <v>33.1</v>
      </c>
      <c r="AK350">
        <v>14</v>
      </c>
      <c r="AL350">
        <v>120</v>
      </c>
      <c r="AM350">
        <v>80</v>
      </c>
      <c r="AN350">
        <v>13</v>
      </c>
      <c r="AO350" t="s">
        <v>351</v>
      </c>
      <c r="AP350" s="2" t="str">
        <f>HYPERLINK("http://exon.niaid.nih.gov/transcriptome/T_rubida/S2/links/SWISSP/Triru-598-SWISSP.txt","Putative uncharacterized transmembrane protein DDB_G0287945")</f>
        <v>Putative uncharacterized transmembrane protein DDB_G0287945</v>
      </c>
      <c r="AQ350" t="str">
        <f>HYPERLINK("http://www.uniprot.org/uniprot/Q54JN2","12")</f>
        <v>12</v>
      </c>
      <c r="AR350" t="s">
        <v>353</v>
      </c>
      <c r="AS350">
        <v>28.1</v>
      </c>
      <c r="AT350">
        <v>17</v>
      </c>
      <c r="AU350">
        <v>68</v>
      </c>
      <c r="AV350">
        <v>61</v>
      </c>
      <c r="AW350">
        <v>26</v>
      </c>
      <c r="AX350">
        <v>7</v>
      </c>
      <c r="AY350">
        <v>0</v>
      </c>
      <c r="AZ350">
        <v>45</v>
      </c>
      <c r="BA350">
        <v>1</v>
      </c>
      <c r="BB350">
        <v>1</v>
      </c>
      <c r="BC350" t="s">
        <v>99</v>
      </c>
      <c r="BD350" s="2" t="s">
        <v>5</v>
      </c>
      <c r="BE350" t="s">
        <v>5</v>
      </c>
      <c r="BF350" t="s">
        <v>5</v>
      </c>
      <c r="BG350" t="s">
        <v>5</v>
      </c>
      <c r="BH350" t="s">
        <v>5</v>
      </c>
      <c r="BI350" s="2" t="s">
        <v>5</v>
      </c>
      <c r="BJ350" t="s">
        <v>5</v>
      </c>
      <c r="BK350" t="s">
        <v>5</v>
      </c>
      <c r="BL350" s="2" t="s">
        <v>5</v>
      </c>
      <c r="BM350" t="s">
        <v>5</v>
      </c>
      <c r="BN350" t="s">
        <v>5</v>
      </c>
      <c r="BO350" s="2" t="s">
        <v>5</v>
      </c>
      <c r="BP350" t="s">
        <v>5</v>
      </c>
      <c r="BQ350" s="2" t="s">
        <v>5</v>
      </c>
      <c r="BR350" t="s">
        <v>5</v>
      </c>
      <c r="BS350" s="17">
        <f>HYPERLINK("http://exon.niaid.nih.gov/transcriptome/T_rubida/S2/links/cluster/Triru-pep-ext25-50-Sim-CLU1.txt", 1)</f>
        <v>1</v>
      </c>
      <c r="BT350" s="1">
        <f>HYPERLINK("http://exon.niaid.nih.gov/transcriptome/T_rubida/S2/links/cluster/Triru-pep-ext25-50-Sim-CLTL1.txt", 359)</f>
        <v>359</v>
      </c>
      <c r="BU350" s="17">
        <f>HYPERLINK("http://exon.niaid.nih.gov/transcriptome/T_rubida/S2/links/cluster/Triru-pep-ext30-50-Sim-CLU1.txt", 1)</f>
        <v>1</v>
      </c>
      <c r="BV350" s="1">
        <f>HYPERLINK("http://exon.niaid.nih.gov/transcriptome/T_rubida/S2/links/cluster/Triru-pep-ext30-50-Sim-CLTL1.txt", 225)</f>
        <v>225</v>
      </c>
      <c r="BW350" s="17">
        <f>HYPERLINK("http://exon.niaid.nih.gov/transcriptome/T_rubida/S2/links/cluster/Triru-pep-ext35-50-Sim-CLU1.txt", 1)</f>
        <v>1</v>
      </c>
      <c r="BX350" s="1">
        <f>HYPERLINK("http://exon.niaid.nih.gov/transcriptome/T_rubida/S2/links/cluster/Triru-pep-ext35-50-Sim-CLTL1.txt", 75)</f>
        <v>75</v>
      </c>
      <c r="BY350" s="17">
        <f>HYPERLINK("http://exon.niaid.nih.gov/transcriptome/T_rubida/S2/links/cluster/Triru-pep-ext40-50-Sim-CLU2.txt", 2)</f>
        <v>2</v>
      </c>
      <c r="BZ350" s="1">
        <f>HYPERLINK("http://exon.niaid.nih.gov/transcriptome/T_rubida/S2/links/cluster/Triru-pep-ext40-50-Sim-CLTL2.txt", 42)</f>
        <v>42</v>
      </c>
      <c r="CA350" s="17">
        <f>HYPERLINK("http://exon.niaid.nih.gov/transcriptome/T_rubida/S2/links/cluster/Triru-pep-ext45-50-Sim-CLU2.txt", 2)</f>
        <v>2</v>
      </c>
      <c r="CB350" s="1">
        <f>HYPERLINK("http://exon.niaid.nih.gov/transcriptome/T_rubida/S2/links/cluster/Triru-pep-ext45-50-Sim-CLTL2.txt", 33)</f>
        <v>33</v>
      </c>
      <c r="CC350" s="17">
        <f>HYPERLINK("http://exon.niaid.nih.gov/transcriptome/T_rubida/S2/links/cluster/Triru-pep-ext50-50-Sim-CLU3.txt", 3)</f>
        <v>3</v>
      </c>
      <c r="CD350" s="1">
        <f>HYPERLINK("http://exon.niaid.nih.gov/transcriptome/T_rubida/S2/links/cluster/Triru-pep-ext50-50-Sim-CLTL3.txt", 23)</f>
        <v>23</v>
      </c>
      <c r="CE350" s="17">
        <f>HYPERLINK("http://exon.niaid.nih.gov/transcriptome/T_rubida/S2/links/cluster/Triru-pep-ext55-50-Sim-CLU3.txt", 3)</f>
        <v>3</v>
      </c>
      <c r="CF350" s="1">
        <f>HYPERLINK("http://exon.niaid.nih.gov/transcriptome/T_rubida/S2/links/cluster/Triru-pep-ext55-50-Sim-CLTL3.txt", 16)</f>
        <v>16</v>
      </c>
      <c r="CG350" s="17">
        <f>HYPERLINK("http://exon.niaid.nih.gov/transcriptome/T_rubida/S2/links/cluster/Triru-pep-ext60-50-Sim-CLU2.txt", 2)</f>
        <v>2</v>
      </c>
      <c r="CH350" s="1">
        <f>HYPERLINK("http://exon.niaid.nih.gov/transcriptome/T_rubida/S2/links/cluster/Triru-pep-ext60-50-Sim-CLTL2.txt", 13)</f>
        <v>13</v>
      </c>
      <c r="CI350" s="17">
        <v>446</v>
      </c>
      <c r="CJ350" s="1">
        <v>1</v>
      </c>
      <c r="CK350" s="17">
        <v>452</v>
      </c>
      <c r="CL350" s="1">
        <v>1</v>
      </c>
      <c r="CM350" s="17">
        <v>464</v>
      </c>
      <c r="CN350" s="1">
        <v>1</v>
      </c>
      <c r="CO350" s="17">
        <v>476</v>
      </c>
      <c r="CP350" s="1">
        <v>1</v>
      </c>
      <c r="CQ350" s="17">
        <v>486</v>
      </c>
      <c r="CR350" s="1">
        <v>1</v>
      </c>
      <c r="CS350" s="17">
        <v>499</v>
      </c>
      <c r="CT350" s="1">
        <v>1</v>
      </c>
      <c r="CU350" s="17">
        <v>511</v>
      </c>
      <c r="CV350" s="1">
        <v>1</v>
      </c>
    </row>
    <row r="351" spans="1:100">
      <c r="A351" t="str">
        <f>HYPERLINK("http://exon.niaid.nih.gov/transcriptome/T_rubida/S2/links/pep/Triru-615-pep.txt","Triru-615")</f>
        <v>Triru-615</v>
      </c>
      <c r="B351">
        <v>51</v>
      </c>
      <c r="C351" s="1" t="s">
        <v>6</v>
      </c>
      <c r="D351" s="1" t="s">
        <v>3</v>
      </c>
      <c r="E351" t="str">
        <f>HYPERLINK("http://exon.niaid.nih.gov/transcriptome/T_rubida/S2/links/cds/Triru-615-cds.txt","Triru-615")</f>
        <v>Triru-615</v>
      </c>
      <c r="F351">
        <v>156</v>
      </c>
      <c r="G351" s="2" t="s">
        <v>1799</v>
      </c>
      <c r="H351" s="1">
        <v>1</v>
      </c>
      <c r="I351" s="3" t="s">
        <v>1266</v>
      </c>
      <c r="J351" s="17" t="str">
        <f>HYPERLINK("http://exon.niaid.nih.gov/transcriptome/T_rubida/S2/links/Sigp/Triru-615-SigP.txt","CYT")</f>
        <v>CYT</v>
      </c>
      <c r="K351" t="s">
        <v>5</v>
      </c>
      <c r="L351" s="1">
        <v>5.758</v>
      </c>
      <c r="M351" s="1">
        <v>10.58</v>
      </c>
      <c r="P351" s="1">
        <v>0.16700000000000001</v>
      </c>
      <c r="Q351" s="1">
        <v>9.0999999999999998E-2</v>
      </c>
      <c r="R351" s="1">
        <v>0.71399999999999997</v>
      </c>
      <c r="S351" s="17" t="s">
        <v>1346</v>
      </c>
      <c r="T351">
        <v>3</v>
      </c>
      <c r="U351" t="s">
        <v>1523</v>
      </c>
      <c r="V351" s="17">
        <v>0</v>
      </c>
      <c r="W351" t="s">
        <v>5</v>
      </c>
      <c r="X351" t="s">
        <v>5</v>
      </c>
      <c r="Y351" t="s">
        <v>5</v>
      </c>
      <c r="Z351" t="s">
        <v>5</v>
      </c>
      <c r="AA351" t="s">
        <v>5</v>
      </c>
      <c r="AB351" s="17" t="str">
        <f>HYPERLINK("http://exon.niaid.nih.gov/transcriptome/T_rubida/S2/links/netoglyc/TRIRU-615-netoglyc.txt","1")</f>
        <v>1</v>
      </c>
      <c r="AC351">
        <v>25.5</v>
      </c>
      <c r="AD351">
        <v>7.8</v>
      </c>
      <c r="AE351">
        <v>5.9</v>
      </c>
      <c r="AF351" s="17" t="s">
        <v>5</v>
      </c>
      <c r="AG351" s="2" t="str">
        <f>HYPERLINK("http://exon.niaid.nih.gov/transcriptome/T_rubida/S2/links/NR/Triru-615-NR.txt","Very similar to SRG1")</f>
        <v>Very similar to SRG1</v>
      </c>
      <c r="AH351" t="str">
        <f>HYPERLINK("http://www.ncbi.nlm.nih.gov/sutils/blink.cgi?pid=5734769","10")</f>
        <v>10</v>
      </c>
      <c r="AI351" t="str">
        <f>HYPERLINK("http://www.ncbi.nlm.nih.gov/protein/5734769","gi|5734769")</f>
        <v>gi|5734769</v>
      </c>
      <c r="AJ351">
        <v>33.5</v>
      </c>
      <c r="AK351">
        <v>43</v>
      </c>
      <c r="AL351">
        <v>346</v>
      </c>
      <c r="AM351">
        <v>36</v>
      </c>
      <c r="AN351">
        <v>13</v>
      </c>
      <c r="AO351" t="s">
        <v>71</v>
      </c>
      <c r="AP351" s="2" t="str">
        <f>HYPERLINK("http://exon.niaid.nih.gov/transcriptome/T_rubida/S2/links/SWISSP/Triru-615-SWISSP.txt","Thebaine 6-O-demethylase")</f>
        <v>Thebaine 6-O-demethylase</v>
      </c>
      <c r="AQ351" t="str">
        <f>HYPERLINK("http://www.uniprot.org/uniprot/D4N500","0.67")</f>
        <v>0.67</v>
      </c>
      <c r="AR351" t="s">
        <v>460</v>
      </c>
      <c r="AS351">
        <v>32.700000000000003</v>
      </c>
      <c r="AT351">
        <v>45</v>
      </c>
      <c r="AU351">
        <v>364</v>
      </c>
      <c r="AV351">
        <v>40</v>
      </c>
      <c r="AW351">
        <v>13</v>
      </c>
      <c r="AX351">
        <v>29</v>
      </c>
      <c r="AY351">
        <v>5</v>
      </c>
      <c r="AZ351">
        <v>131</v>
      </c>
      <c r="BA351">
        <v>4</v>
      </c>
      <c r="BB351">
        <v>1</v>
      </c>
      <c r="BC351" t="s">
        <v>461</v>
      </c>
      <c r="BD351" s="2" t="s">
        <v>5</v>
      </c>
      <c r="BE351" t="s">
        <v>5</v>
      </c>
      <c r="BF351" t="s">
        <v>5</v>
      </c>
      <c r="BG351" t="s">
        <v>5</v>
      </c>
      <c r="BH351" t="s">
        <v>5</v>
      </c>
      <c r="BI351" s="2" t="str">
        <f>HYPERLINK("http://exon.niaid.nih.gov/transcriptome/T_rubida/S2/links/CDD/Triru-615-CDD.txt","PLN02216")</f>
        <v>PLN02216</v>
      </c>
      <c r="BJ351" t="str">
        <f>HYPERLINK("http://www.ncbi.nlm.nih.gov/Structure/cdd/cddsrv.cgi?uid=PLN02216&amp;version=v4.0","0.029")</f>
        <v>0.029</v>
      </c>
      <c r="BK351" t="s">
        <v>462</v>
      </c>
      <c r="BL351" s="2" t="str">
        <f>HYPERLINK("http://exon.niaid.nih.gov/transcriptome/T_rubida/S2/links/KOG/Triru-615-KOG.txt","DNA/RNA helicase MER3/SLH1, DEAD-box superfamily")</f>
        <v>DNA/RNA helicase MER3/SLH1, DEAD-box superfamily</v>
      </c>
      <c r="BM351" t="str">
        <f>HYPERLINK("http://www.ncbi.nlm.nih.gov/COG/grace/shokog.cgi?KOG0952","7.9")</f>
        <v>7.9</v>
      </c>
      <c r="BN351" t="s">
        <v>206</v>
      </c>
      <c r="BO351" s="2" t="str">
        <f>HYPERLINK("http://exon.niaid.nih.gov/transcriptome/T_rubida/S2/links/PFAM/Triru-615-PFAM.txt","K_tetra")</f>
        <v>K_tetra</v>
      </c>
      <c r="BP351" t="str">
        <f>HYPERLINK("http://pfam.sanger.ac.uk/family?acc=PF02214","2.5")</f>
        <v>2.5</v>
      </c>
      <c r="BQ351" s="2" t="str">
        <f>HYPERLINK("http://exon.niaid.nih.gov/transcriptome/T_rubida/S2/links/SMART/Triru-615-SMART.txt","TOP2c")</f>
        <v>TOP2c</v>
      </c>
      <c r="BR351" t="str">
        <f>HYPERLINK("http://smart.embl-heidelberg.de/smart/do_annotation.pl?DOMAIN=TOP2c&amp;BLAST=DUMMY","3.0")</f>
        <v>3.0</v>
      </c>
      <c r="BS351" s="17">
        <f>HYPERLINK("http://exon.niaid.nih.gov/transcriptome/T_rubida/S2/links/cluster/Triru-pep-ext25-50-Sim-CLU1.txt", 1)</f>
        <v>1</v>
      </c>
      <c r="BT351" s="1">
        <f>HYPERLINK("http://exon.niaid.nih.gov/transcriptome/T_rubida/S2/links/cluster/Triru-pep-ext25-50-Sim-CLTL1.txt", 359)</f>
        <v>359</v>
      </c>
      <c r="BU351" s="17">
        <f>HYPERLINK("http://exon.niaid.nih.gov/transcriptome/T_rubida/S2/links/cluster/Triru-pep-ext30-50-Sim-CLU3.txt", 3)</f>
        <v>3</v>
      </c>
      <c r="BV351" s="1">
        <f>HYPERLINK("http://exon.niaid.nih.gov/transcriptome/T_rubida/S2/links/cluster/Triru-pep-ext30-50-Sim-CLTL3.txt", 6)</f>
        <v>6</v>
      </c>
      <c r="BW351" s="17">
        <v>360</v>
      </c>
      <c r="BX351" s="1">
        <v>1</v>
      </c>
      <c r="BY351" s="17">
        <v>395</v>
      </c>
      <c r="BZ351" s="1">
        <v>1</v>
      </c>
      <c r="CA351" s="17">
        <v>410</v>
      </c>
      <c r="CB351" s="1">
        <v>1</v>
      </c>
      <c r="CC351" s="17">
        <v>425</v>
      </c>
      <c r="CD351" s="1">
        <v>1</v>
      </c>
      <c r="CE351" s="17">
        <v>440</v>
      </c>
      <c r="CF351" s="1">
        <v>1</v>
      </c>
      <c r="CG351" s="17">
        <v>447</v>
      </c>
      <c r="CH351" s="1">
        <v>1</v>
      </c>
      <c r="CI351" s="17">
        <v>461</v>
      </c>
      <c r="CJ351" s="1">
        <v>1</v>
      </c>
      <c r="CK351" s="17">
        <v>467</v>
      </c>
      <c r="CL351" s="1">
        <v>1</v>
      </c>
      <c r="CM351" s="17">
        <v>479</v>
      </c>
      <c r="CN351" s="1">
        <v>1</v>
      </c>
      <c r="CO351" s="17">
        <v>491</v>
      </c>
      <c r="CP351" s="1">
        <v>1</v>
      </c>
      <c r="CQ351" s="17">
        <v>501</v>
      </c>
      <c r="CR351" s="1">
        <v>1</v>
      </c>
      <c r="CS351" s="17">
        <v>514</v>
      </c>
      <c r="CT351" s="1">
        <v>1</v>
      </c>
      <c r="CU351" s="17">
        <v>526</v>
      </c>
      <c r="CV351" s="1">
        <v>1</v>
      </c>
    </row>
    <row r="352" spans="1:100">
      <c r="A352" t="str">
        <f>HYPERLINK("http://exon.niaid.nih.gov/transcriptome/T_rubida/S2/links/pep/Triru-406-pep.txt","Triru-406")</f>
        <v>Triru-406</v>
      </c>
      <c r="B352">
        <v>65</v>
      </c>
      <c r="C352" s="1" t="s">
        <v>12</v>
      </c>
      <c r="D352" s="1" t="s">
        <v>3</v>
      </c>
      <c r="E352" t="str">
        <f>HYPERLINK("http://exon.niaid.nih.gov/transcriptome/T_rubida/S2/links/cds/Triru-406-cds.txt","Triru-406")</f>
        <v>Triru-406</v>
      </c>
      <c r="F352">
        <v>198</v>
      </c>
      <c r="G352" s="2" t="s">
        <v>1612</v>
      </c>
      <c r="H352" s="1">
        <v>1</v>
      </c>
      <c r="I352" s="3" t="s">
        <v>1266</v>
      </c>
      <c r="J352" s="17" t="str">
        <f>HYPERLINK("http://exon.niaid.nih.gov/transcriptome/T_rubida/S2/links/Sigp/Triru-406-SigP.txt","CYT")</f>
        <v>CYT</v>
      </c>
      <c r="K352" t="s">
        <v>5</v>
      </c>
      <c r="L352" s="1">
        <v>7.2670000000000003</v>
      </c>
      <c r="M352" s="1">
        <v>4.51</v>
      </c>
      <c r="P352" s="1">
        <v>9.6000000000000002E-2</v>
      </c>
      <c r="Q352" s="1">
        <v>3.9E-2</v>
      </c>
      <c r="R352" s="1">
        <v>0.93</v>
      </c>
      <c r="S352" s="17" t="s">
        <v>1346</v>
      </c>
      <c r="T352">
        <v>1</v>
      </c>
      <c r="U352" t="s">
        <v>1348</v>
      </c>
      <c r="V352" s="17">
        <v>0</v>
      </c>
      <c r="W352" t="s">
        <v>5</v>
      </c>
      <c r="X352" t="s">
        <v>5</v>
      </c>
      <c r="Y352" t="s">
        <v>5</v>
      </c>
      <c r="Z352" t="s">
        <v>5</v>
      </c>
      <c r="AA352" t="s">
        <v>5</v>
      </c>
      <c r="AB352" s="17" t="str">
        <f>HYPERLINK("http://exon.niaid.nih.gov/transcriptome/T_rubida/S2/links/netoglyc/TRIRU-406-netoglyc.txt","3")</f>
        <v>3</v>
      </c>
      <c r="AC352">
        <v>20</v>
      </c>
      <c r="AD352">
        <v>10.8</v>
      </c>
      <c r="AE352">
        <v>7.7</v>
      </c>
      <c r="AF352" s="17" t="s">
        <v>5</v>
      </c>
      <c r="AG352" s="2" t="str">
        <f>HYPERLINK("http://exon.niaid.nih.gov/transcriptome/T_rubida/S2/links/NR/Triru-406-NR.txt","merozoite surface protein 5")</f>
        <v>merozoite surface protein 5</v>
      </c>
      <c r="AH352" t="str">
        <f>HYPERLINK("http://www.ncbi.nlm.nih.gov/sutils/blink.cgi?pid=258537820","4.7")</f>
        <v>4.7</v>
      </c>
      <c r="AI352" t="str">
        <f>HYPERLINK("http://www.ncbi.nlm.nih.gov/protein/258537820","gi|258537820")</f>
        <v>gi|258537820</v>
      </c>
      <c r="AJ352">
        <v>34.700000000000003</v>
      </c>
      <c r="AK352">
        <v>34</v>
      </c>
      <c r="AL352">
        <v>261</v>
      </c>
      <c r="AM352">
        <v>34</v>
      </c>
      <c r="AN352">
        <v>13</v>
      </c>
      <c r="AO352" t="s">
        <v>1217</v>
      </c>
      <c r="AP352" s="2" t="str">
        <f>HYPERLINK("http://exon.niaid.nih.gov/transcriptome/T_rubida/S2/links/SWISSP/Triru-406-SWISSP.txt","DNA-directed RNA polymerase subunit beta'")</f>
        <v>DNA-directed RNA polymerase subunit beta'</v>
      </c>
      <c r="AQ352" t="str">
        <f>HYPERLINK("http://www.uniprot.org/uniprot/A1E9R5","3.3")</f>
        <v>3.3</v>
      </c>
      <c r="AR352" t="s">
        <v>1218</v>
      </c>
      <c r="AS352">
        <v>30.4</v>
      </c>
      <c r="AT352">
        <v>45</v>
      </c>
      <c r="AU352">
        <v>683</v>
      </c>
      <c r="AV352">
        <v>31</v>
      </c>
      <c r="AW352">
        <v>7</v>
      </c>
      <c r="AX352">
        <v>32</v>
      </c>
      <c r="AY352">
        <v>1</v>
      </c>
      <c r="AZ352">
        <v>546</v>
      </c>
      <c r="BA352">
        <v>8</v>
      </c>
      <c r="BB352">
        <v>1</v>
      </c>
      <c r="BC352" t="s">
        <v>1219</v>
      </c>
      <c r="BD352" s="2" t="s">
        <v>5</v>
      </c>
      <c r="BE352" t="s">
        <v>5</v>
      </c>
      <c r="BF352" t="s">
        <v>5</v>
      </c>
      <c r="BG352" t="s">
        <v>5</v>
      </c>
      <c r="BH352" t="s">
        <v>5</v>
      </c>
      <c r="BI352" s="2" t="str">
        <f>HYPERLINK("http://exon.niaid.nih.gov/transcriptome/T_rubida/S2/links/CDD/Triru-406-CDD.txt","sucr_P_syn_N")</f>
        <v>sucr_P_syn_N</v>
      </c>
      <c r="BJ352" t="str">
        <f>HYPERLINK("http://www.ncbi.nlm.nih.gov/Structure/cdd/cddsrv.cgi?uid=TIGR02472&amp;version=v4.0","9.2")</f>
        <v>9.2</v>
      </c>
      <c r="BK352" t="s">
        <v>1220</v>
      </c>
      <c r="BL352" s="2" t="str">
        <f>HYPERLINK("http://exon.niaid.nih.gov/transcriptome/T_rubida/S2/links/KOG/Triru-406-KOG.txt","Uncharacterized conserved protein, contains laminin, cadherin and EGF domains")</f>
        <v>Uncharacterized conserved protein, contains laminin, cadherin and EGF domains</v>
      </c>
      <c r="BM352" t="str">
        <f>HYPERLINK("http://www.ncbi.nlm.nih.gov/COG/grace/shokog.cgi?KOG1219","2.1")</f>
        <v>2.1</v>
      </c>
      <c r="BN352" t="s">
        <v>179</v>
      </c>
      <c r="BO352" s="2" t="s">
        <v>5</v>
      </c>
      <c r="BP352" t="s">
        <v>5</v>
      </c>
      <c r="BQ352" s="2" t="str">
        <f>HYPERLINK("http://exon.niaid.nih.gov/transcriptome/T_rubida/S2/links/SMART/Triru-406-SMART.txt","AFOR_N")</f>
        <v>AFOR_N</v>
      </c>
      <c r="BR352" t="str">
        <f>HYPERLINK("http://smart.embl-heidelberg.de/smart/do_annotation.pl?DOMAIN=AFOR_N&amp;BLAST=DUMMY","3.3")</f>
        <v>3.3</v>
      </c>
      <c r="BS352" s="17">
        <v>122</v>
      </c>
      <c r="BT352" s="1">
        <v>1</v>
      </c>
      <c r="BU352" s="17">
        <v>186</v>
      </c>
      <c r="BV352" s="1">
        <v>1</v>
      </c>
      <c r="BW352" s="17">
        <v>232</v>
      </c>
      <c r="BX352" s="1">
        <v>1</v>
      </c>
      <c r="BY352" s="17">
        <v>250</v>
      </c>
      <c r="BZ352" s="1">
        <v>1</v>
      </c>
      <c r="CA352" s="17">
        <v>257</v>
      </c>
      <c r="CB352" s="1">
        <v>1</v>
      </c>
      <c r="CC352" s="17">
        <v>264</v>
      </c>
      <c r="CD352" s="1">
        <v>1</v>
      </c>
      <c r="CE352" s="17">
        <v>271</v>
      </c>
      <c r="CF352" s="1">
        <v>1</v>
      </c>
      <c r="CG352" s="17">
        <v>274</v>
      </c>
      <c r="CH352" s="1">
        <v>1</v>
      </c>
      <c r="CI352" s="17">
        <v>284</v>
      </c>
      <c r="CJ352" s="1">
        <v>1</v>
      </c>
      <c r="CK352" s="17">
        <v>290</v>
      </c>
      <c r="CL352" s="1">
        <v>1</v>
      </c>
      <c r="CM352" s="17">
        <v>298</v>
      </c>
      <c r="CN352" s="1">
        <v>1</v>
      </c>
      <c r="CO352" s="17">
        <v>310</v>
      </c>
      <c r="CP352" s="1">
        <v>1</v>
      </c>
      <c r="CQ352" s="17">
        <v>320</v>
      </c>
      <c r="CR352" s="1">
        <v>1</v>
      </c>
      <c r="CS352" s="17">
        <v>332</v>
      </c>
      <c r="CT352" s="1">
        <v>1</v>
      </c>
      <c r="CU352" s="17">
        <v>343</v>
      </c>
      <c r="CV352" s="1">
        <v>1</v>
      </c>
    </row>
    <row r="353" spans="1:100">
      <c r="A353" t="str">
        <f>HYPERLINK("http://exon.niaid.nih.gov/transcriptome/T_rubida/S2/links/pep/Triru-464-pep.txt","Triru-464")</f>
        <v>Triru-464</v>
      </c>
      <c r="B353">
        <v>38</v>
      </c>
      <c r="C353" s="1" t="s">
        <v>8</v>
      </c>
      <c r="D353" s="1" t="s">
        <v>5</v>
      </c>
      <c r="E353" t="str">
        <f>HYPERLINK("http://exon.niaid.nih.gov/transcriptome/T_rubida/S2/links/cds/Triru-464-cds.txt","Triru-464")</f>
        <v>Triru-464</v>
      </c>
      <c r="F353">
        <v>111</v>
      </c>
      <c r="G353" s="2" t="s">
        <v>1737</v>
      </c>
      <c r="H353" s="1">
        <v>1</v>
      </c>
      <c r="I353" s="3" t="s">
        <v>1266</v>
      </c>
      <c r="J353" s="17" t="str">
        <f>HYPERLINK("http://exon.niaid.nih.gov/transcriptome/T_rubida/S2/links/Sigp/Triru-464-SigP.txt","CYT")</f>
        <v>CYT</v>
      </c>
      <c r="K353" t="s">
        <v>5</v>
      </c>
      <c r="L353" s="1">
        <v>4.766</v>
      </c>
      <c r="M353" s="1">
        <v>10.25</v>
      </c>
      <c r="P353" s="1">
        <v>0.439</v>
      </c>
      <c r="Q353" s="1">
        <v>9.0999999999999998E-2</v>
      </c>
      <c r="R353" s="1">
        <v>0.34</v>
      </c>
      <c r="S353" s="17" t="s">
        <v>9</v>
      </c>
      <c r="T353">
        <v>5</v>
      </c>
      <c r="U353" t="s">
        <v>1348</v>
      </c>
      <c r="V353" s="17">
        <v>0</v>
      </c>
      <c r="W353" t="s">
        <v>5</v>
      </c>
      <c r="X353" t="s">
        <v>5</v>
      </c>
      <c r="Y353" t="s">
        <v>5</v>
      </c>
      <c r="Z353" t="s">
        <v>5</v>
      </c>
      <c r="AA353" t="s">
        <v>5</v>
      </c>
      <c r="AB353" s="17" t="str">
        <f>HYPERLINK("http://exon.niaid.nih.gov/transcriptome/T_rubida/S2/links/netoglyc/TRIRU-464-netoglyc.txt","0")</f>
        <v>0</v>
      </c>
      <c r="AC353">
        <v>15.8</v>
      </c>
      <c r="AD353">
        <v>2.6</v>
      </c>
      <c r="AE353" t="s">
        <v>1394</v>
      </c>
      <c r="AF353" s="17" t="s">
        <v>5</v>
      </c>
      <c r="AG353" s="2" t="str">
        <f>HYPERLINK("http://exon.niaid.nih.gov/transcriptome/T_rubida/S2/links/NR/Triru-464-NR.txt","hypothetical protein Mtub2_04036")</f>
        <v>hypothetical protein Mtub2_04036</v>
      </c>
      <c r="AH353" t="str">
        <f>HYPERLINK("http://www.ncbi.nlm.nih.gov/sutils/blink.cgi?pid=294993686","18")</f>
        <v>18</v>
      </c>
      <c r="AI353" t="str">
        <f>HYPERLINK("http://www.ncbi.nlm.nih.gov/protein/294993686","gi|294993686")</f>
        <v>gi|294993686</v>
      </c>
      <c r="AJ353">
        <v>32.700000000000003</v>
      </c>
      <c r="AK353">
        <v>36</v>
      </c>
      <c r="AL353">
        <v>288</v>
      </c>
      <c r="AM353">
        <v>51</v>
      </c>
      <c r="AN353">
        <v>13</v>
      </c>
      <c r="AO353" t="s">
        <v>325</v>
      </c>
      <c r="AP353" s="2" t="str">
        <f>HYPERLINK("http://exon.niaid.nih.gov/transcriptome/T_rubida/S2/links/SWISSP/Triru-464-SWISSP.txt","Putative uncharacterized transmembrane protein DDB_G0289959")</f>
        <v>Putative uncharacterized transmembrane protein DDB_G0289959</v>
      </c>
      <c r="AQ353" t="str">
        <f>HYPERLINK("http://www.uniprot.org/uniprot/Q54GV3","16")</f>
        <v>16</v>
      </c>
      <c r="AR353" t="s">
        <v>326</v>
      </c>
      <c r="AS353">
        <v>28.1</v>
      </c>
      <c r="AT353">
        <v>16</v>
      </c>
      <c r="AU353">
        <v>67</v>
      </c>
      <c r="AV353">
        <v>64</v>
      </c>
      <c r="AW353">
        <v>25</v>
      </c>
      <c r="AX353">
        <v>6</v>
      </c>
      <c r="AY353">
        <v>0</v>
      </c>
      <c r="AZ353">
        <v>29</v>
      </c>
      <c r="BA353">
        <v>1</v>
      </c>
      <c r="BB353">
        <v>1</v>
      </c>
      <c r="BC353" t="s">
        <v>99</v>
      </c>
      <c r="BD353" s="2" t="s">
        <v>5</v>
      </c>
      <c r="BE353" t="s">
        <v>5</v>
      </c>
      <c r="BF353" t="s">
        <v>5</v>
      </c>
      <c r="BG353" t="s">
        <v>5</v>
      </c>
      <c r="BH353" t="s">
        <v>5</v>
      </c>
      <c r="BI353" s="2" t="s">
        <v>5</v>
      </c>
      <c r="BJ353" t="s">
        <v>5</v>
      </c>
      <c r="BK353" t="s">
        <v>5</v>
      </c>
      <c r="BL353" s="2" t="s">
        <v>5</v>
      </c>
      <c r="BM353" t="s">
        <v>5</v>
      </c>
      <c r="BN353" t="s">
        <v>5</v>
      </c>
      <c r="BO353" s="2" t="s">
        <v>5</v>
      </c>
      <c r="BP353" t="s">
        <v>5</v>
      </c>
      <c r="BQ353" s="2" t="str">
        <f>HYPERLINK("http://exon.niaid.nih.gov/transcriptome/T_rubida/S2/links/SMART/Triru-464-SMART.txt","Amb_all")</f>
        <v>Amb_all</v>
      </c>
      <c r="BR353" t="str">
        <f>HYPERLINK("http://smart.embl-heidelberg.de/smart/do_annotation.pl?DOMAIN=Amb_all&amp;BLAST=DUMMY","2.3")</f>
        <v>2.3</v>
      </c>
      <c r="BS353" s="17">
        <f>HYPERLINK("http://exon.niaid.nih.gov/transcriptome/T_rubida/S2/links/cluster/Triru-pep-ext25-50-Sim-CLU1.txt", 1)</f>
        <v>1</v>
      </c>
      <c r="BT353" s="1">
        <f>HYPERLINK("http://exon.niaid.nih.gov/transcriptome/T_rubida/S2/links/cluster/Triru-pep-ext25-50-Sim-CLTL1.txt", 359)</f>
        <v>359</v>
      </c>
      <c r="BU353" s="17">
        <f>HYPERLINK("http://exon.niaid.nih.gov/transcriptome/T_rubida/S2/links/cluster/Triru-pep-ext30-50-Sim-CLU1.txt", 1)</f>
        <v>1</v>
      </c>
      <c r="BV353" s="1">
        <f>HYPERLINK("http://exon.niaid.nih.gov/transcriptome/T_rubida/S2/links/cluster/Triru-pep-ext30-50-Sim-CLTL1.txt", 225)</f>
        <v>225</v>
      </c>
      <c r="BW353" s="17">
        <f>HYPERLINK("http://exon.niaid.nih.gov/transcriptome/T_rubida/S2/links/cluster/Triru-pep-ext35-50-Sim-CLU9.txt", 9)</f>
        <v>9</v>
      </c>
      <c r="BX353" s="1">
        <f>HYPERLINK("http://exon.niaid.nih.gov/transcriptome/T_rubida/S2/links/cluster/Triru-pep-ext35-50-Sim-CLTL9.txt", 3)</f>
        <v>3</v>
      </c>
      <c r="BY353" s="17">
        <v>289</v>
      </c>
      <c r="BZ353" s="1">
        <v>1</v>
      </c>
      <c r="CA353" s="17">
        <v>299</v>
      </c>
      <c r="CB353" s="1">
        <v>1</v>
      </c>
      <c r="CC353" s="17">
        <v>309</v>
      </c>
      <c r="CD353" s="1">
        <v>1</v>
      </c>
      <c r="CE353" s="17">
        <v>320</v>
      </c>
      <c r="CF353" s="1">
        <v>1</v>
      </c>
      <c r="CG353" s="17">
        <v>325</v>
      </c>
      <c r="CH353" s="1">
        <v>1</v>
      </c>
      <c r="CI353" s="17">
        <v>335</v>
      </c>
      <c r="CJ353" s="1">
        <v>1</v>
      </c>
      <c r="CK353" s="17">
        <v>341</v>
      </c>
      <c r="CL353" s="1">
        <v>1</v>
      </c>
      <c r="CM353" s="17">
        <v>349</v>
      </c>
      <c r="CN353" s="1">
        <v>1</v>
      </c>
      <c r="CO353" s="17">
        <v>361</v>
      </c>
      <c r="CP353" s="1">
        <v>1</v>
      </c>
      <c r="CQ353" s="17">
        <v>371</v>
      </c>
      <c r="CR353" s="1">
        <v>1</v>
      </c>
      <c r="CS353" s="17">
        <v>384</v>
      </c>
      <c r="CT353" s="1">
        <v>1</v>
      </c>
      <c r="CU353" s="17">
        <v>395</v>
      </c>
      <c r="CV353" s="1">
        <v>1</v>
      </c>
    </row>
    <row r="354" spans="1:100">
      <c r="A354" t="str">
        <f>HYPERLINK("http://exon.niaid.nih.gov/transcriptome/T_rubida/S2/links/pep/Triru-404-pep.txt","Triru-404")</f>
        <v>Triru-404</v>
      </c>
      <c r="B354">
        <v>29</v>
      </c>
      <c r="C354" s="1" t="s">
        <v>8</v>
      </c>
      <c r="D354" s="1" t="s">
        <v>3</v>
      </c>
      <c r="E354" t="str">
        <f>HYPERLINK("http://exon.niaid.nih.gov/transcriptome/T_rubida/S2/links/cds/Triru-404-cds.txt","Triru-404")</f>
        <v>Triru-404</v>
      </c>
      <c r="F354">
        <v>90</v>
      </c>
      <c r="G354" s="2" t="s">
        <v>1800</v>
      </c>
      <c r="H354" s="1">
        <v>1</v>
      </c>
      <c r="I354" s="3" t="s">
        <v>1266</v>
      </c>
      <c r="J354" s="17" t="str">
        <f>HYPERLINK("http://exon.niaid.nih.gov/transcriptome/T_rubida/S2/links/Sigp/Triru-404-SigP.txt","CYT")</f>
        <v>CYT</v>
      </c>
      <c r="K354" t="s">
        <v>5</v>
      </c>
      <c r="L354" s="1">
        <v>3.67</v>
      </c>
      <c r="M354" s="1">
        <v>12.32</v>
      </c>
      <c r="P354" s="1">
        <v>0.42</v>
      </c>
      <c r="Q354" s="1">
        <v>3.9E-2</v>
      </c>
      <c r="R354" s="1">
        <v>0.57899999999999996</v>
      </c>
      <c r="S354" s="17" t="s">
        <v>1346</v>
      </c>
      <c r="T354">
        <v>5</v>
      </c>
      <c r="U354" t="s">
        <v>1348</v>
      </c>
      <c r="V354" s="17">
        <v>0</v>
      </c>
      <c r="W354" t="s">
        <v>5</v>
      </c>
      <c r="X354" t="s">
        <v>5</v>
      </c>
      <c r="Y354" t="s">
        <v>5</v>
      </c>
      <c r="Z354" t="s">
        <v>5</v>
      </c>
      <c r="AA354" t="s">
        <v>5</v>
      </c>
      <c r="AB354" s="17" t="str">
        <f>HYPERLINK("http://exon.niaid.nih.gov/transcriptome/T_rubida/S2/links/netoglyc/TRIRU-404-netoglyc.txt","0")</f>
        <v>0</v>
      </c>
      <c r="AC354">
        <v>6.9</v>
      </c>
      <c r="AD354">
        <v>3.4</v>
      </c>
      <c r="AE354">
        <v>10.3</v>
      </c>
      <c r="AF354" s="17" t="s">
        <v>5</v>
      </c>
      <c r="AG354" s="2" t="str">
        <f>HYPERLINK("http://exon.niaid.nih.gov/transcriptome/T_rubida/S2/links/NR/Triru-404-NR.txt","19 kDa sporozoite antigen")</f>
        <v>19 kDa sporozoite antigen</v>
      </c>
      <c r="AH354" t="str">
        <f>HYPERLINK("http://www.ncbi.nlm.nih.gov/sutils/blink.cgi?pid=83317521","67")</f>
        <v>67</v>
      </c>
      <c r="AI354" t="str">
        <f>HYPERLINK("http://www.ncbi.nlm.nih.gov/protein/83317521","gi|83317521")</f>
        <v>gi|83317521</v>
      </c>
      <c r="AJ354">
        <v>30.8</v>
      </c>
      <c r="AK354">
        <v>24</v>
      </c>
      <c r="AL354">
        <v>211</v>
      </c>
      <c r="AM354">
        <v>56</v>
      </c>
      <c r="AN354">
        <v>12</v>
      </c>
      <c r="AO354" t="s">
        <v>362</v>
      </c>
      <c r="AP354" s="2" t="str">
        <f>HYPERLINK("http://exon.niaid.nih.gov/transcriptome/T_rubida/S2/links/SWISSP/Triru-404-SWISSP.txt","Putative membrane protein ycf1")</f>
        <v>Putative membrane protein ycf1</v>
      </c>
      <c r="AQ354" t="str">
        <f>HYPERLINK("http://www.uniprot.org/uniprot/A6MMQ5","61")</f>
        <v>61</v>
      </c>
      <c r="AR354" t="s">
        <v>363</v>
      </c>
      <c r="AS354">
        <v>26.2</v>
      </c>
      <c r="AT354">
        <v>25</v>
      </c>
      <c r="AU354">
        <v>1858</v>
      </c>
      <c r="AV354">
        <v>40</v>
      </c>
      <c r="AW354">
        <v>1</v>
      </c>
      <c r="AX354">
        <v>16</v>
      </c>
      <c r="AY354">
        <v>1</v>
      </c>
      <c r="AZ354">
        <v>1019</v>
      </c>
      <c r="BA354">
        <v>3</v>
      </c>
      <c r="BB354">
        <v>1</v>
      </c>
      <c r="BC354" t="s">
        <v>364</v>
      </c>
      <c r="BD354" s="2" t="s">
        <v>5</v>
      </c>
      <c r="BE354" t="s">
        <v>5</v>
      </c>
      <c r="BF354" t="s">
        <v>5</v>
      </c>
      <c r="BG354" t="s">
        <v>5</v>
      </c>
      <c r="BH354" t="s">
        <v>5</v>
      </c>
      <c r="BI354" s="2" t="s">
        <v>5</v>
      </c>
      <c r="BJ354" t="s">
        <v>5</v>
      </c>
      <c r="BK354" t="s">
        <v>5</v>
      </c>
      <c r="BL354" s="2" t="str">
        <f>HYPERLINK("http://exon.niaid.nih.gov/transcriptome/T_rubida/S2/links/KOG/Triru-404-KOG.txt","Growth factor receptor-bound proteins (GRB7, GRB10, GRB14)")</f>
        <v>Growth factor receptor-bound proteins (GRB7, GRB10, GRB14)</v>
      </c>
      <c r="BM354" t="str">
        <f>HYPERLINK("http://www.ncbi.nlm.nih.gov/COG/grace/shokog.cgi?KOG3751","0.013")</f>
        <v>0.013</v>
      </c>
      <c r="BN354" t="s">
        <v>179</v>
      </c>
      <c r="BO354" s="2" t="s">
        <v>5</v>
      </c>
      <c r="BP354" t="s">
        <v>5</v>
      </c>
      <c r="BQ354" s="2" t="str">
        <f>HYPERLINK("http://exon.niaid.nih.gov/transcriptome/T_rubida/S2/links/SMART/Triru-404-SMART.txt","MYSc")</f>
        <v>MYSc</v>
      </c>
      <c r="BR354" t="str">
        <f>HYPERLINK("http://smart.embl-heidelberg.de/smart/do_annotation.pl?DOMAIN=MYSc&amp;BLAST=DUMMY","3.5")</f>
        <v>3.5</v>
      </c>
      <c r="BS354" s="17">
        <f>HYPERLINK("http://exon.niaid.nih.gov/transcriptome/T_rubida/S2/links/cluster/Triru-pep-ext25-50-Sim-CLU1.txt", 1)</f>
        <v>1</v>
      </c>
      <c r="BT354" s="1">
        <f>HYPERLINK("http://exon.niaid.nih.gov/transcriptome/T_rubida/S2/links/cluster/Triru-pep-ext25-50-Sim-CLTL1.txt", 359)</f>
        <v>359</v>
      </c>
      <c r="BU354" s="17">
        <f>HYPERLINK("http://exon.niaid.nih.gov/transcriptome/T_rubida/S2/links/cluster/Triru-pep-ext30-50-Sim-CLU1.txt", 1)</f>
        <v>1</v>
      </c>
      <c r="BV354" s="1">
        <f>HYPERLINK("http://exon.niaid.nih.gov/transcriptome/T_rubida/S2/links/cluster/Triru-pep-ext30-50-Sim-CLTL1.txt", 225)</f>
        <v>225</v>
      </c>
      <c r="BW354" s="17">
        <f>HYPERLINK("http://exon.niaid.nih.gov/transcriptome/T_rubida/S2/links/cluster/Triru-pep-ext35-50-Sim-CLU1.txt", 1)</f>
        <v>1</v>
      </c>
      <c r="BX354" s="1">
        <f>HYPERLINK("http://exon.niaid.nih.gov/transcriptome/T_rubida/S2/links/cluster/Triru-pep-ext35-50-Sim-CLTL1.txt", 75)</f>
        <v>75</v>
      </c>
      <c r="BY354" s="17">
        <f>HYPERLINK("http://exon.niaid.nih.gov/transcriptome/T_rubida/S2/links/cluster/Triru-pep-ext40-50-Sim-CLU2.txt", 2)</f>
        <v>2</v>
      </c>
      <c r="BZ354" s="1">
        <f>HYPERLINK("http://exon.niaid.nih.gov/transcriptome/T_rubida/S2/links/cluster/Triru-pep-ext40-50-Sim-CLTL2.txt", 42)</f>
        <v>42</v>
      </c>
      <c r="CA354" s="17">
        <f>HYPERLINK("http://exon.niaid.nih.gov/transcriptome/T_rubida/S2/links/cluster/Triru-pep-ext45-50-Sim-CLU2.txt", 2)</f>
        <v>2</v>
      </c>
      <c r="CB354" s="1">
        <f>HYPERLINK("http://exon.niaid.nih.gov/transcriptome/T_rubida/S2/links/cluster/Triru-pep-ext45-50-Sim-CLTL2.txt", 33)</f>
        <v>33</v>
      </c>
      <c r="CC354" s="17">
        <v>262</v>
      </c>
      <c r="CD354" s="1">
        <v>1</v>
      </c>
      <c r="CE354" s="17">
        <v>269</v>
      </c>
      <c r="CF354" s="1">
        <v>1</v>
      </c>
      <c r="CG354" s="17">
        <v>272</v>
      </c>
      <c r="CH354" s="1">
        <v>1</v>
      </c>
      <c r="CI354" s="17">
        <v>282</v>
      </c>
      <c r="CJ354" s="1">
        <v>1</v>
      </c>
      <c r="CK354" s="17">
        <v>288</v>
      </c>
      <c r="CL354" s="1">
        <v>1</v>
      </c>
      <c r="CM354" s="17">
        <v>296</v>
      </c>
      <c r="CN354" s="1">
        <v>1</v>
      </c>
      <c r="CO354" s="17">
        <v>308</v>
      </c>
      <c r="CP354" s="1">
        <v>1</v>
      </c>
      <c r="CQ354" s="17">
        <v>318</v>
      </c>
      <c r="CR354" s="1">
        <v>1</v>
      </c>
      <c r="CS354" s="17">
        <v>330</v>
      </c>
      <c r="CT354" s="1">
        <v>1</v>
      </c>
      <c r="CU354" s="17">
        <v>341</v>
      </c>
      <c r="CV354" s="1">
        <v>1</v>
      </c>
    </row>
    <row r="355" spans="1:100">
      <c r="A355" t="str">
        <f>HYPERLINK("http://exon.niaid.nih.gov/transcriptome/T_rubida/S2/links/pep/Triru-582-pep.txt","Triru-582")</f>
        <v>Triru-582</v>
      </c>
      <c r="B355">
        <v>14</v>
      </c>
      <c r="C355" s="1" t="s">
        <v>6</v>
      </c>
      <c r="D355" s="1" t="s">
        <v>3</v>
      </c>
      <c r="E355" t="str">
        <f>HYPERLINK("http://exon.niaid.nih.gov/transcriptome/T_rubida/S2/links/cds/Triru-582-cds.txt","Triru-582")</f>
        <v>Triru-582</v>
      </c>
      <c r="F355">
        <v>45</v>
      </c>
      <c r="G355" s="2" t="s">
        <v>1801</v>
      </c>
      <c r="H355" s="1">
        <v>1</v>
      </c>
      <c r="I355" s="3" t="s">
        <v>1266</v>
      </c>
      <c r="J355" s="17" t="str">
        <f>HYPERLINK("http://exon.niaid.nih.gov/transcriptome/T_rubida/S2/links/Sigp/Triru-582-SigP.txt","CYT")</f>
        <v>CYT</v>
      </c>
      <c r="K355" t="s">
        <v>5</v>
      </c>
      <c r="L355" s="1">
        <v>1.825</v>
      </c>
      <c r="M355" s="1">
        <v>9.76</v>
      </c>
      <c r="P355" s="1">
        <v>0.312</v>
      </c>
      <c r="Q355" s="1">
        <v>0.03</v>
      </c>
      <c r="R355" s="1">
        <v>0.75800000000000001</v>
      </c>
      <c r="S355" s="17" t="s">
        <v>1346</v>
      </c>
      <c r="T355">
        <v>3</v>
      </c>
      <c r="U355" t="s">
        <v>1348</v>
      </c>
      <c r="V355" s="17">
        <v>0</v>
      </c>
      <c r="W355" t="s">
        <v>5</v>
      </c>
      <c r="X355" t="s">
        <v>5</v>
      </c>
      <c r="Y355" t="s">
        <v>5</v>
      </c>
      <c r="Z355" t="s">
        <v>5</v>
      </c>
      <c r="AA355" t="s">
        <v>5</v>
      </c>
      <c r="AB355" s="17" t="str">
        <f>HYPERLINK("http://exon.niaid.nih.gov/transcriptome/T_rubida/S2/links/netoglyc/TRIRU-582-netoglyc.txt","0")</f>
        <v>0</v>
      </c>
      <c r="AC355">
        <v>7.1</v>
      </c>
      <c r="AD355">
        <v>14.3</v>
      </c>
      <c r="AE355" t="s">
        <v>1394</v>
      </c>
      <c r="AF355" s="17" t="s">
        <v>5</v>
      </c>
      <c r="AG355" s="2" t="str">
        <f>HYPERLINK("http://exon.niaid.nih.gov/transcriptome/T_rubida/S2/links/NR/Triru-582-NR.txt","alpha/beta hydrolase")</f>
        <v>alpha/beta hydrolase</v>
      </c>
      <c r="AH355" t="str">
        <f>HYPERLINK("http://www.ncbi.nlm.nih.gov/sutils/blink.cgi?pid=302558727","65")</f>
        <v>65</v>
      </c>
      <c r="AI355" t="str">
        <f>HYPERLINK("http://www.ncbi.nlm.nih.gov/protein/302558727","gi|302558727")</f>
        <v>gi|302558727</v>
      </c>
      <c r="AJ355">
        <v>30</v>
      </c>
      <c r="AK355">
        <v>13</v>
      </c>
      <c r="AL355">
        <v>115</v>
      </c>
      <c r="AM355">
        <v>78</v>
      </c>
      <c r="AN355">
        <v>12</v>
      </c>
      <c r="AO355" t="s">
        <v>412</v>
      </c>
      <c r="AP355" s="2" t="str">
        <f>HYPERLINK("http://exon.niaid.nih.gov/transcriptome/T_rubida/S2/links/SWISSP/Triru-582-SWISSP.txt","Putative uncharacterized transmembrane protein DDB_G0287945")</f>
        <v>Putative uncharacterized transmembrane protein DDB_G0287945</v>
      </c>
      <c r="AQ355" t="str">
        <f>HYPERLINK("http://www.uniprot.org/uniprot/Q54JN2","35")</f>
        <v>35</v>
      </c>
      <c r="AR355" t="s">
        <v>353</v>
      </c>
      <c r="AS355">
        <v>26.2</v>
      </c>
      <c r="AT355">
        <v>12</v>
      </c>
      <c r="AU355">
        <v>68</v>
      </c>
      <c r="AV355">
        <v>76</v>
      </c>
      <c r="AW355">
        <v>19</v>
      </c>
      <c r="AX355">
        <v>3</v>
      </c>
      <c r="AY355">
        <v>0</v>
      </c>
      <c r="AZ355">
        <v>42</v>
      </c>
      <c r="BA355">
        <v>2</v>
      </c>
      <c r="BB355">
        <v>1</v>
      </c>
      <c r="BC355" t="s">
        <v>99</v>
      </c>
      <c r="BD355" s="2" t="s">
        <v>5</v>
      </c>
      <c r="BE355" t="s">
        <v>5</v>
      </c>
      <c r="BF355" t="s">
        <v>5</v>
      </c>
      <c r="BG355" t="s">
        <v>5</v>
      </c>
      <c r="BH355" t="s">
        <v>5</v>
      </c>
      <c r="BI355" s="2" t="s">
        <v>5</v>
      </c>
      <c r="BJ355" t="s">
        <v>5</v>
      </c>
      <c r="BK355" t="s">
        <v>5</v>
      </c>
      <c r="BL355" s="2" t="s">
        <v>5</v>
      </c>
      <c r="BM355" t="s">
        <v>5</v>
      </c>
      <c r="BN355" t="s">
        <v>5</v>
      </c>
      <c r="BO355" s="2" t="s">
        <v>5</v>
      </c>
      <c r="BP355" t="s">
        <v>5</v>
      </c>
      <c r="BQ355" s="2" t="s">
        <v>5</v>
      </c>
      <c r="BR355" t="s">
        <v>5</v>
      </c>
      <c r="BS355" s="17">
        <f>HYPERLINK("http://exon.niaid.nih.gov/transcriptome/T_rubida/S2/links/cluster/Triru-pep-ext25-50-Sim-CLU1.txt", 1)</f>
        <v>1</v>
      </c>
      <c r="BT355" s="1">
        <f>HYPERLINK("http://exon.niaid.nih.gov/transcriptome/T_rubida/S2/links/cluster/Triru-pep-ext25-50-Sim-CLTL1.txt", 359)</f>
        <v>359</v>
      </c>
      <c r="BU355" s="17">
        <f>HYPERLINK("http://exon.niaid.nih.gov/transcriptome/T_rubida/S2/links/cluster/Triru-pep-ext30-50-Sim-CLU1.txt", 1)</f>
        <v>1</v>
      </c>
      <c r="BV355" s="1">
        <f>HYPERLINK("http://exon.niaid.nih.gov/transcriptome/T_rubida/S2/links/cluster/Triru-pep-ext30-50-Sim-CLTL1.txt", 225)</f>
        <v>225</v>
      </c>
      <c r="BW355" s="17">
        <f>HYPERLINK("http://exon.niaid.nih.gov/transcriptome/T_rubida/S2/links/cluster/Triru-pep-ext35-50-Sim-CLU1.txt", 1)</f>
        <v>1</v>
      </c>
      <c r="BX355" s="1">
        <f>HYPERLINK("http://exon.niaid.nih.gov/transcriptome/T_rubida/S2/links/cluster/Triru-pep-ext35-50-Sim-CLTL1.txt", 75)</f>
        <v>75</v>
      </c>
      <c r="BY355" s="17">
        <f>HYPERLINK("http://exon.niaid.nih.gov/transcriptome/T_rubida/S2/links/cluster/Triru-pep-ext40-50-Sim-CLU2.txt", 2)</f>
        <v>2</v>
      </c>
      <c r="BZ355" s="1">
        <f>HYPERLINK("http://exon.niaid.nih.gov/transcriptome/T_rubida/S2/links/cluster/Triru-pep-ext40-50-Sim-CLTL2.txt", 42)</f>
        <v>42</v>
      </c>
      <c r="CA355" s="17">
        <f>HYPERLINK("http://exon.niaid.nih.gov/transcriptome/T_rubida/S2/links/cluster/Triru-pep-ext45-50-Sim-CLU2.txt", 2)</f>
        <v>2</v>
      </c>
      <c r="CB355" s="1">
        <f>HYPERLINK("http://exon.niaid.nih.gov/transcriptome/T_rubida/S2/links/cluster/Triru-pep-ext45-50-Sim-CLTL2.txt", 33)</f>
        <v>33</v>
      </c>
      <c r="CC355" s="17">
        <f>HYPERLINK("http://exon.niaid.nih.gov/transcriptome/T_rubida/S2/links/cluster/Triru-pep-ext50-50-Sim-CLU3.txt", 3)</f>
        <v>3</v>
      </c>
      <c r="CD355" s="1">
        <f>HYPERLINK("http://exon.niaid.nih.gov/transcriptome/T_rubida/S2/links/cluster/Triru-pep-ext50-50-Sim-CLTL3.txt", 23)</f>
        <v>23</v>
      </c>
      <c r="CE355" s="17">
        <f>HYPERLINK("http://exon.niaid.nih.gov/transcriptome/T_rubida/S2/links/cluster/Triru-pep-ext55-50-Sim-CLU3.txt", 3)</f>
        <v>3</v>
      </c>
      <c r="CF355" s="1">
        <f>HYPERLINK("http://exon.niaid.nih.gov/transcriptome/T_rubida/S2/links/cluster/Triru-pep-ext55-50-Sim-CLTL3.txt", 16)</f>
        <v>16</v>
      </c>
      <c r="CG355" s="17">
        <v>422</v>
      </c>
      <c r="CH355" s="1">
        <v>1</v>
      </c>
      <c r="CI355" s="17">
        <v>434</v>
      </c>
      <c r="CJ355" s="1">
        <v>1</v>
      </c>
      <c r="CK355" s="17">
        <v>440</v>
      </c>
      <c r="CL355" s="1">
        <v>1</v>
      </c>
      <c r="CM355" s="17">
        <v>451</v>
      </c>
      <c r="CN355" s="1">
        <v>1</v>
      </c>
      <c r="CO355" s="17">
        <v>463</v>
      </c>
      <c r="CP355" s="1">
        <v>1</v>
      </c>
      <c r="CQ355" s="17">
        <v>473</v>
      </c>
      <c r="CR355" s="1">
        <v>1</v>
      </c>
      <c r="CS355" s="17">
        <v>486</v>
      </c>
      <c r="CT355" s="1">
        <v>1</v>
      </c>
      <c r="CU355" s="17">
        <v>498</v>
      </c>
      <c r="CV355" s="1">
        <v>1</v>
      </c>
    </row>
    <row r="356" spans="1:100">
      <c r="A356" t="str">
        <f>HYPERLINK("http://exon.niaid.nih.gov/transcriptome/T_rubida/S2/links/pep/Triru-218-pep.txt","Triru-218")</f>
        <v>Triru-218</v>
      </c>
      <c r="B356">
        <v>17</v>
      </c>
      <c r="C356" s="1" t="s">
        <v>10</v>
      </c>
      <c r="D356" s="1" t="s">
        <v>3</v>
      </c>
      <c r="E356" t="str">
        <f>HYPERLINK("http://exon.niaid.nih.gov/transcriptome/T_rubida/S2/links/cds/Triru-218-cds.txt","Triru-218")</f>
        <v>Triru-218</v>
      </c>
      <c r="F356">
        <v>54</v>
      </c>
      <c r="G356" s="2" t="s">
        <v>1802</v>
      </c>
      <c r="H356" s="1">
        <v>1</v>
      </c>
      <c r="I356" s="3" t="s">
        <v>1266</v>
      </c>
      <c r="J356" s="17" t="str">
        <f>HYPERLINK("http://exon.niaid.nih.gov/transcriptome/T_rubida/S2/links/Sigp/Triru-218-SigP.txt","CYT")</f>
        <v>CYT</v>
      </c>
      <c r="K356" t="s">
        <v>5</v>
      </c>
      <c r="L356" s="1">
        <v>1.8089999999999999</v>
      </c>
      <c r="M356" s="1">
        <v>6.49</v>
      </c>
      <c r="P356" s="1">
        <v>6.8000000000000005E-2</v>
      </c>
      <c r="Q356" s="1">
        <v>3.6999999999999998E-2</v>
      </c>
      <c r="R356" s="1">
        <v>0.96</v>
      </c>
      <c r="S356" s="17" t="s">
        <v>1346</v>
      </c>
      <c r="T356">
        <v>1</v>
      </c>
      <c r="U356" t="s">
        <v>1348</v>
      </c>
      <c r="V356" s="17">
        <v>0</v>
      </c>
      <c r="W356" t="s">
        <v>5</v>
      </c>
      <c r="X356" t="s">
        <v>5</v>
      </c>
      <c r="Y356" t="s">
        <v>5</v>
      </c>
      <c r="Z356" t="s">
        <v>5</v>
      </c>
      <c r="AA356" t="s">
        <v>5</v>
      </c>
      <c r="AB356" s="17" t="str">
        <f>HYPERLINK("http://exon.niaid.nih.gov/transcriptome/T_rubida/S2/links/netoglyc/TRIRU-218-netoglyc.txt","0")</f>
        <v>0</v>
      </c>
      <c r="AC356">
        <v>11.8</v>
      </c>
      <c r="AD356">
        <v>11.8</v>
      </c>
      <c r="AE356">
        <v>5.9</v>
      </c>
      <c r="AF356" s="17" t="s">
        <v>5</v>
      </c>
      <c r="AG356" s="2" t="str">
        <f>HYPERLINK("http://exon.niaid.nih.gov/transcriptome/T_rubida/S2/links/NR/Triru-218-NR.txt","eukaryotic initiation factor 5a, putative")</f>
        <v>eukaryotic initiation factor 5a, putative</v>
      </c>
      <c r="AH356" t="str">
        <f>HYPERLINK("http://www.ncbi.nlm.nih.gov/sutils/blink.cgi?pid=322815485","27")</f>
        <v>27</v>
      </c>
      <c r="AI356" t="str">
        <f>HYPERLINK("http://www.ncbi.nlm.nih.gov/protein/322815485","gi|322815485")</f>
        <v>gi|322815485</v>
      </c>
      <c r="AJ356">
        <v>31.6</v>
      </c>
      <c r="AK356">
        <v>14</v>
      </c>
      <c r="AL356">
        <v>126</v>
      </c>
      <c r="AM356">
        <v>93</v>
      </c>
      <c r="AN356">
        <v>12</v>
      </c>
      <c r="AO356" t="s">
        <v>176</v>
      </c>
      <c r="AP356" s="2" t="s">
        <v>5</v>
      </c>
      <c r="AQ356" t="s">
        <v>5</v>
      </c>
      <c r="AR356" t="s">
        <v>5</v>
      </c>
      <c r="AS356" t="s">
        <v>5</v>
      </c>
      <c r="AT356" t="s">
        <v>5</v>
      </c>
      <c r="AU356" t="s">
        <v>5</v>
      </c>
      <c r="AV356" t="s">
        <v>5</v>
      </c>
      <c r="AW356" t="s">
        <v>5</v>
      </c>
      <c r="AX356" t="s">
        <v>5</v>
      </c>
      <c r="AY356" t="s">
        <v>5</v>
      </c>
      <c r="AZ356" t="s">
        <v>5</v>
      </c>
      <c r="BA356" t="s">
        <v>5</v>
      </c>
      <c r="BB356" t="s">
        <v>5</v>
      </c>
      <c r="BC356" t="s">
        <v>5</v>
      </c>
      <c r="BD356" s="2" t="s">
        <v>5</v>
      </c>
      <c r="BE356" t="s">
        <v>5</v>
      </c>
      <c r="BF356" t="s">
        <v>5</v>
      </c>
      <c r="BG356" t="s">
        <v>5</v>
      </c>
      <c r="BH356" t="s">
        <v>5</v>
      </c>
      <c r="BI356" s="2" t="str">
        <f>HYPERLINK("http://exon.niaid.nih.gov/transcriptome/T_rubida/S2/links/CDD/Triru-218-CDD.txt","PTZ00328")</f>
        <v>PTZ00328</v>
      </c>
      <c r="BJ356" t="str">
        <f>HYPERLINK("http://www.ncbi.nlm.nih.gov/Structure/cdd/cddsrv.cgi?uid=PTZ00328&amp;version=v4.0","0.078")</f>
        <v>0.078</v>
      </c>
      <c r="BK356" t="s">
        <v>914</v>
      </c>
      <c r="BL356" s="2" t="s">
        <v>5</v>
      </c>
      <c r="BM356" t="s">
        <v>5</v>
      </c>
      <c r="BN356" t="s">
        <v>5</v>
      </c>
      <c r="BO356" s="2" t="s">
        <v>5</v>
      </c>
      <c r="BP356" t="s">
        <v>5</v>
      </c>
      <c r="BQ356" s="2" t="s">
        <v>5</v>
      </c>
      <c r="BR356" t="s">
        <v>5</v>
      </c>
      <c r="BS356" s="17">
        <v>73</v>
      </c>
      <c r="BT356" s="1">
        <v>1</v>
      </c>
      <c r="BU356" s="17">
        <v>106</v>
      </c>
      <c r="BV356" s="1">
        <v>1</v>
      </c>
      <c r="BW356" s="17">
        <v>123</v>
      </c>
      <c r="BX356" s="1">
        <v>1</v>
      </c>
      <c r="BY356" s="17">
        <v>128</v>
      </c>
      <c r="BZ356" s="1">
        <v>1</v>
      </c>
      <c r="CA356" s="17">
        <v>130</v>
      </c>
      <c r="CB356" s="1">
        <v>1</v>
      </c>
      <c r="CC356" s="17">
        <v>133</v>
      </c>
      <c r="CD356" s="1">
        <v>1</v>
      </c>
      <c r="CE356" s="17">
        <v>132</v>
      </c>
      <c r="CF356" s="1">
        <v>1</v>
      </c>
      <c r="CG356" s="17">
        <v>134</v>
      </c>
      <c r="CH356" s="1">
        <v>1</v>
      </c>
      <c r="CI356" s="17">
        <v>140</v>
      </c>
      <c r="CJ356" s="1">
        <v>1</v>
      </c>
      <c r="CK356" s="17">
        <v>145</v>
      </c>
      <c r="CL356" s="1">
        <v>1</v>
      </c>
      <c r="CM356" s="17">
        <v>151</v>
      </c>
      <c r="CN356" s="1">
        <v>1</v>
      </c>
      <c r="CO356" s="17">
        <v>161</v>
      </c>
      <c r="CP356" s="1">
        <v>1</v>
      </c>
      <c r="CQ356" s="17">
        <v>171</v>
      </c>
      <c r="CR356" s="1">
        <v>1</v>
      </c>
      <c r="CS356" s="17">
        <v>176</v>
      </c>
      <c r="CT356" s="1">
        <v>1</v>
      </c>
      <c r="CU356" s="17">
        <v>187</v>
      </c>
      <c r="CV356" s="1">
        <v>1</v>
      </c>
    </row>
    <row r="357" spans="1:100">
      <c r="A357" t="str">
        <f>HYPERLINK("http://exon.niaid.nih.gov/transcriptome/T_rubida/S2/links/pep/Triru-186-pep.txt","Triru-186")</f>
        <v>Triru-186</v>
      </c>
      <c r="B357">
        <v>32</v>
      </c>
      <c r="C357" s="1" t="s">
        <v>4</v>
      </c>
      <c r="D357" s="1" t="s">
        <v>3</v>
      </c>
      <c r="E357" t="str">
        <f>HYPERLINK("http://exon.niaid.nih.gov/transcriptome/T_rubida/S2/links/cds/Triru-186-cds.txt","Triru-186")</f>
        <v>Triru-186</v>
      </c>
      <c r="F357">
        <v>99</v>
      </c>
      <c r="G357" s="2" t="s">
        <v>1803</v>
      </c>
      <c r="H357" s="1">
        <v>1</v>
      </c>
      <c r="I357" s="3" t="s">
        <v>1266</v>
      </c>
      <c r="J357" s="17" t="str">
        <f>HYPERLINK("http://exon.niaid.nih.gov/transcriptome/T_rubida/S2/links/Sigp/Triru-186-SigP.txt","CYT")</f>
        <v>CYT</v>
      </c>
      <c r="K357" t="s">
        <v>5</v>
      </c>
      <c r="L357" s="1">
        <v>3.2330000000000001</v>
      </c>
      <c r="M357" s="1">
        <v>10.029999999999999</v>
      </c>
      <c r="P357" s="1">
        <v>0.46899999999999997</v>
      </c>
      <c r="Q357" s="1">
        <v>3.2000000000000001E-2</v>
      </c>
      <c r="R357" s="1">
        <v>0.54200000000000004</v>
      </c>
      <c r="S357" s="17" t="s">
        <v>1346</v>
      </c>
      <c r="T357">
        <v>5</v>
      </c>
      <c r="U357" t="s">
        <v>1382</v>
      </c>
      <c r="V357" s="17">
        <v>0</v>
      </c>
      <c r="W357" t="s">
        <v>5</v>
      </c>
      <c r="X357" t="s">
        <v>5</v>
      </c>
      <c r="Y357" t="s">
        <v>5</v>
      </c>
      <c r="Z357" t="s">
        <v>5</v>
      </c>
      <c r="AA357" t="s">
        <v>5</v>
      </c>
      <c r="AB357" s="17" t="str">
        <f>HYPERLINK("http://exon.niaid.nih.gov/transcriptome/T_rubida/S2/links/netoglyc/TRIRU-186-netoglyc.txt","1")</f>
        <v>1</v>
      </c>
      <c r="AC357">
        <v>18.8</v>
      </c>
      <c r="AD357">
        <v>15.6</v>
      </c>
      <c r="AE357">
        <v>3.1</v>
      </c>
      <c r="AF357" s="17" t="s">
        <v>5</v>
      </c>
      <c r="AG357" s="2" t="str">
        <f>HYPERLINK("http://exon.niaid.nih.gov/transcriptome/T_rubida/S2/links/NR/Triru-186-NR.txt","60S ribosomal protein L8")</f>
        <v>60S ribosomal protein L8</v>
      </c>
      <c r="AH357" t="str">
        <f>HYPERLINK("http://www.ncbi.nlm.nih.gov/sutils/blink.cgi?pid=149689084","7E-004")</f>
        <v>7E-004</v>
      </c>
      <c r="AI357" t="str">
        <f>HYPERLINK("http://www.ncbi.nlm.nih.gov/protein/149689084","gi|149689084")</f>
        <v>gi|149689084</v>
      </c>
      <c r="AJ357">
        <v>47.4</v>
      </c>
      <c r="AK357">
        <v>30</v>
      </c>
      <c r="AL357">
        <v>258</v>
      </c>
      <c r="AM357">
        <v>77</v>
      </c>
      <c r="AN357">
        <v>12</v>
      </c>
      <c r="AO357" t="s">
        <v>80</v>
      </c>
      <c r="AP357" s="2" t="str">
        <f>HYPERLINK("http://exon.niaid.nih.gov/transcriptome/T_rubida/S2/links/SWISSP/Triru-186-SWISSP.txt","60S ribosomal protein L8")</f>
        <v>60S ribosomal protein L8</v>
      </c>
      <c r="AQ357" t="str">
        <f>HYPERLINK("http://www.uniprot.org/uniprot/Q95V39","5E-004")</f>
        <v>5E-004</v>
      </c>
      <c r="AR357" t="s">
        <v>81</v>
      </c>
      <c r="AS357">
        <v>43.1</v>
      </c>
      <c r="AT357">
        <v>27</v>
      </c>
      <c r="AU357">
        <v>257</v>
      </c>
      <c r="AV357">
        <v>78</v>
      </c>
      <c r="AW357">
        <v>11</v>
      </c>
      <c r="AX357">
        <v>6</v>
      </c>
      <c r="AY357">
        <v>0</v>
      </c>
      <c r="AZ357">
        <v>228</v>
      </c>
      <c r="BA357">
        <v>2</v>
      </c>
      <c r="BB357">
        <v>1</v>
      </c>
      <c r="BC357" t="s">
        <v>82</v>
      </c>
      <c r="BD357" s="2" t="s">
        <v>5</v>
      </c>
      <c r="BE357" t="s">
        <v>5</v>
      </c>
      <c r="BF357" t="s">
        <v>5</v>
      </c>
      <c r="BG357" t="s">
        <v>5</v>
      </c>
      <c r="BH357" t="s">
        <v>5</v>
      </c>
      <c r="BI357" s="2" t="str">
        <f>HYPERLINK("http://exon.niaid.nih.gov/transcriptome/T_rubida/S2/links/CDD/Triru-186-CDD.txt","PTZ00180")</f>
        <v>PTZ00180</v>
      </c>
      <c r="BJ357" t="str">
        <f>HYPERLINK("http://www.ncbi.nlm.nih.gov/Structure/cdd/cddsrv.cgi?uid=PTZ00180&amp;version=v4.0","1.4")</f>
        <v>1.4</v>
      </c>
      <c r="BK357" t="s">
        <v>83</v>
      </c>
      <c r="BL357" s="2" t="str">
        <f>HYPERLINK("http://exon.niaid.nih.gov/transcriptome/T_rubida/S2/links/KOG/Triru-186-KOG.txt","60s ribosomal protein L2/L8")</f>
        <v>60s ribosomal protein L2/L8</v>
      </c>
      <c r="BM357" t="str">
        <f>HYPERLINK("http://www.ncbi.nlm.nih.gov/COG/grace/shokog.cgi?KOG2309","0.20")</f>
        <v>0.20</v>
      </c>
      <c r="BN357" t="s">
        <v>84</v>
      </c>
      <c r="BO357" s="2" t="s">
        <v>5</v>
      </c>
      <c r="BP357" t="s">
        <v>5</v>
      </c>
      <c r="BQ357" s="2" t="str">
        <f>HYPERLINK("http://exon.niaid.nih.gov/transcriptome/T_rubida/S2/links/SMART/Triru-186-SMART.txt","DEXDc")</f>
        <v>DEXDc</v>
      </c>
      <c r="BR357" t="str">
        <f>HYPERLINK("http://smart.embl-heidelberg.de/smart/do_annotation.pl?DOMAIN=DEXDc&amp;BLAST=DUMMY","0.89")</f>
        <v>0.89</v>
      </c>
      <c r="BS357" s="17">
        <f>HYPERLINK("http://exon.niaid.nih.gov/transcriptome/T_rubida/S2/links/cluster/Triru-pep-ext25-50-Sim-CLU1.txt", 1)</f>
        <v>1</v>
      </c>
      <c r="BT357" s="1">
        <f>HYPERLINK("http://exon.niaid.nih.gov/transcriptome/T_rubida/S2/links/cluster/Triru-pep-ext25-50-Sim-CLTL1.txt", 359)</f>
        <v>359</v>
      </c>
      <c r="BU357" s="17">
        <v>98</v>
      </c>
      <c r="BV357" s="1">
        <v>1</v>
      </c>
      <c r="BW357" s="17">
        <v>111</v>
      </c>
      <c r="BX357" s="1">
        <v>1</v>
      </c>
      <c r="BY357" s="17">
        <v>115</v>
      </c>
      <c r="BZ357" s="1">
        <v>1</v>
      </c>
      <c r="CA357" s="17">
        <v>115</v>
      </c>
      <c r="CB357" s="1">
        <v>1</v>
      </c>
      <c r="CC357" s="17">
        <v>117</v>
      </c>
      <c r="CD357" s="1">
        <v>1</v>
      </c>
      <c r="CE357" s="17">
        <v>113</v>
      </c>
      <c r="CF357" s="1">
        <v>1</v>
      </c>
      <c r="CG357" s="17">
        <v>114</v>
      </c>
      <c r="CH357" s="1">
        <v>1</v>
      </c>
      <c r="CI357" s="17">
        <v>120</v>
      </c>
      <c r="CJ357" s="1">
        <v>1</v>
      </c>
      <c r="CK357" s="17">
        <v>125</v>
      </c>
      <c r="CL357" s="1">
        <v>1</v>
      </c>
      <c r="CM357" s="17">
        <v>131</v>
      </c>
      <c r="CN357" s="1">
        <v>1</v>
      </c>
      <c r="CO357" s="17">
        <v>141</v>
      </c>
      <c r="CP357" s="1">
        <v>1</v>
      </c>
      <c r="CQ357" s="17">
        <v>151</v>
      </c>
      <c r="CR357" s="1">
        <v>1</v>
      </c>
      <c r="CS357" s="17">
        <v>156</v>
      </c>
      <c r="CT357" s="1">
        <v>1</v>
      </c>
      <c r="CU357" s="17">
        <v>167</v>
      </c>
      <c r="CV357" s="1">
        <v>1</v>
      </c>
    </row>
    <row r="358" spans="1:100">
      <c r="A358" t="str">
        <f>HYPERLINK("http://exon.niaid.nih.gov/transcriptome/T_rubida/S2/links/pep/Triru-184-pep.txt","Triru-184")</f>
        <v>Triru-184</v>
      </c>
      <c r="B358">
        <v>47</v>
      </c>
      <c r="C358" s="1" t="s">
        <v>10</v>
      </c>
      <c r="D358" s="1" t="s">
        <v>3</v>
      </c>
      <c r="E358" t="str">
        <f>HYPERLINK("http://exon.niaid.nih.gov/transcriptome/T_rubida/S2/links/cds/Triru-184-cds.txt","Triru-184")</f>
        <v>Triru-184</v>
      </c>
      <c r="F358">
        <v>144</v>
      </c>
      <c r="G358" s="2" t="s">
        <v>1804</v>
      </c>
      <c r="H358" s="1">
        <v>1</v>
      </c>
      <c r="I358" s="3" t="s">
        <v>1266</v>
      </c>
      <c r="J358" s="17" t="str">
        <f>HYPERLINK("http://exon.niaid.nih.gov/transcriptome/T_rubida/S2/links/Sigp/Triru-184-SigP.txt","CYT")</f>
        <v>CYT</v>
      </c>
      <c r="K358" t="s">
        <v>5</v>
      </c>
      <c r="L358" s="1">
        <v>5.5270000000000001</v>
      </c>
      <c r="M358" s="1">
        <v>9.07</v>
      </c>
      <c r="P358" s="1">
        <v>0.23899999999999999</v>
      </c>
      <c r="Q358" s="1">
        <v>8.3000000000000004E-2</v>
      </c>
      <c r="R358" s="1">
        <v>0.65100000000000002</v>
      </c>
      <c r="S358" s="17" t="s">
        <v>1346</v>
      </c>
      <c r="T358">
        <v>3</v>
      </c>
      <c r="U358" t="s">
        <v>1347</v>
      </c>
      <c r="V358" s="17">
        <v>0</v>
      </c>
      <c r="W358" t="s">
        <v>5</v>
      </c>
      <c r="X358" t="s">
        <v>5</v>
      </c>
      <c r="Y358" t="s">
        <v>5</v>
      </c>
      <c r="Z358" t="s">
        <v>5</v>
      </c>
      <c r="AA358" t="s">
        <v>5</v>
      </c>
      <c r="AB358" s="17" t="str">
        <f>HYPERLINK("http://exon.niaid.nih.gov/transcriptome/T_rubida/S2/links/netoglyc/TRIRU-184-netoglyc.txt","0")</f>
        <v>0</v>
      </c>
      <c r="AC358">
        <v>12.8</v>
      </c>
      <c r="AD358">
        <v>4.3</v>
      </c>
      <c r="AE358">
        <v>4.3</v>
      </c>
      <c r="AF358" s="17" t="s">
        <v>5</v>
      </c>
      <c r="AG358" s="2" t="str">
        <f>HYPERLINK("http://exon.niaid.nih.gov/transcriptome/T_rubida/S2/links/NR/Triru-184-NR.txt","R-phenyllactate dehydratase small subunit")</f>
        <v>R-phenyllactate dehydratase small subunit</v>
      </c>
      <c r="AH358" t="str">
        <f>HYPERLINK("http://www.ncbi.nlm.nih.gov/sutils/blink.cgi?pid=118444181","66")</f>
        <v>66</v>
      </c>
      <c r="AI358" t="str">
        <f>HYPERLINK("http://www.ncbi.nlm.nih.gov/protein/118444181","gi|118444181")</f>
        <v>gi|118444181</v>
      </c>
      <c r="AJ358">
        <v>30.8</v>
      </c>
      <c r="AK358">
        <v>45</v>
      </c>
      <c r="AL358">
        <v>371</v>
      </c>
      <c r="AM358">
        <v>34</v>
      </c>
      <c r="AN358">
        <v>12</v>
      </c>
      <c r="AO358" t="s">
        <v>928</v>
      </c>
      <c r="AP358" s="2" t="str">
        <f>HYPERLINK("http://exon.niaid.nih.gov/transcriptome/T_rubida/S2/links/SWISSP/Triru-184-SWISSP.txt","Chondroitin sulfate synthase 2")</f>
        <v>Chondroitin sulfate synthase 2</v>
      </c>
      <c r="AQ358" t="str">
        <f>HYPERLINK("http://www.uniprot.org/uniprot/Q6IQX7","16")</f>
        <v>16</v>
      </c>
      <c r="AR358" t="s">
        <v>929</v>
      </c>
      <c r="AS358">
        <v>28.1</v>
      </c>
      <c r="AT358">
        <v>32</v>
      </c>
      <c r="AU358">
        <v>774</v>
      </c>
      <c r="AV358">
        <v>39</v>
      </c>
      <c r="AW358">
        <v>4</v>
      </c>
      <c r="AX358">
        <v>20</v>
      </c>
      <c r="AY358">
        <v>0</v>
      </c>
      <c r="AZ358">
        <v>579</v>
      </c>
      <c r="BA358">
        <v>11</v>
      </c>
      <c r="BB358">
        <v>1</v>
      </c>
      <c r="BC358" t="s">
        <v>75</v>
      </c>
      <c r="BD358" s="2" t="s">
        <v>5</v>
      </c>
      <c r="BE358" t="s">
        <v>5</v>
      </c>
      <c r="BF358" t="s">
        <v>5</v>
      </c>
      <c r="BG358" t="s">
        <v>5</v>
      </c>
      <c r="BH358" t="s">
        <v>5</v>
      </c>
      <c r="BI358" s="2" t="str">
        <f>HYPERLINK("http://exon.niaid.nih.gov/transcriptome/T_rubida/S2/links/CDD/Triru-184-CDD.txt","DUF1836")</f>
        <v>DUF1836</v>
      </c>
      <c r="BJ358" t="str">
        <f>HYPERLINK("http://www.ncbi.nlm.nih.gov/Structure/cdd/cddsrv.cgi?uid=pfam08876&amp;version=v4.0","8.8")</f>
        <v>8.8</v>
      </c>
      <c r="BK358" t="s">
        <v>930</v>
      </c>
      <c r="BL358" s="2" t="s">
        <v>5</v>
      </c>
      <c r="BM358" t="s">
        <v>5</v>
      </c>
      <c r="BN358" t="s">
        <v>5</v>
      </c>
      <c r="BO358" s="2" t="str">
        <f>HYPERLINK("http://exon.niaid.nih.gov/transcriptome/T_rubida/S2/links/PFAM/Triru-184-PFAM.txt","DUF1836")</f>
        <v>DUF1836</v>
      </c>
      <c r="BP358" t="str">
        <f>HYPERLINK("http://pfam.sanger.ac.uk/family?acc=PF08876","1.9")</f>
        <v>1.9</v>
      </c>
      <c r="BQ358" s="2" t="str">
        <f>HYPERLINK("http://exon.niaid.nih.gov/transcriptome/T_rubida/S2/links/SMART/Triru-184-SMART.txt","IL10")</f>
        <v>IL10</v>
      </c>
      <c r="BR358" t="str">
        <f>HYPERLINK("http://smart.embl-heidelberg.de/smart/do_annotation.pl?DOMAIN=IL10&amp;BLAST=DUMMY","3.4")</f>
        <v>3.4</v>
      </c>
      <c r="BS358" s="17">
        <f>HYPERLINK("http://exon.niaid.nih.gov/transcriptome/T_rubida/S2/links/cluster/Triru-pep-ext25-50-Sim-CLU1.txt", 1)</f>
        <v>1</v>
      </c>
      <c r="BT358" s="1">
        <f>HYPERLINK("http://exon.niaid.nih.gov/transcriptome/T_rubida/S2/links/cluster/Triru-pep-ext25-50-Sim-CLTL1.txt", 359)</f>
        <v>359</v>
      </c>
      <c r="BU358" s="17">
        <v>96</v>
      </c>
      <c r="BV358" s="1">
        <v>1</v>
      </c>
      <c r="BW358" s="17">
        <v>109</v>
      </c>
      <c r="BX358" s="1">
        <v>1</v>
      </c>
      <c r="BY358" s="17">
        <v>113</v>
      </c>
      <c r="BZ358" s="1">
        <v>1</v>
      </c>
      <c r="CA358" s="17">
        <v>113</v>
      </c>
      <c r="CB358" s="1">
        <v>1</v>
      </c>
      <c r="CC358" s="17">
        <v>115</v>
      </c>
      <c r="CD358" s="1">
        <v>1</v>
      </c>
      <c r="CE358" s="17">
        <v>111</v>
      </c>
      <c r="CF358" s="1">
        <v>1</v>
      </c>
      <c r="CG358" s="17">
        <v>112</v>
      </c>
      <c r="CH358" s="1">
        <v>1</v>
      </c>
      <c r="CI358" s="17">
        <v>118</v>
      </c>
      <c r="CJ358" s="1">
        <v>1</v>
      </c>
      <c r="CK358" s="17">
        <v>123</v>
      </c>
      <c r="CL358" s="1">
        <v>1</v>
      </c>
      <c r="CM358" s="17">
        <v>129</v>
      </c>
      <c r="CN358" s="1">
        <v>1</v>
      </c>
      <c r="CO358" s="17">
        <v>139</v>
      </c>
      <c r="CP358" s="1">
        <v>1</v>
      </c>
      <c r="CQ358" s="17">
        <v>149</v>
      </c>
      <c r="CR358" s="1">
        <v>1</v>
      </c>
      <c r="CS358" s="17">
        <v>154</v>
      </c>
      <c r="CT358" s="1">
        <v>1</v>
      </c>
      <c r="CU358" s="17">
        <v>165</v>
      </c>
      <c r="CV358" s="1">
        <v>1</v>
      </c>
    </row>
    <row r="359" spans="1:100">
      <c r="A359" t="str">
        <f>HYPERLINK("http://exon.niaid.nih.gov/transcriptome/T_rubida/S2/links/pep/Triru-192-pep.txt","Triru-192")</f>
        <v>Triru-192</v>
      </c>
      <c r="B359">
        <v>35</v>
      </c>
      <c r="C359" s="1" t="s">
        <v>8</v>
      </c>
      <c r="D359" s="1" t="s">
        <v>3</v>
      </c>
      <c r="E359" t="str">
        <f>HYPERLINK("http://exon.niaid.nih.gov/transcriptome/T_rubida/S2/links/cds/Triru-192-cds.txt","Triru-192")</f>
        <v>Triru-192</v>
      </c>
      <c r="F359">
        <v>108</v>
      </c>
      <c r="G359" s="2" t="s">
        <v>1737</v>
      </c>
      <c r="H359" s="1">
        <v>1</v>
      </c>
      <c r="I359" s="3" t="s">
        <v>1266</v>
      </c>
      <c r="J359" s="17" t="str">
        <f>HYPERLINK("http://exon.niaid.nih.gov/transcriptome/T_rubida/S2/links/Sigp/Triru-192-SigP.txt","CYT")</f>
        <v>CYT</v>
      </c>
      <c r="K359" t="s">
        <v>5</v>
      </c>
      <c r="L359" s="1">
        <v>4.2439999999999998</v>
      </c>
      <c r="M359" s="1">
        <v>8.9</v>
      </c>
      <c r="P359" s="1">
        <v>0.13500000000000001</v>
      </c>
      <c r="Q359" s="1">
        <v>0.33900000000000002</v>
      </c>
      <c r="R359" s="1">
        <v>0.438</v>
      </c>
      <c r="S359" s="17" t="s">
        <v>1346</v>
      </c>
      <c r="T359">
        <v>5</v>
      </c>
      <c r="U359" t="s">
        <v>1524</v>
      </c>
      <c r="V359" s="17">
        <v>0</v>
      </c>
      <c r="W359" t="s">
        <v>5</v>
      </c>
      <c r="X359" t="s">
        <v>5</v>
      </c>
      <c r="Y359" t="s">
        <v>5</v>
      </c>
      <c r="Z359" t="s">
        <v>5</v>
      </c>
      <c r="AA359" t="s">
        <v>5</v>
      </c>
      <c r="AB359" s="17" t="str">
        <f>HYPERLINK("http://exon.niaid.nih.gov/transcriptome/T_rubida/S2/links/netoglyc/TRIRU-192-netoglyc.txt","0")</f>
        <v>0</v>
      </c>
      <c r="AC359">
        <v>11.4</v>
      </c>
      <c r="AD359">
        <v>2.9</v>
      </c>
      <c r="AE359">
        <v>2.9</v>
      </c>
      <c r="AF359" s="17" t="s">
        <v>5</v>
      </c>
      <c r="AG359" s="2" t="str">
        <f>HYPERLINK("http://exon.niaid.nih.gov/transcriptome/T_rubida/S2/links/NR/Triru-192-NR.txt","predicted protein")</f>
        <v>predicted protein</v>
      </c>
      <c r="AH359" t="str">
        <f>HYPERLINK("http://www.ncbi.nlm.nih.gov/sutils/blink.cgi?pid=224095766","89")</f>
        <v>89</v>
      </c>
      <c r="AI359" t="str">
        <f>HYPERLINK("http://www.ncbi.nlm.nih.gov/protein/224095766","gi|224095766")</f>
        <v>gi|224095766</v>
      </c>
      <c r="AJ359">
        <v>30.4</v>
      </c>
      <c r="AK359">
        <v>27</v>
      </c>
      <c r="AL359">
        <v>245</v>
      </c>
      <c r="AM359">
        <v>50</v>
      </c>
      <c r="AN359">
        <v>11</v>
      </c>
      <c r="AO359" t="s">
        <v>373</v>
      </c>
      <c r="AP359" s="2" t="s">
        <v>5</v>
      </c>
      <c r="AQ359" t="s">
        <v>5</v>
      </c>
      <c r="AR359" t="s">
        <v>5</v>
      </c>
      <c r="AS359" t="s">
        <v>5</v>
      </c>
      <c r="AT359" t="s">
        <v>5</v>
      </c>
      <c r="AU359" t="s">
        <v>5</v>
      </c>
      <c r="AV359" t="s">
        <v>5</v>
      </c>
      <c r="AW359" t="s">
        <v>5</v>
      </c>
      <c r="AX359" t="s">
        <v>5</v>
      </c>
      <c r="AY359" t="s">
        <v>5</v>
      </c>
      <c r="AZ359" t="s">
        <v>5</v>
      </c>
      <c r="BA359" t="s">
        <v>5</v>
      </c>
      <c r="BB359" t="s">
        <v>5</v>
      </c>
      <c r="BC359" t="s">
        <v>5</v>
      </c>
      <c r="BD359" s="2" t="s">
        <v>5</v>
      </c>
      <c r="BE359" t="s">
        <v>5</v>
      </c>
      <c r="BF359" t="s">
        <v>5</v>
      </c>
      <c r="BG359" t="s">
        <v>5</v>
      </c>
      <c r="BH359" t="s">
        <v>5</v>
      </c>
      <c r="BI359" s="2" t="str">
        <f>HYPERLINK("http://exon.niaid.nih.gov/transcriptome/T_rubida/S2/links/CDD/Triru-192-CDD.txt","PLN03189")</f>
        <v>PLN03189</v>
      </c>
      <c r="BJ359" t="str">
        <f>HYPERLINK("http://www.ncbi.nlm.nih.gov/Structure/cdd/cddsrv.cgi?uid=PLN03189&amp;version=v4.0","8.6")</f>
        <v>8.6</v>
      </c>
      <c r="BK359" t="s">
        <v>374</v>
      </c>
      <c r="BL359" s="2" t="str">
        <f>HYPERLINK("http://exon.niaid.nih.gov/transcriptome/T_rubida/S2/links/KOG/Triru-192-KOG.txt","Epidermal growth factor receptor EGFR and related tyrosine kinases")</f>
        <v>Epidermal growth factor receptor EGFR and related tyrosine kinases</v>
      </c>
      <c r="BM359" t="str">
        <f>HYPERLINK("http://www.ncbi.nlm.nih.gov/COG/grace/shokog.cgi?KOG1025","6.3")</f>
        <v>6.3</v>
      </c>
      <c r="BN359" t="s">
        <v>179</v>
      </c>
      <c r="BO359" s="2" t="s">
        <v>5</v>
      </c>
      <c r="BP359" t="s">
        <v>5</v>
      </c>
      <c r="BQ359" s="2" t="str">
        <f>HYPERLINK("http://exon.niaid.nih.gov/transcriptome/T_rubida/S2/links/SMART/Triru-192-SMART.txt","Trans_reg_C")</f>
        <v>Trans_reg_C</v>
      </c>
      <c r="BR359" t="str">
        <f>HYPERLINK("http://smart.embl-heidelberg.de/smart/do_annotation.pl?DOMAIN=Trans_reg_C&amp;BLAST=DUMMY","0.86")</f>
        <v>0.86</v>
      </c>
      <c r="BS359" s="17">
        <f>HYPERLINK("http://exon.niaid.nih.gov/transcriptome/T_rubida/S2/links/cluster/Triru-pep-ext25-50-Sim-CLU1.txt", 1)</f>
        <v>1</v>
      </c>
      <c r="BT359" s="1">
        <f>HYPERLINK("http://exon.niaid.nih.gov/transcriptome/T_rubida/S2/links/cluster/Triru-pep-ext25-50-Sim-CLTL1.txt", 359)</f>
        <v>359</v>
      </c>
      <c r="BU359" s="17">
        <f>HYPERLINK("http://exon.niaid.nih.gov/transcriptome/T_rubida/S2/links/cluster/Triru-pep-ext30-50-Sim-CLU1.txt", 1)</f>
        <v>1</v>
      </c>
      <c r="BV359" s="1">
        <f>HYPERLINK("http://exon.niaid.nih.gov/transcriptome/T_rubida/S2/links/cluster/Triru-pep-ext30-50-Sim-CLTL1.txt", 225)</f>
        <v>225</v>
      </c>
      <c r="BW359" s="17">
        <f>HYPERLINK("http://exon.niaid.nih.gov/transcriptome/T_rubida/S2/links/cluster/Triru-pep-ext35-50-Sim-CLU1.txt", 1)</f>
        <v>1</v>
      </c>
      <c r="BX359" s="1">
        <f>HYPERLINK("http://exon.niaid.nih.gov/transcriptome/T_rubida/S2/links/cluster/Triru-pep-ext35-50-Sim-CLTL1.txt", 75)</f>
        <v>75</v>
      </c>
      <c r="BY359" s="17">
        <f>HYPERLINK("http://exon.niaid.nih.gov/transcriptome/T_rubida/S2/links/cluster/Triru-pep-ext40-50-Sim-CLU2.txt", 2)</f>
        <v>2</v>
      </c>
      <c r="BZ359" s="1">
        <f>HYPERLINK("http://exon.niaid.nih.gov/transcriptome/T_rubida/S2/links/cluster/Triru-pep-ext40-50-Sim-CLTL2.txt", 42)</f>
        <v>42</v>
      </c>
      <c r="CA359" s="17">
        <f>HYPERLINK("http://exon.niaid.nih.gov/transcriptome/T_rubida/S2/links/cluster/Triru-pep-ext45-50-Sim-CLU11.txt", 11)</f>
        <v>11</v>
      </c>
      <c r="CB359" s="1">
        <f>HYPERLINK("http://exon.niaid.nih.gov/transcriptome/T_rubida/S2/links/cluster/Triru-pep-ext45-50-Sim-CLTL11.txt", 2)</f>
        <v>2</v>
      </c>
      <c r="CC359" s="17">
        <v>120</v>
      </c>
      <c r="CD359" s="1">
        <v>1</v>
      </c>
      <c r="CE359" s="17">
        <v>117</v>
      </c>
      <c r="CF359" s="1">
        <v>1</v>
      </c>
      <c r="CG359" s="17">
        <v>118</v>
      </c>
      <c r="CH359" s="1">
        <v>1</v>
      </c>
      <c r="CI359" s="17">
        <v>124</v>
      </c>
      <c r="CJ359" s="1">
        <v>1</v>
      </c>
      <c r="CK359" s="17">
        <v>129</v>
      </c>
      <c r="CL359" s="1">
        <v>1</v>
      </c>
      <c r="CM359" s="17">
        <v>135</v>
      </c>
      <c r="CN359" s="1">
        <v>1</v>
      </c>
      <c r="CO359" s="17">
        <v>145</v>
      </c>
      <c r="CP359" s="1">
        <v>1</v>
      </c>
      <c r="CQ359" s="17">
        <v>155</v>
      </c>
      <c r="CR359" s="1">
        <v>1</v>
      </c>
      <c r="CS359" s="17">
        <v>160</v>
      </c>
      <c r="CT359" s="1">
        <v>1</v>
      </c>
      <c r="CU359" s="17">
        <v>171</v>
      </c>
      <c r="CV359" s="1">
        <v>1</v>
      </c>
    </row>
    <row r="360" spans="1:100">
      <c r="A360" t="str">
        <f>HYPERLINK("http://exon.niaid.nih.gov/transcriptome/T_rubida/S2/links/pep/Triru-201-pep.txt","Triru-201")</f>
        <v>Triru-201</v>
      </c>
      <c r="B360">
        <v>29</v>
      </c>
      <c r="C360" s="1" t="s">
        <v>11</v>
      </c>
      <c r="D360" s="1" t="s">
        <v>3</v>
      </c>
      <c r="E360" t="str">
        <f>HYPERLINK("http://exon.niaid.nih.gov/transcriptome/T_rubida/S2/links/cds/Triru-201-cds.txt","Triru-201")</f>
        <v>Triru-201</v>
      </c>
      <c r="F360">
        <v>90</v>
      </c>
      <c r="G360" s="2" t="s">
        <v>1805</v>
      </c>
      <c r="H360" s="1">
        <v>1</v>
      </c>
      <c r="I360" s="3" t="s">
        <v>1266</v>
      </c>
      <c r="J360" s="17" t="str">
        <f>HYPERLINK("http://exon.niaid.nih.gov/transcriptome/T_rubida/S2/links/Sigp/Triru-201-SigP.txt","CYT")</f>
        <v>CYT</v>
      </c>
      <c r="K360" t="s">
        <v>5</v>
      </c>
      <c r="L360" s="1">
        <v>3.7330000000000001</v>
      </c>
      <c r="M360" s="1">
        <v>9.31</v>
      </c>
      <c r="P360" s="1">
        <v>0.124</v>
      </c>
      <c r="Q360" s="1">
        <v>0.153</v>
      </c>
      <c r="R360" s="1">
        <v>0.77200000000000002</v>
      </c>
      <c r="S360" s="17" t="s">
        <v>1346</v>
      </c>
      <c r="T360">
        <v>2</v>
      </c>
      <c r="U360" t="s">
        <v>1525</v>
      </c>
      <c r="V360" s="17">
        <v>0</v>
      </c>
      <c r="W360" t="s">
        <v>5</v>
      </c>
      <c r="X360" t="s">
        <v>5</v>
      </c>
      <c r="Y360" t="s">
        <v>5</v>
      </c>
      <c r="Z360" t="s">
        <v>5</v>
      </c>
      <c r="AA360" t="s">
        <v>5</v>
      </c>
      <c r="AB360" s="17" t="str">
        <f>HYPERLINK("http://exon.niaid.nih.gov/transcriptome/T_rubida/S2/links/netoglyc/TRIRU-201-netoglyc.txt","0")</f>
        <v>0</v>
      </c>
      <c r="AC360">
        <v>3.4</v>
      </c>
      <c r="AD360" t="s">
        <v>1417</v>
      </c>
      <c r="AE360" t="s">
        <v>1394</v>
      </c>
      <c r="AF360" s="17" t="s">
        <v>5</v>
      </c>
      <c r="AG360" s="2" t="str">
        <f>HYPERLINK("http://exon.niaid.nih.gov/transcriptome/T_rubida/S2/links/NR/Triru-201-NR.txt","maturase K")</f>
        <v>maturase K</v>
      </c>
      <c r="AH360" t="str">
        <f>HYPERLINK("http://www.ncbi.nlm.nih.gov/sutils/blink.cgi?pid=167889977","87")</f>
        <v>87</v>
      </c>
      <c r="AI360" t="str">
        <f>HYPERLINK("http://www.ncbi.nlm.nih.gov/protein/167889977","gi|167889977")</f>
        <v>gi|167889977</v>
      </c>
      <c r="AJ360">
        <v>30.4</v>
      </c>
      <c r="AK360">
        <v>26</v>
      </c>
      <c r="AL360">
        <v>245</v>
      </c>
      <c r="AM360">
        <v>37</v>
      </c>
      <c r="AN360">
        <v>11</v>
      </c>
      <c r="AO360" t="s">
        <v>1249</v>
      </c>
      <c r="AP360" s="2" t="str">
        <f>HYPERLINK("http://exon.niaid.nih.gov/transcriptome/T_rubida/S2/links/SWISSP/Triru-201-SWISSP.txt","Maturase K")</f>
        <v>Maturase K</v>
      </c>
      <c r="AQ360" t="str">
        <f>HYPERLINK("http://www.uniprot.org/uniprot/Q3BAR2","28")</f>
        <v>28</v>
      </c>
      <c r="AR360" t="s">
        <v>1250</v>
      </c>
      <c r="AS360">
        <v>27.3</v>
      </c>
      <c r="AT360">
        <v>26</v>
      </c>
      <c r="AU360">
        <v>446</v>
      </c>
      <c r="AV360">
        <v>37</v>
      </c>
      <c r="AW360">
        <v>6</v>
      </c>
      <c r="AX360">
        <v>17</v>
      </c>
      <c r="AY360">
        <v>0</v>
      </c>
      <c r="AZ360">
        <v>193</v>
      </c>
      <c r="BA360">
        <v>2</v>
      </c>
      <c r="BB360">
        <v>1</v>
      </c>
      <c r="BC360" t="s">
        <v>1251</v>
      </c>
      <c r="BD360" s="2" t="s">
        <v>5</v>
      </c>
      <c r="BE360" t="s">
        <v>5</v>
      </c>
      <c r="BF360" t="s">
        <v>5</v>
      </c>
      <c r="BG360" t="s">
        <v>5</v>
      </c>
      <c r="BH360" t="s">
        <v>5</v>
      </c>
      <c r="BI360" s="2" t="s">
        <v>5</v>
      </c>
      <c r="BJ360" t="s">
        <v>5</v>
      </c>
      <c r="BK360" t="s">
        <v>5</v>
      </c>
      <c r="BL360" s="2" t="s">
        <v>5</v>
      </c>
      <c r="BM360" t="s">
        <v>5</v>
      </c>
      <c r="BN360" t="s">
        <v>5</v>
      </c>
      <c r="BO360" s="2" t="str">
        <f>HYPERLINK("http://exon.niaid.nih.gov/transcriptome/T_rubida/S2/links/PFAM/Triru-201-PFAM.txt","Ribophorin_II")</f>
        <v>Ribophorin_II</v>
      </c>
      <c r="BP360" t="str">
        <f>HYPERLINK("http://pfam.sanger.ac.uk/family?acc=PF05817","7.9")</f>
        <v>7.9</v>
      </c>
      <c r="BQ360" s="2" t="str">
        <f>HYPERLINK("http://exon.niaid.nih.gov/transcriptome/T_rubida/S2/links/SMART/Triru-201-SMART.txt","Galanin")</f>
        <v>Galanin</v>
      </c>
      <c r="BR360" t="str">
        <f>HYPERLINK("http://smart.embl-heidelberg.de/smart/do_annotation.pl?DOMAIN=Galanin&amp;BLAST=DUMMY","0.036")</f>
        <v>0.036</v>
      </c>
      <c r="BS360" s="17">
        <f>HYPERLINK("http://exon.niaid.nih.gov/transcriptome/T_rubida/S2/links/cluster/Triru-pep-ext25-50-Sim-CLU1.txt", 1)</f>
        <v>1</v>
      </c>
      <c r="BT360" s="1">
        <f>HYPERLINK("http://exon.niaid.nih.gov/transcriptome/T_rubida/S2/links/cluster/Triru-pep-ext25-50-Sim-CLTL1.txt", 359)</f>
        <v>359</v>
      </c>
      <c r="BU360" s="17">
        <f>HYPERLINK("http://exon.niaid.nih.gov/transcriptome/T_rubida/S2/links/cluster/Triru-pep-ext30-50-Sim-CLU1.txt", 1)</f>
        <v>1</v>
      </c>
      <c r="BV360" s="1">
        <f>HYPERLINK("http://exon.niaid.nih.gov/transcriptome/T_rubida/S2/links/cluster/Triru-pep-ext30-50-Sim-CLTL1.txt", 225)</f>
        <v>225</v>
      </c>
      <c r="BW360" s="17">
        <f>HYPERLINK("http://exon.niaid.nih.gov/transcriptome/T_rubida/S2/links/cluster/Triru-pep-ext35-50-Sim-CLU1.txt", 1)</f>
        <v>1</v>
      </c>
      <c r="BX360" s="1">
        <f>HYPERLINK("http://exon.niaid.nih.gov/transcriptome/T_rubida/S2/links/cluster/Triru-pep-ext35-50-Sim-CLTL1.txt", 75)</f>
        <v>75</v>
      </c>
      <c r="BY360" s="17">
        <f>HYPERLINK("http://exon.niaid.nih.gov/transcriptome/T_rubida/S2/links/cluster/Triru-pep-ext40-50-Sim-CLU5.txt", 5)</f>
        <v>5</v>
      </c>
      <c r="BZ360" s="1">
        <f>HYPERLINK("http://exon.niaid.nih.gov/transcriptome/T_rubida/S2/links/cluster/Triru-pep-ext40-50-Sim-CLTL5.txt", 4)</f>
        <v>4</v>
      </c>
      <c r="CA360" s="17">
        <f>HYPERLINK("http://exon.niaid.nih.gov/transcriptome/T_rubida/S2/links/cluster/Triru-pep-ext45-50-Sim-CLU14.txt", 14)</f>
        <v>14</v>
      </c>
      <c r="CB360" s="1">
        <f>HYPERLINK("http://exon.niaid.nih.gov/transcriptome/T_rubida/S2/links/cluster/Triru-pep-ext45-50-Sim-CLTL14.txt", 2)</f>
        <v>2</v>
      </c>
      <c r="CC360" s="17">
        <f>HYPERLINK("http://exon.niaid.nih.gov/transcriptome/T_rubida/S2/links/cluster/Triru-pep-ext50-50-Sim-CLU14.txt", 14)</f>
        <v>14</v>
      </c>
      <c r="CD360" s="1">
        <f>HYPERLINK("http://exon.niaid.nih.gov/transcriptome/T_rubida/S2/links/cluster/Triru-pep-ext50-50-Sim-CLTL14.txt", 2)</f>
        <v>2</v>
      </c>
      <c r="CE360" s="17">
        <v>122</v>
      </c>
      <c r="CF360" s="1">
        <v>1</v>
      </c>
      <c r="CG360" s="17">
        <v>123</v>
      </c>
      <c r="CH360" s="1">
        <v>1</v>
      </c>
      <c r="CI360" s="17">
        <v>129</v>
      </c>
      <c r="CJ360" s="1">
        <v>1</v>
      </c>
      <c r="CK360" s="17">
        <v>134</v>
      </c>
      <c r="CL360" s="1">
        <v>1</v>
      </c>
      <c r="CM360" s="17">
        <v>140</v>
      </c>
      <c r="CN360" s="1">
        <v>1</v>
      </c>
      <c r="CO360" s="17">
        <v>150</v>
      </c>
      <c r="CP360" s="1">
        <v>1</v>
      </c>
      <c r="CQ360" s="17">
        <v>160</v>
      </c>
      <c r="CR360" s="1">
        <v>1</v>
      </c>
      <c r="CS360" s="17">
        <v>165</v>
      </c>
      <c r="CT360" s="1">
        <v>1</v>
      </c>
      <c r="CU360" s="17">
        <v>176</v>
      </c>
      <c r="CV360" s="1">
        <v>1</v>
      </c>
    </row>
    <row r="361" spans="1:100">
      <c r="A361" t="str">
        <f>HYPERLINK("http://exon.niaid.nih.gov/transcriptome/T_rubida/S2/links/pep/Triru-338-pep.txt","Triru-338")</f>
        <v>Triru-338</v>
      </c>
      <c r="B361">
        <v>41</v>
      </c>
      <c r="C361" s="1" t="s">
        <v>6</v>
      </c>
      <c r="D361" s="1" t="s">
        <v>3</v>
      </c>
      <c r="E361" t="str">
        <f>HYPERLINK("http://exon.niaid.nih.gov/transcriptome/T_rubida/S2/links/cds/Triru-338-cds.txt","Triru-338")</f>
        <v>Triru-338</v>
      </c>
      <c r="F361">
        <v>126</v>
      </c>
      <c r="G361" s="2" t="s">
        <v>1807</v>
      </c>
      <c r="H361" s="1">
        <v>1</v>
      </c>
      <c r="I361" s="3" t="s">
        <v>1266</v>
      </c>
      <c r="J361" s="17" t="str">
        <f>HYPERLINK("http://exon.niaid.nih.gov/transcriptome/T_rubida/S2/links/Sigp/Triru-338-SigP.txt","CYT")</f>
        <v>CYT</v>
      </c>
      <c r="K361" t="s">
        <v>5</v>
      </c>
      <c r="L361" s="1">
        <v>4.5549999999999997</v>
      </c>
      <c r="M361" s="1">
        <v>9.06</v>
      </c>
      <c r="P361" s="1">
        <v>0.111</v>
      </c>
      <c r="Q361" s="1">
        <v>0.1</v>
      </c>
      <c r="R361" s="1">
        <v>0.80400000000000005</v>
      </c>
      <c r="S361" s="17" t="s">
        <v>1346</v>
      </c>
      <c r="T361">
        <v>2</v>
      </c>
      <c r="U361" t="s">
        <v>1379</v>
      </c>
      <c r="V361" s="17">
        <v>0</v>
      </c>
      <c r="W361" t="s">
        <v>5</v>
      </c>
      <c r="X361" t="s">
        <v>5</v>
      </c>
      <c r="Y361" t="s">
        <v>5</v>
      </c>
      <c r="Z361" t="s">
        <v>5</v>
      </c>
      <c r="AA361" t="s">
        <v>5</v>
      </c>
      <c r="AB361" s="17" t="str">
        <f>HYPERLINK("http://exon.niaid.nih.gov/transcriptome/T_rubida/S2/links/netoglyc/TRIRU-338-netoglyc.txt","2")</f>
        <v>2</v>
      </c>
      <c r="AC361">
        <v>24.4</v>
      </c>
      <c r="AD361">
        <v>9.8000000000000007</v>
      </c>
      <c r="AE361">
        <v>2.4</v>
      </c>
      <c r="AF361" s="17" t="s">
        <v>5</v>
      </c>
      <c r="AG361" s="2" t="str">
        <f>HYPERLINK("http://exon.niaid.nih.gov/transcriptome/T_rubida/S2/links/NR/Triru-338-NR.txt","unnamed protein product")</f>
        <v>unnamed protein product</v>
      </c>
      <c r="AH361" t="str">
        <f>HYPERLINK("http://www.ncbi.nlm.nih.gov/sutils/blink.cgi?pid=47213190","18")</f>
        <v>18</v>
      </c>
      <c r="AI361" t="str">
        <f>HYPERLINK("http://www.ncbi.nlm.nih.gov/protein/47213190","gi|47213190")</f>
        <v>gi|47213190</v>
      </c>
      <c r="AJ361">
        <v>32.700000000000003</v>
      </c>
      <c r="AK361">
        <v>31</v>
      </c>
      <c r="AL361">
        <v>283</v>
      </c>
      <c r="AM361">
        <v>37</v>
      </c>
      <c r="AN361">
        <v>11</v>
      </c>
      <c r="AO361" t="s">
        <v>435</v>
      </c>
      <c r="AP361" s="2" t="s">
        <v>5</v>
      </c>
      <c r="AQ361" t="s">
        <v>5</v>
      </c>
      <c r="AR361" t="s">
        <v>5</v>
      </c>
      <c r="AS361" t="s">
        <v>5</v>
      </c>
      <c r="AT361" t="s">
        <v>5</v>
      </c>
      <c r="AU361" t="s">
        <v>5</v>
      </c>
      <c r="AV361" t="s">
        <v>5</v>
      </c>
      <c r="AW361" t="s">
        <v>5</v>
      </c>
      <c r="AX361" t="s">
        <v>5</v>
      </c>
      <c r="AY361" t="s">
        <v>5</v>
      </c>
      <c r="AZ361" t="s">
        <v>5</v>
      </c>
      <c r="BA361" t="s">
        <v>5</v>
      </c>
      <c r="BB361" t="s">
        <v>5</v>
      </c>
      <c r="BC361" t="s">
        <v>5</v>
      </c>
      <c r="BD361" s="2" t="s">
        <v>5</v>
      </c>
      <c r="BE361" t="s">
        <v>5</v>
      </c>
      <c r="BF361" t="s">
        <v>5</v>
      </c>
      <c r="BG361" t="s">
        <v>5</v>
      </c>
      <c r="BH361" t="s">
        <v>5</v>
      </c>
      <c r="BI361" s="2" t="s">
        <v>5</v>
      </c>
      <c r="BJ361" t="s">
        <v>5</v>
      </c>
      <c r="BK361" t="s">
        <v>5</v>
      </c>
      <c r="BL361" s="2" t="s">
        <v>5</v>
      </c>
      <c r="BM361" t="s">
        <v>5</v>
      </c>
      <c r="BN361" t="s">
        <v>5</v>
      </c>
      <c r="BO361" s="2" t="s">
        <v>5</v>
      </c>
      <c r="BP361" t="s">
        <v>5</v>
      </c>
      <c r="BQ361" s="2" t="str">
        <f>HYPERLINK("http://exon.niaid.nih.gov/transcriptome/T_rubida/S2/links/SMART/Triru-338-SMART.txt","IPPc")</f>
        <v>IPPc</v>
      </c>
      <c r="BR361" t="str">
        <f>HYPERLINK("http://smart.embl-heidelberg.de/smart/do_annotation.pl?DOMAIN=IPPc&amp;BLAST=DUMMY","5.7")</f>
        <v>5.7</v>
      </c>
      <c r="BS361" s="17">
        <v>100</v>
      </c>
      <c r="BT361" s="1">
        <v>1</v>
      </c>
      <c r="BU361" s="17">
        <v>157</v>
      </c>
      <c r="BV361" s="1">
        <v>1</v>
      </c>
      <c r="BW361" s="17">
        <v>190</v>
      </c>
      <c r="BX361" s="1">
        <v>1</v>
      </c>
      <c r="BY361" s="17">
        <v>202</v>
      </c>
      <c r="BZ361" s="1">
        <v>1</v>
      </c>
      <c r="CA361" s="17">
        <v>208</v>
      </c>
      <c r="CB361" s="1">
        <v>1</v>
      </c>
      <c r="CC361" s="17">
        <v>213</v>
      </c>
      <c r="CD361" s="1">
        <v>1</v>
      </c>
      <c r="CE361" s="17">
        <v>219</v>
      </c>
      <c r="CF361" s="1">
        <v>1</v>
      </c>
      <c r="CG361" s="17">
        <v>221</v>
      </c>
      <c r="CH361" s="1">
        <v>1</v>
      </c>
      <c r="CI361" s="17">
        <v>231</v>
      </c>
      <c r="CJ361" s="1">
        <v>1</v>
      </c>
      <c r="CK361" s="17">
        <v>236</v>
      </c>
      <c r="CL361" s="1">
        <v>1</v>
      </c>
      <c r="CM361" s="17">
        <v>243</v>
      </c>
      <c r="CN361" s="1">
        <v>1</v>
      </c>
      <c r="CO361" s="17">
        <v>254</v>
      </c>
      <c r="CP361" s="1">
        <v>1</v>
      </c>
      <c r="CQ361" s="17">
        <v>264</v>
      </c>
      <c r="CR361" s="1">
        <v>1</v>
      </c>
      <c r="CS361" s="17">
        <v>274</v>
      </c>
      <c r="CT361" s="1">
        <v>1</v>
      </c>
      <c r="CU361" s="17">
        <v>285</v>
      </c>
      <c r="CV361" s="1">
        <v>1</v>
      </c>
    </row>
    <row r="362" spans="1:100">
      <c r="A362" t="str">
        <f>HYPERLINK("http://exon.niaid.nih.gov/transcriptome/T_rubida/S2/links/pep/Triru-636-pep.txt","Triru-636")</f>
        <v>Triru-636</v>
      </c>
      <c r="B362">
        <v>39</v>
      </c>
      <c r="C362" s="1" t="s">
        <v>8</v>
      </c>
      <c r="D362" s="1" t="s">
        <v>3</v>
      </c>
      <c r="E362" t="str">
        <f>HYPERLINK("http://exon.niaid.nih.gov/transcriptome/T_rubida/S2/links/cds/Triru-636-cds.txt","Triru-636")</f>
        <v>Triru-636</v>
      </c>
      <c r="F362">
        <v>120</v>
      </c>
      <c r="G362" s="2" t="s">
        <v>1808</v>
      </c>
      <c r="H362" s="1">
        <v>1</v>
      </c>
      <c r="I362" s="3" t="s">
        <v>1266</v>
      </c>
      <c r="J362" s="17" t="str">
        <f>HYPERLINK("http://exon.niaid.nih.gov/transcriptome/T_rubida/S2/links/Sigp/Triru-636-SigP.txt","CYT")</f>
        <v>CYT</v>
      </c>
      <c r="K362" t="s">
        <v>5</v>
      </c>
      <c r="L362" s="1">
        <v>5.08</v>
      </c>
      <c r="M362" s="1">
        <v>8.99</v>
      </c>
      <c r="P362" s="1">
        <v>2.3E-2</v>
      </c>
      <c r="Q362" s="1">
        <v>0.95699999999999996</v>
      </c>
      <c r="R362" s="1">
        <v>4.2000000000000003E-2</v>
      </c>
      <c r="S362" s="17" t="s">
        <v>18</v>
      </c>
      <c r="T362">
        <v>1</v>
      </c>
      <c r="U362" t="s">
        <v>1527</v>
      </c>
      <c r="V362" s="17" t="str">
        <f>HYPERLINK("http://exon.niaid.nih.gov/transcriptome/T_rubida/S2/links/tmhmm/TRIRU-636-tmhmm.txt","1")</f>
        <v>1</v>
      </c>
      <c r="W362">
        <v>46.2</v>
      </c>
      <c r="X362">
        <v>10.3</v>
      </c>
      <c r="Y362">
        <v>43.6</v>
      </c>
      <c r="Z362" t="s">
        <v>5</v>
      </c>
      <c r="AA362">
        <v>17</v>
      </c>
      <c r="AB362" s="17" t="str">
        <f>HYPERLINK("http://exon.niaid.nih.gov/transcriptome/T_rubida/S2/links/netoglyc/TRIRU-636-netoglyc.txt","0")</f>
        <v>0</v>
      </c>
      <c r="AC362">
        <v>7.7</v>
      </c>
      <c r="AD362" t="s">
        <v>1417</v>
      </c>
      <c r="AE362" t="s">
        <v>1394</v>
      </c>
      <c r="AF362" s="17" t="s">
        <v>5</v>
      </c>
      <c r="AG362" s="2" t="str">
        <f>HYPERLINK("http://exon.niaid.nih.gov/transcriptome/T_rubida/S2/links/NR/Triru-636-NR.txt","hypothetical protein IMG5_156990")</f>
        <v>hypothetical protein IMG5_156990</v>
      </c>
      <c r="AH362" t="str">
        <f>HYPERLINK("http://www.ncbi.nlm.nih.gov/sutils/blink.cgi?pid=340502713","40")</f>
        <v>40</v>
      </c>
      <c r="AI362" t="str">
        <f>HYPERLINK("http://www.ncbi.nlm.nih.gov/protein/340502713","gi|340502713")</f>
        <v>gi|340502713</v>
      </c>
      <c r="AJ362">
        <v>31.6</v>
      </c>
      <c r="AK362">
        <v>37</v>
      </c>
      <c r="AL362">
        <v>343</v>
      </c>
      <c r="AM362">
        <v>36</v>
      </c>
      <c r="AN362">
        <v>11</v>
      </c>
      <c r="AO362" t="s">
        <v>384</v>
      </c>
      <c r="AP362" s="2" t="str">
        <f>HYPERLINK("http://exon.niaid.nih.gov/transcriptome/T_rubida/S2/links/SWISSP/Triru-636-SWISSP.txt","Uncharacterized transporter BU466")</f>
        <v>Uncharacterized transporter BU466</v>
      </c>
      <c r="AQ362" t="str">
        <f>HYPERLINK("http://www.uniprot.org/uniprot/P57538","3.3")</f>
        <v>3.3</v>
      </c>
      <c r="AR362" t="s">
        <v>385</v>
      </c>
      <c r="AS362">
        <v>30.4</v>
      </c>
      <c r="AT362">
        <v>41</v>
      </c>
      <c r="AU362">
        <v>390</v>
      </c>
      <c r="AV362">
        <v>38</v>
      </c>
      <c r="AW362">
        <v>11</v>
      </c>
      <c r="AX362">
        <v>26</v>
      </c>
      <c r="AY362">
        <v>8</v>
      </c>
      <c r="AZ362">
        <v>257</v>
      </c>
      <c r="BA362">
        <v>1</v>
      </c>
      <c r="BB362">
        <v>1</v>
      </c>
      <c r="BC362" t="s">
        <v>386</v>
      </c>
      <c r="BD362" s="2" t="s">
        <v>5</v>
      </c>
      <c r="BE362" t="s">
        <v>5</v>
      </c>
      <c r="BF362" t="s">
        <v>5</v>
      </c>
      <c r="BG362" t="s">
        <v>5</v>
      </c>
      <c r="BH362" t="s">
        <v>5</v>
      </c>
      <c r="BI362" s="2" t="s">
        <v>5</v>
      </c>
      <c r="BJ362" t="s">
        <v>5</v>
      </c>
      <c r="BK362" t="s">
        <v>5</v>
      </c>
      <c r="BL362" s="2" t="s">
        <v>5</v>
      </c>
      <c r="BM362" t="s">
        <v>5</v>
      </c>
      <c r="BN362" t="s">
        <v>5</v>
      </c>
      <c r="BO362" s="2" t="s">
        <v>5</v>
      </c>
      <c r="BP362" t="s">
        <v>5</v>
      </c>
      <c r="BQ362" s="2" t="s">
        <v>5</v>
      </c>
      <c r="BR362" t="s">
        <v>5</v>
      </c>
      <c r="BS362" s="17">
        <f>HYPERLINK("http://exon.niaid.nih.gov/transcriptome/T_rubida/S2/links/cluster/Triru-pep-ext25-50-Sim-CLU1.txt", 1)</f>
        <v>1</v>
      </c>
      <c r="BT362" s="1">
        <f>HYPERLINK("http://exon.niaid.nih.gov/transcriptome/T_rubida/S2/links/cluster/Triru-pep-ext25-50-Sim-CLTL1.txt", 359)</f>
        <v>359</v>
      </c>
      <c r="BU362" s="17">
        <f>HYPERLINK("http://exon.niaid.nih.gov/transcriptome/T_rubida/S2/links/cluster/Triru-pep-ext30-50-Sim-CLU1.txt", 1)</f>
        <v>1</v>
      </c>
      <c r="BV362" s="1">
        <f>HYPERLINK("http://exon.niaid.nih.gov/transcriptome/T_rubida/S2/links/cluster/Triru-pep-ext30-50-Sim-CLTL1.txt", 225)</f>
        <v>225</v>
      </c>
      <c r="BW362" s="17">
        <f>HYPERLINK("http://exon.niaid.nih.gov/transcriptome/T_rubida/S2/links/cluster/Triru-pep-ext35-50-Sim-CLU1.txt", 1)</f>
        <v>1</v>
      </c>
      <c r="BX362" s="1">
        <f>HYPERLINK("http://exon.niaid.nih.gov/transcriptome/T_rubida/S2/links/cluster/Triru-pep-ext35-50-Sim-CLTL1.txt", 75)</f>
        <v>75</v>
      </c>
      <c r="BY362" s="17">
        <f>HYPERLINK("http://exon.niaid.nih.gov/transcriptome/T_rubida/S2/links/cluster/Triru-pep-ext40-50-Sim-CLU4.txt", 4)</f>
        <v>4</v>
      </c>
      <c r="BZ362" s="1">
        <f>HYPERLINK("http://exon.niaid.nih.gov/transcriptome/T_rubida/S2/links/cluster/Triru-pep-ext40-50-Sim-CLTL4.txt", 6)</f>
        <v>6</v>
      </c>
      <c r="CA362" s="17">
        <f>HYPERLINK("http://exon.niaid.nih.gov/transcriptome/T_rubida/S2/links/cluster/Triru-pep-ext45-50-Sim-CLU4.txt", 4)</f>
        <v>4</v>
      </c>
      <c r="CB362" s="1">
        <f>HYPERLINK("http://exon.niaid.nih.gov/transcriptome/T_rubida/S2/links/cluster/Triru-pep-ext45-50-Sim-CLTL4.txt", 4)</f>
        <v>4</v>
      </c>
      <c r="CC362" s="17">
        <v>438</v>
      </c>
      <c r="CD362" s="1">
        <v>1</v>
      </c>
      <c r="CE362" s="17">
        <v>454</v>
      </c>
      <c r="CF362" s="1">
        <v>1</v>
      </c>
      <c r="CG362" s="17">
        <v>461</v>
      </c>
      <c r="CH362" s="1">
        <v>1</v>
      </c>
      <c r="CI362" s="17">
        <v>475</v>
      </c>
      <c r="CJ362" s="1">
        <v>1</v>
      </c>
      <c r="CK362" s="17">
        <v>481</v>
      </c>
      <c r="CL362" s="1">
        <v>1</v>
      </c>
      <c r="CM362" s="17">
        <v>493</v>
      </c>
      <c r="CN362" s="1">
        <v>1</v>
      </c>
      <c r="CO362" s="17">
        <v>505</v>
      </c>
      <c r="CP362" s="1">
        <v>1</v>
      </c>
      <c r="CQ362" s="17">
        <v>515</v>
      </c>
      <c r="CR362" s="1">
        <v>1</v>
      </c>
      <c r="CS362" s="17">
        <v>528</v>
      </c>
      <c r="CT362" s="1">
        <v>1</v>
      </c>
      <c r="CU362" s="17">
        <v>541</v>
      </c>
      <c r="CV362" s="1">
        <v>1</v>
      </c>
    </row>
    <row r="363" spans="1:100">
      <c r="A363" t="str">
        <f>HYPERLINK("http://exon.niaid.nih.gov/transcriptome/T_rubida/S2/links/pep/Triru-167-pep.txt","Triru-167")</f>
        <v>Triru-167</v>
      </c>
      <c r="B363">
        <v>51</v>
      </c>
      <c r="C363" s="1" t="s">
        <v>17</v>
      </c>
      <c r="D363" s="1" t="s">
        <v>3</v>
      </c>
      <c r="E363" t="str">
        <f>HYPERLINK("http://exon.niaid.nih.gov/transcriptome/T_rubida/S2/links/cds/Triru-167-cds.txt","Triru-167")</f>
        <v>Triru-167</v>
      </c>
      <c r="F363">
        <v>156</v>
      </c>
      <c r="G363" s="2" t="s">
        <v>1809</v>
      </c>
      <c r="H363" s="1">
        <v>1</v>
      </c>
      <c r="I363" s="3" t="s">
        <v>1266</v>
      </c>
      <c r="J363" s="17" t="str">
        <f>HYPERLINK("http://exon.niaid.nih.gov/transcriptome/T_rubida/S2/links/Sigp/Triru-167-SigP.txt","CYT")</f>
        <v>CYT</v>
      </c>
      <c r="K363" t="s">
        <v>5</v>
      </c>
      <c r="L363" s="1">
        <v>5.8970000000000002</v>
      </c>
      <c r="M363" s="1">
        <v>6.92</v>
      </c>
      <c r="P363" s="1">
        <v>0.27600000000000002</v>
      </c>
      <c r="Q363" s="1">
        <v>9.0999999999999998E-2</v>
      </c>
      <c r="R363" s="1">
        <v>0.65800000000000003</v>
      </c>
      <c r="S363" s="17" t="s">
        <v>1346</v>
      </c>
      <c r="T363">
        <v>4</v>
      </c>
      <c r="U363" t="s">
        <v>1357</v>
      </c>
      <c r="V363" s="17">
        <v>0</v>
      </c>
      <c r="W363" t="s">
        <v>5</v>
      </c>
      <c r="X363" t="s">
        <v>5</v>
      </c>
      <c r="Y363" t="s">
        <v>5</v>
      </c>
      <c r="Z363" t="s">
        <v>5</v>
      </c>
      <c r="AA363" t="s">
        <v>5</v>
      </c>
      <c r="AB363" s="17" t="str">
        <f>HYPERLINK("http://exon.niaid.nih.gov/transcriptome/T_rubida/S2/links/netoglyc/TRIRU-167-netoglyc.txt","1")</f>
        <v>1</v>
      </c>
      <c r="AC363">
        <v>13.7</v>
      </c>
      <c r="AD363">
        <v>5.9</v>
      </c>
      <c r="AE363">
        <v>7.8</v>
      </c>
      <c r="AF363" s="17" t="s">
        <v>5</v>
      </c>
      <c r="AG363" s="2" t="str">
        <f>HYPERLINK("http://exon.niaid.nih.gov/transcriptome/T_rubida/S2/links/NR/Triru-167-NR.txt","conserved hypothetical protein")</f>
        <v>conserved hypothetical protein</v>
      </c>
      <c r="AH363" t="str">
        <f>HYPERLINK("http://www.ncbi.nlm.nih.gov/sutils/blink.cgi?pid=293606472","23")</f>
        <v>23</v>
      </c>
      <c r="AI363" t="str">
        <f>HYPERLINK("http://www.ncbi.nlm.nih.gov/protein/293606472","gi|293606472")</f>
        <v>gi|293606472</v>
      </c>
      <c r="AJ363">
        <v>32.299999999999997</v>
      </c>
      <c r="AK363">
        <v>38</v>
      </c>
      <c r="AL363">
        <v>348</v>
      </c>
      <c r="AM363">
        <v>40</v>
      </c>
      <c r="AN363">
        <v>11</v>
      </c>
      <c r="AO363" t="s">
        <v>1042</v>
      </c>
      <c r="AP363" s="2" t="str">
        <f>HYPERLINK("http://exon.niaid.nih.gov/transcriptome/T_rubida/S2/links/SWISSP/Triru-167-SWISSP.txt","Thiamine-phosphate pyrophosphorylase")</f>
        <v>Thiamine-phosphate pyrophosphorylase</v>
      </c>
      <c r="AQ363" t="str">
        <f>HYPERLINK("http://www.uniprot.org/uniprot/C1DCM3","7.4")</f>
        <v>7.4</v>
      </c>
      <c r="AR363" t="s">
        <v>1043</v>
      </c>
      <c r="AS363">
        <v>29.3</v>
      </c>
      <c r="AT363">
        <v>33</v>
      </c>
      <c r="AU363">
        <v>211</v>
      </c>
      <c r="AV363">
        <v>44</v>
      </c>
      <c r="AW363">
        <v>16</v>
      </c>
      <c r="AX363">
        <v>19</v>
      </c>
      <c r="AY363">
        <v>0</v>
      </c>
      <c r="AZ363">
        <v>11</v>
      </c>
      <c r="BA363">
        <v>6</v>
      </c>
      <c r="BB363">
        <v>1</v>
      </c>
      <c r="BC363" t="s">
        <v>1044</v>
      </c>
      <c r="BD363" s="2" t="s">
        <v>5</v>
      </c>
      <c r="BE363" t="s">
        <v>5</v>
      </c>
      <c r="BF363" t="s">
        <v>5</v>
      </c>
      <c r="BG363" t="s">
        <v>5</v>
      </c>
      <c r="BH363" t="s">
        <v>5</v>
      </c>
      <c r="BI363" s="2" t="str">
        <f>HYPERLINK("http://exon.niaid.nih.gov/transcriptome/T_rubida/S2/links/CDD/Triru-167-CDD.txt","CARM1")</f>
        <v>CARM1</v>
      </c>
      <c r="BJ363" t="str">
        <f>HYPERLINK("http://www.ncbi.nlm.nih.gov/Structure/cdd/cddsrv.cgi?uid=pfam11531&amp;version=v4.0","1.7")</f>
        <v>1.7</v>
      </c>
      <c r="BK363" t="s">
        <v>1045</v>
      </c>
      <c r="BL363" s="2" t="str">
        <f>HYPERLINK("http://exon.niaid.nih.gov/transcriptome/T_rubida/S2/links/KOG/Triru-167-KOG.txt","E3 ubiquitin protein ligase")</f>
        <v>E3 ubiquitin protein ligase</v>
      </c>
      <c r="BM363" t="str">
        <f>HYPERLINK("http://www.ncbi.nlm.nih.gov/COG/grace/shokog.cgi?KOG0941","4.1")</f>
        <v>4.1</v>
      </c>
      <c r="BN363" t="s">
        <v>72</v>
      </c>
      <c r="BO363" s="2" t="str">
        <f>HYPERLINK("http://exon.niaid.nih.gov/transcriptome/T_rubida/S2/links/PFAM/Triru-167-PFAM.txt","CARM1")</f>
        <v>CARM1</v>
      </c>
      <c r="BP363" t="str">
        <f>HYPERLINK("http://pfam.sanger.ac.uk/family?acc=PF11531","0.38")</f>
        <v>0.38</v>
      </c>
      <c r="BQ363" s="2" t="str">
        <f>HYPERLINK("http://exon.niaid.nih.gov/transcriptome/T_rubida/S2/links/SMART/Triru-167-SMART.txt","AXH")</f>
        <v>AXH</v>
      </c>
      <c r="BR363" t="str">
        <f>HYPERLINK("http://smart.embl-heidelberg.de/smart/do_annotation.pl?DOMAIN=AXH&amp;BLAST=DUMMY","3.8")</f>
        <v>3.8</v>
      </c>
      <c r="BS363" s="17">
        <v>65</v>
      </c>
      <c r="BT363" s="1">
        <v>1</v>
      </c>
      <c r="BU363" s="17">
        <v>90</v>
      </c>
      <c r="BV363" s="1">
        <v>1</v>
      </c>
      <c r="BW363" s="17">
        <v>101</v>
      </c>
      <c r="BX363" s="1">
        <v>1</v>
      </c>
      <c r="BY363" s="17">
        <v>105</v>
      </c>
      <c r="BZ363" s="1">
        <v>1</v>
      </c>
      <c r="CA363" s="17">
        <v>103</v>
      </c>
      <c r="CB363" s="1">
        <v>1</v>
      </c>
      <c r="CC363" s="17">
        <v>102</v>
      </c>
      <c r="CD363" s="1">
        <v>1</v>
      </c>
      <c r="CE363" s="17">
        <v>97</v>
      </c>
      <c r="CF363" s="1">
        <v>1</v>
      </c>
      <c r="CG363" s="17">
        <v>98</v>
      </c>
      <c r="CH363" s="1">
        <v>1</v>
      </c>
      <c r="CI363" s="17">
        <v>104</v>
      </c>
      <c r="CJ363" s="1">
        <v>1</v>
      </c>
      <c r="CK363" s="17">
        <v>108</v>
      </c>
      <c r="CL363" s="1">
        <v>1</v>
      </c>
      <c r="CM363" s="17">
        <v>113</v>
      </c>
      <c r="CN363" s="1">
        <v>1</v>
      </c>
      <c r="CO363" s="17">
        <v>122</v>
      </c>
      <c r="CP363" s="1">
        <v>1</v>
      </c>
      <c r="CQ363" s="17">
        <v>132</v>
      </c>
      <c r="CR363" s="1">
        <v>1</v>
      </c>
      <c r="CS363" s="17">
        <v>137</v>
      </c>
      <c r="CT363" s="1">
        <v>1</v>
      </c>
      <c r="CU363" s="17">
        <v>148</v>
      </c>
      <c r="CV363" s="1">
        <v>1</v>
      </c>
    </row>
    <row r="364" spans="1:100">
      <c r="A364" t="str">
        <f>HYPERLINK("http://exon.niaid.nih.gov/transcriptome/T_rubida/S2/links/pep/Triru-472-pep.txt","Triru-472")</f>
        <v>Triru-472</v>
      </c>
      <c r="B364">
        <v>55</v>
      </c>
      <c r="C364" s="1" t="s">
        <v>18</v>
      </c>
      <c r="D364" s="1" t="s">
        <v>3</v>
      </c>
      <c r="E364" t="str">
        <f>HYPERLINK("http://exon.niaid.nih.gov/transcriptome/T_rubida/S2/links/cds/Triru-472-cds.txt","Triru-472")</f>
        <v>Triru-472</v>
      </c>
      <c r="F364">
        <v>168</v>
      </c>
      <c r="G364" s="2" t="s">
        <v>1810</v>
      </c>
      <c r="H364" s="1">
        <v>1</v>
      </c>
      <c r="I364" s="3" t="s">
        <v>1266</v>
      </c>
      <c r="J364" s="17" t="str">
        <f>HYPERLINK("http://exon.niaid.nih.gov/transcriptome/T_rubida/S2/links/Sigp/Triru-472-SigP.txt","CYT")</f>
        <v>CYT</v>
      </c>
      <c r="K364" t="s">
        <v>5</v>
      </c>
      <c r="L364" s="1">
        <v>6.415</v>
      </c>
      <c r="M364" s="1">
        <v>10.36</v>
      </c>
      <c r="P364" s="1">
        <v>0.26300000000000001</v>
      </c>
      <c r="Q364" s="1">
        <v>3.6999999999999998E-2</v>
      </c>
      <c r="R364" s="1">
        <v>0.79900000000000004</v>
      </c>
      <c r="S364" s="17" t="s">
        <v>1346</v>
      </c>
      <c r="T364">
        <v>3</v>
      </c>
      <c r="U364" t="s">
        <v>1348</v>
      </c>
      <c r="V364" s="17">
        <v>0</v>
      </c>
      <c r="W364" t="s">
        <v>5</v>
      </c>
      <c r="X364" t="s">
        <v>5</v>
      </c>
      <c r="Y364" t="s">
        <v>5</v>
      </c>
      <c r="Z364" t="s">
        <v>5</v>
      </c>
      <c r="AA364" t="s">
        <v>5</v>
      </c>
      <c r="AB364" s="17" t="str">
        <f>HYPERLINK("http://exon.niaid.nih.gov/transcriptome/T_rubida/S2/links/netoglyc/TRIRU-472-netoglyc.txt","0")</f>
        <v>0</v>
      </c>
      <c r="AC364">
        <v>25.5</v>
      </c>
      <c r="AD364">
        <v>1.8</v>
      </c>
      <c r="AE364">
        <v>1.8</v>
      </c>
      <c r="AF364" s="17" t="s">
        <v>5</v>
      </c>
      <c r="AG364" s="2" t="str">
        <f>HYPERLINK("http://exon.niaid.nih.gov/transcriptome/T_rubida/S2/links/NR/Triru-472-NR.txt","hypothetical protein LOC100647341")</f>
        <v>hypothetical protein LOC100647341</v>
      </c>
      <c r="AH364" t="str">
        <f>HYPERLINK("http://www.ncbi.nlm.nih.gov/sutils/blink.cgi?pid=340717370","39")</f>
        <v>39</v>
      </c>
      <c r="AI364" t="str">
        <f>HYPERLINK("http://www.ncbi.nlm.nih.gov/protein/340717370","gi|340717370")</f>
        <v>gi|340717370</v>
      </c>
      <c r="AJ364">
        <v>31.6</v>
      </c>
      <c r="AK364">
        <v>52</v>
      </c>
      <c r="AL364">
        <v>462</v>
      </c>
      <c r="AM364">
        <v>33</v>
      </c>
      <c r="AN364">
        <v>11</v>
      </c>
      <c r="AO364" t="s">
        <v>265</v>
      </c>
      <c r="AP364" s="2" t="str">
        <f>HYPERLINK("http://exon.niaid.nih.gov/transcriptome/T_rubida/S2/links/SWISSP/Triru-472-SWISSP.txt","Protein C13")</f>
        <v>Protein C13</v>
      </c>
      <c r="AQ364" t="str">
        <f>HYPERLINK("http://www.uniprot.org/uniprot/P32206","5.6")</f>
        <v>5.6</v>
      </c>
      <c r="AR364" t="s">
        <v>1198</v>
      </c>
      <c r="AS364">
        <v>29.6</v>
      </c>
      <c r="AT364">
        <v>40</v>
      </c>
      <c r="AU364">
        <v>500</v>
      </c>
      <c r="AV364">
        <v>34</v>
      </c>
      <c r="AW364">
        <v>8</v>
      </c>
      <c r="AX364">
        <v>27</v>
      </c>
      <c r="AY364">
        <v>0</v>
      </c>
      <c r="AZ364">
        <v>199</v>
      </c>
      <c r="BA364">
        <v>15</v>
      </c>
      <c r="BB364">
        <v>1</v>
      </c>
      <c r="BC364" t="s">
        <v>1199</v>
      </c>
      <c r="BD364" s="2" t="s">
        <v>5</v>
      </c>
      <c r="BE364" t="s">
        <v>5</v>
      </c>
      <c r="BF364" t="s">
        <v>5</v>
      </c>
      <c r="BG364" t="s">
        <v>5</v>
      </c>
      <c r="BH364" t="s">
        <v>5</v>
      </c>
      <c r="BI364" s="2" t="str">
        <f>HYPERLINK("http://exon.niaid.nih.gov/transcriptome/T_rubida/S2/links/CDD/Triru-472-CDD.txt","PLN02960")</f>
        <v>PLN02960</v>
      </c>
      <c r="BJ364" t="str">
        <f>HYPERLINK("http://www.ncbi.nlm.nih.gov/Structure/cdd/cddsrv.cgi?uid=PLN02960&amp;version=v4.0","9.5")</f>
        <v>9.5</v>
      </c>
      <c r="BK364" t="s">
        <v>1200</v>
      </c>
      <c r="BL364" s="2" t="s">
        <v>5</v>
      </c>
      <c r="BM364" t="s">
        <v>5</v>
      </c>
      <c r="BN364" t="s">
        <v>5</v>
      </c>
      <c r="BO364" s="2" t="str">
        <f>HYPERLINK("http://exon.niaid.nih.gov/transcriptome/T_rubida/S2/links/PFAM/Triru-472-PFAM.txt","Nup96")</f>
        <v>Nup96</v>
      </c>
      <c r="BP364" t="str">
        <f>HYPERLINK("http://pfam.sanger.ac.uk/family?acc=PF12110","4.6")</f>
        <v>4.6</v>
      </c>
      <c r="BQ364" s="2" t="str">
        <f>HYPERLINK("http://exon.niaid.nih.gov/transcriptome/T_rubida/S2/links/SMART/Triru-472-SMART.txt","RHOD")</f>
        <v>RHOD</v>
      </c>
      <c r="BR364" t="str">
        <f>HYPERLINK("http://smart.embl-heidelberg.de/smart/do_annotation.pl?DOMAIN=RHOD&amp;BLAST=DUMMY","1.2")</f>
        <v>1.2</v>
      </c>
      <c r="BS364" s="17">
        <f>HYPERLINK("http://exon.niaid.nih.gov/transcriptome/T_rubida/S2/links/cluster/Triru-pep-ext25-50-Sim-CLU1.txt", 1)</f>
        <v>1</v>
      </c>
      <c r="BT364" s="1">
        <f>HYPERLINK("http://exon.niaid.nih.gov/transcriptome/T_rubida/S2/links/cluster/Triru-pep-ext25-50-Sim-CLTL1.txt", 359)</f>
        <v>359</v>
      </c>
      <c r="BU364" s="17">
        <f>HYPERLINK("http://exon.niaid.nih.gov/transcriptome/T_rubida/S2/links/cluster/Triru-pep-ext30-50-Sim-CLU3.txt", 3)</f>
        <v>3</v>
      </c>
      <c r="BV364" s="1">
        <f>HYPERLINK("http://exon.niaid.nih.gov/transcriptome/T_rubida/S2/links/cluster/Triru-pep-ext30-50-Sim-CLTL3.txt", 6)</f>
        <v>6</v>
      </c>
      <c r="BW364" s="17">
        <v>273</v>
      </c>
      <c r="BX364" s="1">
        <v>1</v>
      </c>
      <c r="BY364" s="17">
        <v>295</v>
      </c>
      <c r="BZ364" s="1">
        <v>1</v>
      </c>
      <c r="CA364" s="17">
        <v>305</v>
      </c>
      <c r="CB364" s="1">
        <v>1</v>
      </c>
      <c r="CC364" s="17">
        <v>316</v>
      </c>
      <c r="CD364" s="1">
        <v>1</v>
      </c>
      <c r="CE364" s="17">
        <v>327</v>
      </c>
      <c r="CF364" s="1">
        <v>1</v>
      </c>
      <c r="CG364" s="17">
        <v>332</v>
      </c>
      <c r="CH364" s="1">
        <v>1</v>
      </c>
      <c r="CI364" s="17">
        <v>343</v>
      </c>
      <c r="CJ364" s="1">
        <v>1</v>
      </c>
      <c r="CK364" s="17">
        <v>349</v>
      </c>
      <c r="CL364" s="1">
        <v>1</v>
      </c>
      <c r="CM364" s="17">
        <v>357</v>
      </c>
      <c r="CN364" s="1">
        <v>1</v>
      </c>
      <c r="CO364" s="17">
        <v>369</v>
      </c>
      <c r="CP364" s="1">
        <v>1</v>
      </c>
      <c r="CQ364" s="17">
        <v>379</v>
      </c>
      <c r="CR364" s="1">
        <v>1</v>
      </c>
      <c r="CS364" s="17">
        <v>392</v>
      </c>
      <c r="CT364" s="1">
        <v>1</v>
      </c>
      <c r="CU364" s="17">
        <v>403</v>
      </c>
      <c r="CV364" s="1">
        <v>1</v>
      </c>
    </row>
    <row r="365" spans="1:100">
      <c r="A365" t="str">
        <f>HYPERLINK("http://exon.niaid.nih.gov/transcriptome/T_rubida/S2/links/pep/Triru-556-pep.txt","Triru-556")</f>
        <v>Triru-556</v>
      </c>
      <c r="B365">
        <v>74</v>
      </c>
      <c r="C365" s="1" t="s">
        <v>17</v>
      </c>
      <c r="D365" s="1" t="s">
        <v>3</v>
      </c>
      <c r="E365" t="str">
        <f>HYPERLINK("http://exon.niaid.nih.gov/transcriptome/T_rubida/S2/links/cds/Triru-556-cds.txt","Triru-556")</f>
        <v>Triru-556</v>
      </c>
      <c r="F365">
        <v>225</v>
      </c>
      <c r="G365" s="2" t="s">
        <v>1812</v>
      </c>
      <c r="H365" s="1">
        <v>1</v>
      </c>
      <c r="I365" s="3" t="s">
        <v>1266</v>
      </c>
      <c r="J365" s="17" t="str">
        <f>HYPERLINK("http://exon.niaid.nih.gov/transcriptome/T_rubida/S2/links/Sigp/Triru-556-SigP.txt","CYT")</f>
        <v>CYT</v>
      </c>
      <c r="K365" t="s">
        <v>5</v>
      </c>
      <c r="L365" s="1">
        <v>8.2759999999999998</v>
      </c>
      <c r="M365" s="1">
        <v>5.07</v>
      </c>
      <c r="P365" s="1">
        <v>6.0999999999999999E-2</v>
      </c>
      <c r="Q365" s="1">
        <v>0.13300000000000001</v>
      </c>
      <c r="R365" s="1">
        <v>0.84199999999999997</v>
      </c>
      <c r="S365" s="17" t="s">
        <v>1346</v>
      </c>
      <c r="T365">
        <v>2</v>
      </c>
      <c r="U365" t="s">
        <v>1347</v>
      </c>
      <c r="V365" s="17">
        <v>0</v>
      </c>
      <c r="W365" t="s">
        <v>5</v>
      </c>
      <c r="X365" t="s">
        <v>5</v>
      </c>
      <c r="Y365" t="s">
        <v>5</v>
      </c>
      <c r="Z365" t="s">
        <v>5</v>
      </c>
      <c r="AA365" t="s">
        <v>5</v>
      </c>
      <c r="AB365" s="17" t="str">
        <f>HYPERLINK("http://exon.niaid.nih.gov/transcriptome/T_rubida/S2/links/netoglyc/TRIRU-556-netoglyc.txt","5")</f>
        <v>5</v>
      </c>
      <c r="AC365">
        <v>18.899999999999999</v>
      </c>
      <c r="AD365">
        <v>6.8</v>
      </c>
      <c r="AE365">
        <v>2.7</v>
      </c>
      <c r="AF365" s="17" t="s">
        <v>5</v>
      </c>
      <c r="AG365" s="2" t="str">
        <f>HYPERLINK("http://exon.niaid.nih.gov/transcriptome/T_rubida/S2/links/NR/Triru-556-NR.txt","transmembrane protein 184C-like")</f>
        <v>transmembrane protein 184C-like</v>
      </c>
      <c r="AH365" t="str">
        <f>HYPERLINK("http://www.ncbi.nlm.nih.gov/sutils/blink.cgi?pid=340729773","2E-005")</f>
        <v>2E-005</v>
      </c>
      <c r="AI365" t="str">
        <f>HYPERLINK("http://www.ncbi.nlm.nih.gov/protein/340729773","gi|340729773")</f>
        <v>gi|340729773</v>
      </c>
      <c r="AJ365">
        <v>52.8</v>
      </c>
      <c r="AK365">
        <v>45</v>
      </c>
      <c r="AL365">
        <v>424</v>
      </c>
      <c r="AM365">
        <v>51</v>
      </c>
      <c r="AN365">
        <v>11</v>
      </c>
      <c r="AO365" t="s">
        <v>265</v>
      </c>
      <c r="AP365" s="2" t="str">
        <f>HYPERLINK("http://exon.niaid.nih.gov/transcriptome/T_rubida/S2/links/SWISSP/Triru-556-SWISSP.txt","Transmembrane protein 184C")</f>
        <v>Transmembrane protein 184C</v>
      </c>
      <c r="AQ365" t="str">
        <f>HYPERLINK("http://www.uniprot.org/uniprot/Q6GQE1","8E-004")</f>
        <v>8E-004</v>
      </c>
      <c r="AR365" t="s">
        <v>1085</v>
      </c>
      <c r="AS365">
        <v>42.4</v>
      </c>
      <c r="AT365">
        <v>53</v>
      </c>
      <c r="AU365">
        <v>444</v>
      </c>
      <c r="AV365">
        <v>43</v>
      </c>
      <c r="AW365">
        <v>12</v>
      </c>
      <c r="AX365">
        <v>32</v>
      </c>
      <c r="AY365">
        <v>5</v>
      </c>
      <c r="AZ365">
        <v>323</v>
      </c>
      <c r="BA365">
        <v>8</v>
      </c>
      <c r="BB365">
        <v>1</v>
      </c>
      <c r="BC365" t="s">
        <v>109</v>
      </c>
      <c r="BD365" s="2" t="s">
        <v>5</v>
      </c>
      <c r="BE365" t="s">
        <v>5</v>
      </c>
      <c r="BF365" t="s">
        <v>5</v>
      </c>
      <c r="BG365" t="s">
        <v>5</v>
      </c>
      <c r="BH365" t="s">
        <v>5</v>
      </c>
      <c r="BI365" s="2" t="str">
        <f>HYPERLINK("http://exon.niaid.nih.gov/transcriptome/T_rubida/S2/links/CDD/Triru-556-CDD.txt","aroFGH")</f>
        <v>aroFGH</v>
      </c>
      <c r="BJ365" t="str">
        <f>HYPERLINK("http://www.ncbi.nlm.nih.gov/Structure/cdd/cddsrv.cgi?uid=TIGR00034&amp;version=v4.0","1.7")</f>
        <v>1.7</v>
      </c>
      <c r="BK365" t="s">
        <v>1086</v>
      </c>
      <c r="BL365" s="2" t="str">
        <f>HYPERLINK("http://exon.niaid.nih.gov/transcriptome/T_rubida/S2/links/KOG/Triru-556-KOG.txt","Predicted short chain-type dehydrogenase")</f>
        <v>Predicted short chain-type dehydrogenase</v>
      </c>
      <c r="BM365" t="str">
        <f>HYPERLINK("http://www.ncbi.nlm.nih.gov/COG/grace/shokog.cgi?KOG1611","1.9")</f>
        <v>1.9</v>
      </c>
      <c r="BN365" t="s">
        <v>96</v>
      </c>
      <c r="BO365" s="2" t="str">
        <f>HYPERLINK("http://exon.niaid.nih.gov/transcriptome/T_rubida/S2/links/PFAM/Triru-556-PFAM.txt","Kinesin")</f>
        <v>Kinesin</v>
      </c>
      <c r="BP365" t="str">
        <f>HYPERLINK("http://pfam.sanger.ac.uk/family?acc=PF00225","2.6")</f>
        <v>2.6</v>
      </c>
      <c r="BQ365" s="2" t="str">
        <f>HYPERLINK("http://exon.niaid.nih.gov/transcriptome/T_rubida/S2/links/SMART/Triru-556-SMART.txt","KISc")</f>
        <v>KISc</v>
      </c>
      <c r="BR365" t="str">
        <f>HYPERLINK("http://smart.embl-heidelberg.de/smart/do_annotation.pl?DOMAIN=KISc&amp;BLAST=DUMMY","0.14")</f>
        <v>0.14</v>
      </c>
      <c r="BS365" s="17">
        <f>HYPERLINK("http://exon.niaid.nih.gov/transcriptome/T_rubida/S2/links/cluster/Triru-pep-ext25-50-Sim-CLU30.txt", 30)</f>
        <v>30</v>
      </c>
      <c r="BT365" s="1">
        <f>HYPERLINK("http://exon.niaid.nih.gov/transcriptome/T_rubida/S2/links/cluster/Triru-pep-ext25-50-Sim-CLTL30.txt", 2)</f>
        <v>2</v>
      </c>
      <c r="BU365" s="17">
        <v>252</v>
      </c>
      <c r="BV365" s="1">
        <v>1</v>
      </c>
      <c r="BW365" s="17">
        <v>322</v>
      </c>
      <c r="BX365" s="1">
        <v>1</v>
      </c>
      <c r="BY365" s="17">
        <v>352</v>
      </c>
      <c r="BZ365" s="1">
        <v>1</v>
      </c>
      <c r="CA365" s="17">
        <v>366</v>
      </c>
      <c r="CB365" s="1">
        <v>1</v>
      </c>
      <c r="CC365" s="17">
        <v>379</v>
      </c>
      <c r="CD365" s="1">
        <v>1</v>
      </c>
      <c r="CE365" s="17">
        <v>394</v>
      </c>
      <c r="CF365" s="1">
        <v>1</v>
      </c>
      <c r="CG365" s="17">
        <v>400</v>
      </c>
      <c r="CH365" s="1">
        <v>1</v>
      </c>
      <c r="CI365" s="17">
        <v>412</v>
      </c>
      <c r="CJ365" s="1">
        <v>1</v>
      </c>
      <c r="CK365" s="17">
        <v>418</v>
      </c>
      <c r="CL365" s="1">
        <v>1</v>
      </c>
      <c r="CM365" s="17">
        <v>429</v>
      </c>
      <c r="CN365" s="1">
        <v>1</v>
      </c>
      <c r="CO365" s="17">
        <v>441</v>
      </c>
      <c r="CP365" s="1">
        <v>1</v>
      </c>
      <c r="CQ365" s="17">
        <v>451</v>
      </c>
      <c r="CR365" s="1">
        <v>1</v>
      </c>
      <c r="CS365" s="17">
        <v>464</v>
      </c>
      <c r="CT365" s="1">
        <v>1</v>
      </c>
      <c r="CU365" s="17">
        <v>475</v>
      </c>
      <c r="CV365" s="1">
        <v>1</v>
      </c>
    </row>
    <row r="366" spans="1:100">
      <c r="A366" t="str">
        <f>HYPERLINK("http://exon.niaid.nih.gov/transcriptome/T_rubida/S2/links/pep/Triru-205-pep.txt","Triru-205")</f>
        <v>Triru-205</v>
      </c>
      <c r="B366">
        <v>61</v>
      </c>
      <c r="C366" s="1" t="s">
        <v>20</v>
      </c>
      <c r="D366" s="1" t="s">
        <v>5</v>
      </c>
      <c r="E366" t="str">
        <f>HYPERLINK("http://exon.niaid.nih.gov/transcriptome/T_rubida/S2/links/cds/Triru-205-cds.txt","Triru-205")</f>
        <v>Triru-205</v>
      </c>
      <c r="F366">
        <v>182</v>
      </c>
      <c r="G366" s="2" t="s">
        <v>1813</v>
      </c>
      <c r="H366" s="1">
        <v>1</v>
      </c>
      <c r="I366" s="3" t="s">
        <v>1266</v>
      </c>
      <c r="J366" s="17" t="str">
        <f>HYPERLINK("http://exon.niaid.nih.gov/transcriptome/T_rubida/S2/links/Sigp/Triru-205-SigP.txt","CYT")</f>
        <v>CYT</v>
      </c>
      <c r="K366" t="s">
        <v>5</v>
      </c>
      <c r="L366" s="1">
        <v>7.2789999999999999</v>
      </c>
      <c r="M366" s="1">
        <v>9.9</v>
      </c>
      <c r="P366" s="1">
        <v>2.9000000000000001E-2</v>
      </c>
      <c r="Q366" s="1">
        <v>0.41499999999999998</v>
      </c>
      <c r="R366" s="1">
        <v>0.747</v>
      </c>
      <c r="S366" s="17" t="s">
        <v>1346</v>
      </c>
      <c r="T366">
        <v>4</v>
      </c>
      <c r="U366" t="s">
        <v>1529</v>
      </c>
      <c r="V366" s="17" t="str">
        <f>HYPERLINK("http://exon.niaid.nih.gov/transcriptome/T_rubida/S2/links/tmhmm/TRIRU-205-tmhmm.txt","1")</f>
        <v>1</v>
      </c>
      <c r="W366">
        <v>36.1</v>
      </c>
      <c r="X366">
        <v>18</v>
      </c>
      <c r="Y366">
        <v>45.9</v>
      </c>
      <c r="Z366" t="s">
        <v>5</v>
      </c>
      <c r="AA366">
        <v>28</v>
      </c>
      <c r="AB366" s="17" t="str">
        <f>HYPERLINK("http://exon.niaid.nih.gov/transcriptome/T_rubida/S2/links/netoglyc/TRIRU-205-netoglyc.txt","0")</f>
        <v>0</v>
      </c>
      <c r="AC366">
        <v>6.6</v>
      </c>
      <c r="AD366">
        <v>1.6</v>
      </c>
      <c r="AE366">
        <v>4.9000000000000004</v>
      </c>
      <c r="AF366" s="17" t="s">
        <v>5</v>
      </c>
      <c r="AG366" s="2" t="str">
        <f>HYPERLINK("http://exon.niaid.nih.gov/transcriptome/T_rubida/S2/links/NR/Triru-205-NR.txt","hypothetical protein EUBELI_20311")</f>
        <v>hypothetical protein EUBELI_20311</v>
      </c>
      <c r="AH366" t="str">
        <f>HYPERLINK("http://www.ncbi.nlm.nih.gov/sutils/blink.cgi?pid=238922076","8.1")</f>
        <v>8.1</v>
      </c>
      <c r="AI366" t="str">
        <f>HYPERLINK("http://www.ncbi.nlm.nih.gov/protein/238922076","gi|238922076")</f>
        <v>gi|238922076</v>
      </c>
      <c r="AJ366">
        <v>33.9</v>
      </c>
      <c r="AK366">
        <v>52</v>
      </c>
      <c r="AL366">
        <v>474</v>
      </c>
      <c r="AM366">
        <v>32</v>
      </c>
      <c r="AN366">
        <v>11</v>
      </c>
      <c r="AO366" t="s">
        <v>881</v>
      </c>
      <c r="AP366" s="2" t="str">
        <f>HYPERLINK("http://exon.niaid.nih.gov/transcriptome/T_rubida/S2/links/SWISSP/Triru-205-SWISSP.txt","Serine/threonine-protein phosphatase 2A 56 kDa regulatory subunit epsilon")</f>
        <v>Serine/threonine-protein phosphatase 2A 56 kDa regulatory subunit epsilon</v>
      </c>
      <c r="AQ366" t="str">
        <f>HYPERLINK("http://www.uniprot.org/uniprot/Q61151","4.2")</f>
        <v>4.2</v>
      </c>
      <c r="AR366" t="s">
        <v>882</v>
      </c>
      <c r="AS366">
        <v>30</v>
      </c>
      <c r="AT366">
        <v>47</v>
      </c>
      <c r="AU366">
        <v>467</v>
      </c>
      <c r="AV366">
        <v>33</v>
      </c>
      <c r="AW366">
        <v>10</v>
      </c>
      <c r="AX366">
        <v>32</v>
      </c>
      <c r="AY366">
        <v>7</v>
      </c>
      <c r="AZ366">
        <v>364</v>
      </c>
      <c r="BA366">
        <v>13</v>
      </c>
      <c r="BB366">
        <v>1</v>
      </c>
      <c r="BC366" t="s">
        <v>75</v>
      </c>
      <c r="BD366" s="2" t="s">
        <v>5</v>
      </c>
      <c r="BE366" t="s">
        <v>5</v>
      </c>
      <c r="BF366" t="s">
        <v>5</v>
      </c>
      <c r="BG366" t="s">
        <v>5</v>
      </c>
      <c r="BH366" t="s">
        <v>5</v>
      </c>
      <c r="BI366" s="2" t="str">
        <f>HYPERLINK("http://exon.niaid.nih.gov/transcriptome/T_rubida/S2/links/CDD/Triru-205-CDD.txt","PRK10711")</f>
        <v>PRK10711</v>
      </c>
      <c r="BJ366" t="str">
        <f>HYPERLINK("http://www.ncbi.nlm.nih.gov/Structure/cdd/cddsrv.cgi?uid=PRK10711&amp;version=v4.0","3.8")</f>
        <v>3.8</v>
      </c>
      <c r="BK366" t="s">
        <v>883</v>
      </c>
      <c r="BL366" s="2" t="str">
        <f>HYPERLINK("http://exon.niaid.nih.gov/transcriptome/T_rubida/S2/links/KOG/Triru-205-KOG.txt","Serine/threonine protein phosphatase 2A, regulatory subunit")</f>
        <v>Serine/threonine protein phosphatase 2A, regulatory subunit</v>
      </c>
      <c r="BM366" t="str">
        <f>HYPERLINK("http://www.ncbi.nlm.nih.gov/COG/grace/shokog.cgi?KOG2085","1.7")</f>
        <v>1.7</v>
      </c>
      <c r="BN366" t="s">
        <v>179</v>
      </c>
      <c r="BO366" s="2" t="str">
        <f>HYPERLINK("http://exon.niaid.nih.gov/transcriptome/T_rubida/S2/links/PFAM/Triru-205-PFAM.txt","Herpes_UL6")</f>
        <v>Herpes_UL6</v>
      </c>
      <c r="BP366" t="str">
        <f>HYPERLINK("http://pfam.sanger.ac.uk/family?acc=PF01763","0.87")</f>
        <v>0.87</v>
      </c>
      <c r="BQ366" s="2" t="str">
        <f>HYPERLINK("http://exon.niaid.nih.gov/transcriptome/T_rubida/S2/links/SMART/Triru-205-SMART.txt","START")</f>
        <v>START</v>
      </c>
      <c r="BR366" t="str">
        <f>HYPERLINK("http://smart.embl-heidelberg.de/smart/do_annotation.pl?DOMAIN=START&amp;BLAST=DUMMY","0.31")</f>
        <v>0.31</v>
      </c>
      <c r="BS366" s="17">
        <f t="shared" ref="BS366:BS384" si="64">HYPERLINK("http://exon.niaid.nih.gov/transcriptome/T_rubida/S2/links/cluster/Triru-pep-ext25-50-Sim-CLU1.txt", 1)</f>
        <v>1</v>
      </c>
      <c r="BT366" s="1">
        <f t="shared" ref="BT366:BT384" si="65">HYPERLINK("http://exon.niaid.nih.gov/transcriptome/T_rubida/S2/links/cluster/Triru-pep-ext25-50-Sim-CLTL1.txt", 359)</f>
        <v>359</v>
      </c>
      <c r="BU366" s="17">
        <f>HYPERLINK("http://exon.niaid.nih.gov/transcriptome/T_rubida/S2/links/cluster/Triru-pep-ext30-50-Sim-CLU1.txt", 1)</f>
        <v>1</v>
      </c>
      <c r="BV366" s="1">
        <f>HYPERLINK("http://exon.niaid.nih.gov/transcriptome/T_rubida/S2/links/cluster/Triru-pep-ext30-50-Sim-CLTL1.txt", 225)</f>
        <v>225</v>
      </c>
      <c r="BW366" s="17">
        <v>118</v>
      </c>
      <c r="BX366" s="1">
        <v>1</v>
      </c>
      <c r="BY366" s="17">
        <v>122</v>
      </c>
      <c r="BZ366" s="1">
        <v>1</v>
      </c>
      <c r="CA366" s="17">
        <v>123</v>
      </c>
      <c r="CB366" s="1">
        <v>1</v>
      </c>
      <c r="CC366" s="17">
        <v>126</v>
      </c>
      <c r="CD366" s="1">
        <v>1</v>
      </c>
      <c r="CE366" s="17">
        <v>124</v>
      </c>
      <c r="CF366" s="1">
        <v>1</v>
      </c>
      <c r="CG366" s="17">
        <v>125</v>
      </c>
      <c r="CH366" s="1">
        <v>1</v>
      </c>
      <c r="CI366" s="17">
        <v>131</v>
      </c>
      <c r="CJ366" s="1">
        <v>1</v>
      </c>
      <c r="CK366" s="17">
        <v>136</v>
      </c>
      <c r="CL366" s="1">
        <v>1</v>
      </c>
      <c r="CM366" s="17">
        <v>142</v>
      </c>
      <c r="CN366" s="1">
        <v>1</v>
      </c>
      <c r="CO366" s="17">
        <v>152</v>
      </c>
      <c r="CP366" s="1">
        <v>1</v>
      </c>
      <c r="CQ366" s="17">
        <v>162</v>
      </c>
      <c r="CR366" s="1">
        <v>1</v>
      </c>
      <c r="CS366" s="17">
        <v>167</v>
      </c>
      <c r="CT366" s="1">
        <v>1</v>
      </c>
      <c r="CU366" s="17">
        <v>178</v>
      </c>
      <c r="CV366" s="1">
        <v>1</v>
      </c>
    </row>
    <row r="367" spans="1:100">
      <c r="A367" t="str">
        <f>HYPERLINK("http://exon.niaid.nih.gov/transcriptome/T_rubida/S2/links/pep/Triru-264-pep.txt","Triru-264")</f>
        <v>Triru-264</v>
      </c>
      <c r="B367">
        <v>74</v>
      </c>
      <c r="C367" s="1" t="s">
        <v>6</v>
      </c>
      <c r="D367" s="1" t="s">
        <v>3</v>
      </c>
      <c r="E367" t="str">
        <f>HYPERLINK("http://exon.niaid.nih.gov/transcriptome/T_rubida/S2/links/cds/Triru-264-cds.txt","Triru-264")</f>
        <v>Triru-264</v>
      </c>
      <c r="F367">
        <v>225</v>
      </c>
      <c r="G367" s="2" t="s">
        <v>1815</v>
      </c>
      <c r="H367" s="1">
        <v>1</v>
      </c>
      <c r="I367" s="3" t="s">
        <v>1266</v>
      </c>
      <c r="J367" s="17" t="str">
        <f>HYPERLINK("http://exon.niaid.nih.gov/transcriptome/T_rubida/S2/links/Sigp/Triru-264-SigP.txt","CYT")</f>
        <v>CYT</v>
      </c>
      <c r="K367" t="s">
        <v>5</v>
      </c>
      <c r="L367" s="1">
        <v>8.0820000000000007</v>
      </c>
      <c r="M367" s="1">
        <v>9.6300000000000008</v>
      </c>
      <c r="P367" s="1">
        <v>0.52400000000000002</v>
      </c>
      <c r="Q367" s="1">
        <v>0.157</v>
      </c>
      <c r="R367" s="1">
        <v>0.27800000000000002</v>
      </c>
      <c r="S367" s="17" t="s">
        <v>9</v>
      </c>
      <c r="T367">
        <v>4</v>
      </c>
      <c r="U367" t="s">
        <v>1531</v>
      </c>
      <c r="V367" s="17">
        <v>0</v>
      </c>
      <c r="W367" t="s">
        <v>5</v>
      </c>
      <c r="X367" t="s">
        <v>5</v>
      </c>
      <c r="Y367" t="s">
        <v>5</v>
      </c>
      <c r="Z367" t="s">
        <v>5</v>
      </c>
      <c r="AA367" t="s">
        <v>5</v>
      </c>
      <c r="AB367" s="17" t="str">
        <f>HYPERLINK("http://exon.niaid.nih.gov/transcriptome/T_rubida/S2/links/netoglyc/TRIRU-264-netoglyc.txt","0")</f>
        <v>0</v>
      </c>
      <c r="AC367">
        <v>13.5</v>
      </c>
      <c r="AD367">
        <v>10.8</v>
      </c>
      <c r="AE367">
        <v>10.8</v>
      </c>
      <c r="AF367" s="17" t="s">
        <v>5</v>
      </c>
      <c r="AG367" s="2" t="str">
        <f>HYPERLINK("http://exon.niaid.nih.gov/transcriptome/T_rubida/S2/links/NR/Triru-264-NR.txt","hypothetical protein SCHCODRAFT_46566")</f>
        <v>hypothetical protein SCHCODRAFT_46566</v>
      </c>
      <c r="AH367" t="str">
        <f>HYPERLINK("http://www.ncbi.nlm.nih.gov/sutils/blink.cgi?pid=302694873","1.2")</f>
        <v>1.2</v>
      </c>
      <c r="AI367" t="str">
        <f>HYPERLINK("http://www.ncbi.nlm.nih.gov/protein/302694873","gi|302694873")</f>
        <v>gi|302694873</v>
      </c>
      <c r="AJ367">
        <v>36.6</v>
      </c>
      <c r="AK367">
        <v>45</v>
      </c>
      <c r="AL367">
        <v>458</v>
      </c>
      <c r="AM367">
        <v>32</v>
      </c>
      <c r="AN367">
        <v>10</v>
      </c>
      <c r="AO367" t="s">
        <v>528</v>
      </c>
      <c r="AP367" s="2" t="str">
        <f>HYPERLINK("http://exon.niaid.nih.gov/transcriptome/T_rubida/S2/links/SWISSP/Triru-264-SWISSP.txt","NADH-ubiquinone oxidoreductase chain 4")</f>
        <v>NADH-ubiquinone oxidoreductase chain 4</v>
      </c>
      <c r="AQ367" t="str">
        <f>HYPERLINK("http://www.uniprot.org/uniprot/P24892","9.7")</f>
        <v>9.7</v>
      </c>
      <c r="AR367" t="s">
        <v>529</v>
      </c>
      <c r="AS367">
        <v>28.9</v>
      </c>
      <c r="AT367">
        <v>51</v>
      </c>
      <c r="AU367">
        <v>409</v>
      </c>
      <c r="AV367">
        <v>28</v>
      </c>
      <c r="AW367">
        <v>13</v>
      </c>
      <c r="AX367">
        <v>37</v>
      </c>
      <c r="AY367">
        <v>0</v>
      </c>
      <c r="AZ367">
        <v>279</v>
      </c>
      <c r="BA367">
        <v>19</v>
      </c>
      <c r="BB367">
        <v>1</v>
      </c>
      <c r="BC367" t="s">
        <v>315</v>
      </c>
      <c r="BD367" s="2" t="s">
        <v>5</v>
      </c>
      <c r="BE367" t="s">
        <v>5</v>
      </c>
      <c r="BF367" t="s">
        <v>5</v>
      </c>
      <c r="BG367" t="s">
        <v>5</v>
      </c>
      <c r="BH367" t="s">
        <v>5</v>
      </c>
      <c r="BI367" s="2" t="str">
        <f>HYPERLINK("http://exon.niaid.nih.gov/transcriptome/T_rubida/S2/links/CDD/Triru-264-CDD.txt","COG1604")</f>
        <v>COG1604</v>
      </c>
      <c r="BJ367" t="str">
        <f>HYPERLINK("http://www.ncbi.nlm.nih.gov/Structure/cdd/cddsrv.cgi?uid=COG1604&amp;version=v4.0","0.67")</f>
        <v>0.67</v>
      </c>
      <c r="BK367" t="s">
        <v>530</v>
      </c>
      <c r="BL367" s="2" t="str">
        <f>HYPERLINK("http://exon.niaid.nih.gov/transcriptome/T_rubida/S2/links/KOG/Triru-264-KOG.txt","Predicted E3 ubiquitin ligase")</f>
        <v>Predicted E3 ubiquitin ligase</v>
      </c>
      <c r="BM367" t="str">
        <f>HYPERLINK("http://www.ncbi.nlm.nih.gov/COG/grace/shokog.cgi?KOG0803","0.60")</f>
        <v>0.60</v>
      </c>
      <c r="BN367" t="s">
        <v>72</v>
      </c>
      <c r="BO367" s="2" t="str">
        <f>HYPERLINK("http://exon.niaid.nih.gov/transcriptome/T_rubida/S2/links/PFAM/Triru-264-PFAM.txt","DUF3439")</f>
        <v>DUF3439</v>
      </c>
      <c r="BP367" t="str">
        <f>HYPERLINK("http://pfam.sanger.ac.uk/family?acc=PF11921","0.25")</f>
        <v>0.25</v>
      </c>
      <c r="BQ367" s="2" t="str">
        <f>HYPERLINK("http://exon.niaid.nih.gov/transcriptome/T_rubida/S2/links/SMART/Triru-264-SMART.txt","FH2")</f>
        <v>FH2</v>
      </c>
      <c r="BR367" t="str">
        <f>HYPERLINK("http://smart.embl-heidelberg.de/smart/do_annotation.pl?DOMAIN=FH2&amp;BLAST=DUMMY","0.27")</f>
        <v>0.27</v>
      </c>
      <c r="BS367" s="17">
        <f t="shared" si="64"/>
        <v>1</v>
      </c>
      <c r="BT367" s="1">
        <f t="shared" si="65"/>
        <v>359</v>
      </c>
      <c r="BU367" s="17">
        <v>124</v>
      </c>
      <c r="BV367" s="1">
        <v>1</v>
      </c>
      <c r="BW367" s="17">
        <v>148</v>
      </c>
      <c r="BX367" s="1">
        <v>1</v>
      </c>
      <c r="BY367" s="17">
        <v>156</v>
      </c>
      <c r="BZ367" s="1">
        <v>1</v>
      </c>
      <c r="CA367" s="17">
        <v>160</v>
      </c>
      <c r="CB367" s="1">
        <v>1</v>
      </c>
      <c r="CC367" s="17">
        <v>164</v>
      </c>
      <c r="CD367" s="1">
        <v>1</v>
      </c>
      <c r="CE367" s="17">
        <v>169</v>
      </c>
      <c r="CF367" s="1">
        <v>1</v>
      </c>
      <c r="CG367" s="17">
        <v>171</v>
      </c>
      <c r="CH367" s="1">
        <v>1</v>
      </c>
      <c r="CI367" s="17">
        <v>178</v>
      </c>
      <c r="CJ367" s="1">
        <v>1</v>
      </c>
      <c r="CK367" s="17">
        <v>183</v>
      </c>
      <c r="CL367" s="1">
        <v>1</v>
      </c>
      <c r="CM367" s="17">
        <v>189</v>
      </c>
      <c r="CN367" s="1">
        <v>1</v>
      </c>
      <c r="CO367" s="17">
        <v>199</v>
      </c>
      <c r="CP367" s="1">
        <v>1</v>
      </c>
      <c r="CQ367" s="17">
        <v>209</v>
      </c>
      <c r="CR367" s="1">
        <v>1</v>
      </c>
      <c r="CS367" s="17">
        <v>214</v>
      </c>
      <c r="CT367" s="1">
        <v>1</v>
      </c>
      <c r="CU367" s="17">
        <v>225</v>
      </c>
      <c r="CV367" s="1">
        <v>1</v>
      </c>
    </row>
    <row r="368" spans="1:100">
      <c r="A368" t="str">
        <f>HYPERLINK("http://exon.niaid.nih.gov/transcriptome/T_rubida/S2/links/pep/Triru-177-pep.txt","Triru-177")</f>
        <v>Triru-177</v>
      </c>
      <c r="B368">
        <v>14</v>
      </c>
      <c r="C368" s="1" t="s">
        <v>8</v>
      </c>
      <c r="D368" s="1" t="s">
        <v>3</v>
      </c>
      <c r="E368" t="str">
        <f>HYPERLINK("http://exon.niaid.nih.gov/transcriptome/T_rubida/S2/links/cds/Triru-177-cds.txt","Triru-177")</f>
        <v>Triru-177</v>
      </c>
      <c r="F368">
        <v>45</v>
      </c>
      <c r="G368" s="2" t="s">
        <v>1737</v>
      </c>
      <c r="H368" s="1">
        <v>1</v>
      </c>
      <c r="I368" s="3" t="s">
        <v>1266</v>
      </c>
      <c r="J368" s="17" t="str">
        <f>HYPERLINK("http://exon.niaid.nih.gov/transcriptome/T_rubida/S2/links/Sigp/Triru-177-SigP.txt","CYT")</f>
        <v>CYT</v>
      </c>
      <c r="K368" t="s">
        <v>5</v>
      </c>
      <c r="L368" s="1">
        <v>1.9670000000000001</v>
      </c>
      <c r="M368" s="1">
        <v>9.75</v>
      </c>
      <c r="P368" s="1">
        <v>0.38300000000000001</v>
      </c>
      <c r="Q368" s="1">
        <v>3.6999999999999998E-2</v>
      </c>
      <c r="R368" s="1">
        <v>0.67400000000000004</v>
      </c>
      <c r="S368" s="17" t="s">
        <v>1346</v>
      </c>
      <c r="T368">
        <v>4</v>
      </c>
      <c r="U368" t="s">
        <v>1348</v>
      </c>
      <c r="V368" s="17">
        <v>0</v>
      </c>
      <c r="W368" t="s">
        <v>5</v>
      </c>
      <c r="X368" t="s">
        <v>5</v>
      </c>
      <c r="Y368" t="s">
        <v>5</v>
      </c>
      <c r="Z368" t="s">
        <v>5</v>
      </c>
      <c r="AA368" t="s">
        <v>5</v>
      </c>
      <c r="AB368" s="17" t="str">
        <f>HYPERLINK("http://exon.niaid.nih.gov/transcriptome/T_rubida/S2/links/netoglyc/TRIRU-177-netoglyc.txt","0")</f>
        <v>0</v>
      </c>
      <c r="AC368">
        <v>7.1</v>
      </c>
      <c r="AD368" t="s">
        <v>1417</v>
      </c>
      <c r="AE368" t="s">
        <v>1394</v>
      </c>
      <c r="AF368" s="17" t="s">
        <v>5</v>
      </c>
      <c r="AG368" s="2" t="str">
        <f>HYPERLINK("http://exon.niaid.nih.gov/transcriptome/T_rubida/S2/links/NR/Triru-177-NR.txt","hypothetical protein")</f>
        <v>hypothetical protein</v>
      </c>
      <c r="AH368" t="str">
        <f>HYPERLINK("http://www.ncbi.nlm.nih.gov/sutils/blink.cgi?pid=68061555","49")</f>
        <v>49</v>
      </c>
      <c r="AI368" t="str">
        <f>HYPERLINK("http://www.ncbi.nlm.nih.gov/protein/68061555","gi|68061555")</f>
        <v>gi|68061555</v>
      </c>
      <c r="AJ368">
        <v>30.4</v>
      </c>
      <c r="AK368">
        <v>13</v>
      </c>
      <c r="AL368">
        <v>140</v>
      </c>
      <c r="AM368">
        <v>78</v>
      </c>
      <c r="AN368">
        <v>10</v>
      </c>
      <c r="AO368" t="s">
        <v>346</v>
      </c>
      <c r="AP368" s="2" t="str">
        <f>HYPERLINK("http://exon.niaid.nih.gov/transcriptome/T_rubida/S2/links/SWISSP/Triru-177-SWISSP.txt","Putative uncharacterized protein YGR069W")</f>
        <v>Putative uncharacterized protein YGR069W</v>
      </c>
      <c r="AQ368" t="str">
        <f>HYPERLINK("http://www.uniprot.org/uniprot/P53245","20")</f>
        <v>20</v>
      </c>
      <c r="AR368" t="s">
        <v>347</v>
      </c>
      <c r="AS368">
        <v>26.9</v>
      </c>
      <c r="AT368">
        <v>12</v>
      </c>
      <c r="AU368">
        <v>111</v>
      </c>
      <c r="AV368">
        <v>90</v>
      </c>
      <c r="AW368">
        <v>12</v>
      </c>
      <c r="AX368">
        <v>1</v>
      </c>
      <c r="AY368">
        <v>0</v>
      </c>
      <c r="AZ368">
        <v>36</v>
      </c>
      <c r="BA368">
        <v>1</v>
      </c>
      <c r="BB368">
        <v>2</v>
      </c>
      <c r="BC368" t="s">
        <v>344</v>
      </c>
      <c r="BD368" s="2" t="s">
        <v>5</v>
      </c>
      <c r="BE368" t="s">
        <v>5</v>
      </c>
      <c r="BF368" t="s">
        <v>5</v>
      </c>
      <c r="BG368" t="s">
        <v>5</v>
      </c>
      <c r="BH368" t="s">
        <v>5</v>
      </c>
      <c r="BI368" s="2" t="s">
        <v>5</v>
      </c>
      <c r="BJ368" t="s">
        <v>5</v>
      </c>
      <c r="BK368" t="s">
        <v>5</v>
      </c>
      <c r="BL368" s="2" t="s">
        <v>5</v>
      </c>
      <c r="BM368" t="s">
        <v>5</v>
      </c>
      <c r="BN368" t="s">
        <v>5</v>
      </c>
      <c r="BO368" s="2" t="s">
        <v>5</v>
      </c>
      <c r="BP368" t="s">
        <v>5</v>
      </c>
      <c r="BQ368" s="2" t="s">
        <v>5</v>
      </c>
      <c r="BR368" t="s">
        <v>5</v>
      </c>
      <c r="BS368" s="17">
        <f t="shared" si="64"/>
        <v>1</v>
      </c>
      <c r="BT368" s="1">
        <f t="shared" si="65"/>
        <v>359</v>
      </c>
      <c r="BU368" s="17">
        <f>HYPERLINK("http://exon.niaid.nih.gov/transcriptome/T_rubida/S2/links/cluster/Triru-pep-ext30-50-Sim-CLU1.txt", 1)</f>
        <v>1</v>
      </c>
      <c r="BV368" s="1">
        <f>HYPERLINK("http://exon.niaid.nih.gov/transcriptome/T_rubida/S2/links/cluster/Triru-pep-ext30-50-Sim-CLTL1.txt", 225)</f>
        <v>225</v>
      </c>
      <c r="BW368" s="17">
        <f>HYPERLINK("http://exon.niaid.nih.gov/transcriptome/T_rubida/S2/links/cluster/Triru-pep-ext35-50-Sim-CLU1.txt", 1)</f>
        <v>1</v>
      </c>
      <c r="BX368" s="1">
        <f>HYPERLINK("http://exon.niaid.nih.gov/transcriptome/T_rubida/S2/links/cluster/Triru-pep-ext35-50-Sim-CLTL1.txt", 75)</f>
        <v>75</v>
      </c>
      <c r="BY368" s="17">
        <f>HYPERLINK("http://exon.niaid.nih.gov/transcriptome/T_rubida/S2/links/cluster/Triru-pep-ext40-50-Sim-CLU2.txt", 2)</f>
        <v>2</v>
      </c>
      <c r="BZ368" s="1">
        <f>HYPERLINK("http://exon.niaid.nih.gov/transcriptome/T_rubida/S2/links/cluster/Triru-pep-ext40-50-Sim-CLTL2.txt", 42)</f>
        <v>42</v>
      </c>
      <c r="CA368" s="17">
        <f>HYPERLINK("http://exon.niaid.nih.gov/transcriptome/T_rubida/S2/links/cluster/Triru-pep-ext45-50-Sim-CLU2.txt", 2)</f>
        <v>2</v>
      </c>
      <c r="CB368" s="1">
        <f>HYPERLINK("http://exon.niaid.nih.gov/transcriptome/T_rubida/S2/links/cluster/Triru-pep-ext45-50-Sim-CLTL2.txt", 33)</f>
        <v>33</v>
      </c>
      <c r="CC368" s="17">
        <f>HYPERLINK("http://exon.niaid.nih.gov/transcriptome/T_rubida/S2/links/cluster/Triru-pep-ext50-50-Sim-CLU3.txt", 3)</f>
        <v>3</v>
      </c>
      <c r="CD368" s="1">
        <f>HYPERLINK("http://exon.niaid.nih.gov/transcriptome/T_rubida/S2/links/cluster/Triru-pep-ext50-50-Sim-CLTL3.txt", 23)</f>
        <v>23</v>
      </c>
      <c r="CE368" s="17">
        <f>HYPERLINK("http://exon.niaid.nih.gov/transcriptome/T_rubida/S2/links/cluster/Triru-pep-ext55-50-Sim-CLU3.txt", 3)</f>
        <v>3</v>
      </c>
      <c r="CF368" s="1">
        <f>HYPERLINK("http://exon.niaid.nih.gov/transcriptome/T_rubida/S2/links/cluster/Triru-pep-ext55-50-Sim-CLTL3.txt", 16)</f>
        <v>16</v>
      </c>
      <c r="CG368" s="17">
        <f>HYPERLINK("http://exon.niaid.nih.gov/transcriptome/T_rubida/S2/links/cluster/Triru-pep-ext60-50-Sim-CLU2.txt", 2)</f>
        <v>2</v>
      </c>
      <c r="CH368" s="1">
        <f>HYPERLINK("http://exon.niaid.nih.gov/transcriptome/T_rubida/S2/links/cluster/Triru-pep-ext60-50-Sim-CLTL2.txt", 13)</f>
        <v>13</v>
      </c>
      <c r="CI368" s="17">
        <f>HYPERLINK("http://exon.niaid.nih.gov/transcriptome/T_rubida/S2/links/cluster/Triru-pep-ext65-50-Sim-CLU5.txt", 5)</f>
        <v>5</v>
      </c>
      <c r="CJ368" s="1">
        <f>HYPERLINK("http://exon.niaid.nih.gov/transcriptome/T_rubida/S2/links/cluster/Triru-pep-ext65-50-Sim-CLTL5.txt", 8)</f>
        <v>8</v>
      </c>
      <c r="CK368" s="17">
        <f>HYPERLINK("http://exon.niaid.nih.gov/transcriptome/T_rubida/S2/links/cluster/Triru-pep-ext70-50-Sim-CLU5.txt", 5)</f>
        <v>5</v>
      </c>
      <c r="CL368" s="1">
        <f>HYPERLINK("http://exon.niaid.nih.gov/transcriptome/T_rubida/S2/links/cluster/Triru-pep-ext70-50-Sim-CLTL5.txt", 7)</f>
        <v>7</v>
      </c>
      <c r="CM368" s="17">
        <v>123</v>
      </c>
      <c r="CN368" s="1">
        <v>1</v>
      </c>
      <c r="CO368" s="17">
        <v>132</v>
      </c>
      <c r="CP368" s="1">
        <v>1</v>
      </c>
      <c r="CQ368" s="17">
        <v>142</v>
      </c>
      <c r="CR368" s="1">
        <v>1</v>
      </c>
      <c r="CS368" s="17">
        <v>147</v>
      </c>
      <c r="CT368" s="1">
        <v>1</v>
      </c>
      <c r="CU368" s="17">
        <v>158</v>
      </c>
      <c r="CV368" s="1">
        <v>1</v>
      </c>
    </row>
    <row r="369" spans="1:100">
      <c r="A369" t="str">
        <f>HYPERLINK("http://exon.niaid.nih.gov/transcriptome/T_rubida/S2/links/pep/Triru-193-pep.txt","Triru-193")</f>
        <v>Triru-193</v>
      </c>
      <c r="B369">
        <v>39</v>
      </c>
      <c r="C369" s="1" t="s">
        <v>17</v>
      </c>
      <c r="D369" s="1" t="s">
        <v>3</v>
      </c>
      <c r="E369" t="str">
        <f>HYPERLINK("http://exon.niaid.nih.gov/transcriptome/T_rubida/S2/links/cds/Triru-193-cds.txt","Triru-193")</f>
        <v>Triru-193</v>
      </c>
      <c r="F369">
        <v>120</v>
      </c>
      <c r="G369" s="2" t="s">
        <v>1816</v>
      </c>
      <c r="H369" s="1">
        <v>1</v>
      </c>
      <c r="I369" s="3" t="s">
        <v>1266</v>
      </c>
      <c r="J369" s="17" t="str">
        <f>HYPERLINK("http://exon.niaid.nih.gov/transcriptome/T_rubida/S2/links/Sigp/Triru-193-SigP.txt","CYT")</f>
        <v>CYT</v>
      </c>
      <c r="K369" t="s">
        <v>5</v>
      </c>
      <c r="L369" s="1">
        <v>4.8120000000000003</v>
      </c>
      <c r="M369" s="1">
        <v>10.29</v>
      </c>
      <c r="P369" s="1">
        <v>0.23300000000000001</v>
      </c>
      <c r="Q369" s="1">
        <v>5.7000000000000002E-2</v>
      </c>
      <c r="R369" s="1">
        <v>0.78500000000000003</v>
      </c>
      <c r="S369" s="17" t="s">
        <v>1346</v>
      </c>
      <c r="T369">
        <v>3</v>
      </c>
      <c r="U369" t="s">
        <v>1382</v>
      </c>
      <c r="V369" s="17">
        <v>0</v>
      </c>
      <c r="W369" t="s">
        <v>5</v>
      </c>
      <c r="X369" t="s">
        <v>5</v>
      </c>
      <c r="Y369" t="s">
        <v>5</v>
      </c>
      <c r="Z369" t="s">
        <v>5</v>
      </c>
      <c r="AA369" t="s">
        <v>5</v>
      </c>
      <c r="AB369" s="17" t="str">
        <f>HYPERLINK("http://exon.niaid.nih.gov/transcriptome/T_rubida/S2/links/netoglyc/TRIRU-193-netoglyc.txt","0")</f>
        <v>0</v>
      </c>
      <c r="AC369">
        <v>12.8</v>
      </c>
      <c r="AD369">
        <v>2.6</v>
      </c>
      <c r="AE369">
        <v>10.3</v>
      </c>
      <c r="AF369" s="17" t="s">
        <v>5</v>
      </c>
      <c r="AG369" s="2" t="str">
        <f>HYPERLINK("http://exon.niaid.nih.gov/transcriptome/T_rubida/S2/links/NR/Triru-193-NR.txt","28S ribosomal protein S18a, mitochondrial")</f>
        <v>28S ribosomal protein S18a, mitochondrial</v>
      </c>
      <c r="AH369" t="str">
        <f>HYPERLINK("http://www.ncbi.nlm.nih.gov/sutils/blink.cgi?pid=307201739","0.94")</f>
        <v>0.94</v>
      </c>
      <c r="AI369" t="str">
        <f>HYPERLINK("http://www.ncbi.nlm.nih.gov/protein/307201739","gi|307201739")</f>
        <v>gi|307201739</v>
      </c>
      <c r="AJ369">
        <v>37</v>
      </c>
      <c r="AK369">
        <v>16</v>
      </c>
      <c r="AL369">
        <v>170</v>
      </c>
      <c r="AM369">
        <v>82</v>
      </c>
      <c r="AN369">
        <v>10</v>
      </c>
      <c r="AO369" t="s">
        <v>230</v>
      </c>
      <c r="AP369" s="2" t="str">
        <f>HYPERLINK("http://exon.niaid.nih.gov/transcriptome/T_rubida/S2/links/SWISSP/Triru-193-SWISSP.txt","Mitochondrial import inner membrane translocase subunit TIM50")</f>
        <v>Mitochondrial import inner membrane translocase subunit TIM50</v>
      </c>
      <c r="AQ369" t="str">
        <f>HYPERLINK("http://www.uniprot.org/uniprot/Q6BVY9","7.3")</f>
        <v>7.3</v>
      </c>
      <c r="AR369" t="s">
        <v>1035</v>
      </c>
      <c r="AS369">
        <v>29.3</v>
      </c>
      <c r="AT369">
        <v>45</v>
      </c>
      <c r="AU369">
        <v>471</v>
      </c>
      <c r="AV369">
        <v>34</v>
      </c>
      <c r="AW369">
        <v>10</v>
      </c>
      <c r="AX369">
        <v>30</v>
      </c>
      <c r="AY369">
        <v>12</v>
      </c>
      <c r="AZ369">
        <v>358</v>
      </c>
      <c r="BA369">
        <v>5</v>
      </c>
      <c r="BB369">
        <v>1</v>
      </c>
      <c r="BC369" t="s">
        <v>1036</v>
      </c>
      <c r="BD369" s="2" t="s">
        <v>5</v>
      </c>
      <c r="BE369" t="s">
        <v>5</v>
      </c>
      <c r="BF369" t="s">
        <v>5</v>
      </c>
      <c r="BG369" t="s">
        <v>5</v>
      </c>
      <c r="BH369" t="s">
        <v>5</v>
      </c>
      <c r="BI369" s="2" t="str">
        <f>HYPERLINK("http://exon.niaid.nih.gov/transcriptome/T_rubida/S2/links/CDD/Triru-193-CDD.txt","PRK05632")</f>
        <v>PRK05632</v>
      </c>
      <c r="BJ369" t="str">
        <f>HYPERLINK("http://www.ncbi.nlm.nih.gov/Structure/cdd/cddsrv.cgi?uid=PRK05632&amp;version=v4.0","5.0")</f>
        <v>5.0</v>
      </c>
      <c r="BK369" t="s">
        <v>1037</v>
      </c>
      <c r="BL369" s="2" t="s">
        <v>5</v>
      </c>
      <c r="BM369" t="s">
        <v>5</v>
      </c>
      <c r="BN369" t="s">
        <v>5</v>
      </c>
      <c r="BO369" s="2" t="str">
        <f>HYPERLINK("http://exon.niaid.nih.gov/transcriptome/T_rubida/S2/links/PFAM/Triru-193-PFAM.txt","DUF1673")</f>
        <v>DUF1673</v>
      </c>
      <c r="BP369" t="str">
        <f>HYPERLINK("http://pfam.sanger.ac.uk/family?acc=PF07895","9.4")</f>
        <v>9.4</v>
      </c>
      <c r="BQ369" s="2" t="str">
        <f>HYPERLINK("http://exon.niaid.nih.gov/transcriptome/T_rubida/S2/links/SMART/Triru-193-SMART.txt","AgrD")</f>
        <v>AgrD</v>
      </c>
      <c r="BR369" t="str">
        <f>HYPERLINK("http://smart.embl-heidelberg.de/smart/do_annotation.pl?DOMAIN=AgrD&amp;BLAST=DUMMY","1.3")</f>
        <v>1.3</v>
      </c>
      <c r="BS369" s="17">
        <f t="shared" si="64"/>
        <v>1</v>
      </c>
      <c r="BT369" s="1">
        <f t="shared" si="65"/>
        <v>359</v>
      </c>
      <c r="BU369" s="17">
        <f>HYPERLINK("http://exon.niaid.nih.gov/transcriptome/T_rubida/S2/links/cluster/Triru-pep-ext30-50-Sim-CLU1.txt", 1)</f>
        <v>1</v>
      </c>
      <c r="BV369" s="1">
        <f>HYPERLINK("http://exon.niaid.nih.gov/transcriptome/T_rubida/S2/links/cluster/Triru-pep-ext30-50-Sim-CLTL1.txt", 225)</f>
        <v>225</v>
      </c>
      <c r="BW369" s="17">
        <v>114</v>
      </c>
      <c r="BX369" s="1">
        <v>1</v>
      </c>
      <c r="BY369" s="17">
        <v>118</v>
      </c>
      <c r="BZ369" s="1">
        <v>1</v>
      </c>
      <c r="CA369" s="17">
        <v>118</v>
      </c>
      <c r="CB369" s="1">
        <v>1</v>
      </c>
      <c r="CC369" s="17">
        <v>121</v>
      </c>
      <c r="CD369" s="1">
        <v>1</v>
      </c>
      <c r="CE369" s="17">
        <v>118</v>
      </c>
      <c r="CF369" s="1">
        <v>1</v>
      </c>
      <c r="CG369" s="17">
        <v>119</v>
      </c>
      <c r="CH369" s="1">
        <v>1</v>
      </c>
      <c r="CI369" s="17">
        <v>125</v>
      </c>
      <c r="CJ369" s="1">
        <v>1</v>
      </c>
      <c r="CK369" s="17">
        <v>130</v>
      </c>
      <c r="CL369" s="1">
        <v>1</v>
      </c>
      <c r="CM369" s="17">
        <v>136</v>
      </c>
      <c r="CN369" s="1">
        <v>1</v>
      </c>
      <c r="CO369" s="17">
        <v>146</v>
      </c>
      <c r="CP369" s="1">
        <v>1</v>
      </c>
      <c r="CQ369" s="17">
        <v>156</v>
      </c>
      <c r="CR369" s="1">
        <v>1</v>
      </c>
      <c r="CS369" s="17">
        <v>161</v>
      </c>
      <c r="CT369" s="1">
        <v>1</v>
      </c>
      <c r="CU369" s="17">
        <v>172</v>
      </c>
      <c r="CV369" s="1">
        <v>1</v>
      </c>
    </row>
    <row r="370" spans="1:100">
      <c r="A370" t="str">
        <f>HYPERLINK("http://exon.niaid.nih.gov/transcriptome/T_rubida/S2/links/pep/Triru-407-pep.txt","Triru-407")</f>
        <v>Triru-407</v>
      </c>
      <c r="B370">
        <v>42</v>
      </c>
      <c r="C370" s="1" t="s">
        <v>6</v>
      </c>
      <c r="D370" s="1" t="s">
        <v>3</v>
      </c>
      <c r="E370" t="str">
        <f>HYPERLINK("http://exon.niaid.nih.gov/transcriptome/T_rubida/S2/links/cds/Triru-407-cds.txt","Triru-407")</f>
        <v>Triru-407</v>
      </c>
      <c r="F370">
        <v>129</v>
      </c>
      <c r="G370" s="2" t="s">
        <v>1817</v>
      </c>
      <c r="H370" s="1">
        <v>1</v>
      </c>
      <c r="I370" s="3" t="s">
        <v>1266</v>
      </c>
      <c r="J370" s="17" t="str">
        <f>HYPERLINK("http://exon.niaid.nih.gov/transcriptome/T_rubida/S2/links/Sigp/Triru-407-SigP.txt","CYT")</f>
        <v>CYT</v>
      </c>
      <c r="K370" t="s">
        <v>5</v>
      </c>
      <c r="L370" s="1">
        <v>4.9630000000000001</v>
      </c>
      <c r="M370" s="1">
        <v>10.3</v>
      </c>
      <c r="P370" s="1">
        <v>0.186</v>
      </c>
      <c r="Q370" s="1">
        <v>0.51700000000000002</v>
      </c>
      <c r="R370" s="1">
        <v>0.13300000000000001</v>
      </c>
      <c r="S370" s="17" t="s">
        <v>18</v>
      </c>
      <c r="T370">
        <v>4</v>
      </c>
      <c r="U370" t="s">
        <v>1532</v>
      </c>
      <c r="V370" s="17">
        <v>0</v>
      </c>
      <c r="W370" t="s">
        <v>5</v>
      </c>
      <c r="X370" t="s">
        <v>5</v>
      </c>
      <c r="Y370" t="s">
        <v>5</v>
      </c>
      <c r="Z370" t="s">
        <v>5</v>
      </c>
      <c r="AA370" t="s">
        <v>5</v>
      </c>
      <c r="AB370" s="17" t="str">
        <f>HYPERLINK("http://exon.niaid.nih.gov/transcriptome/T_rubida/S2/links/netoglyc/TRIRU-407-netoglyc.txt","0")</f>
        <v>0</v>
      </c>
      <c r="AC370">
        <v>7.1</v>
      </c>
      <c r="AD370">
        <v>11.9</v>
      </c>
      <c r="AE370">
        <v>2.4</v>
      </c>
      <c r="AF370" s="17" t="s">
        <v>5</v>
      </c>
      <c r="AG370" s="2" t="str">
        <f>HYPERLINK("http://exon.niaid.nih.gov/transcriptome/T_rubida/S2/links/NR/Triru-407-NR.txt","hypothetical protein Epulo_05569")</f>
        <v>hypothetical protein Epulo_05569</v>
      </c>
      <c r="AH370" t="str">
        <f>HYPERLINK("http://www.ncbi.nlm.nih.gov/sutils/blink.cgi?pid=168334420","88")</f>
        <v>88</v>
      </c>
      <c r="AI370" t="str">
        <f>HYPERLINK("http://www.ncbi.nlm.nih.gov/protein/168334420","gi|168334420")</f>
        <v>gi|168334420</v>
      </c>
      <c r="AJ370">
        <v>30.4</v>
      </c>
      <c r="AK370">
        <v>36</v>
      </c>
      <c r="AL370">
        <v>376</v>
      </c>
      <c r="AM370">
        <v>40</v>
      </c>
      <c r="AN370">
        <v>10</v>
      </c>
      <c r="AO370" t="s">
        <v>439</v>
      </c>
      <c r="AP370" s="2" t="str">
        <f>HYPERLINK("http://exon.niaid.nih.gov/transcriptome/T_rubida/S2/links/SWISSP/Triru-407-SWISSP.txt","DNA-directed RNA polymerase subunit beta C-terminal section")</f>
        <v>DNA-directed RNA polymerase subunit beta C-terminal section</v>
      </c>
      <c r="AQ370" t="str">
        <f>HYPERLINK("http://www.uniprot.org/uniprot/Q06SF4","7.3")</f>
        <v>7.3</v>
      </c>
      <c r="AR370" t="s">
        <v>440</v>
      </c>
      <c r="AS370">
        <v>29.3</v>
      </c>
      <c r="AT370">
        <v>28</v>
      </c>
      <c r="AU370">
        <v>1080</v>
      </c>
      <c r="AV370">
        <v>51</v>
      </c>
      <c r="AW370">
        <v>3</v>
      </c>
      <c r="AX370">
        <v>14</v>
      </c>
      <c r="AY370">
        <v>5</v>
      </c>
      <c r="AZ370">
        <v>748</v>
      </c>
      <c r="BA370">
        <v>14</v>
      </c>
      <c r="BB370">
        <v>1</v>
      </c>
      <c r="BC370" t="s">
        <v>441</v>
      </c>
      <c r="BD370" s="2" t="s">
        <v>5</v>
      </c>
      <c r="BE370" t="s">
        <v>5</v>
      </c>
      <c r="BF370" t="s">
        <v>5</v>
      </c>
      <c r="BG370" t="s">
        <v>5</v>
      </c>
      <c r="BH370" t="s">
        <v>5</v>
      </c>
      <c r="BI370" s="2" t="str">
        <f>HYPERLINK("http://exon.niaid.nih.gov/transcriptome/T_rubida/S2/links/CDD/Triru-407-CDD.txt","nifE")</f>
        <v>nifE</v>
      </c>
      <c r="BJ370" t="str">
        <f>HYPERLINK("http://www.ncbi.nlm.nih.gov/Structure/cdd/cddsrv.cgi?uid=TIGR01283&amp;version=v4.0","7.3")</f>
        <v>7.3</v>
      </c>
      <c r="BK370" t="s">
        <v>442</v>
      </c>
      <c r="BL370" s="2" t="s">
        <v>5</v>
      </c>
      <c r="BM370" t="s">
        <v>5</v>
      </c>
      <c r="BN370" t="s">
        <v>5</v>
      </c>
      <c r="BO370" s="2" t="s">
        <v>5</v>
      </c>
      <c r="BP370" t="s">
        <v>5</v>
      </c>
      <c r="BQ370" s="2" t="str">
        <f>HYPERLINK("http://exon.niaid.nih.gov/transcriptome/T_rubida/S2/links/SMART/Triru-407-SMART.txt","KIND")</f>
        <v>KIND</v>
      </c>
      <c r="BR370" t="str">
        <f>HYPERLINK("http://smart.embl-heidelberg.de/smart/do_annotation.pl?DOMAIN=KIND&amp;BLAST=DUMMY","1.3")</f>
        <v>1.3</v>
      </c>
      <c r="BS370" s="17">
        <f t="shared" si="64"/>
        <v>1</v>
      </c>
      <c r="BT370" s="1">
        <f t="shared" si="65"/>
        <v>359</v>
      </c>
      <c r="BU370" s="17">
        <f>HYPERLINK("http://exon.niaid.nih.gov/transcriptome/T_rubida/S2/links/cluster/Triru-pep-ext30-50-Sim-CLU1.txt", 1)</f>
        <v>1</v>
      </c>
      <c r="BV370" s="1">
        <f>HYPERLINK("http://exon.niaid.nih.gov/transcriptome/T_rubida/S2/links/cluster/Triru-pep-ext30-50-Sim-CLTL1.txt", 225)</f>
        <v>225</v>
      </c>
      <c r="BW370" s="17">
        <f>HYPERLINK("http://exon.niaid.nih.gov/transcriptome/T_rubida/S2/links/cluster/Triru-pep-ext35-50-Sim-CLU1.txt", 1)</f>
        <v>1</v>
      </c>
      <c r="BX370" s="1">
        <f>HYPERLINK("http://exon.niaid.nih.gov/transcriptome/T_rubida/S2/links/cluster/Triru-pep-ext35-50-Sim-CLTL1.txt", 75)</f>
        <v>75</v>
      </c>
      <c r="BY370" s="17">
        <f>HYPERLINK("http://exon.niaid.nih.gov/transcriptome/T_rubida/S2/links/cluster/Triru-pep-ext40-50-Sim-CLU4.txt", 4)</f>
        <v>4</v>
      </c>
      <c r="BZ370" s="1">
        <f>HYPERLINK("http://exon.niaid.nih.gov/transcriptome/T_rubida/S2/links/cluster/Triru-pep-ext40-50-Sim-CLTL4.txt", 6)</f>
        <v>6</v>
      </c>
      <c r="CA370" s="17">
        <v>258</v>
      </c>
      <c r="CB370" s="1">
        <v>1</v>
      </c>
      <c r="CC370" s="17">
        <v>265</v>
      </c>
      <c r="CD370" s="1">
        <v>1</v>
      </c>
      <c r="CE370" s="17">
        <v>272</v>
      </c>
      <c r="CF370" s="1">
        <v>1</v>
      </c>
      <c r="CG370" s="17">
        <v>275</v>
      </c>
      <c r="CH370" s="1">
        <v>1</v>
      </c>
      <c r="CI370" s="17">
        <v>285</v>
      </c>
      <c r="CJ370" s="1">
        <v>1</v>
      </c>
      <c r="CK370" s="17">
        <v>291</v>
      </c>
      <c r="CL370" s="1">
        <v>1</v>
      </c>
      <c r="CM370" s="17">
        <v>299</v>
      </c>
      <c r="CN370" s="1">
        <v>1</v>
      </c>
      <c r="CO370" s="17">
        <v>311</v>
      </c>
      <c r="CP370" s="1">
        <v>1</v>
      </c>
      <c r="CQ370" s="17">
        <v>321</v>
      </c>
      <c r="CR370" s="1">
        <v>1</v>
      </c>
      <c r="CS370" s="17">
        <v>333</v>
      </c>
      <c r="CT370" s="1">
        <v>1</v>
      </c>
      <c r="CU370" s="17">
        <v>344</v>
      </c>
      <c r="CV370" s="1">
        <v>1</v>
      </c>
    </row>
    <row r="371" spans="1:100">
      <c r="A371" t="str">
        <f>HYPERLINK("http://exon.niaid.nih.gov/transcriptome/T_rubida/S2/links/pep/Triru-510-pep.txt","Triru-510")</f>
        <v>Triru-510</v>
      </c>
      <c r="B371">
        <v>55</v>
      </c>
      <c r="C371" s="1" t="s">
        <v>6</v>
      </c>
      <c r="D371" s="1" t="s">
        <v>3</v>
      </c>
      <c r="E371" t="str">
        <f>HYPERLINK("http://exon.niaid.nih.gov/transcriptome/T_rubida/S2/links/cds/Triru-510-cds.txt","Triru-510")</f>
        <v>Triru-510</v>
      </c>
      <c r="F371">
        <v>168</v>
      </c>
      <c r="G371" s="2" t="s">
        <v>1818</v>
      </c>
      <c r="H371" s="1">
        <v>1</v>
      </c>
      <c r="I371" s="3" t="s">
        <v>1266</v>
      </c>
      <c r="J371" s="17" t="str">
        <f>HYPERLINK("http://exon.niaid.nih.gov/transcriptome/T_rubida/S2/links/Sigp/Triru-510-SigP.txt","CYT")</f>
        <v>CYT</v>
      </c>
      <c r="K371" t="s">
        <v>5</v>
      </c>
      <c r="L371" s="1">
        <v>6.31</v>
      </c>
      <c r="M371" s="1">
        <v>9.31</v>
      </c>
      <c r="P371" s="1">
        <v>0.11899999999999999</v>
      </c>
      <c r="Q371" s="1">
        <v>4.3999999999999997E-2</v>
      </c>
      <c r="R371" s="1">
        <v>0.90900000000000003</v>
      </c>
      <c r="S371" s="17" t="s">
        <v>1346</v>
      </c>
      <c r="T371">
        <v>2</v>
      </c>
      <c r="U371" t="s">
        <v>1533</v>
      </c>
      <c r="V371" s="17">
        <v>0</v>
      </c>
      <c r="W371" t="s">
        <v>5</v>
      </c>
      <c r="X371" t="s">
        <v>5</v>
      </c>
      <c r="Y371" t="s">
        <v>5</v>
      </c>
      <c r="Z371" t="s">
        <v>5</v>
      </c>
      <c r="AA371" t="s">
        <v>5</v>
      </c>
      <c r="AB371" s="17" t="str">
        <f>HYPERLINK("http://exon.niaid.nih.gov/transcriptome/T_rubida/S2/links/netoglyc/TRIRU-510-netoglyc.txt","3")</f>
        <v>3</v>
      </c>
      <c r="AC371">
        <v>20</v>
      </c>
      <c r="AD371">
        <v>9.1</v>
      </c>
      <c r="AE371">
        <v>5.5</v>
      </c>
      <c r="AF371" s="17" t="s">
        <v>5</v>
      </c>
      <c r="AG371" s="2" t="str">
        <f>HYPERLINK("http://exon.niaid.nih.gov/transcriptome/T_rubida/S2/links/NR/Triru-510-NR.txt","beta-1,4-endoglucanase-1 precursor")</f>
        <v>beta-1,4-endoglucanase-1 precursor</v>
      </c>
      <c r="AH371" t="str">
        <f>HYPERLINK("http://www.ncbi.nlm.nih.gov/sutils/blink.cgi?pid=170791254","14")</f>
        <v>14</v>
      </c>
      <c r="AI371" t="str">
        <f>HYPERLINK("http://www.ncbi.nlm.nih.gov/protein/170791254","gi|170791254")</f>
        <v>gi|170791254</v>
      </c>
      <c r="AJ371">
        <v>33.1</v>
      </c>
      <c r="AK371">
        <v>45</v>
      </c>
      <c r="AL371">
        <v>467</v>
      </c>
      <c r="AM371">
        <v>34</v>
      </c>
      <c r="AN371">
        <v>10</v>
      </c>
      <c r="AO371" t="s">
        <v>465</v>
      </c>
      <c r="AP371" s="2" t="str">
        <f>HYPERLINK("http://exon.niaid.nih.gov/transcriptome/T_rubida/S2/links/SWISSP/Triru-510-SWISSP.txt","Protein BptA")</f>
        <v>Protein BptA</v>
      </c>
      <c r="AQ371" t="str">
        <f>HYPERLINK("http://www.uniprot.org/uniprot/Q56NH2","16")</f>
        <v>16</v>
      </c>
      <c r="AR371" t="s">
        <v>466</v>
      </c>
      <c r="AS371">
        <v>28.1</v>
      </c>
      <c r="AT371">
        <v>33</v>
      </c>
      <c r="AU371">
        <v>206</v>
      </c>
      <c r="AV371">
        <v>32</v>
      </c>
      <c r="AW371">
        <v>17</v>
      </c>
      <c r="AX371">
        <v>23</v>
      </c>
      <c r="AY371">
        <v>0</v>
      </c>
      <c r="AZ371">
        <v>21</v>
      </c>
      <c r="BA371">
        <v>13</v>
      </c>
      <c r="BB371">
        <v>1</v>
      </c>
      <c r="BC371" t="s">
        <v>467</v>
      </c>
      <c r="BD371" s="2" t="s">
        <v>5</v>
      </c>
      <c r="BE371" t="s">
        <v>5</v>
      </c>
      <c r="BF371" t="s">
        <v>5</v>
      </c>
      <c r="BG371" t="s">
        <v>5</v>
      </c>
      <c r="BH371" t="s">
        <v>5</v>
      </c>
      <c r="BI371" s="2" t="s">
        <v>5</v>
      </c>
      <c r="BJ371" t="s">
        <v>5</v>
      </c>
      <c r="BK371" t="s">
        <v>5</v>
      </c>
      <c r="BL371" s="2" t="str">
        <f>HYPERLINK("http://exon.niaid.nih.gov/transcriptome/T_rubida/S2/links/KOG/Triru-510-KOG.txt","Zn2+ transporter ZNT1 and related Cd2+/Zn2+ transporters (cation diffusion facilitator superfamily)")</f>
        <v>Zn2+ transporter ZNT1 and related Cd2+/Zn2+ transporters (cation diffusion facilitator superfamily)</v>
      </c>
      <c r="BM371" t="str">
        <f>HYPERLINK("http://www.ncbi.nlm.nih.gov/COG/grace/shokog.cgi?KOG1483","2.8")</f>
        <v>2.8</v>
      </c>
      <c r="BN371" t="s">
        <v>117</v>
      </c>
      <c r="BO371" s="2" t="str">
        <f>HYPERLINK("http://exon.niaid.nih.gov/transcriptome/T_rubida/S2/links/PFAM/Triru-510-PFAM.txt","DUF726")</f>
        <v>DUF726</v>
      </c>
      <c r="BP371" t="str">
        <f>HYPERLINK("http://pfam.sanger.ac.uk/family?acc=PF05277","5.7")</f>
        <v>5.7</v>
      </c>
      <c r="BQ371" s="2" t="str">
        <f>HYPERLINK("http://exon.niaid.nih.gov/transcriptome/T_rubida/S2/links/SMART/Triru-510-SMART.txt","LH2")</f>
        <v>LH2</v>
      </c>
      <c r="BR371" t="str">
        <f>HYPERLINK("http://smart.embl-heidelberg.de/smart/do_annotation.pl?DOMAIN=LH2&amp;BLAST=DUMMY","1.5")</f>
        <v>1.5</v>
      </c>
      <c r="BS371" s="17">
        <f t="shared" si="64"/>
        <v>1</v>
      </c>
      <c r="BT371" s="1">
        <f t="shared" si="65"/>
        <v>359</v>
      </c>
      <c r="BU371" s="17">
        <v>232</v>
      </c>
      <c r="BV371" s="1">
        <v>1</v>
      </c>
      <c r="BW371" s="17">
        <v>297</v>
      </c>
      <c r="BX371" s="1">
        <v>1</v>
      </c>
      <c r="BY371" s="17">
        <v>323</v>
      </c>
      <c r="BZ371" s="1">
        <v>1</v>
      </c>
      <c r="CA371" s="17">
        <v>334</v>
      </c>
      <c r="CB371" s="1">
        <v>1</v>
      </c>
      <c r="CC371" s="17">
        <v>346</v>
      </c>
      <c r="CD371" s="1">
        <v>1</v>
      </c>
      <c r="CE371" s="17">
        <v>358</v>
      </c>
      <c r="CF371" s="1">
        <v>1</v>
      </c>
      <c r="CG371" s="17">
        <v>364</v>
      </c>
      <c r="CH371" s="1">
        <v>1</v>
      </c>
      <c r="CI371" s="17">
        <v>376</v>
      </c>
      <c r="CJ371" s="1">
        <v>1</v>
      </c>
      <c r="CK371" s="17">
        <v>382</v>
      </c>
      <c r="CL371" s="1">
        <v>1</v>
      </c>
      <c r="CM371" s="17">
        <v>390</v>
      </c>
      <c r="CN371" s="1">
        <v>1</v>
      </c>
      <c r="CO371" s="17">
        <v>402</v>
      </c>
      <c r="CP371" s="1">
        <v>1</v>
      </c>
      <c r="CQ371" s="17">
        <v>412</v>
      </c>
      <c r="CR371" s="1">
        <v>1</v>
      </c>
      <c r="CS371" s="17">
        <v>425</v>
      </c>
      <c r="CT371" s="1">
        <v>1</v>
      </c>
      <c r="CU371" s="17">
        <v>436</v>
      </c>
      <c r="CV371" s="1">
        <v>1</v>
      </c>
    </row>
    <row r="372" spans="1:100">
      <c r="A372" t="str">
        <f>HYPERLINK("http://exon.niaid.nih.gov/transcriptome/T_rubida/S2/links/pep/Triru-385-pep.txt","Triru-385")</f>
        <v>Triru-385</v>
      </c>
      <c r="B372">
        <v>68</v>
      </c>
      <c r="C372" s="1" t="s">
        <v>6</v>
      </c>
      <c r="D372" s="1" t="s">
        <v>3</v>
      </c>
      <c r="E372" t="str">
        <f>HYPERLINK("http://exon.niaid.nih.gov/transcriptome/T_rubida/S2/links/cds/Triru-385-cds.txt","Triru-385")</f>
        <v>Triru-385</v>
      </c>
      <c r="F372">
        <v>207</v>
      </c>
      <c r="G372" s="2" t="s">
        <v>1819</v>
      </c>
      <c r="H372" s="1">
        <v>1</v>
      </c>
      <c r="I372" s="3" t="s">
        <v>1266</v>
      </c>
      <c r="J372" s="17" t="str">
        <f>HYPERLINK("http://exon.niaid.nih.gov/transcriptome/T_rubida/S2/links/Sigp/Triru-385-SigP.txt","CYT")</f>
        <v>CYT</v>
      </c>
      <c r="K372" t="s">
        <v>5</v>
      </c>
      <c r="L372" s="1">
        <v>7.4489999999999998</v>
      </c>
      <c r="M372" s="1">
        <v>10.38</v>
      </c>
      <c r="P372" s="1">
        <v>0.11899999999999999</v>
      </c>
      <c r="Q372" s="1">
        <v>0.106</v>
      </c>
      <c r="R372" s="1">
        <v>0.77800000000000002</v>
      </c>
      <c r="S372" s="17" t="s">
        <v>1346</v>
      </c>
      <c r="T372">
        <v>2</v>
      </c>
      <c r="U372" t="s">
        <v>1534</v>
      </c>
      <c r="V372" s="17" t="str">
        <f>HYPERLINK("http://exon.niaid.nih.gov/transcriptome/T_rubida/S2/links/tmhmm/TRIRU-385-tmhmm.txt","1")</f>
        <v>1</v>
      </c>
      <c r="W372">
        <v>32.4</v>
      </c>
      <c r="X372">
        <v>7.4</v>
      </c>
      <c r="Y372">
        <v>60.3</v>
      </c>
      <c r="Z372" t="s">
        <v>5</v>
      </c>
      <c r="AA372">
        <v>41</v>
      </c>
      <c r="AB372" s="17" t="str">
        <f>HYPERLINK("http://exon.niaid.nih.gov/transcriptome/T_rubida/S2/links/netoglyc/TRIRU-385-netoglyc.txt","0")</f>
        <v>0</v>
      </c>
      <c r="AC372">
        <v>16.2</v>
      </c>
      <c r="AD372">
        <v>8.8000000000000007</v>
      </c>
      <c r="AE372" t="s">
        <v>1394</v>
      </c>
      <c r="AF372" s="17" t="s">
        <v>5</v>
      </c>
      <c r="AG372" s="2" t="str">
        <f>HYPERLINK("http://exon.niaid.nih.gov/transcriptome/T_rubida/S2/links/NR/Triru-385-NR.txt","restriction modification system DNA specificity domain protein")</f>
        <v>restriction modification system DNA specificity domain protein</v>
      </c>
      <c r="AH372" t="str">
        <f>HYPERLINK("http://www.ncbi.nlm.nih.gov/sutils/blink.cgi?pid=261419107","39")</f>
        <v>39</v>
      </c>
      <c r="AI372" t="str">
        <f>HYPERLINK("http://www.ncbi.nlm.nih.gov/protein/261419107","gi|261419107")</f>
        <v>gi|261419107</v>
      </c>
      <c r="AJ372">
        <v>31.6</v>
      </c>
      <c r="AK372">
        <v>48</v>
      </c>
      <c r="AL372">
        <v>477</v>
      </c>
      <c r="AM372">
        <v>27</v>
      </c>
      <c r="AN372">
        <v>10</v>
      </c>
      <c r="AO372" t="s">
        <v>510</v>
      </c>
      <c r="AP372" s="2" t="str">
        <f>HYPERLINK("http://exon.niaid.nih.gov/transcriptome/T_rubida/S2/links/SWISSP/Triru-385-SWISSP.txt","C-reactive protein")</f>
        <v>C-reactive protein</v>
      </c>
      <c r="AQ372" t="str">
        <f>HYPERLINK("http://www.uniprot.org/uniprot/O19062","2.5")</f>
        <v>2.5</v>
      </c>
      <c r="AR372" t="s">
        <v>511</v>
      </c>
      <c r="AS372">
        <v>30.8</v>
      </c>
      <c r="AT372">
        <v>43</v>
      </c>
      <c r="AU372">
        <v>222</v>
      </c>
      <c r="AV372">
        <v>27</v>
      </c>
      <c r="AW372">
        <v>20</v>
      </c>
      <c r="AX372">
        <v>32</v>
      </c>
      <c r="AY372">
        <v>0</v>
      </c>
      <c r="AZ372">
        <v>43</v>
      </c>
      <c r="BA372">
        <v>25</v>
      </c>
      <c r="BB372">
        <v>1</v>
      </c>
      <c r="BC372" t="s">
        <v>220</v>
      </c>
      <c r="BD372" s="2" t="s">
        <v>5</v>
      </c>
      <c r="BE372" t="s">
        <v>5</v>
      </c>
      <c r="BF372" t="s">
        <v>5</v>
      </c>
      <c r="BG372" t="s">
        <v>5</v>
      </c>
      <c r="BH372" t="s">
        <v>5</v>
      </c>
      <c r="BI372" s="2" t="str">
        <f>HYPERLINK("http://exon.niaid.nih.gov/transcriptome/T_rubida/S2/links/CDD/Triru-385-CDD.txt","bacteriophage_l")</f>
        <v>bacteriophage_l</v>
      </c>
      <c r="BJ372" t="str">
        <f>HYPERLINK("http://www.ncbi.nlm.nih.gov/Structure/cdd/cddsrv.cgi?uid=cd00736&amp;version=v4.0","2.4")</f>
        <v>2.4</v>
      </c>
      <c r="BK372" t="s">
        <v>512</v>
      </c>
      <c r="BL372" s="2" t="str">
        <f>HYPERLINK("http://exon.niaid.nih.gov/transcriptome/T_rubida/S2/links/KOG/Triru-385-KOG.txt","Putative RNA binding protein")</f>
        <v>Putative RNA binding protein</v>
      </c>
      <c r="BM372" t="str">
        <f>HYPERLINK("http://www.ncbi.nlm.nih.gov/COG/grace/shokog.cgi?KOG2888","1.5")</f>
        <v>1.5</v>
      </c>
      <c r="BN372" t="s">
        <v>96</v>
      </c>
      <c r="BO372" s="2" t="str">
        <f>HYPERLINK("http://exon.niaid.nih.gov/transcriptome/T_rubida/S2/links/PFAM/Triru-385-PFAM.txt","Lin-8")</f>
        <v>Lin-8</v>
      </c>
      <c r="BP372" t="str">
        <f>HYPERLINK("http://pfam.sanger.ac.uk/family?acc=PF03353","3.2")</f>
        <v>3.2</v>
      </c>
      <c r="BQ372" s="2" t="str">
        <f>HYPERLINK("http://exon.niaid.nih.gov/transcriptome/T_rubida/S2/links/SMART/Triru-385-SMART.txt","Alpha-L-AF_C")</f>
        <v>Alpha-L-AF_C</v>
      </c>
      <c r="BR372" t="str">
        <f>HYPERLINK("http://smart.embl-heidelberg.de/smart/do_annotation.pl?DOMAIN=Alpha-L-AF_C&amp;BLAST=DUMMY","2.7")</f>
        <v>2.7</v>
      </c>
      <c r="BS372" s="17">
        <f t="shared" si="64"/>
        <v>1</v>
      </c>
      <c r="BT372" s="1">
        <f t="shared" si="65"/>
        <v>359</v>
      </c>
      <c r="BU372" s="17">
        <v>178</v>
      </c>
      <c r="BV372" s="1">
        <v>1</v>
      </c>
      <c r="BW372" s="17">
        <v>219</v>
      </c>
      <c r="BX372" s="1">
        <v>1</v>
      </c>
      <c r="BY372" s="17">
        <v>235</v>
      </c>
      <c r="BZ372" s="1">
        <v>1</v>
      </c>
      <c r="CA372" s="17">
        <v>242</v>
      </c>
      <c r="CB372" s="1">
        <v>1</v>
      </c>
      <c r="CC372" s="17">
        <v>247</v>
      </c>
      <c r="CD372" s="1">
        <v>1</v>
      </c>
      <c r="CE372" s="17">
        <v>254</v>
      </c>
      <c r="CF372" s="1">
        <v>1</v>
      </c>
      <c r="CG372" s="17">
        <v>257</v>
      </c>
      <c r="CH372" s="1">
        <v>1</v>
      </c>
      <c r="CI372" s="17">
        <v>267</v>
      </c>
      <c r="CJ372" s="1">
        <v>1</v>
      </c>
      <c r="CK372" s="17">
        <v>272</v>
      </c>
      <c r="CL372" s="1">
        <v>1</v>
      </c>
      <c r="CM372" s="17">
        <v>280</v>
      </c>
      <c r="CN372" s="1">
        <v>1</v>
      </c>
      <c r="CO372" s="17">
        <v>292</v>
      </c>
      <c r="CP372" s="1">
        <v>1</v>
      </c>
      <c r="CQ372" s="17">
        <v>302</v>
      </c>
      <c r="CR372" s="1">
        <v>1</v>
      </c>
      <c r="CS372" s="17">
        <v>314</v>
      </c>
      <c r="CT372" s="1">
        <v>1</v>
      </c>
      <c r="CU372" s="17">
        <v>325</v>
      </c>
      <c r="CV372" s="1">
        <v>1</v>
      </c>
    </row>
    <row r="373" spans="1:100">
      <c r="A373" t="str">
        <f>HYPERLINK("http://exon.niaid.nih.gov/transcriptome/T_rubida/S2/links/pep/Triru-230-pep.txt","Triru-230")</f>
        <v>Triru-230</v>
      </c>
      <c r="B373">
        <v>46</v>
      </c>
      <c r="C373" s="1" t="s">
        <v>21</v>
      </c>
      <c r="D373" s="1" t="s">
        <v>3</v>
      </c>
      <c r="E373" t="str">
        <f>HYPERLINK("http://exon.niaid.nih.gov/transcriptome/T_rubida/S2/links/cds/Triru-230-cds.txt","Triru-230")</f>
        <v>Triru-230</v>
      </c>
      <c r="F373">
        <v>141</v>
      </c>
      <c r="G373" s="2" t="s">
        <v>1821</v>
      </c>
      <c r="H373" s="1">
        <v>1</v>
      </c>
      <c r="I373" s="3" t="s">
        <v>1266</v>
      </c>
      <c r="J373" s="17" t="str">
        <f>HYPERLINK("http://exon.niaid.nih.gov/transcriptome/T_rubida/S2/links/Sigp/Triru-230-SigP.txt","CYT")</f>
        <v>CYT</v>
      </c>
      <c r="K373" t="s">
        <v>5</v>
      </c>
      <c r="L373" s="1">
        <v>4.9710000000000001</v>
      </c>
      <c r="M373" s="1">
        <v>4.12</v>
      </c>
      <c r="P373" s="1">
        <v>6.4000000000000001E-2</v>
      </c>
      <c r="Q373" s="1">
        <v>0.05</v>
      </c>
      <c r="R373" s="1">
        <v>0.95399999999999996</v>
      </c>
      <c r="S373" s="17" t="s">
        <v>1346</v>
      </c>
      <c r="T373">
        <v>1</v>
      </c>
      <c r="U373" t="s">
        <v>1348</v>
      </c>
      <c r="V373" s="17">
        <v>0</v>
      </c>
      <c r="W373" t="s">
        <v>5</v>
      </c>
      <c r="X373" t="s">
        <v>5</v>
      </c>
      <c r="Y373" t="s">
        <v>5</v>
      </c>
      <c r="Z373" t="s">
        <v>5</v>
      </c>
      <c r="AA373" t="s">
        <v>5</v>
      </c>
      <c r="AB373" s="17" t="str">
        <f>HYPERLINK("http://exon.niaid.nih.gov/transcriptome/T_rubida/S2/links/netoglyc/TRIRU-230-netoglyc.txt","2")</f>
        <v>2</v>
      </c>
      <c r="AC373">
        <v>8.6999999999999993</v>
      </c>
      <c r="AD373">
        <v>2.2000000000000002</v>
      </c>
      <c r="AE373">
        <v>13</v>
      </c>
      <c r="AF373" s="17" t="s">
        <v>5</v>
      </c>
      <c r="AG373" s="2" t="str">
        <f>HYPERLINK("http://exon.niaid.nih.gov/transcriptome/T_rubida/S2/links/NR/Triru-230-NR.txt","Eukaryotic translation initiation factor 5")</f>
        <v>Eukaryotic translation initiation factor 5</v>
      </c>
      <c r="AH373" t="str">
        <f>HYPERLINK("http://www.ncbi.nlm.nih.gov/sutils/blink.cgi?pid=307171464","6E-005")</f>
        <v>6E-005</v>
      </c>
      <c r="AI373" t="str">
        <f>HYPERLINK("http://www.ncbi.nlm.nih.gov/protein/307171464","gi|307171464")</f>
        <v>gi|307171464</v>
      </c>
      <c r="AJ373">
        <v>50.8</v>
      </c>
      <c r="AK373">
        <v>47</v>
      </c>
      <c r="AL373">
        <v>465</v>
      </c>
      <c r="AM373">
        <v>58</v>
      </c>
      <c r="AN373">
        <v>10</v>
      </c>
      <c r="AO373" t="s">
        <v>142</v>
      </c>
      <c r="AP373" s="2" t="str">
        <f>HYPERLINK("http://exon.niaid.nih.gov/transcriptome/T_rubida/S2/links/SWISSP/Triru-230-SWISSP.txt","Elongation factor 1-delta")</f>
        <v>Elongation factor 1-delta</v>
      </c>
      <c r="AQ373" t="str">
        <f>HYPERLINK("http://www.uniprot.org/uniprot/Q4R3D4","0.50")</f>
        <v>0.50</v>
      </c>
      <c r="AR373" t="s">
        <v>1239</v>
      </c>
      <c r="AS373">
        <v>33.1</v>
      </c>
      <c r="AT373">
        <v>26</v>
      </c>
      <c r="AU373">
        <v>281</v>
      </c>
      <c r="AV373">
        <v>46</v>
      </c>
      <c r="AW373">
        <v>10</v>
      </c>
      <c r="AX373">
        <v>15</v>
      </c>
      <c r="AY373">
        <v>1</v>
      </c>
      <c r="AZ373">
        <v>133</v>
      </c>
      <c r="BA373">
        <v>16</v>
      </c>
      <c r="BB373">
        <v>1</v>
      </c>
      <c r="BC373" t="s">
        <v>402</v>
      </c>
      <c r="BD373" s="2" t="s">
        <v>5</v>
      </c>
      <c r="BE373" t="s">
        <v>5</v>
      </c>
      <c r="BF373" t="s">
        <v>5</v>
      </c>
      <c r="BG373" t="s">
        <v>5</v>
      </c>
      <c r="BH373" t="s">
        <v>5</v>
      </c>
      <c r="BI373" s="2" t="str">
        <f>HYPERLINK("http://exon.niaid.nih.gov/transcriptome/T_rubida/S2/links/CDD/Triru-230-CDD.txt","PHA03244")</f>
        <v>PHA03244</v>
      </c>
      <c r="BJ373" t="str">
        <f>HYPERLINK("http://www.ncbi.nlm.nih.gov/Structure/cdd/cddsrv.cgi?uid=PHA03244&amp;version=v4.0","1.7")</f>
        <v>1.7</v>
      </c>
      <c r="BK373" t="s">
        <v>1240</v>
      </c>
      <c r="BL373" s="2" t="str">
        <f>HYPERLINK("http://exon.niaid.nih.gov/transcriptome/T_rubida/S2/links/KOG/Triru-230-KOG.txt","Translocon-associated complex TRAP, alpha subunit")</f>
        <v>Translocon-associated complex TRAP, alpha subunit</v>
      </c>
      <c r="BM373" t="str">
        <f>HYPERLINK("http://www.ncbi.nlm.nih.gov/COG/grace/shokog.cgi?KOG1631","4.5")</f>
        <v>4.5</v>
      </c>
      <c r="BN373" t="s">
        <v>164</v>
      </c>
      <c r="BO373" s="2" t="s">
        <v>5</v>
      </c>
      <c r="BP373" t="s">
        <v>5</v>
      </c>
      <c r="BQ373" s="2" t="str">
        <f>HYPERLINK("http://exon.niaid.nih.gov/transcriptome/T_rubida/S2/links/SMART/Triru-230-SMART.txt","ZU5")</f>
        <v>ZU5</v>
      </c>
      <c r="BR373" t="str">
        <f>HYPERLINK("http://smart.embl-heidelberg.de/smart/do_annotation.pl?DOMAIN=ZU5&amp;BLAST=DUMMY","5.4")</f>
        <v>5.4</v>
      </c>
      <c r="BS373" s="17">
        <f t="shared" si="64"/>
        <v>1</v>
      </c>
      <c r="BT373" s="1">
        <f t="shared" si="65"/>
        <v>359</v>
      </c>
      <c r="BU373" s="17">
        <f>HYPERLINK("http://exon.niaid.nih.gov/transcriptome/T_rubida/S2/links/cluster/Triru-pep-ext30-50-Sim-CLU3.txt", 3)</f>
        <v>3</v>
      </c>
      <c r="BV373" s="1">
        <f>HYPERLINK("http://exon.niaid.nih.gov/transcriptome/T_rubida/S2/links/cluster/Triru-pep-ext30-50-Sim-CLTL3.txt", 6)</f>
        <v>6</v>
      </c>
      <c r="BW373" s="17">
        <v>131</v>
      </c>
      <c r="BX373" s="1">
        <v>1</v>
      </c>
      <c r="BY373" s="17">
        <v>137</v>
      </c>
      <c r="BZ373" s="1">
        <v>1</v>
      </c>
      <c r="CA373" s="17">
        <v>139</v>
      </c>
      <c r="CB373" s="1">
        <v>1</v>
      </c>
      <c r="CC373" s="17">
        <v>142</v>
      </c>
      <c r="CD373" s="1">
        <v>1</v>
      </c>
      <c r="CE373" s="17">
        <v>142</v>
      </c>
      <c r="CF373" s="1">
        <v>1</v>
      </c>
      <c r="CG373" s="17">
        <v>144</v>
      </c>
      <c r="CH373" s="1">
        <v>1</v>
      </c>
      <c r="CI373" s="17">
        <v>151</v>
      </c>
      <c r="CJ373" s="1">
        <v>1</v>
      </c>
      <c r="CK373" s="17">
        <v>156</v>
      </c>
      <c r="CL373" s="1">
        <v>1</v>
      </c>
      <c r="CM373" s="17">
        <v>162</v>
      </c>
      <c r="CN373" s="1">
        <v>1</v>
      </c>
      <c r="CO373" s="17">
        <v>172</v>
      </c>
      <c r="CP373" s="1">
        <v>1</v>
      </c>
      <c r="CQ373" s="17">
        <v>182</v>
      </c>
      <c r="CR373" s="1">
        <v>1</v>
      </c>
      <c r="CS373" s="17">
        <v>187</v>
      </c>
      <c r="CT373" s="1">
        <v>1</v>
      </c>
      <c r="CU373" s="17">
        <v>198</v>
      </c>
      <c r="CV373" s="1">
        <v>1</v>
      </c>
    </row>
    <row r="374" spans="1:100">
      <c r="A374" t="str">
        <f>HYPERLINK("http://exon.niaid.nih.gov/transcriptome/T_rubida/S2/links/pep/Triru-331-pep.txt","Triru-331")</f>
        <v>Triru-331</v>
      </c>
      <c r="B374">
        <v>85</v>
      </c>
      <c r="C374" s="1" t="s">
        <v>18</v>
      </c>
      <c r="D374" s="1" t="s">
        <v>5</v>
      </c>
      <c r="E374" t="str">
        <f>HYPERLINK("http://exon.niaid.nih.gov/transcriptome/T_rubida/S2/links/cds/Triru-331-cds.txt","Triru-331")</f>
        <v>Triru-331</v>
      </c>
      <c r="F374">
        <v>252</v>
      </c>
      <c r="G374" s="2" t="s">
        <v>1822</v>
      </c>
      <c r="H374" s="1">
        <v>1</v>
      </c>
      <c r="I374" s="3" t="s">
        <v>1266</v>
      </c>
      <c r="J374" s="17" t="str">
        <f>HYPERLINK("http://exon.niaid.nih.gov/transcriptome/T_rubida/S2/links/Sigp/Triru-331-SigP.txt","CYT")</f>
        <v>CYT</v>
      </c>
      <c r="K374" t="s">
        <v>5</v>
      </c>
      <c r="L374" s="1">
        <v>9.8699999999999992</v>
      </c>
      <c r="M374" s="1">
        <v>9.89</v>
      </c>
      <c r="P374" s="1">
        <v>0.185</v>
      </c>
      <c r="Q374" s="1">
        <v>0.12</v>
      </c>
      <c r="R374" s="1">
        <v>0.627</v>
      </c>
      <c r="S374" s="17" t="s">
        <v>1346</v>
      </c>
      <c r="T374">
        <v>3</v>
      </c>
      <c r="U374" t="s">
        <v>1536</v>
      </c>
      <c r="V374" s="17" t="str">
        <f>HYPERLINK("http://exon.niaid.nih.gov/transcriptome/T_rubida/S2/links/tmhmm/TRIRU-331-tmhmm.txt","1")</f>
        <v>1</v>
      </c>
      <c r="W374">
        <v>25.9</v>
      </c>
      <c r="X374">
        <v>52.9</v>
      </c>
      <c r="Y374">
        <v>21.2</v>
      </c>
      <c r="Z374" t="s">
        <v>5</v>
      </c>
      <c r="AA374">
        <v>18</v>
      </c>
      <c r="AB374" s="17" t="str">
        <f>HYPERLINK("http://exon.niaid.nih.gov/transcriptome/T_rubida/S2/links/netoglyc/TRIRU-331-netoglyc.txt","0")</f>
        <v>0</v>
      </c>
      <c r="AC374">
        <v>17.600000000000001</v>
      </c>
      <c r="AD374">
        <v>4.7</v>
      </c>
      <c r="AE374">
        <v>7.1</v>
      </c>
      <c r="AF374" s="17" t="s">
        <v>5</v>
      </c>
      <c r="AG374" s="2" t="str">
        <f>HYPERLINK("http://exon.niaid.nih.gov/transcriptome/T_rubida/S2/links/NR/Triru-331-NR.txt","conserved hypothetical protein")</f>
        <v>conserved hypothetical protein</v>
      </c>
      <c r="AH374" t="str">
        <f>HYPERLINK("http://www.ncbi.nlm.nih.gov/sutils/blink.cgi?pid=154282653","23")</f>
        <v>23</v>
      </c>
      <c r="AI374" t="str">
        <f>HYPERLINK("http://www.ncbi.nlm.nih.gov/protein/154282653","gi|154282653")</f>
        <v>gi|154282653</v>
      </c>
      <c r="AJ374">
        <v>32.299999999999997</v>
      </c>
      <c r="AK374">
        <v>79</v>
      </c>
      <c r="AL374">
        <v>777</v>
      </c>
      <c r="AM374">
        <v>27</v>
      </c>
      <c r="AN374">
        <v>10</v>
      </c>
      <c r="AO374" t="s">
        <v>1184</v>
      </c>
      <c r="AP374" s="2" t="str">
        <f>HYPERLINK("http://exon.niaid.nih.gov/transcriptome/T_rubida/S2/links/SWISSP/Triru-331-SWISSP.txt","Bromodomain-containing protein C631.02")</f>
        <v>Bromodomain-containing protein C631.02</v>
      </c>
      <c r="AQ374" t="str">
        <f>HYPERLINK("http://www.uniprot.org/uniprot/Q9HGP4","9.3")</f>
        <v>9.3</v>
      </c>
      <c r="AR374" t="s">
        <v>1185</v>
      </c>
      <c r="AS374">
        <v>28.9</v>
      </c>
      <c r="AT374">
        <v>30</v>
      </c>
      <c r="AU374">
        <v>769</v>
      </c>
      <c r="AV374">
        <v>38</v>
      </c>
      <c r="AW374">
        <v>4</v>
      </c>
      <c r="AX374">
        <v>19</v>
      </c>
      <c r="AY374">
        <v>0</v>
      </c>
      <c r="AZ374">
        <v>674</v>
      </c>
      <c r="BA374">
        <v>52</v>
      </c>
      <c r="BB374">
        <v>1</v>
      </c>
      <c r="BC374" t="s">
        <v>70</v>
      </c>
      <c r="BD374" s="2" t="s">
        <v>5</v>
      </c>
      <c r="BE374" t="s">
        <v>5</v>
      </c>
      <c r="BF374" t="s">
        <v>5</v>
      </c>
      <c r="BG374" t="s">
        <v>5</v>
      </c>
      <c r="BH374" t="s">
        <v>5</v>
      </c>
      <c r="BI374" s="2" t="str">
        <f>HYPERLINK("http://exon.niaid.nih.gov/transcriptome/T_rubida/S2/links/CDD/Triru-331-CDD.txt","VI_minor_1")</f>
        <v>VI_minor_1</v>
      </c>
      <c r="BJ374" t="str">
        <f>HYPERLINK("http://www.ncbi.nlm.nih.gov/Structure/cdd/cddsrv.cgi?uid=TIGR03360&amp;version=v4.0","1.5")</f>
        <v>1.5</v>
      </c>
      <c r="BK374" t="s">
        <v>1186</v>
      </c>
      <c r="BL374" s="2" t="str">
        <f>HYPERLINK("http://exon.niaid.nih.gov/transcriptome/T_rubida/S2/links/KOG/Triru-331-KOG.txt","Type I phosphodiesterase/nucleotide pyrophosphatase")</f>
        <v>Type I phosphodiesterase/nucleotide pyrophosphatase</v>
      </c>
      <c r="BM374" t="str">
        <f>HYPERLINK("http://www.ncbi.nlm.nih.gov/COG/grace/shokog.cgi?KOG2645","1.8")</f>
        <v>1.8</v>
      </c>
      <c r="BN374" t="s">
        <v>96</v>
      </c>
      <c r="BO374" s="2" t="str">
        <f>HYPERLINK("http://exon.niaid.nih.gov/transcriptome/T_rubida/S2/links/PFAM/Triru-331-PFAM.txt","DUF3533")</f>
        <v>DUF3533</v>
      </c>
      <c r="BP374" t="str">
        <f>HYPERLINK("http://pfam.sanger.ac.uk/family?acc=PF12051","2.0")</f>
        <v>2.0</v>
      </c>
      <c r="BQ374" s="2" t="str">
        <f>HYPERLINK("http://exon.niaid.nih.gov/transcriptome/T_rubida/S2/links/SMART/Triru-331-SMART.txt","Tryp_SPc")</f>
        <v>Tryp_SPc</v>
      </c>
      <c r="BR374" t="str">
        <f>HYPERLINK("http://smart.embl-heidelberg.de/smart/do_annotation.pl?DOMAIN=Tryp_SPc&amp;BLAST=DUMMY","0.17")</f>
        <v>0.17</v>
      </c>
      <c r="BS374" s="17">
        <f t="shared" si="64"/>
        <v>1</v>
      </c>
      <c r="BT374" s="1">
        <f t="shared" si="65"/>
        <v>359</v>
      </c>
      <c r="BU374" s="17">
        <v>153</v>
      </c>
      <c r="BV374" s="1">
        <v>1</v>
      </c>
      <c r="BW374" s="17">
        <v>185</v>
      </c>
      <c r="BX374" s="1">
        <v>1</v>
      </c>
      <c r="BY374" s="17">
        <v>197</v>
      </c>
      <c r="BZ374" s="1">
        <v>1</v>
      </c>
      <c r="CA374" s="17">
        <v>203</v>
      </c>
      <c r="CB374" s="1">
        <v>1</v>
      </c>
      <c r="CC374" s="17">
        <v>208</v>
      </c>
      <c r="CD374" s="1">
        <v>1</v>
      </c>
      <c r="CE374" s="17">
        <v>214</v>
      </c>
      <c r="CF374" s="1">
        <v>1</v>
      </c>
      <c r="CG374" s="17">
        <v>216</v>
      </c>
      <c r="CH374" s="1">
        <v>1</v>
      </c>
      <c r="CI374" s="17">
        <v>226</v>
      </c>
      <c r="CJ374" s="1">
        <v>1</v>
      </c>
      <c r="CK374" s="17">
        <v>231</v>
      </c>
      <c r="CL374" s="1">
        <v>1</v>
      </c>
      <c r="CM374" s="17">
        <v>238</v>
      </c>
      <c r="CN374" s="1">
        <v>1</v>
      </c>
      <c r="CO374" s="17">
        <v>249</v>
      </c>
      <c r="CP374" s="1">
        <v>1</v>
      </c>
      <c r="CQ374" s="17">
        <v>259</v>
      </c>
      <c r="CR374" s="1">
        <v>1</v>
      </c>
      <c r="CS374" s="17">
        <v>269</v>
      </c>
      <c r="CT374" s="1">
        <v>1</v>
      </c>
      <c r="CU374" s="17">
        <v>280</v>
      </c>
      <c r="CV374" s="1">
        <v>1</v>
      </c>
    </row>
    <row r="375" spans="1:100">
      <c r="A375" t="str">
        <f>HYPERLINK("http://exon.niaid.nih.gov/transcriptome/T_rubida/S2/links/pep/Triru-647-pep.txt","Triru-647")</f>
        <v>Triru-647</v>
      </c>
      <c r="B375">
        <v>46</v>
      </c>
      <c r="C375" s="1" t="s">
        <v>19</v>
      </c>
      <c r="D375" s="1" t="s">
        <v>5</v>
      </c>
      <c r="E375" t="str">
        <f>HYPERLINK("http://exon.niaid.nih.gov/transcriptome/T_rubida/S2/links/cds/Triru-647-cds.txt","Triru-647")</f>
        <v>Triru-647</v>
      </c>
      <c r="F375">
        <v>136</v>
      </c>
      <c r="G375" s="2" t="s">
        <v>1823</v>
      </c>
      <c r="H375" s="1">
        <v>1</v>
      </c>
      <c r="I375" s="3" t="s">
        <v>1266</v>
      </c>
      <c r="J375" s="17" t="str">
        <f>HYPERLINK("http://exon.niaid.nih.gov/transcriptome/T_rubida/S2/links/Sigp/Triru-647-SigP.txt","CYT")</f>
        <v>CYT</v>
      </c>
      <c r="K375" t="s">
        <v>5</v>
      </c>
      <c r="L375" s="1">
        <v>6.1139999999999999</v>
      </c>
      <c r="M375" s="1">
        <v>9.89</v>
      </c>
      <c r="P375" s="1">
        <v>7.4999999999999997E-2</v>
      </c>
      <c r="Q375" s="1">
        <v>0.115</v>
      </c>
      <c r="R375" s="1">
        <v>0.86399999999999999</v>
      </c>
      <c r="S375" s="17" t="s">
        <v>1346</v>
      </c>
      <c r="T375">
        <v>2</v>
      </c>
      <c r="U375" t="s">
        <v>1537</v>
      </c>
      <c r="V375" s="17">
        <v>0</v>
      </c>
      <c r="W375" t="s">
        <v>5</v>
      </c>
      <c r="X375" t="s">
        <v>5</v>
      </c>
      <c r="Y375" t="s">
        <v>5</v>
      </c>
      <c r="Z375" t="s">
        <v>5</v>
      </c>
      <c r="AA375" t="s">
        <v>5</v>
      </c>
      <c r="AB375" s="17" t="str">
        <f>HYPERLINK("http://exon.niaid.nih.gov/transcriptome/T_rubida/S2/links/netoglyc/TRIRU-647-netoglyc.txt","0")</f>
        <v>0</v>
      </c>
      <c r="AC375">
        <v>13</v>
      </c>
      <c r="AD375">
        <v>2.2000000000000002</v>
      </c>
      <c r="AE375" t="s">
        <v>1394</v>
      </c>
      <c r="AF375" s="17" t="s">
        <v>1538</v>
      </c>
      <c r="AG375" s="2" t="str">
        <f>HYPERLINK("http://exon.niaid.nih.gov/transcriptome/T_rubida/S2/links/NR/Triru-647-NR.txt","hypothetical protein LOC100608533, partial")</f>
        <v>hypothetical protein LOC100608533, partial</v>
      </c>
      <c r="AH375" t="str">
        <f>HYPERLINK("http://www.ncbi.nlm.nih.gov/sutils/blink.cgi?pid=332812871","17")</f>
        <v>17</v>
      </c>
      <c r="AI375" t="str">
        <f>HYPERLINK("http://www.ncbi.nlm.nih.gov/protein/332812871","gi|332812871")</f>
        <v>gi|332812871</v>
      </c>
      <c r="AJ375">
        <v>32.700000000000003</v>
      </c>
      <c r="AK375">
        <v>25</v>
      </c>
      <c r="AL375">
        <v>274</v>
      </c>
      <c r="AM375">
        <v>42</v>
      </c>
      <c r="AN375">
        <v>9</v>
      </c>
      <c r="AO375" t="s">
        <v>296</v>
      </c>
      <c r="AP375" s="2" t="str">
        <f>HYPERLINK("http://exon.niaid.nih.gov/transcriptome/T_rubida/S2/links/SWISSP/Triru-647-SWISSP.txt","Pesticidal crystal protein cry1Ad")</f>
        <v>Pesticidal crystal protein cry1Ad</v>
      </c>
      <c r="AQ375" t="str">
        <f>HYPERLINK("http://www.uniprot.org/uniprot/Q03744","16")</f>
        <v>16</v>
      </c>
      <c r="AR375" t="s">
        <v>297</v>
      </c>
      <c r="AS375">
        <v>28.1</v>
      </c>
      <c r="AT375">
        <v>46</v>
      </c>
      <c r="AU375">
        <v>1179</v>
      </c>
      <c r="AV375">
        <v>29</v>
      </c>
      <c r="AW375">
        <v>4</v>
      </c>
      <c r="AX375">
        <v>33</v>
      </c>
      <c r="AY375">
        <v>7</v>
      </c>
      <c r="AZ375">
        <v>182</v>
      </c>
      <c r="BA375">
        <v>2</v>
      </c>
      <c r="BB375">
        <v>1</v>
      </c>
      <c r="BC375" t="s">
        <v>298</v>
      </c>
      <c r="BD375" s="2" t="s">
        <v>5</v>
      </c>
      <c r="BE375" t="s">
        <v>5</v>
      </c>
      <c r="BF375" t="s">
        <v>5</v>
      </c>
      <c r="BG375" t="s">
        <v>5</v>
      </c>
      <c r="BH375" t="s">
        <v>5</v>
      </c>
      <c r="BI375" s="2" t="str">
        <f>HYPERLINK("http://exon.niaid.nih.gov/transcriptome/T_rubida/S2/links/CDD/Triru-647-CDD.txt","A2M_N_2")</f>
        <v>A2M_N_2</v>
      </c>
      <c r="BJ375" t="str">
        <f>HYPERLINK("http://www.ncbi.nlm.nih.gov/Structure/cdd/cddsrv.cgi?uid=pfam07703&amp;version=v4.0","6.0")</f>
        <v>6.0</v>
      </c>
      <c r="BK375" t="s">
        <v>299</v>
      </c>
      <c r="BL375" s="2" t="str">
        <f>HYPERLINK("http://exon.niaid.nih.gov/transcriptome/T_rubida/S2/links/KOG/Triru-647-KOG.txt","Uncharacterized conserved protein")</f>
        <v>Uncharacterized conserved protein</v>
      </c>
      <c r="BM375" t="str">
        <f>HYPERLINK("http://www.ncbi.nlm.nih.gov/COG/grace/shokog.cgi?KOG2955","4.0")</f>
        <v>4.0</v>
      </c>
      <c r="BN375" t="s">
        <v>264</v>
      </c>
      <c r="BO375" s="2" t="str">
        <f>HYPERLINK("http://exon.niaid.nih.gov/transcriptome/T_rubida/S2/links/PFAM/Triru-647-PFAM.txt","A2M_N_2")</f>
        <v>A2M_N_2</v>
      </c>
      <c r="BP375" t="str">
        <f>HYPERLINK("http://pfam.sanger.ac.uk/family?acc=PF07703","1.3")</f>
        <v>1.3</v>
      </c>
      <c r="BQ375" s="2" t="str">
        <f>HYPERLINK("http://exon.niaid.nih.gov/transcriptome/T_rubida/S2/links/SMART/Triru-647-SMART.txt","MD")</f>
        <v>MD</v>
      </c>
      <c r="BR375" t="str">
        <f>HYPERLINK("http://smart.embl-heidelberg.de/smart/do_annotation.pl?DOMAIN=MD&amp;BLAST=DUMMY","1.8")</f>
        <v>1.8</v>
      </c>
      <c r="BS375" s="17">
        <f t="shared" si="64"/>
        <v>1</v>
      </c>
      <c r="BT375" s="1">
        <f t="shared" si="65"/>
        <v>359</v>
      </c>
      <c r="BU375" s="17">
        <f>HYPERLINK("http://exon.niaid.nih.gov/transcriptome/T_rubida/S2/links/cluster/Triru-pep-ext30-50-Sim-CLU1.txt", 1)</f>
        <v>1</v>
      </c>
      <c r="BV375" s="1">
        <f>HYPERLINK("http://exon.niaid.nih.gov/transcriptome/T_rubida/S2/links/cluster/Triru-pep-ext30-50-Sim-CLTL1.txt", 225)</f>
        <v>225</v>
      </c>
      <c r="BW375" s="17">
        <f>HYPERLINK("http://exon.niaid.nih.gov/transcriptome/T_rubida/S2/links/cluster/Triru-pep-ext35-50-Sim-CLU1.txt", 1)</f>
        <v>1</v>
      </c>
      <c r="BX375" s="1">
        <f>HYPERLINK("http://exon.niaid.nih.gov/transcriptome/T_rubida/S2/links/cluster/Triru-pep-ext35-50-Sim-CLTL1.txt", 75)</f>
        <v>75</v>
      </c>
      <c r="BY375" s="17">
        <v>411</v>
      </c>
      <c r="BZ375" s="1">
        <v>1</v>
      </c>
      <c r="CA375" s="17">
        <v>428</v>
      </c>
      <c r="CB375" s="1">
        <v>1</v>
      </c>
      <c r="CC375" s="17">
        <v>445</v>
      </c>
      <c r="CD375" s="1">
        <v>1</v>
      </c>
      <c r="CE375" s="17">
        <v>461</v>
      </c>
      <c r="CF375" s="1">
        <v>1</v>
      </c>
      <c r="CG375" s="17">
        <v>470</v>
      </c>
      <c r="CH375" s="1">
        <v>1</v>
      </c>
      <c r="CI375" s="17">
        <v>484</v>
      </c>
      <c r="CJ375" s="1">
        <v>1</v>
      </c>
      <c r="CK375" s="17">
        <v>490</v>
      </c>
      <c r="CL375" s="1">
        <v>1</v>
      </c>
      <c r="CM375" s="17">
        <v>502</v>
      </c>
      <c r="CN375" s="1">
        <v>1</v>
      </c>
      <c r="CO375" s="17">
        <v>514</v>
      </c>
      <c r="CP375" s="1">
        <v>1</v>
      </c>
      <c r="CQ375" s="17">
        <v>524</v>
      </c>
      <c r="CR375" s="1">
        <v>1</v>
      </c>
      <c r="CS375" s="17">
        <v>537</v>
      </c>
      <c r="CT375" s="1">
        <v>1</v>
      </c>
      <c r="CU375" s="17">
        <v>550</v>
      </c>
      <c r="CV375" s="1">
        <v>1</v>
      </c>
    </row>
    <row r="376" spans="1:100">
      <c r="A376" t="str">
        <f>HYPERLINK("http://exon.niaid.nih.gov/transcriptome/T_rubida/S2/links/pep/Triru-350-pep.txt","Triru-350")</f>
        <v>Triru-350</v>
      </c>
      <c r="B376">
        <v>54</v>
      </c>
      <c r="C376" s="1" t="s">
        <v>14</v>
      </c>
      <c r="D376" s="1" t="s">
        <v>3</v>
      </c>
      <c r="E376" t="str">
        <f>HYPERLINK("http://exon.niaid.nih.gov/transcriptome/T_rubida/S2/links/cds/Triru-350-cds.txt","Triru-350")</f>
        <v>Triru-350</v>
      </c>
      <c r="F376">
        <v>165</v>
      </c>
      <c r="G376" s="2" t="s">
        <v>1824</v>
      </c>
      <c r="H376" s="1">
        <v>1</v>
      </c>
      <c r="I376" s="3" t="s">
        <v>1266</v>
      </c>
      <c r="J376" s="17" t="str">
        <f>HYPERLINK("http://exon.niaid.nih.gov/transcriptome/T_rubida/S2/links/Sigp/Triru-350-SigP.txt","CYT")</f>
        <v>CYT</v>
      </c>
      <c r="K376" t="s">
        <v>5</v>
      </c>
      <c r="L376" s="1">
        <v>6.5279999999999996</v>
      </c>
      <c r="M376" s="1">
        <v>9.39</v>
      </c>
      <c r="P376" s="1">
        <v>0.157</v>
      </c>
      <c r="Q376" s="1">
        <v>0.20599999999999999</v>
      </c>
      <c r="R376" s="1">
        <v>0.71</v>
      </c>
      <c r="S376" s="17" t="s">
        <v>1346</v>
      </c>
      <c r="T376">
        <v>3</v>
      </c>
      <c r="U376" t="s">
        <v>1539</v>
      </c>
      <c r="V376" s="17">
        <v>0</v>
      </c>
      <c r="W376" t="s">
        <v>5</v>
      </c>
      <c r="X376" t="s">
        <v>5</v>
      </c>
      <c r="Y376" t="s">
        <v>5</v>
      </c>
      <c r="Z376" t="s">
        <v>5</v>
      </c>
      <c r="AA376" t="s">
        <v>5</v>
      </c>
      <c r="AB376" s="17" t="str">
        <f>HYPERLINK("http://exon.niaid.nih.gov/transcriptome/T_rubida/S2/links/netoglyc/TRIRU-350-netoglyc.txt","0")</f>
        <v>0</v>
      </c>
      <c r="AC376">
        <v>7.4</v>
      </c>
      <c r="AD376">
        <v>3.7</v>
      </c>
      <c r="AE376" t="s">
        <v>1394</v>
      </c>
      <c r="AF376" s="17" t="s">
        <v>5</v>
      </c>
      <c r="AG376" s="2" t="str">
        <f>HYPERLINK("http://exon.niaid.nih.gov/transcriptome/T_rubida/S2/links/NR/Triru-350-NR.txt","tRNA modification GTPase")</f>
        <v>tRNA modification GTPase</v>
      </c>
      <c r="AH376" t="str">
        <f>HYPERLINK("http://www.ncbi.nlm.nih.gov/sutils/blink.cgi?pid=116334903","7.9")</f>
        <v>7.9</v>
      </c>
      <c r="AI376" t="str">
        <f>HYPERLINK("http://www.ncbi.nlm.nih.gov/protein/116334903","gi|116334903")</f>
        <v>gi|116334903</v>
      </c>
      <c r="AJ376">
        <v>33.9</v>
      </c>
      <c r="AK376">
        <v>38</v>
      </c>
      <c r="AL376">
        <v>438</v>
      </c>
      <c r="AM376">
        <v>42</v>
      </c>
      <c r="AN376">
        <v>9</v>
      </c>
      <c r="AO376" t="s">
        <v>737</v>
      </c>
      <c r="AP376" s="2" t="str">
        <f>HYPERLINK("http://exon.niaid.nih.gov/transcriptome/T_rubida/S2/links/SWISSP/Triru-350-SWISSP.txt","tRNA modification GTPase MnmE")</f>
        <v>tRNA modification GTPase MnmE</v>
      </c>
      <c r="AQ376" t="str">
        <f>HYPERLINK("http://www.uniprot.org/uniprot/Q05FY9","0.30")</f>
        <v>0.30</v>
      </c>
      <c r="AR376" t="s">
        <v>738</v>
      </c>
      <c r="AS376">
        <v>33.9</v>
      </c>
      <c r="AT376">
        <v>38</v>
      </c>
      <c r="AU376">
        <v>438</v>
      </c>
      <c r="AV376">
        <v>42</v>
      </c>
      <c r="AW376">
        <v>9</v>
      </c>
      <c r="AX376">
        <v>23</v>
      </c>
      <c r="AY376">
        <v>1</v>
      </c>
      <c r="AZ376">
        <v>170</v>
      </c>
      <c r="BA376">
        <v>5</v>
      </c>
      <c r="BB376">
        <v>1</v>
      </c>
      <c r="BC376" t="s">
        <v>739</v>
      </c>
      <c r="BD376" s="2" t="s">
        <v>5</v>
      </c>
      <c r="BE376" t="s">
        <v>5</v>
      </c>
      <c r="BF376" t="s">
        <v>5</v>
      </c>
      <c r="BG376" t="s">
        <v>5</v>
      </c>
      <c r="BH376" t="s">
        <v>5</v>
      </c>
      <c r="BI376" s="2" t="str">
        <f>HYPERLINK("http://exon.niaid.nih.gov/transcriptome/T_rubida/S2/links/CDD/Triru-350-CDD.txt","Baculo_RING")</f>
        <v>Baculo_RING</v>
      </c>
      <c r="BJ376" t="str">
        <f>HYPERLINK("http://www.ncbi.nlm.nih.gov/Structure/cdd/cddsrv.cgi?uid=pfam05883&amp;version=v4.0","9.8")</f>
        <v>9.8</v>
      </c>
      <c r="BK376" t="s">
        <v>740</v>
      </c>
      <c r="BL376" s="2" t="str">
        <f>HYPERLINK("http://exon.niaid.nih.gov/transcriptome/T_rubida/S2/links/KOG/Triru-350-KOG.txt","Uncharacterized conserved protein")</f>
        <v>Uncharacterized conserved protein</v>
      </c>
      <c r="BM376" t="str">
        <f>HYPERLINK("http://www.ncbi.nlm.nih.gov/COG/grace/shokog.cgi?KOG2300","5.8")</f>
        <v>5.8</v>
      </c>
      <c r="BN376" t="s">
        <v>264</v>
      </c>
      <c r="BO376" s="2" t="str">
        <f>HYPERLINK("http://exon.niaid.nih.gov/transcriptome/T_rubida/S2/links/PFAM/Triru-350-PFAM.txt","Baculo_RING")</f>
        <v>Baculo_RING</v>
      </c>
      <c r="BP376" t="str">
        <f>HYPERLINK("http://pfam.sanger.ac.uk/family?acc=PF05883","2.1")</f>
        <v>2.1</v>
      </c>
      <c r="BQ376" s="2" t="str">
        <f>HYPERLINK("http://exon.niaid.nih.gov/transcriptome/T_rubida/S2/links/SMART/Triru-350-SMART.txt","PAW")</f>
        <v>PAW</v>
      </c>
      <c r="BR376" t="str">
        <f>HYPERLINK("http://smart.embl-heidelberg.de/smart/do_annotation.pl?DOMAIN=PAW&amp;BLAST=DUMMY","2.1")</f>
        <v>2.1</v>
      </c>
      <c r="BS376" s="17">
        <f t="shared" si="64"/>
        <v>1</v>
      </c>
      <c r="BT376" s="1">
        <f t="shared" si="65"/>
        <v>359</v>
      </c>
      <c r="BU376" s="17">
        <f>HYPERLINK("http://exon.niaid.nih.gov/transcriptome/T_rubida/S2/links/cluster/Triru-pep-ext30-50-Sim-CLU33.txt", 33)</f>
        <v>33</v>
      </c>
      <c r="BV376" s="1">
        <f>HYPERLINK("http://exon.niaid.nih.gov/transcriptome/T_rubida/S2/links/cluster/Triru-pep-ext30-50-Sim-CLTL33.txt", 2)</f>
        <v>2</v>
      </c>
      <c r="BW376" s="17">
        <v>197</v>
      </c>
      <c r="BX376" s="1">
        <v>1</v>
      </c>
      <c r="BY376" s="17">
        <v>210</v>
      </c>
      <c r="BZ376" s="1">
        <v>1</v>
      </c>
      <c r="CA376" s="17">
        <v>217</v>
      </c>
      <c r="CB376" s="1">
        <v>1</v>
      </c>
      <c r="CC376" s="17">
        <v>222</v>
      </c>
      <c r="CD376" s="1">
        <v>1</v>
      </c>
      <c r="CE376" s="17">
        <v>228</v>
      </c>
      <c r="CF376" s="1">
        <v>1</v>
      </c>
      <c r="CG376" s="17">
        <v>230</v>
      </c>
      <c r="CH376" s="1">
        <v>1</v>
      </c>
      <c r="CI376" s="17">
        <v>240</v>
      </c>
      <c r="CJ376" s="1">
        <v>1</v>
      </c>
      <c r="CK376" s="17">
        <v>245</v>
      </c>
      <c r="CL376" s="1">
        <v>1</v>
      </c>
      <c r="CM376" s="17">
        <v>253</v>
      </c>
      <c r="CN376" s="1">
        <v>1</v>
      </c>
      <c r="CO376" s="17">
        <v>264</v>
      </c>
      <c r="CP376" s="1">
        <v>1</v>
      </c>
      <c r="CQ376" s="17">
        <v>274</v>
      </c>
      <c r="CR376" s="1">
        <v>1</v>
      </c>
      <c r="CS376" s="17">
        <v>284</v>
      </c>
      <c r="CT376" s="1">
        <v>1</v>
      </c>
      <c r="CU376" s="17">
        <v>295</v>
      </c>
      <c r="CV376" s="1">
        <v>1</v>
      </c>
    </row>
    <row r="377" spans="1:100">
      <c r="A377" t="str">
        <f>HYPERLINK("http://exon.niaid.nih.gov/transcriptome/T_rubida/S2/links/pep/Triru-242-pep.txt","Triru-242")</f>
        <v>Triru-242</v>
      </c>
      <c r="B377">
        <v>45</v>
      </c>
      <c r="C377" s="1" t="s">
        <v>8</v>
      </c>
      <c r="D377" s="1" t="s">
        <v>5</v>
      </c>
      <c r="E377" t="str">
        <f>HYPERLINK("http://exon.niaid.nih.gov/transcriptome/T_rubida/S2/links/cds/Triru-242-cds.txt","Triru-242")</f>
        <v>Triru-242</v>
      </c>
      <c r="F377">
        <v>132</v>
      </c>
      <c r="G377" s="2" t="s">
        <v>1737</v>
      </c>
      <c r="H377" s="1">
        <v>1</v>
      </c>
      <c r="I377" s="3" t="s">
        <v>1266</v>
      </c>
      <c r="J377" s="17" t="str">
        <f>HYPERLINK("http://exon.niaid.nih.gov/transcriptome/T_rubida/S2/links/Sigp/Triru-242-SigP.txt","CYT")</f>
        <v>CYT</v>
      </c>
      <c r="K377" t="s">
        <v>5</v>
      </c>
      <c r="L377" s="1">
        <v>5.351</v>
      </c>
      <c r="M377" s="1">
        <v>9.26</v>
      </c>
      <c r="P377" s="1">
        <v>0.125</v>
      </c>
      <c r="Q377" s="1">
        <v>0.29399999999999998</v>
      </c>
      <c r="R377" s="1">
        <v>0.54200000000000004</v>
      </c>
      <c r="S377" s="17" t="s">
        <v>1346</v>
      </c>
      <c r="T377">
        <v>4</v>
      </c>
      <c r="U377" t="s">
        <v>1540</v>
      </c>
      <c r="V377" s="17">
        <v>0</v>
      </c>
      <c r="W377" t="s">
        <v>5</v>
      </c>
      <c r="X377" t="s">
        <v>5</v>
      </c>
      <c r="Y377" t="s">
        <v>5</v>
      </c>
      <c r="Z377" t="s">
        <v>5</v>
      </c>
      <c r="AA377" t="s">
        <v>5</v>
      </c>
      <c r="AB377" s="17" t="str">
        <f>HYPERLINK("http://exon.niaid.nih.gov/transcriptome/T_rubida/S2/links/netoglyc/TRIRU-242-netoglyc.txt","0")</f>
        <v>0</v>
      </c>
      <c r="AC377">
        <v>13.3</v>
      </c>
      <c r="AD377" t="s">
        <v>1417</v>
      </c>
      <c r="AE377">
        <v>4.4000000000000004</v>
      </c>
      <c r="AF377" s="17" t="s">
        <v>5</v>
      </c>
      <c r="AG377" s="2" t="str">
        <f>HYPERLINK("http://exon.niaid.nih.gov/transcriptome/T_rubida/S2/links/NR/Triru-242-NR.txt","similar to seven transmembrane helix receptor")</f>
        <v>similar to seven transmembrane helix receptor</v>
      </c>
      <c r="AH377" t="str">
        <f>HYPERLINK("http://www.ncbi.nlm.nih.gov/sutils/blink.cgi?pid=118118222","4.6")</f>
        <v>4.6</v>
      </c>
      <c r="AI377" t="str">
        <f>HYPERLINK("http://www.ncbi.nlm.nih.gov/protein/118118222","gi|118118222")</f>
        <v>gi|118118222</v>
      </c>
      <c r="AJ377">
        <v>34.700000000000003</v>
      </c>
      <c r="AK377">
        <v>35</v>
      </c>
      <c r="AL377">
        <v>413</v>
      </c>
      <c r="AM377">
        <v>47</v>
      </c>
      <c r="AN377">
        <v>9</v>
      </c>
      <c r="AO377" t="s">
        <v>122</v>
      </c>
      <c r="AP377" s="2" t="str">
        <f>HYPERLINK("http://exon.niaid.nih.gov/transcriptome/T_rubida/S2/links/SWISSP/Triru-242-SWISSP.txt","Olfactory receptor 10A7")</f>
        <v>Olfactory receptor 10A7</v>
      </c>
      <c r="AQ377" t="str">
        <f>HYPERLINK("http://www.uniprot.org/uniprot/Q8NGE5","21")</f>
        <v>21</v>
      </c>
      <c r="AR377" t="s">
        <v>331</v>
      </c>
      <c r="AS377">
        <v>27.7</v>
      </c>
      <c r="AT377">
        <v>39</v>
      </c>
      <c r="AU377">
        <v>316</v>
      </c>
      <c r="AV377">
        <v>41</v>
      </c>
      <c r="AW377">
        <v>13</v>
      </c>
      <c r="AX377">
        <v>24</v>
      </c>
      <c r="AY377">
        <v>1</v>
      </c>
      <c r="AZ377">
        <v>103</v>
      </c>
      <c r="BA377">
        <v>1</v>
      </c>
      <c r="BB377">
        <v>1</v>
      </c>
      <c r="BC377" t="s">
        <v>208</v>
      </c>
      <c r="BD377" s="2" t="s">
        <v>5</v>
      </c>
      <c r="BE377" t="s">
        <v>5</v>
      </c>
      <c r="BF377" t="s">
        <v>5</v>
      </c>
      <c r="BG377" t="s">
        <v>5</v>
      </c>
      <c r="BH377" t="s">
        <v>5</v>
      </c>
      <c r="BI377" s="2" t="str">
        <f>HYPERLINK("http://exon.niaid.nih.gov/transcriptome/T_rubida/S2/links/CDD/Triru-242-CDD.txt","PLN03140")</f>
        <v>PLN03140</v>
      </c>
      <c r="BJ377" t="str">
        <f>HYPERLINK("http://www.ncbi.nlm.nih.gov/Structure/cdd/cddsrv.cgi?uid=PLN03140&amp;version=v4.0","2.2")</f>
        <v>2.2</v>
      </c>
      <c r="BK377" t="s">
        <v>332</v>
      </c>
      <c r="BL377" s="2" t="str">
        <f>HYPERLINK("http://exon.niaid.nih.gov/transcriptome/T_rubida/S2/links/KOG/Triru-242-KOG.txt","Carnitine O-acyltransferase CROT")</f>
        <v>Carnitine O-acyltransferase CROT</v>
      </c>
      <c r="BM377" t="str">
        <f>HYPERLINK("http://www.ncbi.nlm.nih.gov/COG/grace/shokog.cgi?KOG3718","7.3")</f>
        <v>7.3</v>
      </c>
      <c r="BN377" t="s">
        <v>88</v>
      </c>
      <c r="BO377" s="2" t="str">
        <f>HYPERLINK("http://exon.niaid.nih.gov/transcriptome/T_rubida/S2/links/PFAM/Triru-242-PFAM.txt","Transposase_28")</f>
        <v>Transposase_28</v>
      </c>
      <c r="BP377" t="str">
        <f>HYPERLINK("http://pfam.sanger.ac.uk/family?acc=PF04195","1.4")</f>
        <v>1.4</v>
      </c>
      <c r="BQ377" s="2" t="str">
        <f>HYPERLINK("http://exon.niaid.nih.gov/transcriptome/T_rubida/S2/links/SMART/Triru-242-SMART.txt","MCM")</f>
        <v>MCM</v>
      </c>
      <c r="BR377" t="str">
        <f>HYPERLINK("http://smart.embl-heidelberg.de/smart/do_annotation.pl?DOMAIN=MCM&amp;BLAST=DUMMY","1.8")</f>
        <v>1.8</v>
      </c>
      <c r="BS377" s="17">
        <f t="shared" si="64"/>
        <v>1</v>
      </c>
      <c r="BT377" s="1">
        <f t="shared" si="65"/>
        <v>359</v>
      </c>
      <c r="BU377" s="17">
        <f>HYPERLINK("http://exon.niaid.nih.gov/transcriptome/T_rubida/S2/links/cluster/Triru-pep-ext30-50-Sim-CLU1.txt", 1)</f>
        <v>1</v>
      </c>
      <c r="BV377" s="1">
        <f>HYPERLINK("http://exon.niaid.nih.gov/transcriptome/T_rubida/S2/links/cluster/Triru-pep-ext30-50-Sim-CLTL1.txt", 225)</f>
        <v>225</v>
      </c>
      <c r="BW377" s="17">
        <f>HYPERLINK("http://exon.niaid.nih.gov/transcriptome/T_rubida/S2/links/cluster/Triru-pep-ext35-50-Sim-CLU1.txt", 1)</f>
        <v>1</v>
      </c>
      <c r="BX377" s="1">
        <f>HYPERLINK("http://exon.niaid.nih.gov/transcriptome/T_rubida/S2/links/cluster/Triru-pep-ext35-50-Sim-CLTL1.txt", 75)</f>
        <v>75</v>
      </c>
      <c r="BY377" s="17">
        <f>HYPERLINK("http://exon.niaid.nih.gov/transcriptome/T_rubida/S2/links/cluster/Triru-pep-ext40-50-Sim-CLU13.txt", 13)</f>
        <v>13</v>
      </c>
      <c r="BZ377" s="1">
        <f>HYPERLINK("http://exon.niaid.nih.gov/transcriptome/T_rubida/S2/links/cluster/Triru-pep-ext40-50-Sim-CLTL13.txt", 2)</f>
        <v>2</v>
      </c>
      <c r="CA377" s="17">
        <v>147</v>
      </c>
      <c r="CB377" s="1">
        <v>1</v>
      </c>
      <c r="CC377" s="17">
        <v>150</v>
      </c>
      <c r="CD377" s="1">
        <v>1</v>
      </c>
      <c r="CE377" s="17">
        <v>150</v>
      </c>
      <c r="CF377" s="1">
        <v>1</v>
      </c>
      <c r="CG377" s="17">
        <v>152</v>
      </c>
      <c r="CH377" s="1">
        <v>1</v>
      </c>
      <c r="CI377" s="17">
        <v>159</v>
      </c>
      <c r="CJ377" s="1">
        <v>1</v>
      </c>
      <c r="CK377" s="17">
        <v>164</v>
      </c>
      <c r="CL377" s="1">
        <v>1</v>
      </c>
      <c r="CM377" s="17">
        <v>170</v>
      </c>
      <c r="CN377" s="1">
        <v>1</v>
      </c>
      <c r="CO377" s="17">
        <v>180</v>
      </c>
      <c r="CP377" s="1">
        <v>1</v>
      </c>
      <c r="CQ377" s="17">
        <v>190</v>
      </c>
      <c r="CR377" s="1">
        <v>1</v>
      </c>
      <c r="CS377" s="17">
        <v>195</v>
      </c>
      <c r="CT377" s="1">
        <v>1</v>
      </c>
      <c r="CU377" s="17">
        <v>206</v>
      </c>
      <c r="CV377" s="1">
        <v>1</v>
      </c>
    </row>
    <row r="378" spans="1:100">
      <c r="A378" t="str">
        <f>HYPERLINK("http://exon.niaid.nih.gov/transcriptome/T_rubida/S2/links/pep/Triru-529-pep.txt","Triru-529")</f>
        <v>Triru-529</v>
      </c>
      <c r="B378">
        <v>29</v>
      </c>
      <c r="C378" s="1" t="s">
        <v>8</v>
      </c>
      <c r="D378" s="1" t="s">
        <v>3</v>
      </c>
      <c r="E378" t="str">
        <f>HYPERLINK("http://exon.niaid.nih.gov/transcriptome/T_rubida/S2/links/cds/Triru-529-cds.txt","Triru-529")</f>
        <v>Triru-529</v>
      </c>
      <c r="F378">
        <v>90</v>
      </c>
      <c r="G378" s="2" t="s">
        <v>1825</v>
      </c>
      <c r="H378" s="1">
        <v>1</v>
      </c>
      <c r="I378" s="3" t="s">
        <v>1266</v>
      </c>
      <c r="J378" s="17" t="str">
        <f>HYPERLINK("http://exon.niaid.nih.gov/transcriptome/T_rubida/S2/links/Sigp/Triru-529-SigP.txt","CYT")</f>
        <v>CYT</v>
      </c>
      <c r="K378" t="s">
        <v>5</v>
      </c>
      <c r="L378" s="1">
        <v>3.8090000000000002</v>
      </c>
      <c r="M378" s="1">
        <v>10.17</v>
      </c>
      <c r="P378" s="1">
        <v>0.33700000000000002</v>
      </c>
      <c r="Q378" s="1">
        <v>0.40300000000000002</v>
      </c>
      <c r="R378" s="1">
        <v>0.108</v>
      </c>
      <c r="S378" s="17" t="s">
        <v>18</v>
      </c>
      <c r="T378">
        <v>5</v>
      </c>
      <c r="U378" t="s">
        <v>1357</v>
      </c>
      <c r="V378" s="17">
        <v>0</v>
      </c>
      <c r="W378" t="s">
        <v>5</v>
      </c>
      <c r="X378" t="s">
        <v>5</v>
      </c>
      <c r="Y378" t="s">
        <v>5</v>
      </c>
      <c r="Z378" t="s">
        <v>5</v>
      </c>
      <c r="AA378" t="s">
        <v>5</v>
      </c>
      <c r="AB378" s="17" t="str">
        <f>HYPERLINK("http://exon.niaid.nih.gov/transcriptome/T_rubida/S2/links/netoglyc/TRIRU-529-netoglyc.txt","0")</f>
        <v>0</v>
      </c>
      <c r="AC378">
        <v>6.9</v>
      </c>
      <c r="AD378" t="s">
        <v>1417</v>
      </c>
      <c r="AE378">
        <v>6.9</v>
      </c>
      <c r="AF378" s="17" t="s">
        <v>5</v>
      </c>
      <c r="AG378" s="2" t="str">
        <f>HYPERLINK("http://exon.niaid.nih.gov/transcriptome/T_rubida/S2/links/NR/Triru-529-NR.txt","hypothetical protein DDB_G0284409")</f>
        <v>hypothetical protein DDB_G0284409</v>
      </c>
      <c r="AH378" t="str">
        <f>HYPERLINK("http://www.ncbi.nlm.nih.gov/sutils/blink.cgi?pid=66809781","23")</f>
        <v>23</v>
      </c>
      <c r="AI378" t="str">
        <f>HYPERLINK("http://www.ncbi.nlm.nih.gov/protein/66809781","gi|66809781")</f>
        <v>gi|66809781</v>
      </c>
      <c r="AJ378">
        <v>32.299999999999997</v>
      </c>
      <c r="AK378">
        <v>22</v>
      </c>
      <c r="AL378">
        <v>252</v>
      </c>
      <c r="AM378">
        <v>55</v>
      </c>
      <c r="AN378">
        <v>9</v>
      </c>
      <c r="AO378" t="s">
        <v>365</v>
      </c>
      <c r="AP378" s="2" t="str">
        <f>HYPERLINK("http://exon.niaid.nih.gov/transcriptome/T_rubida/S2/links/SWISSP/Triru-529-SWISSP.txt","Putative uncharacterized transmembrane protein DDB_G0285949")</f>
        <v>Putative uncharacterized transmembrane protein DDB_G0285949</v>
      </c>
      <c r="AQ378" t="str">
        <f>HYPERLINK("http://www.uniprot.org/uniprot/Q54MI8","12")</f>
        <v>12</v>
      </c>
      <c r="AR378" t="s">
        <v>354</v>
      </c>
      <c r="AS378">
        <v>28.5</v>
      </c>
      <c r="AT378">
        <v>22</v>
      </c>
      <c r="AU378">
        <v>129</v>
      </c>
      <c r="AV378">
        <v>46</v>
      </c>
      <c r="AW378">
        <v>18</v>
      </c>
      <c r="AX378">
        <v>15</v>
      </c>
      <c r="AY378">
        <v>5</v>
      </c>
      <c r="AZ378">
        <v>88</v>
      </c>
      <c r="BA378">
        <v>1</v>
      </c>
      <c r="BB378">
        <v>1</v>
      </c>
      <c r="BC378" t="s">
        <v>99</v>
      </c>
      <c r="BD378" s="2" t="s">
        <v>5</v>
      </c>
      <c r="BE378" t="s">
        <v>5</v>
      </c>
      <c r="BF378" t="s">
        <v>5</v>
      </c>
      <c r="BG378" t="s">
        <v>5</v>
      </c>
      <c r="BH378" t="s">
        <v>5</v>
      </c>
      <c r="BI378" s="2" t="s">
        <v>5</v>
      </c>
      <c r="BJ378" t="s">
        <v>5</v>
      </c>
      <c r="BK378" t="s">
        <v>5</v>
      </c>
      <c r="BL378" s="2" t="s">
        <v>5</v>
      </c>
      <c r="BM378" t="s">
        <v>5</v>
      </c>
      <c r="BN378" t="s">
        <v>5</v>
      </c>
      <c r="BO378" s="2" t="s">
        <v>5</v>
      </c>
      <c r="BP378" t="s">
        <v>5</v>
      </c>
      <c r="BQ378" s="2" t="str">
        <f>HYPERLINK("http://exon.niaid.nih.gov/transcriptome/T_rubida/S2/links/SMART/Triru-529-SMART.txt","H2B")</f>
        <v>H2B</v>
      </c>
      <c r="BR378" t="str">
        <f>HYPERLINK("http://smart.embl-heidelberg.de/smart/do_annotation.pl?DOMAIN=H2B&amp;BLAST=DUMMY","6.0")</f>
        <v>6.0</v>
      </c>
      <c r="BS378" s="17">
        <f t="shared" si="64"/>
        <v>1</v>
      </c>
      <c r="BT378" s="1">
        <f t="shared" si="65"/>
        <v>359</v>
      </c>
      <c r="BU378" s="17">
        <f>HYPERLINK("http://exon.niaid.nih.gov/transcriptome/T_rubida/S2/links/cluster/Triru-pep-ext30-50-Sim-CLU1.txt", 1)</f>
        <v>1</v>
      </c>
      <c r="BV378" s="1">
        <f>HYPERLINK("http://exon.niaid.nih.gov/transcriptome/T_rubida/S2/links/cluster/Triru-pep-ext30-50-Sim-CLTL1.txt", 225)</f>
        <v>225</v>
      </c>
      <c r="BW378" s="17">
        <f>HYPERLINK("http://exon.niaid.nih.gov/transcriptome/T_rubida/S2/links/cluster/Triru-pep-ext35-50-Sim-CLU1.txt", 1)</f>
        <v>1</v>
      </c>
      <c r="BX378" s="1">
        <f>HYPERLINK("http://exon.niaid.nih.gov/transcriptome/T_rubida/S2/links/cluster/Triru-pep-ext35-50-Sim-CLTL1.txt", 75)</f>
        <v>75</v>
      </c>
      <c r="BY378" s="17">
        <f>HYPERLINK("http://exon.niaid.nih.gov/transcriptome/T_rubida/S2/links/cluster/Triru-pep-ext40-50-Sim-CLU2.txt", 2)</f>
        <v>2</v>
      </c>
      <c r="BZ378" s="1">
        <f>HYPERLINK("http://exon.niaid.nih.gov/transcriptome/T_rubida/S2/links/cluster/Triru-pep-ext40-50-Sim-CLTL2.txt", 42)</f>
        <v>42</v>
      </c>
      <c r="CA378" s="17">
        <f>HYPERLINK("http://exon.niaid.nih.gov/transcriptome/T_rubida/S2/links/cluster/Triru-pep-ext45-50-Sim-CLU2.txt", 2)</f>
        <v>2</v>
      </c>
      <c r="CB378" s="1">
        <f>HYPERLINK("http://exon.niaid.nih.gov/transcriptome/T_rubida/S2/links/cluster/Triru-pep-ext45-50-Sim-CLTL2.txt", 33)</f>
        <v>33</v>
      </c>
      <c r="CC378" s="17">
        <f>HYPERLINK("http://exon.niaid.nih.gov/transcriptome/T_rubida/S2/links/cluster/Triru-pep-ext50-50-Sim-CLU32.txt", 32)</f>
        <v>32</v>
      </c>
      <c r="CD378" s="1">
        <f>HYPERLINK("http://exon.niaid.nih.gov/transcriptome/T_rubida/S2/links/cluster/Triru-pep-ext50-50-Sim-CLTL32.txt", 2)</f>
        <v>2</v>
      </c>
      <c r="CE378" s="17">
        <v>373</v>
      </c>
      <c r="CF378" s="1">
        <v>1</v>
      </c>
      <c r="CG378" s="17">
        <v>379</v>
      </c>
      <c r="CH378" s="1">
        <v>1</v>
      </c>
      <c r="CI378" s="17">
        <v>391</v>
      </c>
      <c r="CJ378" s="1">
        <v>1</v>
      </c>
      <c r="CK378" s="17">
        <v>397</v>
      </c>
      <c r="CL378" s="1">
        <v>1</v>
      </c>
      <c r="CM378" s="17">
        <v>406</v>
      </c>
      <c r="CN378" s="1">
        <v>1</v>
      </c>
      <c r="CO378" s="17">
        <v>418</v>
      </c>
      <c r="CP378" s="1">
        <v>1</v>
      </c>
      <c r="CQ378" s="17">
        <v>428</v>
      </c>
      <c r="CR378" s="1">
        <v>1</v>
      </c>
      <c r="CS378" s="17">
        <v>441</v>
      </c>
      <c r="CT378" s="1">
        <v>1</v>
      </c>
      <c r="CU378" s="17">
        <v>452</v>
      </c>
      <c r="CV378" s="1">
        <v>1</v>
      </c>
    </row>
    <row r="379" spans="1:100">
      <c r="A379" t="str">
        <f>HYPERLINK("http://exon.niaid.nih.gov/transcriptome/T_rubida/S2/links/pep/Triru-287-pep.txt","Triru-287")</f>
        <v>Triru-287</v>
      </c>
      <c r="B379">
        <v>61</v>
      </c>
      <c r="C379" s="1" t="s">
        <v>10</v>
      </c>
      <c r="D379" s="1" t="s">
        <v>3</v>
      </c>
      <c r="E379" t="str">
        <f>HYPERLINK("http://exon.niaid.nih.gov/transcriptome/T_rubida/S2/links/cds/Triru-287-cds.txt","Triru-287")</f>
        <v>Triru-287</v>
      </c>
      <c r="F379">
        <v>186</v>
      </c>
      <c r="G379" s="2" t="s">
        <v>1826</v>
      </c>
      <c r="H379" s="1">
        <v>1</v>
      </c>
      <c r="I379" s="3" t="s">
        <v>1266</v>
      </c>
      <c r="J379" s="17" t="str">
        <f>HYPERLINK("http://exon.niaid.nih.gov/transcriptome/T_rubida/S2/links/Sigp/Triru-287-SigP.txt","CYT")</f>
        <v>CYT</v>
      </c>
      <c r="K379" t="s">
        <v>5</v>
      </c>
      <c r="L379" s="1">
        <v>6.7729999999999997</v>
      </c>
      <c r="M379" s="1">
        <v>9.9</v>
      </c>
      <c r="P379" s="1">
        <v>0.123</v>
      </c>
      <c r="Q379" s="1">
        <v>3.5000000000000003E-2</v>
      </c>
      <c r="R379" s="1">
        <v>0.90400000000000003</v>
      </c>
      <c r="S379" s="17" t="s">
        <v>1346</v>
      </c>
      <c r="T379">
        <v>2</v>
      </c>
      <c r="U379" t="s">
        <v>1382</v>
      </c>
      <c r="V379" s="17">
        <v>0</v>
      </c>
      <c r="W379" t="s">
        <v>5</v>
      </c>
      <c r="X379" t="s">
        <v>5</v>
      </c>
      <c r="Y379" t="s">
        <v>5</v>
      </c>
      <c r="Z379" t="s">
        <v>5</v>
      </c>
      <c r="AA379" t="s">
        <v>5</v>
      </c>
      <c r="AB379" s="17" t="str">
        <f>HYPERLINK("http://exon.niaid.nih.gov/transcriptome/T_rubida/S2/links/netoglyc/TRIRU-287-netoglyc.txt","0")</f>
        <v>0</v>
      </c>
      <c r="AC379">
        <v>14.8</v>
      </c>
      <c r="AD379">
        <v>11.5</v>
      </c>
      <c r="AE379">
        <v>3.3</v>
      </c>
      <c r="AF379" s="17" t="s">
        <v>5</v>
      </c>
      <c r="AG379" s="2" t="str">
        <f>HYPERLINK("http://exon.niaid.nih.gov/transcriptome/T_rubida/S2/links/NR/Triru-287-NR.txt","hypothetical protein")</f>
        <v>hypothetical protein</v>
      </c>
      <c r="AH379" t="str">
        <f>HYPERLINK("http://www.ncbi.nlm.nih.gov/sutils/blink.cgi?pid=156082491","31")</f>
        <v>31</v>
      </c>
      <c r="AI379" t="str">
        <f>HYPERLINK("http://www.ncbi.nlm.nih.gov/protein/156082491","gi|156082491")</f>
        <v>gi|156082491</v>
      </c>
      <c r="AJ379">
        <v>32</v>
      </c>
      <c r="AK379">
        <v>36</v>
      </c>
      <c r="AL379">
        <v>427</v>
      </c>
      <c r="AM379">
        <v>43</v>
      </c>
      <c r="AN379">
        <v>9</v>
      </c>
      <c r="AO379" t="s">
        <v>951</v>
      </c>
      <c r="AP379" s="2" t="str">
        <f>HYPERLINK("http://exon.niaid.nih.gov/transcriptome/T_rubida/S2/links/SWISSP/Triru-287-SWISSP.txt","Mediator of RNA polymerase II transcription subunit 1")</f>
        <v>Mediator of RNA polymerase II transcription subunit 1</v>
      </c>
      <c r="AQ379" t="str">
        <f>HYPERLINK("http://www.uniprot.org/uniprot/A1L0Z0","16")</f>
        <v>16</v>
      </c>
      <c r="AR379" t="s">
        <v>952</v>
      </c>
      <c r="AS379">
        <v>28.1</v>
      </c>
      <c r="AT379">
        <v>38</v>
      </c>
      <c r="AU379">
        <v>1573</v>
      </c>
      <c r="AV379">
        <v>33</v>
      </c>
      <c r="AW379">
        <v>2</v>
      </c>
      <c r="AX379">
        <v>26</v>
      </c>
      <c r="AY379">
        <v>0</v>
      </c>
      <c r="AZ379">
        <v>1056</v>
      </c>
      <c r="BA379">
        <v>21</v>
      </c>
      <c r="BB379">
        <v>1</v>
      </c>
      <c r="BC379" t="s">
        <v>357</v>
      </c>
      <c r="BD379" s="2" t="s">
        <v>5</v>
      </c>
      <c r="BE379" t="s">
        <v>5</v>
      </c>
      <c r="BF379" t="s">
        <v>5</v>
      </c>
      <c r="BG379" t="s">
        <v>5</v>
      </c>
      <c r="BH379" t="s">
        <v>5</v>
      </c>
      <c r="BI379" s="2" t="s">
        <v>5</v>
      </c>
      <c r="BJ379" t="s">
        <v>5</v>
      </c>
      <c r="BK379" t="s">
        <v>5</v>
      </c>
      <c r="BL379" s="2" t="str">
        <f>HYPERLINK("http://exon.niaid.nih.gov/transcriptome/T_rubida/S2/links/KOG/Triru-287-KOG.txt","Histone acetyltransferase complex SAGA/ADA, subunit ADA2")</f>
        <v>Histone acetyltransferase complex SAGA/ADA, subunit ADA2</v>
      </c>
      <c r="BM379" t="str">
        <f>HYPERLINK("http://www.ncbi.nlm.nih.gov/COG/grace/shokog.cgi?KOG0457","5.2")</f>
        <v>5.2</v>
      </c>
      <c r="BN379" t="s">
        <v>770</v>
      </c>
      <c r="BO379" s="2" t="str">
        <f>HYPERLINK("http://exon.niaid.nih.gov/transcriptome/T_rubida/S2/links/PFAM/Triru-287-PFAM.txt","EsxB")</f>
        <v>EsxB</v>
      </c>
      <c r="BP379" t="str">
        <f>HYPERLINK("http://pfam.sanger.ac.uk/family?acc=PF10663","3.2")</f>
        <v>3.2</v>
      </c>
      <c r="BQ379" s="2" t="str">
        <f>HYPERLINK("http://exon.niaid.nih.gov/transcriptome/T_rubida/S2/links/SMART/Triru-287-SMART.txt","RhoGAP")</f>
        <v>RhoGAP</v>
      </c>
      <c r="BR379" t="str">
        <f>HYPERLINK("http://smart.embl-heidelberg.de/smart/do_annotation.pl?DOMAIN=RhoGAP&amp;BLAST=DUMMY","0.33")</f>
        <v>0.33</v>
      </c>
      <c r="BS379" s="17">
        <f t="shared" si="64"/>
        <v>1</v>
      </c>
      <c r="BT379" s="1">
        <f t="shared" si="65"/>
        <v>359</v>
      </c>
      <c r="BU379" s="17">
        <f>HYPERLINK("http://exon.niaid.nih.gov/transcriptome/T_rubida/S2/links/cluster/Triru-pep-ext30-50-Sim-CLU12.txt", 12)</f>
        <v>12</v>
      </c>
      <c r="BV379" s="1">
        <f>HYPERLINK("http://exon.niaid.nih.gov/transcriptome/T_rubida/S2/links/cluster/Triru-pep-ext30-50-Sim-CLTL12.txt", 3)</f>
        <v>3</v>
      </c>
      <c r="BW379" s="17">
        <v>161</v>
      </c>
      <c r="BX379" s="1">
        <v>1</v>
      </c>
      <c r="BY379" s="17">
        <v>171</v>
      </c>
      <c r="BZ379" s="1">
        <v>1</v>
      </c>
      <c r="CA379" s="17">
        <v>175</v>
      </c>
      <c r="CB379" s="1">
        <v>1</v>
      </c>
      <c r="CC379" s="17">
        <v>179</v>
      </c>
      <c r="CD379" s="1">
        <v>1</v>
      </c>
      <c r="CE379" s="17">
        <v>184</v>
      </c>
      <c r="CF379" s="1">
        <v>1</v>
      </c>
      <c r="CG379" s="17">
        <v>186</v>
      </c>
      <c r="CH379" s="1">
        <v>1</v>
      </c>
      <c r="CI379" s="17">
        <v>193</v>
      </c>
      <c r="CJ379" s="1">
        <v>1</v>
      </c>
      <c r="CK379" s="17">
        <v>198</v>
      </c>
      <c r="CL379" s="1">
        <v>1</v>
      </c>
      <c r="CM379" s="17">
        <v>204</v>
      </c>
      <c r="CN379" s="1">
        <v>1</v>
      </c>
      <c r="CO379" s="17">
        <v>214</v>
      </c>
      <c r="CP379" s="1">
        <v>1</v>
      </c>
      <c r="CQ379" s="17">
        <v>224</v>
      </c>
      <c r="CR379" s="1">
        <v>1</v>
      </c>
      <c r="CS379" s="17">
        <v>231</v>
      </c>
      <c r="CT379" s="1">
        <v>1</v>
      </c>
      <c r="CU379" s="17">
        <v>242</v>
      </c>
      <c r="CV379" s="1">
        <v>1</v>
      </c>
    </row>
    <row r="380" spans="1:100">
      <c r="A380" t="str">
        <f>HYPERLINK("http://exon.niaid.nih.gov/transcriptome/T_rubida/S2/links/pep/Triru-403-pep.txt","Triru-403")</f>
        <v>Triru-403</v>
      </c>
      <c r="B380">
        <v>57</v>
      </c>
      <c r="C380" s="1" t="s">
        <v>4</v>
      </c>
      <c r="D380" s="1" t="s">
        <v>3</v>
      </c>
      <c r="E380" t="str">
        <f>HYPERLINK("http://exon.niaid.nih.gov/transcriptome/T_rubida/S2/links/cds/Triru-403-cds.txt","Triru-403")</f>
        <v>Triru-403</v>
      </c>
      <c r="F380">
        <v>174</v>
      </c>
      <c r="G380" s="2" t="s">
        <v>1827</v>
      </c>
      <c r="H380" s="1">
        <v>1</v>
      </c>
      <c r="I380" s="3" t="s">
        <v>1266</v>
      </c>
      <c r="J380" s="17" t="str">
        <f>HYPERLINK("http://exon.niaid.nih.gov/transcriptome/T_rubida/S2/links/Sigp/Triru-403-SigP.txt","CYT")</f>
        <v>CYT</v>
      </c>
      <c r="K380" t="s">
        <v>5</v>
      </c>
      <c r="L380" s="1">
        <v>6.4320000000000004</v>
      </c>
      <c r="M380" s="1">
        <v>9.0500000000000007</v>
      </c>
      <c r="P380" s="1">
        <v>0.10299999999999999</v>
      </c>
      <c r="Q380" s="1">
        <v>0.40300000000000002</v>
      </c>
      <c r="R380" s="1">
        <v>0.45900000000000002</v>
      </c>
      <c r="S380" s="17" t="s">
        <v>1346</v>
      </c>
      <c r="T380">
        <v>5</v>
      </c>
      <c r="U380" t="s">
        <v>1541</v>
      </c>
      <c r="V380" s="17" t="str">
        <f>HYPERLINK("http://exon.niaid.nih.gov/transcriptome/T_rubida/S2/links/tmhmm/TRIRU-403-tmhmm.txt","1")</f>
        <v>1</v>
      </c>
      <c r="W380">
        <v>38.6</v>
      </c>
      <c r="X380">
        <v>26.3</v>
      </c>
      <c r="Y380">
        <v>35.1</v>
      </c>
      <c r="Z380" t="s">
        <v>5</v>
      </c>
      <c r="AA380">
        <v>15</v>
      </c>
      <c r="AB380" s="17" t="str">
        <f>HYPERLINK("http://exon.niaid.nih.gov/transcriptome/T_rubida/S2/links/netoglyc/TRIRU-403-netoglyc.txt","0")</f>
        <v>0</v>
      </c>
      <c r="AC380">
        <v>14</v>
      </c>
      <c r="AD380">
        <v>3.5</v>
      </c>
      <c r="AE380">
        <v>1.8</v>
      </c>
      <c r="AF380" s="17" t="s">
        <v>5</v>
      </c>
      <c r="AG380" s="2" t="str">
        <f>HYPERLINK("http://exon.niaid.nih.gov/transcriptome/T_rubida/S2/links/NR/Triru-403-NR.txt","ribosomal protein S4")</f>
        <v>ribosomal protein S4</v>
      </c>
      <c r="AH380" t="str">
        <f>HYPERLINK("http://www.ncbi.nlm.nih.gov/sutils/blink.cgi?pid=301353221","6.0")</f>
        <v>6.0</v>
      </c>
      <c r="AI380" t="str">
        <f>HYPERLINK("http://www.ncbi.nlm.nih.gov/protein/301353221","gi|301353221")</f>
        <v>gi|301353221</v>
      </c>
      <c r="AJ380">
        <v>34.299999999999997</v>
      </c>
      <c r="AK380">
        <v>45</v>
      </c>
      <c r="AL380">
        <v>490</v>
      </c>
      <c r="AM380">
        <v>36</v>
      </c>
      <c r="AN380">
        <v>9</v>
      </c>
      <c r="AO380" t="s">
        <v>133</v>
      </c>
      <c r="AP380" s="2" t="str">
        <f>HYPERLINK("http://exon.niaid.nih.gov/transcriptome/T_rubida/S2/links/SWISSP/Triru-403-SWISSP.txt","Uncharacterized protein RP255")</f>
        <v>Uncharacterized protein RP255</v>
      </c>
      <c r="AQ380" t="str">
        <f>HYPERLINK("http://www.uniprot.org/uniprot/Q9ZDS0","1.5")</f>
        <v>1.5</v>
      </c>
      <c r="AR380" t="s">
        <v>134</v>
      </c>
      <c r="AS380">
        <v>31.6</v>
      </c>
      <c r="AT380">
        <v>41</v>
      </c>
      <c r="AU380">
        <v>381</v>
      </c>
      <c r="AV380">
        <v>42</v>
      </c>
      <c r="AW380">
        <v>11</v>
      </c>
      <c r="AX380">
        <v>24</v>
      </c>
      <c r="AY380">
        <v>3</v>
      </c>
      <c r="AZ380">
        <v>5</v>
      </c>
      <c r="BA380">
        <v>13</v>
      </c>
      <c r="BB380">
        <v>1</v>
      </c>
      <c r="BC380" t="s">
        <v>135</v>
      </c>
      <c r="BD380" s="2" t="s">
        <v>5</v>
      </c>
      <c r="BE380" t="s">
        <v>5</v>
      </c>
      <c r="BF380" t="s">
        <v>5</v>
      </c>
      <c r="BG380" t="s">
        <v>5</v>
      </c>
      <c r="BH380" t="s">
        <v>5</v>
      </c>
      <c r="BI380" s="2" t="s">
        <v>5</v>
      </c>
      <c r="BJ380" t="s">
        <v>5</v>
      </c>
      <c r="BK380" t="s">
        <v>5</v>
      </c>
      <c r="BL380" s="2" t="s">
        <v>5</v>
      </c>
      <c r="BM380" t="s">
        <v>5</v>
      </c>
      <c r="BN380" t="s">
        <v>5</v>
      </c>
      <c r="BO380" s="2" t="s">
        <v>5</v>
      </c>
      <c r="BP380" t="s">
        <v>5</v>
      </c>
      <c r="BQ380" s="2" t="str">
        <f>HYPERLINK("http://exon.niaid.nih.gov/transcriptome/T_rubida/S2/links/SMART/Triru-403-SMART.txt","SHR3_chaperone")</f>
        <v>SHR3_chaperone</v>
      </c>
      <c r="BR380" t="str">
        <f>HYPERLINK("http://smart.embl-heidelberg.de/smart/do_annotation.pl?DOMAIN=SHR3_chaperone&amp;BLAST=DUMMY","1.4")</f>
        <v>1.4</v>
      </c>
      <c r="BS380" s="17">
        <f t="shared" si="64"/>
        <v>1</v>
      </c>
      <c r="BT380" s="1">
        <f t="shared" si="65"/>
        <v>359</v>
      </c>
      <c r="BU380" s="17">
        <f>HYPERLINK("http://exon.niaid.nih.gov/transcriptome/T_rubida/S2/links/cluster/Triru-pep-ext30-50-Sim-CLU1.txt", 1)</f>
        <v>1</v>
      </c>
      <c r="BV380" s="1">
        <f>HYPERLINK("http://exon.niaid.nih.gov/transcriptome/T_rubida/S2/links/cluster/Triru-pep-ext30-50-Sim-CLTL1.txt", 225)</f>
        <v>225</v>
      </c>
      <c r="BW380" s="17">
        <v>230</v>
      </c>
      <c r="BX380" s="1">
        <v>1</v>
      </c>
      <c r="BY380" s="17">
        <v>248</v>
      </c>
      <c r="BZ380" s="1">
        <v>1</v>
      </c>
      <c r="CA380" s="17">
        <v>255</v>
      </c>
      <c r="CB380" s="1">
        <v>1</v>
      </c>
      <c r="CC380" s="17">
        <v>261</v>
      </c>
      <c r="CD380" s="1">
        <v>1</v>
      </c>
      <c r="CE380" s="17">
        <v>268</v>
      </c>
      <c r="CF380" s="1">
        <v>1</v>
      </c>
      <c r="CG380" s="17">
        <v>271</v>
      </c>
      <c r="CH380" s="1">
        <v>1</v>
      </c>
      <c r="CI380" s="17">
        <v>281</v>
      </c>
      <c r="CJ380" s="1">
        <v>1</v>
      </c>
      <c r="CK380" s="17">
        <v>287</v>
      </c>
      <c r="CL380" s="1">
        <v>1</v>
      </c>
      <c r="CM380" s="17">
        <v>295</v>
      </c>
      <c r="CN380" s="1">
        <v>1</v>
      </c>
      <c r="CO380" s="17">
        <v>307</v>
      </c>
      <c r="CP380" s="1">
        <v>1</v>
      </c>
      <c r="CQ380" s="17">
        <v>317</v>
      </c>
      <c r="CR380" s="1">
        <v>1</v>
      </c>
      <c r="CS380" s="17">
        <v>329</v>
      </c>
      <c r="CT380" s="1">
        <v>1</v>
      </c>
      <c r="CU380" s="17">
        <v>340</v>
      </c>
      <c r="CV380" s="1">
        <v>1</v>
      </c>
    </row>
    <row r="381" spans="1:100">
      <c r="A381" t="str">
        <f>HYPERLINK("http://exon.niaid.nih.gov/transcriptome/T_rubida/S2/links/pep/Triru-553-pep.txt","Triru-553")</f>
        <v>Triru-553</v>
      </c>
      <c r="B381">
        <v>69</v>
      </c>
      <c r="C381" s="1" t="s">
        <v>14</v>
      </c>
      <c r="D381" s="1" t="s">
        <v>5</v>
      </c>
      <c r="E381" t="str">
        <f>HYPERLINK("http://exon.niaid.nih.gov/transcriptome/T_rubida/S2/links/cds/Triru-553-cds.txt","Triru-553")</f>
        <v>Triru-553</v>
      </c>
      <c r="F381">
        <v>206</v>
      </c>
      <c r="G381" s="2" t="s">
        <v>1828</v>
      </c>
      <c r="H381" s="1">
        <v>1</v>
      </c>
      <c r="I381" s="3" t="s">
        <v>1266</v>
      </c>
      <c r="J381" s="17" t="str">
        <f>HYPERLINK("http://exon.niaid.nih.gov/transcriptome/T_rubida/S2/links/Sigp/Triru-553-SigP.txt","CYT")</f>
        <v>CYT</v>
      </c>
      <c r="K381" t="s">
        <v>5</v>
      </c>
      <c r="L381" s="1">
        <v>8.4659999999999993</v>
      </c>
      <c r="M381" s="1">
        <v>9.6999999999999993</v>
      </c>
      <c r="P381" s="1">
        <v>0.309</v>
      </c>
      <c r="Q381" s="1">
        <v>0.1</v>
      </c>
      <c r="R381" s="1">
        <v>0.52400000000000002</v>
      </c>
      <c r="S381" s="17" t="s">
        <v>1346</v>
      </c>
      <c r="T381">
        <v>4</v>
      </c>
      <c r="U381" t="s">
        <v>1382</v>
      </c>
      <c r="V381" s="17">
        <v>0</v>
      </c>
      <c r="W381" t="s">
        <v>5</v>
      </c>
      <c r="X381" t="s">
        <v>5</v>
      </c>
      <c r="Y381" t="s">
        <v>5</v>
      </c>
      <c r="Z381" t="s">
        <v>5</v>
      </c>
      <c r="AA381" t="s">
        <v>5</v>
      </c>
      <c r="AB381" s="17" t="str">
        <f>HYPERLINK("http://exon.niaid.nih.gov/transcriptome/T_rubida/S2/links/netoglyc/TRIRU-553-netoglyc.txt","0")</f>
        <v>0</v>
      </c>
      <c r="AC381">
        <v>10.1</v>
      </c>
      <c r="AD381" t="s">
        <v>1417</v>
      </c>
      <c r="AE381">
        <v>1.4</v>
      </c>
      <c r="AF381" s="17" t="s">
        <v>5</v>
      </c>
      <c r="AG381" s="2" t="str">
        <f>HYPERLINK("http://exon.niaid.nih.gov/transcriptome/T_rubida/S2/links/NR/Triru-553-NR.txt","GJ17350")</f>
        <v>GJ17350</v>
      </c>
      <c r="AH381" t="str">
        <f>HYPERLINK("http://www.ncbi.nlm.nih.gov/sutils/blink.cgi?pid=195386766","30")</f>
        <v>30</v>
      </c>
      <c r="AI381" t="str">
        <f>HYPERLINK("http://www.ncbi.nlm.nih.gov/protein/195386766","gi|195386766")</f>
        <v>gi|195386766</v>
      </c>
      <c r="AJ381">
        <v>32</v>
      </c>
      <c r="AK381">
        <v>59</v>
      </c>
      <c r="AL381">
        <v>724</v>
      </c>
      <c r="AM381">
        <v>30</v>
      </c>
      <c r="AN381">
        <v>8</v>
      </c>
      <c r="AO381" t="s">
        <v>484</v>
      </c>
      <c r="AP381" s="2" t="str">
        <f>HYPERLINK("http://exon.niaid.nih.gov/transcriptome/T_rubida/S2/links/SWISSP/Triru-553-SWISSP.txt","Isoleucyl-tRNA synthetase")</f>
        <v>Isoleucyl-tRNA synthetase</v>
      </c>
      <c r="AQ381" t="str">
        <f>HYPERLINK("http://www.uniprot.org/uniprot/Q057X9","4.3")</f>
        <v>4.3</v>
      </c>
      <c r="AR381" t="s">
        <v>721</v>
      </c>
      <c r="AS381">
        <v>30</v>
      </c>
      <c r="AT381">
        <v>55</v>
      </c>
      <c r="AU381">
        <v>941</v>
      </c>
      <c r="AV381">
        <v>28</v>
      </c>
      <c r="AW381">
        <v>6</v>
      </c>
      <c r="AX381">
        <v>40</v>
      </c>
      <c r="AY381">
        <v>1</v>
      </c>
      <c r="AZ381">
        <v>800</v>
      </c>
      <c r="BA381">
        <v>7</v>
      </c>
      <c r="BB381">
        <v>1</v>
      </c>
      <c r="BC381" t="s">
        <v>722</v>
      </c>
      <c r="BD381" s="2" t="s">
        <v>5</v>
      </c>
      <c r="BE381" t="s">
        <v>5</v>
      </c>
      <c r="BF381" t="s">
        <v>5</v>
      </c>
      <c r="BG381" t="s">
        <v>5</v>
      </c>
      <c r="BH381" t="s">
        <v>5</v>
      </c>
      <c r="BI381" s="2" t="s">
        <v>5</v>
      </c>
      <c r="BJ381" t="s">
        <v>5</v>
      </c>
      <c r="BK381" t="s">
        <v>5</v>
      </c>
      <c r="BL381" s="2" t="s">
        <v>5</v>
      </c>
      <c r="BM381" t="s">
        <v>5</v>
      </c>
      <c r="BN381" t="s">
        <v>5</v>
      </c>
      <c r="BO381" s="2" t="str">
        <f>HYPERLINK("http://exon.niaid.nih.gov/transcriptome/T_rubida/S2/links/PFAM/Triru-553-PFAM.txt","Patched")</f>
        <v>Patched</v>
      </c>
      <c r="BP381" t="str">
        <f>HYPERLINK("http://pfam.sanger.ac.uk/family?acc=PF02460","8.4")</f>
        <v>8.4</v>
      </c>
      <c r="BQ381" s="2" t="str">
        <f>HYPERLINK("http://exon.niaid.nih.gov/transcriptome/T_rubida/S2/links/SMART/Triru-553-SMART.txt","ZP")</f>
        <v>ZP</v>
      </c>
      <c r="BR381" t="str">
        <f>HYPERLINK("http://smart.embl-heidelberg.de/smart/do_annotation.pl?DOMAIN=ZP&amp;BLAST=DUMMY","0.33")</f>
        <v>0.33</v>
      </c>
      <c r="BS381" s="17">
        <f t="shared" si="64"/>
        <v>1</v>
      </c>
      <c r="BT381" s="1">
        <f t="shared" si="65"/>
        <v>359</v>
      </c>
      <c r="BU381" s="17">
        <f>HYPERLINK("http://exon.niaid.nih.gov/transcriptome/T_rubida/S2/links/cluster/Triru-pep-ext30-50-Sim-CLU1.txt", 1)</f>
        <v>1</v>
      </c>
      <c r="BV381" s="1">
        <f>HYPERLINK("http://exon.niaid.nih.gov/transcriptome/T_rubida/S2/links/cluster/Triru-pep-ext30-50-Sim-CLTL1.txt", 225)</f>
        <v>225</v>
      </c>
      <c r="BW381" s="17">
        <v>319</v>
      </c>
      <c r="BX381" s="1">
        <v>1</v>
      </c>
      <c r="BY381" s="17">
        <v>349</v>
      </c>
      <c r="BZ381" s="1">
        <v>1</v>
      </c>
      <c r="CA381" s="17">
        <v>363</v>
      </c>
      <c r="CB381" s="1">
        <v>1</v>
      </c>
      <c r="CC381" s="17">
        <v>376</v>
      </c>
      <c r="CD381" s="1">
        <v>1</v>
      </c>
      <c r="CE381" s="17">
        <v>391</v>
      </c>
      <c r="CF381" s="1">
        <v>1</v>
      </c>
      <c r="CG381" s="17">
        <v>397</v>
      </c>
      <c r="CH381" s="1">
        <v>1</v>
      </c>
      <c r="CI381" s="17">
        <v>409</v>
      </c>
      <c r="CJ381" s="1">
        <v>1</v>
      </c>
      <c r="CK381" s="17">
        <v>415</v>
      </c>
      <c r="CL381" s="1">
        <v>1</v>
      </c>
      <c r="CM381" s="17">
        <v>426</v>
      </c>
      <c r="CN381" s="1">
        <v>1</v>
      </c>
      <c r="CO381" s="17">
        <v>438</v>
      </c>
      <c r="CP381" s="1">
        <v>1</v>
      </c>
      <c r="CQ381" s="17">
        <v>448</v>
      </c>
      <c r="CR381" s="1">
        <v>1</v>
      </c>
      <c r="CS381" s="17">
        <v>461</v>
      </c>
      <c r="CT381" s="1">
        <v>1</v>
      </c>
      <c r="CU381" s="17">
        <v>472</v>
      </c>
      <c r="CV381" s="1">
        <v>1</v>
      </c>
    </row>
    <row r="382" spans="1:100">
      <c r="A382" t="str">
        <f>HYPERLINK("http://exon.niaid.nih.gov/transcriptome/T_rubida/S2/links/pep/Triru-633-pep.txt","Triru-633")</f>
        <v>Triru-633</v>
      </c>
      <c r="B382">
        <v>37</v>
      </c>
      <c r="C382" s="1" t="s">
        <v>8</v>
      </c>
      <c r="D382" s="1" t="s">
        <v>3</v>
      </c>
      <c r="E382" t="str">
        <f>HYPERLINK("http://exon.niaid.nih.gov/transcriptome/T_rubida/S2/links/cds/Triru-633-cds.txt","Triru-633")</f>
        <v>Triru-633</v>
      </c>
      <c r="F382">
        <v>114</v>
      </c>
      <c r="G382" s="2" t="s">
        <v>1737</v>
      </c>
      <c r="H382" s="1">
        <v>1</v>
      </c>
      <c r="I382" s="3" t="s">
        <v>1266</v>
      </c>
      <c r="J382" s="17" t="str">
        <f>HYPERLINK("http://exon.niaid.nih.gov/transcriptome/T_rubida/S2/links/Sigp/Triru-633-SigP.txt","CYT")</f>
        <v>CYT</v>
      </c>
      <c r="K382" t="s">
        <v>5</v>
      </c>
      <c r="L382" s="1">
        <v>4.8040000000000003</v>
      </c>
      <c r="M382" s="1">
        <v>10.46</v>
      </c>
      <c r="P382" s="1">
        <v>0.57399999999999995</v>
      </c>
      <c r="Q382" s="1">
        <v>8.5000000000000006E-2</v>
      </c>
      <c r="R382" s="1">
        <v>0.29699999999999999</v>
      </c>
      <c r="S382" s="17" t="s">
        <v>9</v>
      </c>
      <c r="T382">
        <v>4</v>
      </c>
      <c r="U382" t="s">
        <v>1348</v>
      </c>
      <c r="V382" s="17">
        <v>0</v>
      </c>
      <c r="W382" t="s">
        <v>5</v>
      </c>
      <c r="X382" t="s">
        <v>5</v>
      </c>
      <c r="Y382" t="s">
        <v>5</v>
      </c>
      <c r="Z382" t="s">
        <v>5</v>
      </c>
      <c r="AA382" t="s">
        <v>5</v>
      </c>
      <c r="AB382" s="17" t="str">
        <f>HYPERLINK("http://exon.niaid.nih.gov/transcriptome/T_rubida/S2/links/netoglyc/TRIRU-633-netoglyc.txt","0")</f>
        <v>0</v>
      </c>
      <c r="AC382">
        <v>8.1</v>
      </c>
      <c r="AD382">
        <v>5.4</v>
      </c>
      <c r="AE382" t="s">
        <v>1394</v>
      </c>
      <c r="AF382" s="17" t="s">
        <v>5</v>
      </c>
      <c r="AG382" s="2" t="str">
        <f>HYPERLINK("http://exon.niaid.nih.gov/transcriptome/T_rubida/S2/links/NR/Triru-633-NR.txt","NADH dehydrogenase subunit 1")</f>
        <v>NADH dehydrogenase subunit 1</v>
      </c>
      <c r="AH382" t="str">
        <f>HYPERLINK("http://www.ncbi.nlm.nih.gov/sutils/blink.cgi?pid=269973636","89")</f>
        <v>89</v>
      </c>
      <c r="AI382" t="str">
        <f>HYPERLINK("http://www.ncbi.nlm.nih.gov/protein/269973636","gi|269973636")</f>
        <v>gi|269973636</v>
      </c>
      <c r="AJ382">
        <v>30.4</v>
      </c>
      <c r="AK382">
        <v>24</v>
      </c>
      <c r="AL382">
        <v>298</v>
      </c>
      <c r="AM382">
        <v>51</v>
      </c>
      <c r="AN382">
        <v>8</v>
      </c>
      <c r="AO382" t="s">
        <v>381</v>
      </c>
      <c r="AP382" s="2" t="str">
        <f>HYPERLINK("http://exon.niaid.nih.gov/transcriptome/T_rubida/S2/links/SWISSP/Triru-633-SWISSP.txt","Uncharacterized 36.6 kDa protein in EGT-IAP1 intergenic region")</f>
        <v>Uncharacterized 36.6 kDa protein in EGT-IAP1 intergenic region</v>
      </c>
      <c r="AQ382" t="str">
        <f>HYPERLINK("http://www.uniprot.org/uniprot/P41426","28")</f>
        <v>28</v>
      </c>
      <c r="AR382" t="s">
        <v>382</v>
      </c>
      <c r="AS382">
        <v>27.3</v>
      </c>
      <c r="AT382">
        <v>37</v>
      </c>
      <c r="AU382">
        <v>319</v>
      </c>
      <c r="AV382">
        <v>31</v>
      </c>
      <c r="AW382">
        <v>12</v>
      </c>
      <c r="AX382">
        <v>26</v>
      </c>
      <c r="AY382">
        <v>4</v>
      </c>
      <c r="AZ382">
        <v>63</v>
      </c>
      <c r="BA382">
        <v>2</v>
      </c>
      <c r="BB382">
        <v>1</v>
      </c>
      <c r="BC382" t="s">
        <v>335</v>
      </c>
      <c r="BD382" s="2" t="s">
        <v>5</v>
      </c>
      <c r="BE382" t="s">
        <v>5</v>
      </c>
      <c r="BF382" t="s">
        <v>5</v>
      </c>
      <c r="BG382" t="s">
        <v>5</v>
      </c>
      <c r="BH382" t="s">
        <v>5</v>
      </c>
      <c r="BI382" s="2" t="s">
        <v>5</v>
      </c>
      <c r="BJ382" t="s">
        <v>5</v>
      </c>
      <c r="BK382" t="s">
        <v>5</v>
      </c>
      <c r="BL382" s="2" t="s">
        <v>5</v>
      </c>
      <c r="BM382" t="s">
        <v>5</v>
      </c>
      <c r="BN382" t="s">
        <v>5</v>
      </c>
      <c r="BO382" s="2" t="s">
        <v>5</v>
      </c>
      <c r="BP382" t="s">
        <v>5</v>
      </c>
      <c r="BQ382" s="2" t="str">
        <f>HYPERLINK("http://exon.niaid.nih.gov/transcriptome/T_rubida/S2/links/SMART/Triru-633-SMART.txt","THN")</f>
        <v>THN</v>
      </c>
      <c r="BR382" t="str">
        <f>HYPERLINK("http://smart.embl-heidelberg.de/smart/do_annotation.pl?DOMAIN=THN&amp;BLAST=DUMMY","9.0")</f>
        <v>9.0</v>
      </c>
      <c r="BS382" s="17">
        <f t="shared" si="64"/>
        <v>1</v>
      </c>
      <c r="BT382" s="1">
        <f t="shared" si="65"/>
        <v>359</v>
      </c>
      <c r="BU382" s="17">
        <f>HYPERLINK("http://exon.niaid.nih.gov/transcriptome/T_rubida/S2/links/cluster/Triru-pep-ext30-50-Sim-CLU1.txt", 1)</f>
        <v>1</v>
      </c>
      <c r="BV382" s="1">
        <f>HYPERLINK("http://exon.niaid.nih.gov/transcriptome/T_rubida/S2/links/cluster/Triru-pep-ext30-50-Sim-CLTL1.txt", 225)</f>
        <v>225</v>
      </c>
      <c r="BW382" s="17">
        <f>HYPERLINK("http://exon.niaid.nih.gov/transcriptome/T_rubida/S2/links/cluster/Triru-pep-ext35-50-Sim-CLU1.txt", 1)</f>
        <v>1</v>
      </c>
      <c r="BX382" s="1">
        <f>HYPERLINK("http://exon.niaid.nih.gov/transcriptome/T_rubida/S2/links/cluster/Triru-pep-ext35-50-Sim-CLTL1.txt", 75)</f>
        <v>75</v>
      </c>
      <c r="BY382" s="17">
        <v>404</v>
      </c>
      <c r="BZ382" s="1">
        <v>1</v>
      </c>
      <c r="CA382" s="17">
        <v>421</v>
      </c>
      <c r="CB382" s="1">
        <v>1</v>
      </c>
      <c r="CC382" s="17">
        <v>436</v>
      </c>
      <c r="CD382" s="1">
        <v>1</v>
      </c>
      <c r="CE382" s="17">
        <v>452</v>
      </c>
      <c r="CF382" s="1">
        <v>1</v>
      </c>
      <c r="CG382" s="17">
        <v>459</v>
      </c>
      <c r="CH382" s="1">
        <v>1</v>
      </c>
      <c r="CI382" s="17">
        <v>473</v>
      </c>
      <c r="CJ382" s="1">
        <v>1</v>
      </c>
      <c r="CK382" s="17">
        <v>479</v>
      </c>
      <c r="CL382" s="1">
        <v>1</v>
      </c>
      <c r="CM382" s="17">
        <v>491</v>
      </c>
      <c r="CN382" s="1">
        <v>1</v>
      </c>
      <c r="CO382" s="17">
        <v>503</v>
      </c>
      <c r="CP382" s="1">
        <v>1</v>
      </c>
      <c r="CQ382" s="17">
        <v>513</v>
      </c>
      <c r="CR382" s="1">
        <v>1</v>
      </c>
      <c r="CS382" s="17">
        <v>526</v>
      </c>
      <c r="CT382" s="1">
        <v>1</v>
      </c>
      <c r="CU382" s="17">
        <v>539</v>
      </c>
      <c r="CV382" s="1">
        <v>1</v>
      </c>
    </row>
    <row r="383" spans="1:100">
      <c r="A383" t="str">
        <f>HYPERLINK("http://exon.niaid.nih.gov/transcriptome/T_rubida/S2/links/pep/Triru-535-pep.txt","Triru-535")</f>
        <v>Triru-535</v>
      </c>
      <c r="B383">
        <v>15</v>
      </c>
      <c r="C383" s="1" t="s">
        <v>8</v>
      </c>
      <c r="D383" s="1" t="s">
        <v>3</v>
      </c>
      <c r="E383" t="str">
        <f>HYPERLINK("http://exon.niaid.nih.gov/transcriptome/T_rubida/S2/links/cds/Triru-535-cds.txt","Triru-535")</f>
        <v>Triru-535</v>
      </c>
      <c r="F383">
        <v>48</v>
      </c>
      <c r="G383" s="2" t="s">
        <v>1737</v>
      </c>
      <c r="H383" s="1">
        <v>1</v>
      </c>
      <c r="I383" s="3" t="s">
        <v>1266</v>
      </c>
      <c r="J383" s="17" t="str">
        <f>HYPERLINK("http://exon.niaid.nih.gov/transcriptome/T_rubida/S2/links/Sigp/Triru-535-SigP.txt","CYT")</f>
        <v>CYT</v>
      </c>
      <c r="K383" t="s">
        <v>5</v>
      </c>
      <c r="L383" s="1">
        <v>2.1179999999999999</v>
      </c>
      <c r="M383" s="1">
        <v>11</v>
      </c>
      <c r="P383" s="1">
        <v>0.36399999999999999</v>
      </c>
      <c r="Q383" s="1">
        <v>5.2999999999999999E-2</v>
      </c>
      <c r="R383" s="1">
        <v>0.60899999999999999</v>
      </c>
      <c r="S383" s="17" t="s">
        <v>1346</v>
      </c>
      <c r="T383">
        <v>4</v>
      </c>
      <c r="U383" t="s">
        <v>1348</v>
      </c>
      <c r="V383" s="17">
        <v>0</v>
      </c>
      <c r="W383" t="s">
        <v>5</v>
      </c>
      <c r="X383" t="s">
        <v>5</v>
      </c>
      <c r="Y383" t="s">
        <v>5</v>
      </c>
      <c r="Z383" t="s">
        <v>5</v>
      </c>
      <c r="AA383" t="s">
        <v>5</v>
      </c>
      <c r="AB383" s="17" t="str">
        <f>HYPERLINK("http://exon.niaid.nih.gov/transcriptome/T_rubida/S2/links/netoglyc/TRIRU-535-netoglyc.txt","0")</f>
        <v>0</v>
      </c>
      <c r="AC383" t="s">
        <v>1417</v>
      </c>
      <c r="AD383" t="s">
        <v>1417</v>
      </c>
      <c r="AE383" t="s">
        <v>1394</v>
      </c>
      <c r="AF383" s="17" t="s">
        <v>5</v>
      </c>
      <c r="AG383" s="2" t="str">
        <f>HYPERLINK("http://exon.niaid.nih.gov/transcriptome/T_rubida/S2/links/NR/Triru-535-NR.txt","hypothetical protein Mtub2_02392")</f>
        <v>hypothetical protein Mtub2_02392</v>
      </c>
      <c r="AH383" t="str">
        <f>HYPERLINK("http://www.ncbi.nlm.nih.gov/sutils/blink.cgi?pid=294993368","90")</f>
        <v>90</v>
      </c>
      <c r="AI383" t="str">
        <f>HYPERLINK("http://www.ncbi.nlm.nih.gov/protein/294993368","gi|294993368")</f>
        <v>gi|294993368</v>
      </c>
      <c r="AJ383">
        <v>29.6</v>
      </c>
      <c r="AK383">
        <v>14</v>
      </c>
      <c r="AL383">
        <v>179</v>
      </c>
      <c r="AM383">
        <v>66</v>
      </c>
      <c r="AN383">
        <v>8</v>
      </c>
      <c r="AO383" t="s">
        <v>325</v>
      </c>
      <c r="AP383" s="2" t="s">
        <v>5</v>
      </c>
      <c r="AQ383" t="s">
        <v>5</v>
      </c>
      <c r="AR383" t="s">
        <v>5</v>
      </c>
      <c r="AS383" t="s">
        <v>5</v>
      </c>
      <c r="AT383" t="s">
        <v>5</v>
      </c>
      <c r="AU383" t="s">
        <v>5</v>
      </c>
      <c r="AV383" t="s">
        <v>5</v>
      </c>
      <c r="AW383" t="s">
        <v>5</v>
      </c>
      <c r="AX383" t="s">
        <v>5</v>
      </c>
      <c r="AY383" t="s">
        <v>5</v>
      </c>
      <c r="AZ383" t="s">
        <v>5</v>
      </c>
      <c r="BA383" t="s">
        <v>5</v>
      </c>
      <c r="BB383" t="s">
        <v>5</v>
      </c>
      <c r="BC383" t="s">
        <v>5</v>
      </c>
      <c r="BD383" s="2" t="s">
        <v>5</v>
      </c>
      <c r="BE383" t="s">
        <v>5</v>
      </c>
      <c r="BF383" t="s">
        <v>5</v>
      </c>
      <c r="BG383" t="s">
        <v>5</v>
      </c>
      <c r="BH383" t="s">
        <v>5</v>
      </c>
      <c r="BI383" s="2" t="s">
        <v>5</v>
      </c>
      <c r="BJ383" t="s">
        <v>5</v>
      </c>
      <c r="BK383" t="s">
        <v>5</v>
      </c>
      <c r="BL383" s="2" t="s">
        <v>5</v>
      </c>
      <c r="BM383" t="s">
        <v>5</v>
      </c>
      <c r="BN383" t="s">
        <v>5</v>
      </c>
      <c r="BO383" s="2" t="s">
        <v>5</v>
      </c>
      <c r="BP383" t="s">
        <v>5</v>
      </c>
      <c r="BQ383" s="2" t="s">
        <v>5</v>
      </c>
      <c r="BR383" t="s">
        <v>5</v>
      </c>
      <c r="BS383" s="17">
        <f t="shared" si="64"/>
        <v>1</v>
      </c>
      <c r="BT383" s="1">
        <f t="shared" si="65"/>
        <v>359</v>
      </c>
      <c r="BU383" s="17">
        <f>HYPERLINK("http://exon.niaid.nih.gov/transcriptome/T_rubida/S2/links/cluster/Triru-pep-ext30-50-Sim-CLU1.txt", 1)</f>
        <v>1</v>
      </c>
      <c r="BV383" s="1">
        <f>HYPERLINK("http://exon.niaid.nih.gov/transcriptome/T_rubida/S2/links/cluster/Triru-pep-ext30-50-Sim-CLTL1.txt", 225)</f>
        <v>225</v>
      </c>
      <c r="BW383" s="17">
        <f>HYPERLINK("http://exon.niaid.nih.gov/transcriptome/T_rubida/S2/links/cluster/Triru-pep-ext35-50-Sim-CLU1.txt", 1)</f>
        <v>1</v>
      </c>
      <c r="BX383" s="1">
        <f>HYPERLINK("http://exon.niaid.nih.gov/transcriptome/T_rubida/S2/links/cluster/Triru-pep-ext35-50-Sim-CLTL1.txt", 75)</f>
        <v>75</v>
      </c>
      <c r="BY383" s="17">
        <f>HYPERLINK("http://exon.niaid.nih.gov/transcriptome/T_rubida/S2/links/cluster/Triru-pep-ext40-50-Sim-CLU2.txt", 2)</f>
        <v>2</v>
      </c>
      <c r="BZ383" s="1">
        <f>HYPERLINK("http://exon.niaid.nih.gov/transcriptome/T_rubida/S2/links/cluster/Triru-pep-ext40-50-Sim-CLTL2.txt", 42)</f>
        <v>42</v>
      </c>
      <c r="CA383" s="17">
        <f>HYPERLINK("http://exon.niaid.nih.gov/transcriptome/T_rubida/S2/links/cluster/Triru-pep-ext45-50-Sim-CLU2.txt", 2)</f>
        <v>2</v>
      </c>
      <c r="CB383" s="1">
        <f>HYPERLINK("http://exon.niaid.nih.gov/transcriptome/T_rubida/S2/links/cluster/Triru-pep-ext45-50-Sim-CLTL2.txt", 33)</f>
        <v>33</v>
      </c>
      <c r="CC383" s="17">
        <f>HYPERLINK("http://exon.niaid.nih.gov/transcriptome/T_rubida/S2/links/cluster/Triru-pep-ext50-50-Sim-CLU3.txt", 3)</f>
        <v>3</v>
      </c>
      <c r="CD383" s="1">
        <f>HYPERLINK("http://exon.niaid.nih.gov/transcriptome/T_rubida/S2/links/cluster/Triru-pep-ext50-50-Sim-CLTL3.txt", 23)</f>
        <v>23</v>
      </c>
      <c r="CE383" s="17">
        <f>HYPERLINK("http://exon.niaid.nih.gov/transcriptome/T_rubida/S2/links/cluster/Triru-pep-ext55-50-Sim-CLU3.txt", 3)</f>
        <v>3</v>
      </c>
      <c r="CF383" s="1">
        <f>HYPERLINK("http://exon.niaid.nih.gov/transcriptome/T_rubida/S2/links/cluster/Triru-pep-ext55-50-Sim-CLTL3.txt", 16)</f>
        <v>16</v>
      </c>
      <c r="CG383" s="17">
        <f>HYPERLINK("http://exon.niaid.nih.gov/transcriptome/T_rubida/S2/links/cluster/Triru-pep-ext60-50-Sim-CLU2.txt", 2)</f>
        <v>2</v>
      </c>
      <c r="CH383" s="1">
        <f>HYPERLINK("http://exon.niaid.nih.gov/transcriptome/T_rubida/S2/links/cluster/Triru-pep-ext60-50-Sim-CLTL2.txt", 13)</f>
        <v>13</v>
      </c>
      <c r="CI383" s="17">
        <f>HYPERLINK("http://exon.niaid.nih.gov/transcriptome/T_rubida/S2/links/cluster/Triru-pep-ext65-50-Sim-CLU5.txt", 5)</f>
        <v>5</v>
      </c>
      <c r="CJ383" s="1">
        <f>HYPERLINK("http://exon.niaid.nih.gov/transcriptome/T_rubida/S2/links/cluster/Triru-pep-ext65-50-Sim-CLTL5.txt", 8)</f>
        <v>8</v>
      </c>
      <c r="CK383" s="17">
        <f>HYPERLINK("http://exon.niaid.nih.gov/transcriptome/T_rubida/S2/links/cluster/Triru-pep-ext70-50-Sim-CLU5.txt", 5)</f>
        <v>5</v>
      </c>
      <c r="CL383" s="1">
        <f>HYPERLINK("http://exon.niaid.nih.gov/transcriptome/T_rubida/S2/links/cluster/Triru-pep-ext70-50-Sim-CLTL5.txt", 7)</f>
        <v>7</v>
      </c>
      <c r="CM383" s="17">
        <v>412</v>
      </c>
      <c r="CN383" s="1">
        <v>1</v>
      </c>
      <c r="CO383" s="17">
        <v>424</v>
      </c>
      <c r="CP383" s="1">
        <v>1</v>
      </c>
      <c r="CQ383" s="17">
        <v>434</v>
      </c>
      <c r="CR383" s="1">
        <v>1</v>
      </c>
      <c r="CS383" s="17">
        <v>447</v>
      </c>
      <c r="CT383" s="1">
        <v>1</v>
      </c>
      <c r="CU383" s="17">
        <v>458</v>
      </c>
      <c r="CV383" s="1">
        <v>1</v>
      </c>
    </row>
    <row r="384" spans="1:100">
      <c r="A384" t="str">
        <f>HYPERLINK("http://exon.niaid.nih.gov/transcriptome/T_rubida/S2/links/pep/Triru-523-pep.txt","Triru-523")</f>
        <v>Triru-523</v>
      </c>
      <c r="B384">
        <v>26</v>
      </c>
      <c r="C384" s="1" t="s">
        <v>8</v>
      </c>
      <c r="D384" s="1" t="s">
        <v>3</v>
      </c>
      <c r="E384" t="str">
        <f>HYPERLINK("http://exon.niaid.nih.gov/transcriptome/T_rubida/S2/links/cds/Triru-523-cds.txt","Triru-523")</f>
        <v>Triru-523</v>
      </c>
      <c r="F384">
        <v>81</v>
      </c>
      <c r="G384" s="2" t="s">
        <v>1829</v>
      </c>
      <c r="H384" s="1">
        <v>1</v>
      </c>
      <c r="I384" s="3" t="s">
        <v>1266</v>
      </c>
      <c r="J384" s="17" t="str">
        <f>HYPERLINK("http://exon.niaid.nih.gov/transcriptome/T_rubida/S2/links/Sigp/Triru-523-SigP.txt","CYT")</f>
        <v>CYT</v>
      </c>
      <c r="K384" t="s">
        <v>5</v>
      </c>
      <c r="L384" s="1">
        <v>3.51</v>
      </c>
      <c r="M384" s="1">
        <v>11.22</v>
      </c>
      <c r="P384" s="1">
        <v>0.40300000000000002</v>
      </c>
      <c r="Q384" s="1">
        <v>7.0999999999999994E-2</v>
      </c>
      <c r="R384" s="1">
        <v>0.45900000000000002</v>
      </c>
      <c r="S384" s="17" t="s">
        <v>1346</v>
      </c>
      <c r="T384">
        <v>5</v>
      </c>
      <c r="U384" t="s">
        <v>1389</v>
      </c>
      <c r="V384" s="17">
        <v>0</v>
      </c>
      <c r="W384" t="s">
        <v>5</v>
      </c>
      <c r="X384" t="s">
        <v>5</v>
      </c>
      <c r="Y384" t="s">
        <v>5</v>
      </c>
      <c r="Z384" t="s">
        <v>5</v>
      </c>
      <c r="AA384" t="s">
        <v>5</v>
      </c>
      <c r="AB384" s="17" t="str">
        <f>HYPERLINK("http://exon.niaid.nih.gov/transcriptome/T_rubida/S2/links/netoglyc/TRIRU-523-netoglyc.txt","0")</f>
        <v>0</v>
      </c>
      <c r="AC384" t="s">
        <v>1417</v>
      </c>
      <c r="AD384" t="s">
        <v>1417</v>
      </c>
      <c r="AE384" t="s">
        <v>1394</v>
      </c>
      <c r="AF384" s="17" t="s">
        <v>5</v>
      </c>
      <c r="AG384" s="2" t="str">
        <f>HYPERLINK("http://exon.niaid.nih.gov/transcriptome/T_rubida/S2/links/NR/Triru-523-NR.txt","hypothetical protein Mtub2_04036")</f>
        <v>hypothetical protein Mtub2_04036</v>
      </c>
      <c r="AH384" t="str">
        <f>HYPERLINK("http://www.ncbi.nlm.nih.gov/sutils/blink.cgi?pid=294993686","18")</f>
        <v>18</v>
      </c>
      <c r="AI384" t="str">
        <f>HYPERLINK("http://www.ncbi.nlm.nih.gov/protein/294993686","gi|294993686")</f>
        <v>gi|294993686</v>
      </c>
      <c r="AJ384">
        <v>32.700000000000003</v>
      </c>
      <c r="AK384">
        <v>23</v>
      </c>
      <c r="AL384">
        <v>288</v>
      </c>
      <c r="AM384">
        <v>62</v>
      </c>
      <c r="AN384">
        <v>8</v>
      </c>
      <c r="AO384" t="s">
        <v>325</v>
      </c>
      <c r="AP384" s="2" t="str">
        <f>HYPERLINK("http://exon.niaid.nih.gov/transcriptome/T_rubida/S2/links/SWISSP/Triru-523-SWISSP.txt","Putative uncharacterized transmembrane protein DDB_G0285949")</f>
        <v>Putative uncharacterized transmembrane protein DDB_G0285949</v>
      </c>
      <c r="AQ384" t="str">
        <f>HYPERLINK("http://www.uniprot.org/uniprot/Q54MI8","12")</f>
        <v>12</v>
      </c>
      <c r="AR384" t="s">
        <v>354</v>
      </c>
      <c r="AS384">
        <v>28.5</v>
      </c>
      <c r="AT384">
        <v>36</v>
      </c>
      <c r="AU384">
        <v>129</v>
      </c>
      <c r="AV384">
        <v>43</v>
      </c>
      <c r="AW384">
        <v>29</v>
      </c>
      <c r="AX384">
        <v>21</v>
      </c>
      <c r="AY384">
        <v>11</v>
      </c>
      <c r="AZ384">
        <v>89</v>
      </c>
      <c r="BA384">
        <v>1</v>
      </c>
      <c r="BB384">
        <v>1</v>
      </c>
      <c r="BC384" t="s">
        <v>99</v>
      </c>
      <c r="BD384" s="2" t="s">
        <v>5</v>
      </c>
      <c r="BE384" t="s">
        <v>5</v>
      </c>
      <c r="BF384" t="s">
        <v>5</v>
      </c>
      <c r="BG384" t="s">
        <v>5</v>
      </c>
      <c r="BH384" t="s">
        <v>5</v>
      </c>
      <c r="BI384" s="2" t="s">
        <v>5</v>
      </c>
      <c r="BJ384" t="s">
        <v>5</v>
      </c>
      <c r="BK384" t="s">
        <v>5</v>
      </c>
      <c r="BL384" s="2" t="s">
        <v>5</v>
      </c>
      <c r="BM384" t="s">
        <v>5</v>
      </c>
      <c r="BN384" t="s">
        <v>5</v>
      </c>
      <c r="BO384" s="2" t="s">
        <v>5</v>
      </c>
      <c r="BP384" t="s">
        <v>5</v>
      </c>
      <c r="BQ384" s="2" t="str">
        <f>HYPERLINK("http://exon.niaid.nih.gov/transcriptome/T_rubida/S2/links/SMART/Triru-523-SMART.txt","ZnF_C4")</f>
        <v>ZnF_C4</v>
      </c>
      <c r="BR384" t="str">
        <f>HYPERLINK("http://smart.embl-heidelberg.de/smart/do_annotation.pl?DOMAIN=ZnF_C4&amp;BLAST=DUMMY","3.8")</f>
        <v>3.8</v>
      </c>
      <c r="BS384" s="17">
        <f t="shared" si="64"/>
        <v>1</v>
      </c>
      <c r="BT384" s="1">
        <f t="shared" si="65"/>
        <v>359</v>
      </c>
      <c r="BU384" s="17">
        <f>HYPERLINK("http://exon.niaid.nih.gov/transcriptome/T_rubida/S2/links/cluster/Triru-pep-ext30-50-Sim-CLU1.txt", 1)</f>
        <v>1</v>
      </c>
      <c r="BV384" s="1">
        <f>HYPERLINK("http://exon.niaid.nih.gov/transcriptome/T_rubida/S2/links/cluster/Triru-pep-ext30-50-Sim-CLTL1.txt", 225)</f>
        <v>225</v>
      </c>
      <c r="BW384" s="17">
        <f>HYPERLINK("http://exon.niaid.nih.gov/transcriptome/T_rubida/S2/links/cluster/Triru-pep-ext35-50-Sim-CLU1.txt", 1)</f>
        <v>1</v>
      </c>
      <c r="BX384" s="1">
        <f>HYPERLINK("http://exon.niaid.nih.gov/transcriptome/T_rubida/S2/links/cluster/Triru-pep-ext35-50-Sim-CLTL1.txt", 75)</f>
        <v>75</v>
      </c>
      <c r="BY384" s="17">
        <f>HYPERLINK("http://exon.niaid.nih.gov/transcriptome/T_rubida/S2/links/cluster/Triru-pep-ext40-50-Sim-CLU2.txt", 2)</f>
        <v>2</v>
      </c>
      <c r="BZ384" s="1">
        <f>HYPERLINK("http://exon.niaid.nih.gov/transcriptome/T_rubida/S2/links/cluster/Triru-pep-ext40-50-Sim-CLTL2.txt", 42)</f>
        <v>42</v>
      </c>
      <c r="CA384" s="17">
        <f>HYPERLINK("http://exon.niaid.nih.gov/transcriptome/T_rubida/S2/links/cluster/Triru-pep-ext45-50-Sim-CLU2.txt", 2)</f>
        <v>2</v>
      </c>
      <c r="CB384" s="1">
        <f>HYPERLINK("http://exon.niaid.nih.gov/transcriptome/T_rubida/S2/links/cluster/Triru-pep-ext45-50-Sim-CLTL2.txt", 33)</f>
        <v>33</v>
      </c>
      <c r="CC384" s="17">
        <f>HYPERLINK("http://exon.niaid.nih.gov/transcriptome/T_rubida/S2/links/cluster/Triru-pep-ext50-50-Sim-CLU3.txt", 3)</f>
        <v>3</v>
      </c>
      <c r="CD384" s="1">
        <f>HYPERLINK("http://exon.niaid.nih.gov/transcriptome/T_rubida/S2/links/cluster/Triru-pep-ext50-50-Sim-CLTL3.txt", 23)</f>
        <v>23</v>
      </c>
      <c r="CE384" s="17">
        <v>369</v>
      </c>
      <c r="CF384" s="1">
        <v>1</v>
      </c>
      <c r="CG384" s="17">
        <v>375</v>
      </c>
      <c r="CH384" s="1">
        <v>1</v>
      </c>
      <c r="CI384" s="17">
        <v>387</v>
      </c>
      <c r="CJ384" s="1">
        <v>1</v>
      </c>
      <c r="CK384" s="17">
        <v>393</v>
      </c>
      <c r="CL384" s="1">
        <v>1</v>
      </c>
      <c r="CM384" s="17">
        <v>402</v>
      </c>
      <c r="CN384" s="1">
        <v>1</v>
      </c>
      <c r="CO384" s="17">
        <v>414</v>
      </c>
      <c r="CP384" s="1">
        <v>1</v>
      </c>
      <c r="CQ384" s="17">
        <v>424</v>
      </c>
      <c r="CR384" s="1">
        <v>1</v>
      </c>
      <c r="CS384" s="17">
        <v>437</v>
      </c>
      <c r="CT384" s="1">
        <v>1</v>
      </c>
      <c r="CU384" s="17">
        <v>448</v>
      </c>
      <c r="CV384" s="1">
        <v>1</v>
      </c>
    </row>
    <row r="385" spans="1:100">
      <c r="A385" t="str">
        <f>HYPERLINK("http://exon.niaid.nih.gov/transcriptome/T_rubida/S2/links/pep/Triru-428-pep.txt","Triru-428")</f>
        <v>Triru-428</v>
      </c>
      <c r="B385">
        <v>68</v>
      </c>
      <c r="C385" s="1" t="s">
        <v>18</v>
      </c>
      <c r="D385" s="1" t="s">
        <v>3</v>
      </c>
      <c r="E385" t="str">
        <f>HYPERLINK("http://exon.niaid.nih.gov/transcriptome/T_rubida/S2/links/cds/Triru-428-cds.txt","Triru-428")</f>
        <v>Triru-428</v>
      </c>
      <c r="F385">
        <v>207</v>
      </c>
      <c r="G385" s="2" t="s">
        <v>1830</v>
      </c>
      <c r="H385" s="1">
        <v>1</v>
      </c>
      <c r="I385" s="3" t="s">
        <v>1266</v>
      </c>
      <c r="J385" s="17" t="str">
        <f>HYPERLINK("http://exon.niaid.nih.gov/transcriptome/T_rubida/S2/links/Sigp/Triru-428-SigP.txt","CYT")</f>
        <v>CYT</v>
      </c>
      <c r="K385" t="s">
        <v>5</v>
      </c>
      <c r="L385" s="1">
        <v>7.4829999999999997</v>
      </c>
      <c r="M385" s="1">
        <v>9.49</v>
      </c>
      <c r="P385" s="1">
        <v>0.154</v>
      </c>
      <c r="Q385" s="1">
        <v>5.0999999999999997E-2</v>
      </c>
      <c r="R385" s="1">
        <v>0.82599999999999996</v>
      </c>
      <c r="S385" s="17" t="s">
        <v>1346</v>
      </c>
      <c r="T385">
        <v>2</v>
      </c>
      <c r="U385" t="s">
        <v>1347</v>
      </c>
      <c r="V385" s="17">
        <v>0</v>
      </c>
      <c r="W385" t="s">
        <v>5</v>
      </c>
      <c r="X385" t="s">
        <v>5</v>
      </c>
      <c r="Y385" t="s">
        <v>5</v>
      </c>
      <c r="Z385" t="s">
        <v>5</v>
      </c>
      <c r="AA385" t="s">
        <v>5</v>
      </c>
      <c r="AB385" s="17" t="str">
        <f>HYPERLINK("http://exon.niaid.nih.gov/transcriptome/T_rubida/S2/links/netoglyc/TRIRU-428-netoglyc.txt","1")</f>
        <v>1</v>
      </c>
      <c r="AC385">
        <v>16.2</v>
      </c>
      <c r="AD385">
        <v>10.3</v>
      </c>
      <c r="AE385">
        <v>5.9</v>
      </c>
      <c r="AF385" s="17" t="s">
        <v>5</v>
      </c>
      <c r="AG385" s="2" t="str">
        <f>HYPERLINK("http://exon.niaid.nih.gov/transcriptome/T_rubida/S2/links/NR/Triru-428-NR.txt","hypothetical protein NEUTE1DRAFT_141109")</f>
        <v>hypothetical protein NEUTE1DRAFT_141109</v>
      </c>
      <c r="AH385" t="str">
        <f>HYPERLINK("http://www.ncbi.nlm.nih.gov/sutils/blink.cgi?pid=336466665","0.25")</f>
        <v>0.25</v>
      </c>
      <c r="AI385" t="str">
        <f>HYPERLINK("http://www.ncbi.nlm.nih.gov/protein/336466665","gi|336466665")</f>
        <v>gi|336466665</v>
      </c>
      <c r="AJ385">
        <v>38.9</v>
      </c>
      <c r="AK385">
        <v>34</v>
      </c>
      <c r="AL385">
        <v>436</v>
      </c>
      <c r="AM385">
        <v>42</v>
      </c>
      <c r="AN385">
        <v>8</v>
      </c>
      <c r="AO385" t="s">
        <v>1203</v>
      </c>
      <c r="AP385" s="2" t="str">
        <f>HYPERLINK("http://exon.niaid.nih.gov/transcriptome/T_rubida/S2/links/SWISSP/Triru-428-SWISSP.txt","Ribonuclease H")</f>
        <v>Ribonuclease H</v>
      </c>
      <c r="AQ385" t="str">
        <f>HYPERLINK("http://www.uniprot.org/uniprot/Q1MKH6","1.9")</f>
        <v>1.9</v>
      </c>
      <c r="AR385" t="s">
        <v>1204</v>
      </c>
      <c r="AS385">
        <v>31.2</v>
      </c>
      <c r="AT385">
        <v>24</v>
      </c>
      <c r="AU385">
        <v>151</v>
      </c>
      <c r="AV385">
        <v>56</v>
      </c>
      <c r="AW385">
        <v>17</v>
      </c>
      <c r="AX385">
        <v>11</v>
      </c>
      <c r="AY385">
        <v>0</v>
      </c>
      <c r="AZ385">
        <v>114</v>
      </c>
      <c r="BA385">
        <v>27</v>
      </c>
      <c r="BB385">
        <v>1</v>
      </c>
      <c r="BC385" t="s">
        <v>1205</v>
      </c>
      <c r="BD385" s="2" t="s">
        <v>5</v>
      </c>
      <c r="BE385" t="s">
        <v>5</v>
      </c>
      <c r="BF385" t="s">
        <v>5</v>
      </c>
      <c r="BG385" t="s">
        <v>5</v>
      </c>
      <c r="BH385" t="s">
        <v>5</v>
      </c>
      <c r="BI385" s="2" t="str">
        <f>HYPERLINK("http://exon.niaid.nih.gov/transcriptome/T_rubida/S2/links/CDD/Triru-428-CDD.txt","Rnase_HI_RT_non")</f>
        <v>Rnase_HI_RT_non</v>
      </c>
      <c r="BJ385" t="str">
        <f>HYPERLINK("http://www.ncbi.nlm.nih.gov/Structure/cdd/cddsrv.cgi?uid=cd09276&amp;version=v4.0","4E-004")</f>
        <v>4E-004</v>
      </c>
      <c r="BK385" t="s">
        <v>1206</v>
      </c>
      <c r="BL385" s="2" t="str">
        <f>HYPERLINK("http://exon.niaid.nih.gov/transcriptome/T_rubida/S2/links/KOG/Triru-428-KOG.txt","Ribonuclease H")</f>
        <v>Ribonuclease H</v>
      </c>
      <c r="BM385" t="str">
        <f>HYPERLINK("http://www.ncbi.nlm.nih.gov/COG/grace/shokog.cgi?KOG3752","0.39")</f>
        <v>0.39</v>
      </c>
      <c r="BN385" t="s">
        <v>188</v>
      </c>
      <c r="BO385" s="2" t="str">
        <f>HYPERLINK("http://exon.niaid.nih.gov/transcriptome/T_rubida/S2/links/PFAM/Triru-428-PFAM.txt","RNase_H")</f>
        <v>RNase_H</v>
      </c>
      <c r="BP385" t="str">
        <f>HYPERLINK("http://pfam.sanger.ac.uk/family?acc=PF00075","0.028")</f>
        <v>0.028</v>
      </c>
      <c r="BQ385" s="2" t="str">
        <f>HYPERLINK("http://exon.niaid.nih.gov/transcriptome/T_rubida/S2/links/SMART/Triru-428-SMART.txt","TOPEUc")</f>
        <v>TOPEUc</v>
      </c>
      <c r="BR385" t="str">
        <f>HYPERLINK("http://smart.embl-heidelberg.de/smart/do_annotation.pl?DOMAIN=TOPEUc&amp;BLAST=DUMMY","1.2")</f>
        <v>1.2</v>
      </c>
      <c r="BS385" s="17">
        <v>133</v>
      </c>
      <c r="BT385" s="1">
        <v>1</v>
      </c>
      <c r="BU385" s="17">
        <v>197</v>
      </c>
      <c r="BV385" s="1">
        <v>1</v>
      </c>
      <c r="BW385" s="17">
        <v>246</v>
      </c>
      <c r="BX385" s="1">
        <v>1</v>
      </c>
      <c r="BY385" s="17">
        <v>265</v>
      </c>
      <c r="BZ385" s="1">
        <v>1</v>
      </c>
      <c r="CA385" s="17">
        <v>273</v>
      </c>
      <c r="CB385" s="1">
        <v>1</v>
      </c>
      <c r="CC385" s="17">
        <v>281</v>
      </c>
      <c r="CD385" s="1">
        <v>1</v>
      </c>
      <c r="CE385" s="17">
        <v>291</v>
      </c>
      <c r="CF385" s="1">
        <v>1</v>
      </c>
      <c r="CG385" s="17">
        <v>294</v>
      </c>
      <c r="CH385" s="1">
        <v>1</v>
      </c>
      <c r="CI385" s="17">
        <v>304</v>
      </c>
      <c r="CJ385" s="1">
        <v>1</v>
      </c>
      <c r="CK385" s="17">
        <v>310</v>
      </c>
      <c r="CL385" s="1">
        <v>1</v>
      </c>
      <c r="CM385" s="17">
        <v>318</v>
      </c>
      <c r="CN385" s="1">
        <v>1</v>
      </c>
      <c r="CO385" s="17">
        <v>330</v>
      </c>
      <c r="CP385" s="1">
        <v>1</v>
      </c>
      <c r="CQ385" s="17">
        <v>340</v>
      </c>
      <c r="CR385" s="1">
        <v>1</v>
      </c>
      <c r="CS385" s="17">
        <v>352</v>
      </c>
      <c r="CT385" s="1">
        <v>1</v>
      </c>
      <c r="CU385" s="17">
        <v>363</v>
      </c>
      <c r="CV385" s="1">
        <v>1</v>
      </c>
    </row>
    <row r="386" spans="1:100">
      <c r="A386" t="str">
        <f>HYPERLINK("http://exon.niaid.nih.gov/transcriptome/T_rubida/S2/links/pep/Triru-433-pep.txt","Triru-433")</f>
        <v>Triru-433</v>
      </c>
      <c r="B386">
        <v>64</v>
      </c>
      <c r="C386" s="1" t="s">
        <v>12</v>
      </c>
      <c r="D386" s="1" t="s">
        <v>3</v>
      </c>
      <c r="E386" t="str">
        <f>HYPERLINK("http://exon.niaid.nih.gov/transcriptome/T_rubida/S2/links/cds/Triru-433-cds.txt","Triru-433")</f>
        <v>Triru-433</v>
      </c>
      <c r="F386">
        <v>195</v>
      </c>
      <c r="G386" s="2" t="s">
        <v>1833</v>
      </c>
      <c r="H386" s="1">
        <v>1</v>
      </c>
      <c r="I386" s="3" t="s">
        <v>1266</v>
      </c>
      <c r="J386" s="17" t="str">
        <f>HYPERLINK("http://exon.niaid.nih.gov/transcriptome/T_rubida/S2/links/Sigp/Triru-433-SigP.txt","CYT")</f>
        <v>CYT</v>
      </c>
      <c r="K386" t="s">
        <v>5</v>
      </c>
      <c r="L386" s="1">
        <v>7.16</v>
      </c>
      <c r="M386" s="1">
        <v>6.47</v>
      </c>
      <c r="P386" s="1">
        <v>6.3E-2</v>
      </c>
      <c r="Q386" s="1">
        <v>4.2999999999999997E-2</v>
      </c>
      <c r="R386" s="1">
        <v>0.95799999999999996</v>
      </c>
      <c r="S386" s="17" t="s">
        <v>1346</v>
      </c>
      <c r="T386">
        <v>1</v>
      </c>
      <c r="U386" t="s">
        <v>1382</v>
      </c>
      <c r="V386" s="17">
        <v>0</v>
      </c>
      <c r="W386" t="s">
        <v>5</v>
      </c>
      <c r="X386" t="s">
        <v>5</v>
      </c>
      <c r="Y386" t="s">
        <v>5</v>
      </c>
      <c r="Z386" t="s">
        <v>5</v>
      </c>
      <c r="AA386" t="s">
        <v>5</v>
      </c>
      <c r="AB386" s="17" t="str">
        <f>HYPERLINK("http://exon.niaid.nih.gov/transcriptome/T_rubida/S2/links/netoglyc/TRIRU-433-netoglyc.txt","0")</f>
        <v>0</v>
      </c>
      <c r="AC386">
        <v>25</v>
      </c>
      <c r="AD386">
        <v>4.7</v>
      </c>
      <c r="AE386" t="s">
        <v>1394</v>
      </c>
      <c r="AF386" s="17" t="s">
        <v>5</v>
      </c>
      <c r="AG386" s="2" t="str">
        <f>HYPERLINK("http://exon.niaid.nih.gov/transcriptome/T_rubida/S2/links/NR/Triru-433-NR.txt","serine-rich repeat protein")</f>
        <v>serine-rich repeat protein</v>
      </c>
      <c r="AH386" t="str">
        <f>HYPERLINK("http://www.ncbi.nlm.nih.gov/sutils/blink.cgi?pid=256087691","1.2")</f>
        <v>1.2</v>
      </c>
      <c r="AI386" t="str">
        <f>HYPERLINK("http://www.ncbi.nlm.nih.gov/protein/256087691","gi|256087691")</f>
        <v>gi|256087691</v>
      </c>
      <c r="AJ386">
        <v>36.6</v>
      </c>
      <c r="AK386">
        <v>61</v>
      </c>
      <c r="AL386">
        <v>788</v>
      </c>
      <c r="AM386">
        <v>30</v>
      </c>
      <c r="AN386">
        <v>8</v>
      </c>
      <c r="AO386" t="s">
        <v>748</v>
      </c>
      <c r="AP386" s="2" t="str">
        <f>HYPERLINK("http://exon.niaid.nih.gov/transcriptome/T_rubida/S2/links/SWISSP/Triru-433-SWISSP.txt","Repressor of RNA polymerase III transcription MAF1")</f>
        <v>Repressor of RNA polymerase III transcription MAF1</v>
      </c>
      <c r="AQ386" t="str">
        <f>HYPERLINK("http://www.uniprot.org/uniprot/P41910","0.87")</f>
        <v>0.87</v>
      </c>
      <c r="AR386" t="s">
        <v>1216</v>
      </c>
      <c r="AS386">
        <v>32.299999999999997</v>
      </c>
      <c r="AT386">
        <v>47</v>
      </c>
      <c r="AU386">
        <v>395</v>
      </c>
      <c r="AV386">
        <v>33</v>
      </c>
      <c r="AW386">
        <v>12</v>
      </c>
      <c r="AX386">
        <v>32</v>
      </c>
      <c r="AY386">
        <v>0</v>
      </c>
      <c r="AZ386">
        <v>165</v>
      </c>
      <c r="BA386">
        <v>13</v>
      </c>
      <c r="BB386">
        <v>1</v>
      </c>
      <c r="BC386" t="s">
        <v>344</v>
      </c>
      <c r="BD386" s="2" t="s">
        <v>5</v>
      </c>
      <c r="BE386" t="s">
        <v>5</v>
      </c>
      <c r="BF386" t="s">
        <v>5</v>
      </c>
      <c r="BG386" t="s">
        <v>5</v>
      </c>
      <c r="BH386" t="s">
        <v>5</v>
      </c>
      <c r="BI386" s="2" t="s">
        <v>5</v>
      </c>
      <c r="BJ386" t="s">
        <v>5</v>
      </c>
      <c r="BK386" t="s">
        <v>5</v>
      </c>
      <c r="BL386" s="2" t="str">
        <f>HYPERLINK("http://exon.niaid.nih.gov/transcriptome/T_rubida/S2/links/KOG/Triru-433-KOG.txt","Predicted membrane protein")</f>
        <v>Predicted membrane protein</v>
      </c>
      <c r="BM386" t="str">
        <f>HYPERLINK("http://www.ncbi.nlm.nih.gov/COG/grace/shokog.cgi?KOG4711","8.9")</f>
        <v>8.9</v>
      </c>
      <c r="BN386" t="s">
        <v>96</v>
      </c>
      <c r="BO386" s="2" t="str">
        <f>HYPERLINK("http://exon.niaid.nih.gov/transcriptome/T_rubida/S2/links/PFAM/Triru-433-PFAM.txt","DUF438")</f>
        <v>DUF438</v>
      </c>
      <c r="BP386" t="str">
        <f>HYPERLINK("http://pfam.sanger.ac.uk/family?acc=PF04282","4.2")</f>
        <v>4.2</v>
      </c>
      <c r="BQ386" s="2" t="str">
        <f>HYPERLINK("http://exon.niaid.nih.gov/transcriptome/T_rubida/S2/links/SMART/Triru-433-SMART.txt","PI3Ka")</f>
        <v>PI3Ka</v>
      </c>
      <c r="BR386" t="str">
        <f>HYPERLINK("http://smart.embl-heidelberg.de/smart/do_annotation.pl?DOMAIN=PI3Ka&amp;BLAST=DUMMY","2.5")</f>
        <v>2.5</v>
      </c>
      <c r="BS386" s="17">
        <f>HYPERLINK("http://exon.niaid.nih.gov/transcriptome/T_rubida/S2/links/cluster/Triru-pep-ext25-50-Sim-CLU1.txt", 1)</f>
        <v>1</v>
      </c>
      <c r="BT386" s="1">
        <f>HYPERLINK("http://exon.niaid.nih.gov/transcriptome/T_rubida/S2/links/cluster/Triru-pep-ext25-50-Sim-CLTL1.txt", 359)</f>
        <v>359</v>
      </c>
      <c r="BU386" s="17">
        <f>HYPERLINK("http://exon.niaid.nih.gov/transcriptome/T_rubida/S2/links/cluster/Triru-pep-ext30-50-Sim-CLU3.txt", 3)</f>
        <v>3</v>
      </c>
      <c r="BV386" s="1">
        <f>HYPERLINK("http://exon.niaid.nih.gov/transcriptome/T_rubida/S2/links/cluster/Triru-pep-ext30-50-Sim-CLTL3.txt", 6)</f>
        <v>6</v>
      </c>
      <c r="BW386" s="17">
        <v>250</v>
      </c>
      <c r="BX386" s="1">
        <v>1</v>
      </c>
      <c r="BY386" s="17">
        <v>269</v>
      </c>
      <c r="BZ386" s="1">
        <v>1</v>
      </c>
      <c r="CA386" s="17">
        <v>278</v>
      </c>
      <c r="CB386" s="1">
        <v>1</v>
      </c>
      <c r="CC386" s="17">
        <v>286</v>
      </c>
      <c r="CD386" s="1">
        <v>1</v>
      </c>
      <c r="CE386" s="17">
        <v>296</v>
      </c>
      <c r="CF386" s="1">
        <v>1</v>
      </c>
      <c r="CG386" s="17">
        <v>299</v>
      </c>
      <c r="CH386" s="1">
        <v>1</v>
      </c>
      <c r="CI386" s="17">
        <v>309</v>
      </c>
      <c r="CJ386" s="1">
        <v>1</v>
      </c>
      <c r="CK386" s="17">
        <v>315</v>
      </c>
      <c r="CL386" s="1">
        <v>1</v>
      </c>
      <c r="CM386" s="17">
        <v>323</v>
      </c>
      <c r="CN386" s="1">
        <v>1</v>
      </c>
      <c r="CO386" s="17">
        <v>335</v>
      </c>
      <c r="CP386" s="1">
        <v>1</v>
      </c>
      <c r="CQ386" s="17">
        <v>345</v>
      </c>
      <c r="CR386" s="1">
        <v>1</v>
      </c>
      <c r="CS386" s="17">
        <v>357</v>
      </c>
      <c r="CT386" s="1">
        <v>1</v>
      </c>
      <c r="CU386" s="17">
        <v>368</v>
      </c>
      <c r="CV386" s="1">
        <v>1</v>
      </c>
    </row>
    <row r="387" spans="1:100">
      <c r="A387" t="str">
        <f>HYPERLINK("http://exon.niaid.nih.gov/transcriptome/T_rubida/S2/links/pep/Triru-162-pep.txt","Triru-162")</f>
        <v>Triru-162</v>
      </c>
      <c r="B387">
        <v>36</v>
      </c>
      <c r="C387" s="1" t="s">
        <v>8</v>
      </c>
      <c r="D387" s="1" t="s">
        <v>3</v>
      </c>
      <c r="E387" t="str">
        <f>HYPERLINK("http://exon.niaid.nih.gov/transcriptome/T_rubida/S2/links/cds/Triru-162-cds.txt","Triru-162")</f>
        <v>Triru-162</v>
      </c>
      <c r="F387">
        <v>111</v>
      </c>
      <c r="G387" s="2" t="s">
        <v>1834</v>
      </c>
      <c r="H387" s="1">
        <v>1</v>
      </c>
      <c r="I387" s="3" t="s">
        <v>1266</v>
      </c>
      <c r="J387" s="17" t="str">
        <f>HYPERLINK("http://exon.niaid.nih.gov/transcriptome/T_rubida/S2/links/Sigp/Triru-162-SigP.txt","CYT")</f>
        <v>CYT</v>
      </c>
      <c r="K387" t="s">
        <v>5</v>
      </c>
      <c r="L387" s="1">
        <v>4.2619999999999996</v>
      </c>
      <c r="M387" s="1">
        <v>7.1</v>
      </c>
      <c r="P387" s="1">
        <v>6.4000000000000001E-2</v>
      </c>
      <c r="Q387" s="1">
        <v>4.5999999999999999E-2</v>
      </c>
      <c r="R387" s="1">
        <v>0.95299999999999996</v>
      </c>
      <c r="S387" s="17" t="s">
        <v>1346</v>
      </c>
      <c r="T387">
        <v>1</v>
      </c>
      <c r="U387" t="s">
        <v>1348</v>
      </c>
      <c r="V387" s="17">
        <v>0</v>
      </c>
      <c r="W387" t="s">
        <v>5</v>
      </c>
      <c r="X387" t="s">
        <v>5</v>
      </c>
      <c r="Y387" t="s">
        <v>5</v>
      </c>
      <c r="Z387" t="s">
        <v>5</v>
      </c>
      <c r="AA387" t="s">
        <v>5</v>
      </c>
      <c r="AB387" s="17" t="str">
        <f>HYPERLINK("http://exon.niaid.nih.gov/transcriptome/T_rubida/S2/links/netoglyc/TRIRU-162-netoglyc.txt","1")</f>
        <v>1</v>
      </c>
      <c r="AC387">
        <v>5.6</v>
      </c>
      <c r="AD387">
        <v>2.8</v>
      </c>
      <c r="AE387" t="s">
        <v>1394</v>
      </c>
      <c r="AF387" s="17" t="s">
        <v>5</v>
      </c>
      <c r="AG387" s="2" t="str">
        <f>HYPERLINK("http://exon.niaid.nih.gov/transcriptome/T_rubida/S2/links/NR/Triru-162-NR.txt","Probable ATPase inhibitor B0546.1, mitochondrial")</f>
        <v>Probable ATPase inhibitor B0546.1, mitochondrial</v>
      </c>
      <c r="AH387" t="str">
        <f>HYPERLINK("http://www.ncbi.nlm.nih.gov/sutils/blink.cgi?pid=307182737","0.002")</f>
        <v>0.002</v>
      </c>
      <c r="AI387" t="str">
        <f>HYPERLINK("http://www.ncbi.nlm.nih.gov/protein/307182737","gi|307182737")</f>
        <v>gi|307182737</v>
      </c>
      <c r="AJ387">
        <v>45.8</v>
      </c>
      <c r="AK387">
        <v>30</v>
      </c>
      <c r="AL387">
        <v>406</v>
      </c>
      <c r="AM387">
        <v>54</v>
      </c>
      <c r="AN387">
        <v>8</v>
      </c>
      <c r="AO387" t="s">
        <v>142</v>
      </c>
      <c r="AP387" s="2" t="str">
        <f>HYPERLINK("http://exon.niaid.nih.gov/transcriptome/T_rubida/S2/links/SWISSP/Triru-162-SWISSP.txt","Coiled-coil domain-containing protein 62")</f>
        <v>Coiled-coil domain-containing protein 62</v>
      </c>
      <c r="AQ387" t="str">
        <f>HYPERLINK("http://www.uniprot.org/uniprot/Q6P9F0","22")</f>
        <v>22</v>
      </c>
      <c r="AR387" t="s">
        <v>375</v>
      </c>
      <c r="AS387">
        <v>27.7</v>
      </c>
      <c r="AT387">
        <v>31</v>
      </c>
      <c r="AU387">
        <v>684</v>
      </c>
      <c r="AV387">
        <v>40</v>
      </c>
      <c r="AW387">
        <v>5</v>
      </c>
      <c r="AX387">
        <v>19</v>
      </c>
      <c r="AY387">
        <v>0</v>
      </c>
      <c r="AZ387">
        <v>247</v>
      </c>
      <c r="BA387">
        <v>5</v>
      </c>
      <c r="BB387">
        <v>1</v>
      </c>
      <c r="BC387" t="s">
        <v>208</v>
      </c>
      <c r="BD387" s="2" t="s">
        <v>5</v>
      </c>
      <c r="BE387" t="s">
        <v>5</v>
      </c>
      <c r="BF387" t="s">
        <v>5</v>
      </c>
      <c r="BG387" t="s">
        <v>5</v>
      </c>
      <c r="BH387" t="s">
        <v>5</v>
      </c>
      <c r="BI387" s="2" t="str">
        <f>HYPERLINK("http://exon.niaid.nih.gov/transcriptome/T_rubida/S2/links/CDD/Triru-162-CDD.txt","PLN02974")</f>
        <v>PLN02974</v>
      </c>
      <c r="BJ387" t="str">
        <f>HYPERLINK("http://www.ncbi.nlm.nih.gov/Structure/cdd/cddsrv.cgi?uid=PLN02974&amp;version=v4.0","7.2")</f>
        <v>7.2</v>
      </c>
      <c r="BK387" t="s">
        <v>376</v>
      </c>
      <c r="BL387" s="2" t="str">
        <f>HYPERLINK("http://exon.niaid.nih.gov/transcriptome/T_rubida/S2/links/KOG/Triru-162-KOG.txt","Steroid hormone nuclear receptor")</f>
        <v>Steroid hormone nuclear receptor</v>
      </c>
      <c r="BM387" t="str">
        <f>HYPERLINK("http://www.ncbi.nlm.nih.gov/COG/grace/shokog.cgi?KOG4216","1.7")</f>
        <v>1.7</v>
      </c>
      <c r="BN387" t="s">
        <v>251</v>
      </c>
      <c r="BO387" s="2" t="str">
        <f>HYPERLINK("http://exon.niaid.nih.gov/transcriptome/T_rubida/S2/links/PFAM/Triru-162-PFAM.txt","DUF111")</f>
        <v>DUF111</v>
      </c>
      <c r="BP387" t="str">
        <f>HYPERLINK("http://pfam.sanger.ac.uk/family?acc=PF01969","9.4")</f>
        <v>9.4</v>
      </c>
      <c r="BQ387" s="2" t="str">
        <f>HYPERLINK("http://exon.niaid.nih.gov/transcriptome/T_rubida/S2/links/SMART/Triru-162-SMART.txt","CheW")</f>
        <v>CheW</v>
      </c>
      <c r="BR387" t="str">
        <f>HYPERLINK("http://smart.embl-heidelberg.de/smart/do_annotation.pl?DOMAIN=CheW&amp;BLAST=DUMMY","1.3")</f>
        <v>1.3</v>
      </c>
      <c r="BS387" s="17">
        <v>61</v>
      </c>
      <c r="BT387" s="1">
        <v>1</v>
      </c>
      <c r="BU387" s="17">
        <v>86</v>
      </c>
      <c r="BV387" s="1">
        <v>1</v>
      </c>
      <c r="BW387" s="17">
        <v>97</v>
      </c>
      <c r="BX387" s="1">
        <v>1</v>
      </c>
      <c r="BY387" s="17">
        <v>101</v>
      </c>
      <c r="BZ387" s="1">
        <v>1</v>
      </c>
      <c r="CA387" s="17">
        <v>99</v>
      </c>
      <c r="CB387" s="1">
        <v>1</v>
      </c>
      <c r="CC387" s="17">
        <v>98</v>
      </c>
      <c r="CD387" s="1">
        <v>1</v>
      </c>
      <c r="CE387" s="17">
        <v>93</v>
      </c>
      <c r="CF387" s="1">
        <v>1</v>
      </c>
      <c r="CG387" s="17">
        <v>94</v>
      </c>
      <c r="CH387" s="1">
        <v>1</v>
      </c>
      <c r="CI387" s="17">
        <v>100</v>
      </c>
      <c r="CJ387" s="1">
        <v>1</v>
      </c>
      <c r="CK387" s="17">
        <v>104</v>
      </c>
      <c r="CL387" s="1">
        <v>1</v>
      </c>
      <c r="CM387" s="17">
        <v>109</v>
      </c>
      <c r="CN387" s="1">
        <v>1</v>
      </c>
      <c r="CO387" s="17">
        <v>118</v>
      </c>
      <c r="CP387" s="1">
        <v>1</v>
      </c>
      <c r="CQ387" s="17">
        <v>128</v>
      </c>
      <c r="CR387" s="1">
        <v>1</v>
      </c>
      <c r="CS387" s="17">
        <v>133</v>
      </c>
      <c r="CT387" s="1">
        <v>1</v>
      </c>
      <c r="CU387" s="17">
        <v>144</v>
      </c>
      <c r="CV387" s="1">
        <v>1</v>
      </c>
    </row>
    <row r="388" spans="1:100">
      <c r="A388" t="str">
        <f>HYPERLINK("http://exon.niaid.nih.gov/transcriptome/T_rubida/S2/links/pep/Triru-134-pep.txt","Triru-134")</f>
        <v>Triru-134</v>
      </c>
      <c r="B388">
        <v>41</v>
      </c>
      <c r="C388" s="1" t="s">
        <v>19</v>
      </c>
      <c r="D388" s="1" t="s">
        <v>3</v>
      </c>
      <c r="E388" t="str">
        <f>HYPERLINK("http://exon.niaid.nih.gov/transcriptome/T_rubida/S2/links/cds/Triru-134-cds.txt","Triru-134")</f>
        <v>Triru-134</v>
      </c>
      <c r="F388">
        <v>126</v>
      </c>
      <c r="G388" s="2" t="s">
        <v>1835</v>
      </c>
      <c r="H388" s="1">
        <v>2</v>
      </c>
      <c r="I388" s="3" t="s">
        <v>1266</v>
      </c>
      <c r="J388" s="17" t="str">
        <f>HYPERLINK("http://exon.niaid.nih.gov/transcriptome/T_rubida/S2/links/Sigp/Triru-134-SigP.txt","CYT")</f>
        <v>CYT</v>
      </c>
      <c r="K388" t="s">
        <v>5</v>
      </c>
      <c r="L388" s="1">
        <v>4.7590000000000003</v>
      </c>
      <c r="M388" s="1">
        <v>9.7799999999999994</v>
      </c>
      <c r="P388" s="1">
        <v>0.14000000000000001</v>
      </c>
      <c r="Q388" s="1">
        <v>0.115</v>
      </c>
      <c r="R388" s="1">
        <v>0.75700000000000001</v>
      </c>
      <c r="S388" s="17" t="s">
        <v>1346</v>
      </c>
      <c r="T388">
        <v>2</v>
      </c>
      <c r="U388" t="s">
        <v>1379</v>
      </c>
      <c r="V388" s="17">
        <v>0</v>
      </c>
      <c r="W388" t="s">
        <v>5</v>
      </c>
      <c r="X388" t="s">
        <v>5</v>
      </c>
      <c r="Y388" t="s">
        <v>5</v>
      </c>
      <c r="Z388" t="s">
        <v>5</v>
      </c>
      <c r="AA388" t="s">
        <v>5</v>
      </c>
      <c r="AB388" s="17" t="str">
        <f>HYPERLINK("http://exon.niaid.nih.gov/transcriptome/T_rubida/S2/links/netoglyc/TRIRU-134-netoglyc.txt","1")</f>
        <v>1</v>
      </c>
      <c r="AC388">
        <v>14.6</v>
      </c>
      <c r="AD388">
        <v>4.9000000000000004</v>
      </c>
      <c r="AE388">
        <v>9.8000000000000007</v>
      </c>
      <c r="AF388" s="17" t="s">
        <v>5</v>
      </c>
      <c r="AG388" s="2" t="str">
        <f>HYPERLINK("http://exon.niaid.nih.gov/transcriptome/T_rubida/S2/links/NR/Triru-134-NR.txt","LOW QUALITY PROTEIN: exonuclease 3'-5' domain-containing protein 1-like")</f>
        <v>LOW QUALITY PROTEIN: exonuclease 3'-5' domain-containing protein 1-like</v>
      </c>
      <c r="AH388" t="str">
        <f>HYPERLINK("http://www.ncbi.nlm.nih.gov/sutils/blink.cgi?pid=301620462","6.1")</f>
        <v>6.1</v>
      </c>
      <c r="AI388" t="str">
        <f>HYPERLINK("http://www.ncbi.nlm.nih.gov/protein/301620462","gi|301620462")</f>
        <v>gi|301620462</v>
      </c>
      <c r="AJ388">
        <v>34.299999999999997</v>
      </c>
      <c r="AK388">
        <v>33</v>
      </c>
      <c r="AL388">
        <v>490</v>
      </c>
      <c r="AM388">
        <v>47</v>
      </c>
      <c r="AN388">
        <v>7</v>
      </c>
      <c r="AO388" t="s">
        <v>309</v>
      </c>
      <c r="AP388" s="2" t="str">
        <f>HYPERLINK("http://exon.niaid.nih.gov/transcriptome/T_rubida/S2/links/SWISSP/Triru-134-SWISSP.txt","Protein argonaute PNH1")</f>
        <v>Protein argonaute PNH1</v>
      </c>
      <c r="AQ388" t="str">
        <f>HYPERLINK("http://www.uniprot.org/uniprot/Q69VD5","12")</f>
        <v>12</v>
      </c>
      <c r="AR388" t="s">
        <v>310</v>
      </c>
      <c r="AS388">
        <v>28.5</v>
      </c>
      <c r="AT388">
        <v>27</v>
      </c>
      <c r="AU388">
        <v>979</v>
      </c>
      <c r="AV388">
        <v>35</v>
      </c>
      <c r="AW388">
        <v>3</v>
      </c>
      <c r="AX388">
        <v>18</v>
      </c>
      <c r="AY388">
        <v>0</v>
      </c>
      <c r="AZ388">
        <v>680</v>
      </c>
      <c r="BA388">
        <v>10</v>
      </c>
      <c r="BB388">
        <v>1</v>
      </c>
      <c r="BC388" t="s">
        <v>311</v>
      </c>
      <c r="BD388" s="2" t="s">
        <v>5</v>
      </c>
      <c r="BE388" t="s">
        <v>5</v>
      </c>
      <c r="BF388" t="s">
        <v>5</v>
      </c>
      <c r="BG388" t="s">
        <v>5</v>
      </c>
      <c r="BH388" t="s">
        <v>5</v>
      </c>
      <c r="BI388" s="2" t="str">
        <f>HYPERLINK("http://exon.niaid.nih.gov/transcriptome/T_rubida/S2/links/CDD/Triru-134-CDD.txt","PRK11930")</f>
        <v>PRK11930</v>
      </c>
      <c r="BJ388" t="str">
        <f>HYPERLINK("http://www.ncbi.nlm.nih.gov/Structure/cdd/cddsrv.cgi?uid=PRK11930&amp;version=v4.0","4.8")</f>
        <v>4.8</v>
      </c>
      <c r="BK388" t="s">
        <v>312</v>
      </c>
      <c r="BL388" s="2" t="str">
        <f>HYPERLINK("http://exon.niaid.nih.gov/transcriptome/T_rubida/S2/links/KOG/Triru-134-KOG.txt","Tumor-specific antigen (contains WD repeats)")</f>
        <v>Tumor-specific antigen (contains WD repeats)</v>
      </c>
      <c r="BM388" t="str">
        <f>HYPERLINK("http://www.ncbi.nlm.nih.gov/COG/grace/shokog.cgi?KOG1445","1.6")</f>
        <v>1.6</v>
      </c>
      <c r="BN388" t="s">
        <v>147</v>
      </c>
      <c r="BO388" s="2" t="str">
        <f>HYPERLINK("http://exon.niaid.nih.gov/transcriptome/T_rubida/S2/links/PFAM/Triru-134-PFAM.txt","Clc-like")</f>
        <v>Clc-like</v>
      </c>
      <c r="BP388" t="str">
        <f>HYPERLINK("http://pfam.sanger.ac.uk/family?acc=PF07062","6.5")</f>
        <v>6.5</v>
      </c>
      <c r="BQ388" s="2" t="str">
        <f>HYPERLINK("http://exon.niaid.nih.gov/transcriptome/T_rubida/S2/links/SMART/Triru-134-SMART.txt","WNT1")</f>
        <v>WNT1</v>
      </c>
      <c r="BR388" t="str">
        <f>HYPERLINK("http://smart.embl-heidelberg.de/smart/do_annotation.pl?DOMAIN=WNT1&amp;BLAST=DUMMY","7.3")</f>
        <v>7.3</v>
      </c>
      <c r="BS388" s="17">
        <v>57</v>
      </c>
      <c r="BT388" s="1">
        <v>1</v>
      </c>
      <c r="BU388" s="17">
        <v>79</v>
      </c>
      <c r="BV388" s="1">
        <v>1</v>
      </c>
      <c r="BW388" s="17">
        <v>85</v>
      </c>
      <c r="BX388" s="1">
        <v>1</v>
      </c>
      <c r="BY388" s="17">
        <v>85</v>
      </c>
      <c r="BZ388" s="1">
        <v>1</v>
      </c>
      <c r="CA388" s="17">
        <v>83</v>
      </c>
      <c r="CB388" s="1">
        <v>1</v>
      </c>
      <c r="CC388" s="17">
        <v>82</v>
      </c>
      <c r="CD388" s="1">
        <v>1</v>
      </c>
      <c r="CE388" s="17">
        <v>76</v>
      </c>
      <c r="CF388" s="1">
        <v>1</v>
      </c>
      <c r="CG388" s="17">
        <v>76</v>
      </c>
      <c r="CH388" s="1">
        <v>1</v>
      </c>
      <c r="CI388" s="17">
        <v>82</v>
      </c>
      <c r="CJ388" s="1">
        <v>1</v>
      </c>
      <c r="CK388" s="17">
        <v>86</v>
      </c>
      <c r="CL388" s="1">
        <v>1</v>
      </c>
      <c r="CM388" s="17">
        <v>90</v>
      </c>
      <c r="CN388" s="1">
        <v>1</v>
      </c>
      <c r="CO388" s="17">
        <v>98</v>
      </c>
      <c r="CP388" s="1">
        <v>1</v>
      </c>
      <c r="CQ388" s="17">
        <v>108</v>
      </c>
      <c r="CR388" s="1">
        <v>1</v>
      </c>
      <c r="CS388" s="17">
        <v>113</v>
      </c>
      <c r="CT388" s="1">
        <v>1</v>
      </c>
      <c r="CU388" s="17">
        <v>124</v>
      </c>
      <c r="CV388" s="1">
        <v>1</v>
      </c>
    </row>
    <row r="389" spans="1:100">
      <c r="A389" t="str">
        <f>HYPERLINK("http://exon.niaid.nih.gov/transcriptome/T_rubida/S2/links/pep/Triru-267-pep.txt","Triru-267")</f>
        <v>Triru-267</v>
      </c>
      <c r="B389">
        <v>42</v>
      </c>
      <c r="C389" s="1" t="s">
        <v>6</v>
      </c>
      <c r="D389" s="1" t="s">
        <v>3</v>
      </c>
      <c r="E389" t="str">
        <f>HYPERLINK("http://exon.niaid.nih.gov/transcriptome/T_rubida/S2/links/cds/Triru-267-cds.txt","Triru-267")</f>
        <v>Triru-267</v>
      </c>
      <c r="F389">
        <v>129</v>
      </c>
      <c r="G389" s="2" t="s">
        <v>1836</v>
      </c>
      <c r="H389" s="1">
        <v>1</v>
      </c>
      <c r="I389" s="3" t="s">
        <v>1266</v>
      </c>
      <c r="J389" s="17" t="str">
        <f>HYPERLINK("http://exon.niaid.nih.gov/transcriptome/T_rubida/S2/links/Sigp/Triru-267-SigP.txt","CYT")</f>
        <v>CYT</v>
      </c>
      <c r="K389" t="s">
        <v>5</v>
      </c>
      <c r="L389" s="1">
        <v>5</v>
      </c>
      <c r="M389" s="1">
        <v>9.61</v>
      </c>
      <c r="P389" s="1">
        <v>0.08</v>
      </c>
      <c r="Q389" s="1">
        <v>8.5000000000000006E-2</v>
      </c>
      <c r="R389" s="1">
        <v>0.87</v>
      </c>
      <c r="S389" s="17" t="s">
        <v>1346</v>
      </c>
      <c r="T389">
        <v>2</v>
      </c>
      <c r="U389" t="s">
        <v>1348</v>
      </c>
      <c r="V389" s="17">
        <v>0</v>
      </c>
      <c r="W389" t="s">
        <v>5</v>
      </c>
      <c r="X389" t="s">
        <v>5</v>
      </c>
      <c r="Y389" t="s">
        <v>5</v>
      </c>
      <c r="Z389" t="s">
        <v>5</v>
      </c>
      <c r="AA389" t="s">
        <v>5</v>
      </c>
      <c r="AB389" s="17" t="str">
        <f>HYPERLINK("http://exon.niaid.nih.gov/transcriptome/T_rubida/S2/links/netoglyc/TRIRU-267-netoglyc.txt","1")</f>
        <v>1</v>
      </c>
      <c r="AC389">
        <v>14.3</v>
      </c>
      <c r="AD389">
        <v>7.1</v>
      </c>
      <c r="AE389">
        <v>11.9</v>
      </c>
      <c r="AF389" s="17" t="s">
        <v>5</v>
      </c>
      <c r="AG389" s="2" t="str">
        <f>HYPERLINK("http://exon.niaid.nih.gov/transcriptome/T_rubida/S2/links/NR/Triru-267-NR.txt","hypothetical protein")</f>
        <v>hypothetical protein</v>
      </c>
      <c r="AH389" t="str">
        <f>HYPERLINK("http://www.ncbi.nlm.nih.gov/sutils/blink.cgi?pid=167386590","39")</f>
        <v>39</v>
      </c>
      <c r="AI389" t="str">
        <f>HYPERLINK("http://www.ncbi.nlm.nih.gov/protein/167386590","gi|167386590")</f>
        <v>gi|167386590</v>
      </c>
      <c r="AJ389">
        <v>31.6</v>
      </c>
      <c r="AK389">
        <v>26</v>
      </c>
      <c r="AL389">
        <v>412</v>
      </c>
      <c r="AM389">
        <v>46</v>
      </c>
      <c r="AN389">
        <v>7</v>
      </c>
      <c r="AO389" t="s">
        <v>436</v>
      </c>
      <c r="AP389" s="2" t="str">
        <f>HYPERLINK("http://exon.niaid.nih.gov/transcriptome/T_rubida/S2/links/SWISSP/Triru-267-SWISSP.txt","Alpha-N-acetylgalactosaminide alpha-2,6-sialyltransferase 3")</f>
        <v>Alpha-N-acetylgalactosaminide alpha-2,6-sialyltransferase 3</v>
      </c>
      <c r="AQ389" t="str">
        <f>HYPERLINK("http://www.uniprot.org/uniprot/Q64686","36")</f>
        <v>36</v>
      </c>
      <c r="AR389" t="s">
        <v>437</v>
      </c>
      <c r="AS389">
        <v>26.9</v>
      </c>
      <c r="AT389">
        <v>24</v>
      </c>
      <c r="AU389">
        <v>305</v>
      </c>
      <c r="AV389">
        <v>48</v>
      </c>
      <c r="AW389">
        <v>8</v>
      </c>
      <c r="AX389">
        <v>13</v>
      </c>
      <c r="AY389">
        <v>0</v>
      </c>
      <c r="AZ389">
        <v>43</v>
      </c>
      <c r="BA389">
        <v>7</v>
      </c>
      <c r="BB389">
        <v>1</v>
      </c>
      <c r="BC389" t="s">
        <v>130</v>
      </c>
      <c r="BD389" s="2" t="s">
        <v>5</v>
      </c>
      <c r="BE389" t="s">
        <v>5</v>
      </c>
      <c r="BF389" t="s">
        <v>5</v>
      </c>
      <c r="BG389" t="s">
        <v>5</v>
      </c>
      <c r="BH389" t="s">
        <v>5</v>
      </c>
      <c r="BI389" s="2" t="str">
        <f>HYPERLINK("http://exon.niaid.nih.gov/transcriptome/T_rubida/S2/links/CDD/Triru-267-CDD.txt","PLN02715")</f>
        <v>PLN02715</v>
      </c>
      <c r="BJ389" t="str">
        <f>HYPERLINK("http://www.ncbi.nlm.nih.gov/Structure/cdd/cddsrv.cgi?uid=PLN02715&amp;version=v4.0","2.5")</f>
        <v>2.5</v>
      </c>
      <c r="BK389" t="s">
        <v>438</v>
      </c>
      <c r="BL389" s="2" t="str">
        <f>HYPERLINK("http://exon.niaid.nih.gov/transcriptome/T_rubida/S2/links/KOG/Triru-267-KOG.txt","DNA replication licensing factor, MCM3 component")</f>
        <v>DNA replication licensing factor, MCM3 component</v>
      </c>
      <c r="BM389" t="str">
        <f>HYPERLINK("http://www.ncbi.nlm.nih.gov/COG/grace/shokog.cgi?KOG0479","0.63")</f>
        <v>0.63</v>
      </c>
      <c r="BN389" t="s">
        <v>188</v>
      </c>
      <c r="BO389" s="2" t="str">
        <f>HYPERLINK("http://exon.niaid.nih.gov/transcriptome/T_rubida/S2/links/PFAM/Triru-267-PFAM.txt","IgaA")</f>
        <v>IgaA</v>
      </c>
      <c r="BP389" t="str">
        <f>HYPERLINK("http://pfam.sanger.ac.uk/family?acc=PF07095","2.4")</f>
        <v>2.4</v>
      </c>
      <c r="BQ389" s="2" t="str">
        <f>HYPERLINK("http://exon.niaid.nih.gov/transcriptome/T_rubida/S2/links/SMART/Triru-267-SMART.txt","MCM")</f>
        <v>MCM</v>
      </c>
      <c r="BR389" t="str">
        <f>HYPERLINK("http://smart.embl-heidelberg.de/smart/do_annotation.pl?DOMAIN=MCM&amp;BLAST=DUMMY","0.077")</f>
        <v>0.077</v>
      </c>
      <c r="BS389" s="17">
        <f>HYPERLINK("http://exon.niaid.nih.gov/transcriptome/T_rubida/S2/links/cluster/Triru-pep-ext25-50-Sim-CLU1.txt", 1)</f>
        <v>1</v>
      </c>
      <c r="BT389" s="1">
        <f>HYPERLINK("http://exon.niaid.nih.gov/transcriptome/T_rubida/S2/links/cluster/Triru-pep-ext25-50-Sim-CLTL1.txt", 359)</f>
        <v>359</v>
      </c>
      <c r="BU389" s="17">
        <v>126</v>
      </c>
      <c r="BV389" s="1">
        <v>1</v>
      </c>
      <c r="BW389" s="17">
        <v>150</v>
      </c>
      <c r="BX389" s="1">
        <v>1</v>
      </c>
      <c r="BY389" s="17">
        <v>158</v>
      </c>
      <c r="BZ389" s="1">
        <v>1</v>
      </c>
      <c r="CA389" s="17">
        <v>162</v>
      </c>
      <c r="CB389" s="1">
        <v>1</v>
      </c>
      <c r="CC389" s="17">
        <v>166</v>
      </c>
      <c r="CD389" s="1">
        <v>1</v>
      </c>
      <c r="CE389" s="17">
        <v>171</v>
      </c>
      <c r="CF389" s="1">
        <v>1</v>
      </c>
      <c r="CG389" s="17">
        <v>173</v>
      </c>
      <c r="CH389" s="1">
        <v>1</v>
      </c>
      <c r="CI389" s="17">
        <v>180</v>
      </c>
      <c r="CJ389" s="1">
        <v>1</v>
      </c>
      <c r="CK389" s="17">
        <v>185</v>
      </c>
      <c r="CL389" s="1">
        <v>1</v>
      </c>
      <c r="CM389" s="17">
        <v>191</v>
      </c>
      <c r="CN389" s="1">
        <v>1</v>
      </c>
      <c r="CO389" s="17">
        <v>201</v>
      </c>
      <c r="CP389" s="1">
        <v>1</v>
      </c>
      <c r="CQ389" s="17">
        <v>211</v>
      </c>
      <c r="CR389" s="1">
        <v>1</v>
      </c>
      <c r="CS389" s="17">
        <v>216</v>
      </c>
      <c r="CT389" s="1">
        <v>1</v>
      </c>
      <c r="CU389" s="17">
        <v>227</v>
      </c>
      <c r="CV389" s="1">
        <v>1</v>
      </c>
    </row>
    <row r="390" spans="1:100">
      <c r="A390" t="str">
        <f>HYPERLINK("http://exon.niaid.nih.gov/transcriptome/T_rubida/S2/links/pep/Triru-99-pep.txt","Triru-99")</f>
        <v>Triru-99</v>
      </c>
      <c r="B390">
        <v>15</v>
      </c>
      <c r="C390" s="1" t="s">
        <v>10</v>
      </c>
      <c r="D390" s="1" t="s">
        <v>3</v>
      </c>
      <c r="E390" t="str">
        <f>HYPERLINK("http://exon.niaid.nih.gov/transcriptome/T_rubida/S2/links/cds/Triru-99-cds.txt","Triru-99")</f>
        <v>Triru-99</v>
      </c>
      <c r="F390">
        <v>48</v>
      </c>
      <c r="G390" s="2" t="s">
        <v>1657</v>
      </c>
      <c r="H390" s="1">
        <v>2</v>
      </c>
      <c r="I390" s="3" t="s">
        <v>1266</v>
      </c>
      <c r="J390" s="17" t="str">
        <f>HYPERLINK("http://exon.niaid.nih.gov/transcriptome/T_rubida/S2/links/Sigp/Triru-99-SigP.txt","CYT")</f>
        <v>CYT</v>
      </c>
      <c r="K390" t="s">
        <v>5</v>
      </c>
      <c r="L390" s="1">
        <v>1.728</v>
      </c>
      <c r="M390" s="1">
        <v>4.53</v>
      </c>
      <c r="P390" s="1">
        <v>7.0000000000000007E-2</v>
      </c>
      <c r="Q390" s="1">
        <v>4.1000000000000002E-2</v>
      </c>
      <c r="R390" s="1">
        <v>0.95599999999999996</v>
      </c>
      <c r="S390" s="17" t="s">
        <v>1346</v>
      </c>
      <c r="T390">
        <v>1</v>
      </c>
      <c r="U390" t="s">
        <v>1348</v>
      </c>
      <c r="V390" s="17">
        <v>0</v>
      </c>
      <c r="W390" t="s">
        <v>5</v>
      </c>
      <c r="X390" t="s">
        <v>5</v>
      </c>
      <c r="Y390" t="s">
        <v>5</v>
      </c>
      <c r="Z390" t="s">
        <v>5</v>
      </c>
      <c r="AA390" t="s">
        <v>5</v>
      </c>
      <c r="AB390" s="17" t="str">
        <f>HYPERLINK("http://exon.niaid.nih.gov/transcriptome/T_rubida/S2/links/netoglyc/TRIRU-99-netoglyc.txt","0")</f>
        <v>0</v>
      </c>
      <c r="AC390">
        <v>6.7</v>
      </c>
      <c r="AD390">
        <v>13.3</v>
      </c>
      <c r="AE390">
        <v>20</v>
      </c>
      <c r="AF390" s="17" t="s">
        <v>5</v>
      </c>
      <c r="AG390" s="2" t="str">
        <f>HYPERLINK("http://exon.niaid.nih.gov/transcriptome/T_rubida/S2/links/NR/Triru-99-NR.txt","ribosomal protein S7")</f>
        <v>ribosomal protein S7</v>
      </c>
      <c r="AH390" t="str">
        <f>HYPERLINK("http://www.ncbi.nlm.nih.gov/sutils/blink.cgi?pid=315115401","90")</f>
        <v>90</v>
      </c>
      <c r="AI390" t="str">
        <f>HYPERLINK("http://www.ncbi.nlm.nih.gov/protein/315115401","gi|315115401")</f>
        <v>gi|315115401</v>
      </c>
      <c r="AJ390">
        <v>29.6</v>
      </c>
      <c r="AK390">
        <v>12</v>
      </c>
      <c r="AL390">
        <v>190</v>
      </c>
      <c r="AM390">
        <v>84</v>
      </c>
      <c r="AN390">
        <v>7</v>
      </c>
      <c r="AO390" t="s">
        <v>912</v>
      </c>
      <c r="AP390" s="2" t="str">
        <f>HYPERLINK("http://exon.niaid.nih.gov/transcriptome/T_rubida/S2/links/SWISSP/Triru-99-SWISSP.txt","40S ribosomal protein S7")</f>
        <v>40S ribosomal protein S7</v>
      </c>
      <c r="AQ390" t="str">
        <f>HYPERLINK("http://www.uniprot.org/uniprot/Q962S0","3.4")</f>
        <v>3.4</v>
      </c>
      <c r="AR390" t="s">
        <v>258</v>
      </c>
      <c r="AS390">
        <v>29.6</v>
      </c>
      <c r="AT390">
        <v>12</v>
      </c>
      <c r="AU390">
        <v>190</v>
      </c>
      <c r="AV390">
        <v>84</v>
      </c>
      <c r="AW390">
        <v>7</v>
      </c>
      <c r="AX390">
        <v>2</v>
      </c>
      <c r="AY390">
        <v>0</v>
      </c>
      <c r="AZ390">
        <v>178</v>
      </c>
      <c r="BA390">
        <v>3</v>
      </c>
      <c r="BB390">
        <v>1</v>
      </c>
      <c r="BC390" t="s">
        <v>82</v>
      </c>
      <c r="BD390" s="2" t="s">
        <v>5</v>
      </c>
      <c r="BE390" t="s">
        <v>5</v>
      </c>
      <c r="BF390" t="s">
        <v>5</v>
      </c>
      <c r="BG390" t="s">
        <v>5</v>
      </c>
      <c r="BH390" t="s">
        <v>5</v>
      </c>
      <c r="BI390" s="2" t="str">
        <f>HYPERLINK("http://exon.niaid.nih.gov/transcriptome/T_rubida/S2/links/CDD/Triru-99-CDD.txt","Ribosomal_S7e")</f>
        <v>Ribosomal_S7e</v>
      </c>
      <c r="BJ390" t="str">
        <f>HYPERLINK("http://www.ncbi.nlm.nih.gov/Structure/cdd/cddsrv.cgi?uid=pfam01251&amp;version=v4.0","4.4")</f>
        <v>4.4</v>
      </c>
      <c r="BK390" t="s">
        <v>913</v>
      </c>
      <c r="BL390" s="2" t="s">
        <v>5</v>
      </c>
      <c r="BM390" t="s">
        <v>5</v>
      </c>
      <c r="BN390" t="s">
        <v>5</v>
      </c>
      <c r="BO390" s="2" t="str">
        <f>HYPERLINK("http://exon.niaid.nih.gov/transcriptome/T_rubida/S2/links/PFAM/Triru-99-PFAM.txt","Ribosomal_S7e")</f>
        <v>Ribosomal_S7e</v>
      </c>
      <c r="BP390" t="str">
        <f>HYPERLINK("http://pfam.sanger.ac.uk/family?acc=PF01251","0.95")</f>
        <v>0.95</v>
      </c>
      <c r="BQ390" s="2" t="str">
        <f>HYPERLINK("http://exon.niaid.nih.gov/transcriptome/T_rubida/S2/links/SMART/Triru-99-SMART.txt","B3_4")</f>
        <v>B3_4</v>
      </c>
      <c r="BR390" t="str">
        <f>HYPERLINK("http://smart.embl-heidelberg.de/smart/do_annotation.pl?DOMAIN=B3_4&amp;BLAST=DUMMY","1.5")</f>
        <v>1.5</v>
      </c>
      <c r="BS390" s="17">
        <f>HYPERLINK("http://exon.niaid.nih.gov/transcriptome/T_rubida/S2/links/cluster/Triru-pep-ext25-50-Sim-CLU1.txt", 1)</f>
        <v>1</v>
      </c>
      <c r="BT390" s="1">
        <f>HYPERLINK("http://exon.niaid.nih.gov/transcriptome/T_rubida/S2/links/cluster/Triru-pep-ext25-50-Sim-CLTL1.txt", 359)</f>
        <v>359</v>
      </c>
      <c r="BU390" s="17">
        <f>HYPERLINK("http://exon.niaid.nih.gov/transcriptome/T_rubida/S2/links/cluster/Triru-pep-ext30-50-Sim-CLU16.txt", 16)</f>
        <v>16</v>
      </c>
      <c r="BV390" s="1">
        <f>HYPERLINK("http://exon.niaid.nih.gov/transcriptome/T_rubida/S2/links/cluster/Triru-pep-ext30-50-Sim-CLTL16.txt", 2)</f>
        <v>2</v>
      </c>
      <c r="BW390" s="17">
        <f>HYPERLINK("http://exon.niaid.nih.gov/transcriptome/T_rubida/S2/links/cluster/Triru-pep-ext35-50-Sim-CLU14.txt", 14)</f>
        <v>14</v>
      </c>
      <c r="BX390" s="1">
        <f>HYPERLINK("http://exon.niaid.nih.gov/transcriptome/T_rubida/S2/links/cluster/Triru-pep-ext35-50-Sim-CLTL14.txt", 2)</f>
        <v>2</v>
      </c>
      <c r="BY390" s="17">
        <f>HYPERLINK("http://exon.niaid.nih.gov/transcriptome/T_rubida/S2/links/cluster/Triru-pep-ext40-50-Sim-CLU12.txt", 12)</f>
        <v>12</v>
      </c>
      <c r="BZ390" s="1">
        <f>HYPERLINK("http://exon.niaid.nih.gov/transcriptome/T_rubida/S2/links/cluster/Triru-pep-ext40-50-Sim-CLTL12.txt", 2)</f>
        <v>2</v>
      </c>
      <c r="CA390" s="17">
        <v>54</v>
      </c>
      <c r="CB390" s="1">
        <v>1</v>
      </c>
      <c r="CC390" s="17">
        <v>52</v>
      </c>
      <c r="CD390" s="1">
        <v>1</v>
      </c>
      <c r="CE390" s="17">
        <v>45</v>
      </c>
      <c r="CF390" s="1">
        <v>1</v>
      </c>
      <c r="CG390" s="17">
        <v>45</v>
      </c>
      <c r="CH390" s="1">
        <v>1</v>
      </c>
      <c r="CI390" s="17">
        <v>51</v>
      </c>
      <c r="CJ390" s="1">
        <v>1</v>
      </c>
      <c r="CK390" s="17">
        <v>55</v>
      </c>
      <c r="CL390" s="1">
        <v>1</v>
      </c>
      <c r="CM390" s="17">
        <v>59</v>
      </c>
      <c r="CN390" s="1">
        <v>1</v>
      </c>
      <c r="CO390" s="17">
        <v>67</v>
      </c>
      <c r="CP390" s="1">
        <v>1</v>
      </c>
      <c r="CQ390" s="17">
        <v>77</v>
      </c>
      <c r="CR390" s="1">
        <v>1</v>
      </c>
      <c r="CS390" s="17">
        <v>82</v>
      </c>
      <c r="CT390" s="1">
        <v>1</v>
      </c>
      <c r="CU390" s="17">
        <v>93</v>
      </c>
      <c r="CV390" s="1">
        <v>1</v>
      </c>
    </row>
    <row r="391" spans="1:100">
      <c r="A391" t="str">
        <f>HYPERLINK("http://exon.niaid.nih.gov/transcriptome/T_rubida/S2/links/pep/Triru-387-pep.txt","Triru-387")</f>
        <v>Triru-387</v>
      </c>
      <c r="B391">
        <v>47</v>
      </c>
      <c r="C391" s="1" t="s">
        <v>10</v>
      </c>
      <c r="D391" s="1" t="s">
        <v>3</v>
      </c>
      <c r="E391" t="str">
        <f>HYPERLINK("http://exon.niaid.nih.gov/transcriptome/T_rubida/S2/links/cds/Triru-387-cds.txt","Triru-387")</f>
        <v>Triru-387</v>
      </c>
      <c r="F391">
        <v>144</v>
      </c>
      <c r="G391" s="2" t="s">
        <v>1837</v>
      </c>
      <c r="H391" s="1">
        <v>1</v>
      </c>
      <c r="I391" s="3" t="s">
        <v>1266</v>
      </c>
      <c r="J391" s="17" t="str">
        <f>HYPERLINK("http://exon.niaid.nih.gov/transcriptome/T_rubida/S2/links/Sigp/Triru-387-SigP.txt","CYT")</f>
        <v>CYT</v>
      </c>
      <c r="K391" t="s">
        <v>5</v>
      </c>
      <c r="L391" s="1">
        <v>5.5519999999999996</v>
      </c>
      <c r="M391" s="1">
        <v>4.1900000000000004</v>
      </c>
      <c r="P391" s="1">
        <v>5.8999999999999997E-2</v>
      </c>
      <c r="Q391" s="1">
        <v>0.14599999999999999</v>
      </c>
      <c r="R391" s="1">
        <v>0.88700000000000001</v>
      </c>
      <c r="S391" s="17" t="s">
        <v>1346</v>
      </c>
      <c r="T391">
        <v>2</v>
      </c>
      <c r="U391" t="s">
        <v>1544</v>
      </c>
      <c r="V391" s="17">
        <v>0</v>
      </c>
      <c r="W391" t="s">
        <v>5</v>
      </c>
      <c r="X391" t="s">
        <v>5</v>
      </c>
      <c r="Y391" t="s">
        <v>5</v>
      </c>
      <c r="Z391" t="s">
        <v>5</v>
      </c>
      <c r="AA391" t="s">
        <v>5</v>
      </c>
      <c r="AB391" s="17" t="str">
        <f>HYPERLINK("http://exon.niaid.nih.gov/transcriptome/T_rubida/S2/links/netoglyc/TRIRU-387-netoglyc.txt","0")</f>
        <v>0</v>
      </c>
      <c r="AC391">
        <v>8.5</v>
      </c>
      <c r="AD391">
        <v>4.3</v>
      </c>
      <c r="AE391">
        <v>10.6</v>
      </c>
      <c r="AF391" s="17" t="s">
        <v>5</v>
      </c>
      <c r="AG391" s="2" t="str">
        <f>HYPERLINK("http://exon.niaid.nih.gov/transcriptome/T_rubida/S2/links/NR/Triru-387-NR.txt","CRISPR-associated protein Cas5, Hmari subtype")</f>
        <v>CRISPR-associated protein Cas5, Hmari subtype</v>
      </c>
      <c r="AH391" t="str">
        <f>HYPERLINK("http://www.ncbi.nlm.nih.gov/sutils/blink.cgi?pid=339729024","86")</f>
        <v>86</v>
      </c>
      <c r="AI391" t="str">
        <f>HYPERLINK("http://www.ncbi.nlm.nih.gov/protein/339729024","gi|339729024")</f>
        <v>gi|339729024</v>
      </c>
      <c r="AJ391">
        <v>30.4</v>
      </c>
      <c r="AK391">
        <v>18</v>
      </c>
      <c r="AL391">
        <v>276</v>
      </c>
      <c r="AM391">
        <v>63</v>
      </c>
      <c r="AN391">
        <v>7</v>
      </c>
      <c r="AO391" t="s">
        <v>934</v>
      </c>
      <c r="AP391" s="2" t="str">
        <f>HYPERLINK("http://exon.niaid.nih.gov/transcriptome/T_rubida/S2/links/SWISSP/Triru-387-SWISSP.txt","1-(5-phosphoribosyl)-5-")</f>
        <v>1-(5-phosphoribosyl)-5-</v>
      </c>
      <c r="AQ391" t="str">
        <f>HYPERLINK("http://www.uniprot.org/uniprot/A0M284","5.5")</f>
        <v>5.5</v>
      </c>
      <c r="AR391" t="s">
        <v>935</v>
      </c>
      <c r="AS391">
        <v>29.6</v>
      </c>
      <c r="AT391">
        <v>27</v>
      </c>
      <c r="AU391">
        <v>241</v>
      </c>
      <c r="AV391">
        <v>42</v>
      </c>
      <c r="AW391">
        <v>12</v>
      </c>
      <c r="AX391">
        <v>16</v>
      </c>
      <c r="AY391">
        <v>0</v>
      </c>
      <c r="AZ391">
        <v>151</v>
      </c>
      <c r="BA391">
        <v>1</v>
      </c>
      <c r="BB391">
        <v>1</v>
      </c>
      <c r="BC391" t="s">
        <v>936</v>
      </c>
      <c r="BD391" s="2" t="s">
        <v>5</v>
      </c>
      <c r="BE391" t="s">
        <v>5</v>
      </c>
      <c r="BF391" t="s">
        <v>5</v>
      </c>
      <c r="BG391" t="s">
        <v>5</v>
      </c>
      <c r="BH391" t="s">
        <v>5</v>
      </c>
      <c r="BI391" s="2" t="str">
        <f>HYPERLINK("http://exon.niaid.nih.gov/transcriptome/T_rubida/S2/links/CDD/Triru-387-CDD.txt","PRK06066")</f>
        <v>PRK06066</v>
      </c>
      <c r="BJ391" t="str">
        <f>HYPERLINK("http://www.ncbi.nlm.nih.gov/Structure/cdd/cddsrv.cgi?uid=PRK06066&amp;version=v4.0","5.4")</f>
        <v>5.4</v>
      </c>
      <c r="BK391" t="s">
        <v>937</v>
      </c>
      <c r="BL391" s="2" t="str">
        <f>HYPERLINK("http://exon.niaid.nih.gov/transcriptome/T_rubida/S2/links/KOG/Triru-387-KOG.txt","Nuclear-export-signal (NES)-containing protein/polyadenylated-RNA export factor")</f>
        <v>Nuclear-export-signal (NES)-containing protein/polyadenylated-RNA export factor</v>
      </c>
      <c r="BM391" t="str">
        <f>HYPERLINK("http://www.ncbi.nlm.nih.gov/COG/grace/shokog.cgi?KOG2412","4.1")</f>
        <v>4.1</v>
      </c>
      <c r="BN391" t="s">
        <v>206</v>
      </c>
      <c r="BO391" s="2" t="s">
        <v>5</v>
      </c>
      <c r="BP391" t="s">
        <v>5</v>
      </c>
      <c r="BQ391" s="2" t="str">
        <f>HYPERLINK("http://exon.niaid.nih.gov/transcriptome/T_rubida/S2/links/SMART/Triru-387-SMART.txt","CTNS")</f>
        <v>CTNS</v>
      </c>
      <c r="BR391" t="str">
        <f>HYPERLINK("http://smart.embl-heidelberg.de/smart/do_annotation.pl?DOMAIN=CTNS&amp;BLAST=DUMMY","2.1")</f>
        <v>2.1</v>
      </c>
      <c r="BS391" s="17">
        <v>116</v>
      </c>
      <c r="BT391" s="1">
        <v>1</v>
      </c>
      <c r="BU391" s="17">
        <v>179</v>
      </c>
      <c r="BV391" s="1">
        <v>1</v>
      </c>
      <c r="BW391" s="17">
        <v>220</v>
      </c>
      <c r="BX391" s="1">
        <v>1</v>
      </c>
      <c r="BY391" s="17">
        <v>236</v>
      </c>
      <c r="BZ391" s="1">
        <v>1</v>
      </c>
      <c r="CA391" s="17">
        <v>243</v>
      </c>
      <c r="CB391" s="1">
        <v>1</v>
      </c>
      <c r="CC391" s="17">
        <v>248</v>
      </c>
      <c r="CD391" s="1">
        <v>1</v>
      </c>
      <c r="CE391" s="17">
        <v>255</v>
      </c>
      <c r="CF391" s="1">
        <v>1</v>
      </c>
      <c r="CG391" s="17">
        <v>258</v>
      </c>
      <c r="CH391" s="1">
        <v>1</v>
      </c>
      <c r="CI391" s="17">
        <v>268</v>
      </c>
      <c r="CJ391" s="1">
        <v>1</v>
      </c>
      <c r="CK391" s="17">
        <v>273</v>
      </c>
      <c r="CL391" s="1">
        <v>1</v>
      </c>
      <c r="CM391" s="17">
        <v>281</v>
      </c>
      <c r="CN391" s="1">
        <v>1</v>
      </c>
      <c r="CO391" s="17">
        <v>293</v>
      </c>
      <c r="CP391" s="1">
        <v>1</v>
      </c>
      <c r="CQ391" s="17">
        <v>303</v>
      </c>
      <c r="CR391" s="1">
        <v>1</v>
      </c>
      <c r="CS391" s="17">
        <v>315</v>
      </c>
      <c r="CT391" s="1">
        <v>1</v>
      </c>
      <c r="CU391" s="17">
        <v>326</v>
      </c>
      <c r="CV391" s="1">
        <v>1</v>
      </c>
    </row>
    <row r="392" spans="1:100">
      <c r="A392" t="str">
        <f>HYPERLINK("http://exon.niaid.nih.gov/transcriptome/T_rubida/S2/links/pep/Triru-354-pep.txt","Triru-354")</f>
        <v>Triru-354</v>
      </c>
      <c r="B392">
        <v>31</v>
      </c>
      <c r="C392" s="1" t="s">
        <v>14</v>
      </c>
      <c r="D392" s="1" t="s">
        <v>3</v>
      </c>
      <c r="E392" t="str">
        <f>HYPERLINK("http://exon.niaid.nih.gov/transcriptome/T_rubida/S2/links/cds/Triru-354-cds.txt","Triru-354")</f>
        <v>Triru-354</v>
      </c>
      <c r="F392">
        <v>96</v>
      </c>
      <c r="G392" s="2" t="s">
        <v>1838</v>
      </c>
      <c r="H392" s="1">
        <v>1</v>
      </c>
      <c r="I392" s="3" t="s">
        <v>1266</v>
      </c>
      <c r="J392" s="17" t="str">
        <f>HYPERLINK("http://exon.niaid.nih.gov/transcriptome/T_rubida/S2/links/Sigp/Triru-354-SigP.txt","CYT")</f>
        <v>CYT</v>
      </c>
      <c r="K392" t="s">
        <v>5</v>
      </c>
      <c r="L392" s="1">
        <v>3.641</v>
      </c>
      <c r="M392" s="1">
        <v>9.24</v>
      </c>
      <c r="P392" s="1">
        <v>0.13500000000000001</v>
      </c>
      <c r="Q392" s="1">
        <v>5.8999999999999997E-2</v>
      </c>
      <c r="R392" s="1">
        <v>0.85399999999999998</v>
      </c>
      <c r="S392" s="17" t="s">
        <v>1346</v>
      </c>
      <c r="T392">
        <v>2</v>
      </c>
      <c r="U392" t="s">
        <v>1379</v>
      </c>
      <c r="V392" s="17">
        <v>0</v>
      </c>
      <c r="W392" t="s">
        <v>5</v>
      </c>
      <c r="X392" t="s">
        <v>5</v>
      </c>
      <c r="Y392" t="s">
        <v>5</v>
      </c>
      <c r="Z392" t="s">
        <v>5</v>
      </c>
      <c r="AA392" t="s">
        <v>5</v>
      </c>
      <c r="AB392" s="17" t="str">
        <f>HYPERLINK("http://exon.niaid.nih.gov/transcriptome/T_rubida/S2/links/netoglyc/TRIRU-354-netoglyc.txt","0")</f>
        <v>0</v>
      </c>
      <c r="AC392">
        <v>16.100000000000001</v>
      </c>
      <c r="AD392" t="s">
        <v>1417</v>
      </c>
      <c r="AE392">
        <v>3.2</v>
      </c>
      <c r="AF392" s="17" t="s">
        <v>5</v>
      </c>
      <c r="AG392" s="2" t="str">
        <f>HYPERLINK("http://exon.niaid.nih.gov/transcriptome/T_rubida/S2/links/NR/Triru-354-NR.txt","ATP-dependent RNA helicase")</f>
        <v>ATP-dependent RNA helicase</v>
      </c>
      <c r="AH392" t="str">
        <f>HYPERLINK("http://www.ncbi.nlm.nih.gov/sutils/blink.cgi?pid=319408422","87")</f>
        <v>87</v>
      </c>
      <c r="AI392" t="str">
        <f>HYPERLINK("http://www.ncbi.nlm.nih.gov/protein/319408422","gi|319408422")</f>
        <v>gi|319408422</v>
      </c>
      <c r="AJ392">
        <v>30.4</v>
      </c>
      <c r="AK392">
        <v>30</v>
      </c>
      <c r="AL392">
        <v>470</v>
      </c>
      <c r="AM392">
        <v>35</v>
      </c>
      <c r="AN392">
        <v>7</v>
      </c>
      <c r="AO392" t="s">
        <v>723</v>
      </c>
      <c r="AP392" s="2" t="str">
        <f>HYPERLINK("http://exon.niaid.nih.gov/transcriptome/T_rubida/S2/links/SWISSP/Triru-354-SWISSP.txt","Protein PFF0380w")</f>
        <v>Protein PFF0380w</v>
      </c>
      <c r="AQ392" t="str">
        <f>HYPERLINK("http://www.uniprot.org/uniprot/C6KSS5","47")</f>
        <v>47</v>
      </c>
      <c r="AR392" t="s">
        <v>724</v>
      </c>
      <c r="AS392">
        <v>26.6</v>
      </c>
      <c r="AT392">
        <v>29</v>
      </c>
      <c r="AU392">
        <v>2752</v>
      </c>
      <c r="AV392">
        <v>40</v>
      </c>
      <c r="AW392">
        <v>1</v>
      </c>
      <c r="AX392">
        <v>18</v>
      </c>
      <c r="AY392">
        <v>0</v>
      </c>
      <c r="AZ392">
        <v>502</v>
      </c>
      <c r="BA392">
        <v>2</v>
      </c>
      <c r="BB392">
        <v>1</v>
      </c>
      <c r="BC392" t="s">
        <v>725</v>
      </c>
      <c r="BD392" s="2" t="s">
        <v>5</v>
      </c>
      <c r="BE392" t="s">
        <v>5</v>
      </c>
      <c r="BF392" t="s">
        <v>5</v>
      </c>
      <c r="BG392" t="s">
        <v>5</v>
      </c>
      <c r="BH392" t="s">
        <v>5</v>
      </c>
      <c r="BI392" s="2" t="s">
        <v>5</v>
      </c>
      <c r="BJ392" t="s">
        <v>5</v>
      </c>
      <c r="BK392" t="s">
        <v>5</v>
      </c>
      <c r="BL392" s="2" t="s">
        <v>5</v>
      </c>
      <c r="BM392" t="s">
        <v>5</v>
      </c>
      <c r="BN392" t="s">
        <v>5</v>
      </c>
      <c r="BO392" s="2" t="s">
        <v>5</v>
      </c>
      <c r="BP392" t="s">
        <v>5</v>
      </c>
      <c r="BQ392" s="2" t="str">
        <f>HYPERLINK("http://exon.niaid.nih.gov/transcriptome/T_rubida/S2/links/SMART/Triru-354-SMART.txt","SNc")</f>
        <v>SNc</v>
      </c>
      <c r="BR392" t="str">
        <f>HYPERLINK("http://smart.embl-heidelberg.de/smart/do_annotation.pl?DOMAIN=SNc&amp;BLAST=DUMMY","4.2")</f>
        <v>4.2</v>
      </c>
      <c r="BS392" s="17">
        <f>HYPERLINK("http://exon.niaid.nih.gov/transcriptome/T_rubida/S2/links/cluster/Triru-pep-ext25-50-Sim-CLU1.txt", 1)</f>
        <v>1</v>
      </c>
      <c r="BT392" s="1">
        <f>HYPERLINK("http://exon.niaid.nih.gov/transcriptome/T_rubida/S2/links/cluster/Triru-pep-ext25-50-Sim-CLTL1.txt", 359)</f>
        <v>359</v>
      </c>
      <c r="BU392" s="17">
        <f>HYPERLINK("http://exon.niaid.nih.gov/transcriptome/T_rubida/S2/links/cluster/Triru-pep-ext30-50-Sim-CLU1.txt", 1)</f>
        <v>1</v>
      </c>
      <c r="BV392" s="1">
        <f>HYPERLINK("http://exon.niaid.nih.gov/transcriptome/T_rubida/S2/links/cluster/Triru-pep-ext30-50-Sim-CLTL1.txt", 225)</f>
        <v>225</v>
      </c>
      <c r="BW392" s="17">
        <f>HYPERLINK("http://exon.niaid.nih.gov/transcriptome/T_rubida/S2/links/cluster/Triru-pep-ext35-50-Sim-CLU1.txt", 1)</f>
        <v>1</v>
      </c>
      <c r="BX392" s="1">
        <f>HYPERLINK("http://exon.niaid.nih.gov/transcriptome/T_rubida/S2/links/cluster/Triru-pep-ext35-50-Sim-CLTL1.txt", 75)</f>
        <v>75</v>
      </c>
      <c r="BY392" s="17">
        <v>213</v>
      </c>
      <c r="BZ392" s="1">
        <v>1</v>
      </c>
      <c r="CA392" s="17">
        <v>220</v>
      </c>
      <c r="CB392" s="1">
        <v>1</v>
      </c>
      <c r="CC392" s="17">
        <v>225</v>
      </c>
      <c r="CD392" s="1">
        <v>1</v>
      </c>
      <c r="CE392" s="17">
        <v>231</v>
      </c>
      <c r="CF392" s="1">
        <v>1</v>
      </c>
      <c r="CG392" s="17">
        <v>233</v>
      </c>
      <c r="CH392" s="1">
        <v>1</v>
      </c>
      <c r="CI392" s="17">
        <v>243</v>
      </c>
      <c r="CJ392" s="1">
        <v>1</v>
      </c>
      <c r="CK392" s="17">
        <v>248</v>
      </c>
      <c r="CL392" s="1">
        <v>1</v>
      </c>
      <c r="CM392" s="17">
        <v>256</v>
      </c>
      <c r="CN392" s="1">
        <v>1</v>
      </c>
      <c r="CO392" s="17">
        <v>267</v>
      </c>
      <c r="CP392" s="1">
        <v>1</v>
      </c>
      <c r="CQ392" s="17">
        <v>277</v>
      </c>
      <c r="CR392" s="1">
        <v>1</v>
      </c>
      <c r="CS392" s="17">
        <v>287</v>
      </c>
      <c r="CT392" s="1">
        <v>1</v>
      </c>
      <c r="CU392" s="17">
        <v>298</v>
      </c>
      <c r="CV392" s="1">
        <v>1</v>
      </c>
    </row>
    <row r="393" spans="1:100">
      <c r="A393" t="str">
        <f>HYPERLINK("http://exon.niaid.nih.gov/transcriptome/T_rubida/S2/links/pep/Triru-383-pep.txt","Triru-383")</f>
        <v>Triru-383</v>
      </c>
      <c r="B393">
        <v>37</v>
      </c>
      <c r="C393" s="1" t="s">
        <v>8</v>
      </c>
      <c r="D393" s="1" t="s">
        <v>3</v>
      </c>
      <c r="E393" t="str">
        <f>HYPERLINK("http://exon.niaid.nih.gov/transcriptome/T_rubida/S2/links/cds/Triru-383-cds.txt","Triru-383")</f>
        <v>Triru-383</v>
      </c>
      <c r="F393">
        <v>114</v>
      </c>
      <c r="G393" s="2" t="s">
        <v>1839</v>
      </c>
      <c r="H393" s="1">
        <v>1</v>
      </c>
      <c r="I393" s="3" t="s">
        <v>1266</v>
      </c>
      <c r="J393" s="17" t="str">
        <f>HYPERLINK("http://exon.niaid.nih.gov/transcriptome/T_rubida/S2/links/Sigp/Triru-383-SigP.txt","CYT")</f>
        <v>CYT</v>
      </c>
      <c r="K393" t="s">
        <v>5</v>
      </c>
      <c r="L393" s="1">
        <v>4.3840000000000003</v>
      </c>
      <c r="M393" s="1">
        <v>9.7799999999999994</v>
      </c>
      <c r="P393" s="1">
        <v>0.46300000000000002</v>
      </c>
      <c r="Q393" s="1">
        <v>4.3999999999999997E-2</v>
      </c>
      <c r="R393" s="1">
        <v>0.51400000000000001</v>
      </c>
      <c r="S393" s="17" t="s">
        <v>1346</v>
      </c>
      <c r="T393">
        <v>5</v>
      </c>
      <c r="U393" t="s">
        <v>1382</v>
      </c>
      <c r="V393" s="17">
        <v>0</v>
      </c>
      <c r="W393" t="s">
        <v>5</v>
      </c>
      <c r="X393" t="s">
        <v>5</v>
      </c>
      <c r="Y393" t="s">
        <v>5</v>
      </c>
      <c r="Z393" t="s">
        <v>5</v>
      </c>
      <c r="AA393" t="s">
        <v>5</v>
      </c>
      <c r="AB393" s="17" t="str">
        <f>HYPERLINK("http://exon.niaid.nih.gov/transcriptome/T_rubida/S2/links/netoglyc/TRIRU-383-netoglyc.txt","0")</f>
        <v>0</v>
      </c>
      <c r="AC393">
        <v>10.8</v>
      </c>
      <c r="AD393">
        <v>2.7</v>
      </c>
      <c r="AE393">
        <v>2.7</v>
      </c>
      <c r="AF393" s="17" t="s">
        <v>5</v>
      </c>
      <c r="AG393" s="2" t="str">
        <f>HYPERLINK("http://exon.niaid.nih.gov/transcriptome/T_rubida/S2/links/NR/Triru-383-NR.txt","oxidoreductase, FAD-binding")</f>
        <v>oxidoreductase, FAD-binding</v>
      </c>
      <c r="AH393" t="str">
        <f>HYPERLINK("http://www.ncbi.nlm.nih.gov/sutils/blink.cgi?pid=74318781","40")</f>
        <v>40</v>
      </c>
      <c r="AI393" t="str">
        <f>HYPERLINK("http://www.ncbi.nlm.nih.gov/protein/74318781","gi|74318781")</f>
        <v>gi|74318781</v>
      </c>
      <c r="AJ393">
        <v>31.6</v>
      </c>
      <c r="AK393">
        <v>32</v>
      </c>
      <c r="AL393">
        <v>445</v>
      </c>
      <c r="AM393">
        <v>33</v>
      </c>
      <c r="AN393">
        <v>7</v>
      </c>
      <c r="AO393" t="s">
        <v>377</v>
      </c>
      <c r="AP393" s="2" t="str">
        <f>HYPERLINK("http://exon.niaid.nih.gov/transcriptome/T_rubida/S2/links/SWISSP/Triru-383-SWISSP.txt","Fructose-1,6-bisphosphatase class 2")</f>
        <v>Fructose-1,6-bisphosphatase class 2</v>
      </c>
      <c r="AQ393" t="str">
        <f>HYPERLINK("http://www.uniprot.org/uniprot/P44811","28")</f>
        <v>28</v>
      </c>
      <c r="AR393" t="s">
        <v>378</v>
      </c>
      <c r="AS393">
        <v>27.3</v>
      </c>
      <c r="AT393">
        <v>29</v>
      </c>
      <c r="AU393">
        <v>333</v>
      </c>
      <c r="AV393">
        <v>33</v>
      </c>
      <c r="AW393">
        <v>9</v>
      </c>
      <c r="AX393">
        <v>20</v>
      </c>
      <c r="AY393">
        <v>0</v>
      </c>
      <c r="AZ393">
        <v>251</v>
      </c>
      <c r="BA393">
        <v>4</v>
      </c>
      <c r="BB393">
        <v>1</v>
      </c>
      <c r="BC393" t="s">
        <v>379</v>
      </c>
      <c r="BD393" s="2" t="s">
        <v>5</v>
      </c>
      <c r="BE393" t="s">
        <v>5</v>
      </c>
      <c r="BF393" t="s">
        <v>5</v>
      </c>
      <c r="BG393" t="s">
        <v>5</v>
      </c>
      <c r="BH393" t="s">
        <v>5</v>
      </c>
      <c r="BI393" s="2" t="str">
        <f>HYPERLINK("http://exon.niaid.nih.gov/transcriptome/T_rubida/S2/links/CDD/Triru-383-CDD.txt","PRK09116")</f>
        <v>PRK09116</v>
      </c>
      <c r="BJ393" t="str">
        <f>HYPERLINK("http://www.ncbi.nlm.nih.gov/Structure/cdd/cddsrv.cgi?uid=PRK09116&amp;version=v4.0","1.0")</f>
        <v>1.0</v>
      </c>
      <c r="BK393" t="s">
        <v>380</v>
      </c>
      <c r="BL393" s="2" t="s">
        <v>5</v>
      </c>
      <c r="BM393" t="s">
        <v>5</v>
      </c>
      <c r="BN393" t="s">
        <v>5</v>
      </c>
      <c r="BO393" s="2" t="s">
        <v>5</v>
      </c>
      <c r="BP393" t="s">
        <v>5</v>
      </c>
      <c r="BQ393" s="2" t="str">
        <f>HYPERLINK("http://exon.niaid.nih.gov/transcriptome/T_rubida/S2/links/SMART/Triru-383-SMART.txt","WNT1")</f>
        <v>WNT1</v>
      </c>
      <c r="BR393" t="str">
        <f>HYPERLINK("http://smart.embl-heidelberg.de/smart/do_annotation.pl?DOMAIN=WNT1&amp;BLAST=DUMMY","5.6")</f>
        <v>5.6</v>
      </c>
      <c r="BS393" s="17">
        <f>HYPERLINK("http://exon.niaid.nih.gov/transcriptome/T_rubida/S2/links/cluster/Triru-pep-ext25-50-Sim-CLU1.txt", 1)</f>
        <v>1</v>
      </c>
      <c r="BT393" s="1">
        <f>HYPERLINK("http://exon.niaid.nih.gov/transcriptome/T_rubida/S2/links/cluster/Triru-pep-ext25-50-Sim-CLTL1.txt", 359)</f>
        <v>359</v>
      </c>
      <c r="BU393" s="17">
        <v>177</v>
      </c>
      <c r="BV393" s="1">
        <v>1</v>
      </c>
      <c r="BW393" s="17">
        <v>218</v>
      </c>
      <c r="BX393" s="1">
        <v>1</v>
      </c>
      <c r="BY393" s="17">
        <v>234</v>
      </c>
      <c r="BZ393" s="1">
        <v>1</v>
      </c>
      <c r="CA393" s="17">
        <v>241</v>
      </c>
      <c r="CB393" s="1">
        <v>1</v>
      </c>
      <c r="CC393" s="17">
        <v>246</v>
      </c>
      <c r="CD393" s="1">
        <v>1</v>
      </c>
      <c r="CE393" s="17">
        <v>253</v>
      </c>
      <c r="CF393" s="1">
        <v>1</v>
      </c>
      <c r="CG393" s="17">
        <v>255</v>
      </c>
      <c r="CH393" s="1">
        <v>1</v>
      </c>
      <c r="CI393" s="17">
        <v>265</v>
      </c>
      <c r="CJ393" s="1">
        <v>1</v>
      </c>
      <c r="CK393" s="17">
        <v>270</v>
      </c>
      <c r="CL393" s="1">
        <v>1</v>
      </c>
      <c r="CM393" s="17">
        <v>278</v>
      </c>
      <c r="CN393" s="1">
        <v>1</v>
      </c>
      <c r="CO393" s="17">
        <v>290</v>
      </c>
      <c r="CP393" s="1">
        <v>1</v>
      </c>
      <c r="CQ393" s="17">
        <v>300</v>
      </c>
      <c r="CR393" s="1">
        <v>1</v>
      </c>
      <c r="CS393" s="17">
        <v>312</v>
      </c>
      <c r="CT393" s="1">
        <v>1</v>
      </c>
      <c r="CU393" s="17">
        <v>323</v>
      </c>
      <c r="CV393" s="1">
        <v>1</v>
      </c>
    </row>
    <row r="394" spans="1:100">
      <c r="A394" t="str">
        <f>HYPERLINK("http://exon.niaid.nih.gov/transcriptome/T_rubida/S2/links/pep/Triru-561-pep.txt","Triru-561")</f>
        <v>Triru-561</v>
      </c>
      <c r="B394">
        <v>43</v>
      </c>
      <c r="C394" s="1" t="s">
        <v>4</v>
      </c>
      <c r="D394" s="1" t="s">
        <v>3</v>
      </c>
      <c r="E394" t="str">
        <f>HYPERLINK("http://exon.niaid.nih.gov/transcriptome/T_rubida/S2/links/cds/Triru-561-cds.txt","Triru-561")</f>
        <v>Triru-561</v>
      </c>
      <c r="F394">
        <v>132</v>
      </c>
      <c r="G394" s="2" t="s">
        <v>1840</v>
      </c>
      <c r="H394" s="1">
        <v>1</v>
      </c>
      <c r="I394" s="3" t="s">
        <v>1266</v>
      </c>
      <c r="J394" s="17" t="str">
        <f>HYPERLINK("http://exon.niaid.nih.gov/transcriptome/T_rubida/S2/links/Sigp/Triru-561-SigP.txt","CYT")</f>
        <v>CYT</v>
      </c>
      <c r="K394" t="s">
        <v>5</v>
      </c>
      <c r="L394" s="1">
        <v>4.4539999999999997</v>
      </c>
      <c r="M394" s="1">
        <v>8.43</v>
      </c>
      <c r="P394" s="1">
        <v>0.127</v>
      </c>
      <c r="Q394" s="1">
        <v>4.4999999999999998E-2</v>
      </c>
      <c r="R394" s="1">
        <v>0.89200000000000002</v>
      </c>
      <c r="S394" s="17" t="s">
        <v>1346</v>
      </c>
      <c r="T394">
        <v>2</v>
      </c>
      <c r="U394" t="s">
        <v>1382</v>
      </c>
      <c r="V394" s="17">
        <v>0</v>
      </c>
      <c r="W394" t="s">
        <v>5</v>
      </c>
      <c r="X394" t="s">
        <v>5</v>
      </c>
      <c r="Y394" t="s">
        <v>5</v>
      </c>
      <c r="Z394" t="s">
        <v>5</v>
      </c>
      <c r="AA394" t="s">
        <v>5</v>
      </c>
      <c r="AB394" s="17" t="str">
        <f>HYPERLINK("http://exon.niaid.nih.gov/transcriptome/T_rubida/S2/links/netoglyc/TRIRU-561-netoglyc.txt","0")</f>
        <v>0</v>
      </c>
      <c r="AC394">
        <v>11.6</v>
      </c>
      <c r="AD394">
        <v>11.6</v>
      </c>
      <c r="AE394" t="s">
        <v>1394</v>
      </c>
      <c r="AF394" s="17" t="s">
        <v>5</v>
      </c>
      <c r="AG394" s="2" t="str">
        <f>HYPERLINK("http://exon.niaid.nih.gov/transcriptome/T_rubida/S2/links/NR/Triru-561-NR.txt","hypothetical protein DAPPUDRAFT_309281")</f>
        <v>hypothetical protein DAPPUDRAFT_309281</v>
      </c>
      <c r="AH394" t="str">
        <f>HYPERLINK("http://www.ncbi.nlm.nih.gov/sutils/blink.cgi?pid=321459762","1E-006")</f>
        <v>1E-006</v>
      </c>
      <c r="AI394" t="str">
        <f>HYPERLINK("http://www.ncbi.nlm.nih.gov/protein/321459762","gi|321459762")</f>
        <v>gi|321459762</v>
      </c>
      <c r="AJ394">
        <v>56.2</v>
      </c>
      <c r="AK394">
        <v>40</v>
      </c>
      <c r="AL394">
        <v>549</v>
      </c>
      <c r="AM394">
        <v>63</v>
      </c>
      <c r="AN394">
        <v>7</v>
      </c>
      <c r="AO394" t="s">
        <v>107</v>
      </c>
      <c r="AP394" s="2" t="str">
        <f>HYPERLINK("http://exon.niaid.nih.gov/transcriptome/T_rubida/S2/links/SWISSP/Triru-561-SWISSP.txt","ATP synthase subunit alpha, mitochondrial")</f>
        <v>ATP synthase subunit alpha, mitochondrial</v>
      </c>
      <c r="AQ394" t="str">
        <f>HYPERLINK("http://www.uniprot.org/uniprot/P08428","1E-005")</f>
        <v>1E-005</v>
      </c>
      <c r="AR394" t="s">
        <v>108</v>
      </c>
      <c r="AS394">
        <v>48.5</v>
      </c>
      <c r="AT394">
        <v>39</v>
      </c>
      <c r="AU394">
        <v>545</v>
      </c>
      <c r="AV394">
        <v>52</v>
      </c>
      <c r="AW394">
        <v>7</v>
      </c>
      <c r="AX394">
        <v>19</v>
      </c>
      <c r="AY394">
        <v>0</v>
      </c>
      <c r="AZ394">
        <v>506</v>
      </c>
      <c r="BA394">
        <v>4</v>
      </c>
      <c r="BB394">
        <v>1</v>
      </c>
      <c r="BC394" t="s">
        <v>109</v>
      </c>
      <c r="BD394" s="2" t="s">
        <v>110</v>
      </c>
      <c r="BE394">
        <f>HYPERLINK("http://exon.niaid.nih.gov/transcriptome/T_rubida/S2/links/GO/Triru-561-GO.txt",0.000004)</f>
        <v>3.9999999999999998E-6</v>
      </c>
      <c r="BF394" t="s">
        <v>1944</v>
      </c>
      <c r="BG394" t="s">
        <v>63</v>
      </c>
      <c r="BH394" t="s">
        <v>1922</v>
      </c>
      <c r="BI394" s="2" t="str">
        <f>HYPERLINK("http://exon.niaid.nih.gov/transcriptome/T_rubida/S2/links/CDD/Triru-561-CDD.txt","PRK09281")</f>
        <v>PRK09281</v>
      </c>
      <c r="BJ394" t="str">
        <f>HYPERLINK("http://www.ncbi.nlm.nih.gov/Structure/cdd/cddsrv.cgi?uid=PRK09281&amp;version=v4.0","7E-005")</f>
        <v>7E-005</v>
      </c>
      <c r="BK394" t="s">
        <v>111</v>
      </c>
      <c r="BL394" s="2" t="s">
        <v>5</v>
      </c>
      <c r="BM394" t="s">
        <v>5</v>
      </c>
      <c r="BN394" t="s">
        <v>5</v>
      </c>
      <c r="BO394" s="2" t="str">
        <f>HYPERLINK("http://exon.niaid.nih.gov/transcriptome/T_rubida/S2/links/PFAM/Triru-561-PFAM.txt","Bmp")</f>
        <v>Bmp</v>
      </c>
      <c r="BP394" t="str">
        <f>HYPERLINK("http://pfam.sanger.ac.uk/family?acc=PF02608","3.0")</f>
        <v>3.0</v>
      </c>
      <c r="BQ394" s="2" t="str">
        <f>HYPERLINK("http://exon.niaid.nih.gov/transcriptome/T_rubida/S2/links/SMART/Triru-561-SMART.txt","INB")</f>
        <v>INB</v>
      </c>
      <c r="BR394" t="str">
        <f>HYPERLINK("http://smart.embl-heidelberg.de/smart/do_annotation.pl?DOMAIN=INB&amp;BLAST=DUMMY","6.6")</f>
        <v>6.6</v>
      </c>
      <c r="BS394" s="17">
        <f>HYPERLINK("http://exon.niaid.nih.gov/transcriptome/T_rubida/S2/links/cluster/Triru-pep-ext25-50-Sim-CLU1.txt", 1)</f>
        <v>1</v>
      </c>
      <c r="BT394" s="1">
        <f>HYPERLINK("http://exon.niaid.nih.gov/transcriptome/T_rubida/S2/links/cluster/Triru-pep-ext25-50-Sim-CLTL1.txt", 359)</f>
        <v>359</v>
      </c>
      <c r="BU394" s="17">
        <v>253</v>
      </c>
      <c r="BV394" s="1">
        <v>1</v>
      </c>
      <c r="BW394" s="17">
        <v>323</v>
      </c>
      <c r="BX394" s="1">
        <v>1</v>
      </c>
      <c r="BY394" s="17">
        <v>355</v>
      </c>
      <c r="BZ394" s="1">
        <v>1</v>
      </c>
      <c r="CA394" s="17">
        <v>369</v>
      </c>
      <c r="CB394" s="1">
        <v>1</v>
      </c>
      <c r="CC394" s="17">
        <v>382</v>
      </c>
      <c r="CD394" s="1">
        <v>1</v>
      </c>
      <c r="CE394" s="17">
        <v>397</v>
      </c>
      <c r="CF394" s="1">
        <v>1</v>
      </c>
      <c r="CG394" s="17">
        <v>403</v>
      </c>
      <c r="CH394" s="1">
        <v>1</v>
      </c>
      <c r="CI394" s="17">
        <v>415</v>
      </c>
      <c r="CJ394" s="1">
        <v>1</v>
      </c>
      <c r="CK394" s="17">
        <v>421</v>
      </c>
      <c r="CL394" s="1">
        <v>1</v>
      </c>
      <c r="CM394" s="17">
        <v>432</v>
      </c>
      <c r="CN394" s="1">
        <v>1</v>
      </c>
      <c r="CO394" s="17">
        <v>444</v>
      </c>
      <c r="CP394" s="1">
        <v>1</v>
      </c>
      <c r="CQ394" s="17">
        <v>454</v>
      </c>
      <c r="CR394" s="1">
        <v>1</v>
      </c>
      <c r="CS394" s="17">
        <v>467</v>
      </c>
      <c r="CT394" s="1">
        <v>1</v>
      </c>
      <c r="CU394" s="17">
        <v>479</v>
      </c>
      <c r="CV394" s="1">
        <v>1</v>
      </c>
    </row>
    <row r="395" spans="1:100">
      <c r="A395" t="str">
        <f>HYPERLINK("http://exon.niaid.nih.gov/transcriptome/T_rubida/S2/links/pep/Triru-481-pep.txt","Triru-481")</f>
        <v>Triru-481</v>
      </c>
      <c r="B395">
        <v>53</v>
      </c>
      <c r="C395" s="1" t="s">
        <v>18</v>
      </c>
      <c r="D395" s="1" t="s">
        <v>3</v>
      </c>
      <c r="E395" t="str">
        <f>HYPERLINK("http://exon.niaid.nih.gov/transcriptome/T_rubida/S2/links/cds/Triru-481-cds.txt","Triru-481")</f>
        <v>Triru-481</v>
      </c>
      <c r="F395">
        <v>162</v>
      </c>
      <c r="G395" s="2" t="s">
        <v>1841</v>
      </c>
      <c r="H395" s="1">
        <v>1</v>
      </c>
      <c r="I395" s="3" t="s">
        <v>1266</v>
      </c>
      <c r="J395" s="17" t="str">
        <f>HYPERLINK("http://exon.niaid.nih.gov/transcriptome/T_rubida/S2/links/Sigp/Triru-481-SigP.txt","CYT")</f>
        <v>CYT</v>
      </c>
      <c r="K395" t="s">
        <v>5</v>
      </c>
      <c r="L395" s="1">
        <v>5.73</v>
      </c>
      <c r="M395" s="1">
        <v>9.49</v>
      </c>
      <c r="P395" s="1">
        <v>0.70799999999999996</v>
      </c>
      <c r="Q395" s="1">
        <v>6.8000000000000005E-2</v>
      </c>
      <c r="R395" s="1">
        <v>0.24</v>
      </c>
      <c r="S395" s="17" t="s">
        <v>9</v>
      </c>
      <c r="T395">
        <v>3</v>
      </c>
      <c r="U395" t="s">
        <v>1520</v>
      </c>
      <c r="V395" s="17">
        <v>0</v>
      </c>
      <c r="W395" t="s">
        <v>5</v>
      </c>
      <c r="X395" t="s">
        <v>5</v>
      </c>
      <c r="Y395" t="s">
        <v>5</v>
      </c>
      <c r="Z395" t="s">
        <v>5</v>
      </c>
      <c r="AA395" t="s">
        <v>5</v>
      </c>
      <c r="AB395" s="17" t="str">
        <f>HYPERLINK("http://exon.niaid.nih.gov/transcriptome/T_rubida/S2/links/netoglyc/TRIRU-481-netoglyc.txt","3")</f>
        <v>3</v>
      </c>
      <c r="AC395">
        <v>24.5</v>
      </c>
      <c r="AD395">
        <v>9.4</v>
      </c>
      <c r="AE395">
        <v>3.8</v>
      </c>
      <c r="AF395" s="17" t="s">
        <v>5</v>
      </c>
      <c r="AG395" s="2" t="str">
        <f>HYPERLINK("http://exon.niaid.nih.gov/transcriptome/T_rubida/S2/links/NR/Triru-481-NR.txt","conserved hypothetical protein")</f>
        <v>conserved hypothetical protein</v>
      </c>
      <c r="AH395" t="str">
        <f>HYPERLINK("http://www.ncbi.nlm.nih.gov/sutils/blink.cgi?pid=229491061","40")</f>
        <v>40</v>
      </c>
      <c r="AI395" t="str">
        <f>HYPERLINK("http://www.ncbi.nlm.nih.gov/protein/229491061","gi|229491061")</f>
        <v>gi|229491061</v>
      </c>
      <c r="AJ395">
        <v>31.6</v>
      </c>
      <c r="AK395">
        <v>36</v>
      </c>
      <c r="AL395">
        <v>619</v>
      </c>
      <c r="AM395">
        <v>50</v>
      </c>
      <c r="AN395">
        <v>6</v>
      </c>
      <c r="AO395" t="s">
        <v>1196</v>
      </c>
      <c r="AP395" s="2" t="str">
        <f>HYPERLINK("http://exon.niaid.nih.gov/transcriptome/T_rubida/S2/links/SWISSP/Triru-481-SWISSP.txt","Proto-oncogene tyrosine-protein kinase Src")</f>
        <v>Proto-oncogene tyrosine-protein kinase Src</v>
      </c>
      <c r="AQ395" t="str">
        <f>HYPERLINK("http://www.uniprot.org/uniprot/Q9WUD9","21")</f>
        <v>21</v>
      </c>
      <c r="AR395" t="s">
        <v>1197</v>
      </c>
      <c r="AS395">
        <v>27.7</v>
      </c>
      <c r="AT395">
        <v>30</v>
      </c>
      <c r="AU395">
        <v>536</v>
      </c>
      <c r="AV395">
        <v>48</v>
      </c>
      <c r="AW395">
        <v>6</v>
      </c>
      <c r="AX395">
        <v>16</v>
      </c>
      <c r="AY395">
        <v>1</v>
      </c>
      <c r="AZ395">
        <v>161</v>
      </c>
      <c r="BA395">
        <v>5</v>
      </c>
      <c r="BB395">
        <v>1</v>
      </c>
      <c r="BC395" t="s">
        <v>130</v>
      </c>
      <c r="BD395" s="2" t="s">
        <v>5</v>
      </c>
      <c r="BE395" t="s">
        <v>5</v>
      </c>
      <c r="BF395" t="s">
        <v>5</v>
      </c>
      <c r="BG395" t="s">
        <v>5</v>
      </c>
      <c r="BH395" t="s">
        <v>5</v>
      </c>
      <c r="BI395" s="2" t="s">
        <v>5</v>
      </c>
      <c r="BJ395" t="s">
        <v>5</v>
      </c>
      <c r="BK395" t="s">
        <v>5</v>
      </c>
      <c r="BL395" s="2" t="str">
        <f>HYPERLINK("http://exon.niaid.nih.gov/transcriptome/T_rubida/S2/links/KOG/Triru-481-KOG.txt","L-kynurenine hydrolase")</f>
        <v>L-kynurenine hydrolase</v>
      </c>
      <c r="BM395" t="str">
        <f>HYPERLINK("http://www.ncbi.nlm.nih.gov/COG/grace/shokog.cgi?KOG3846","5.6")</f>
        <v>5.6</v>
      </c>
      <c r="BN395" t="s">
        <v>418</v>
      </c>
      <c r="BO395" s="2" t="str">
        <f>HYPERLINK("http://exon.niaid.nih.gov/transcriptome/T_rubida/S2/links/PFAM/Triru-481-PFAM.txt","SH2")</f>
        <v>SH2</v>
      </c>
      <c r="BP395" t="str">
        <f>HYPERLINK("http://pfam.sanger.ac.uk/family?acc=PF00017","4.9")</f>
        <v>4.9</v>
      </c>
      <c r="BQ395" s="2" t="str">
        <f>HYPERLINK("http://exon.niaid.nih.gov/transcriptome/T_rubida/S2/links/SMART/Triru-481-SMART.txt","FBG")</f>
        <v>FBG</v>
      </c>
      <c r="BR395" t="str">
        <f>HYPERLINK("http://smart.embl-heidelberg.de/smart/do_annotation.pl?DOMAIN=FBG&amp;BLAST=DUMMY","0.29")</f>
        <v>0.29</v>
      </c>
      <c r="BS395" s="17">
        <f>HYPERLINK("http://exon.niaid.nih.gov/transcriptome/T_rubida/S2/links/cluster/Triru-pep-ext25-50-Sim-CLU1.txt", 1)</f>
        <v>1</v>
      </c>
      <c r="BT395" s="1">
        <f>HYPERLINK("http://exon.niaid.nih.gov/transcriptome/T_rubida/S2/links/cluster/Triru-pep-ext25-50-Sim-CLTL1.txt", 359)</f>
        <v>359</v>
      </c>
      <c r="BU395" s="17">
        <v>216</v>
      </c>
      <c r="BV395" s="1">
        <v>1</v>
      </c>
      <c r="BW395" s="17">
        <v>280</v>
      </c>
      <c r="BX395" s="1">
        <v>1</v>
      </c>
      <c r="BY395" s="17">
        <v>302</v>
      </c>
      <c r="BZ395" s="1">
        <v>1</v>
      </c>
      <c r="CA395" s="17">
        <v>312</v>
      </c>
      <c r="CB395" s="1">
        <v>1</v>
      </c>
      <c r="CC395" s="17">
        <v>323</v>
      </c>
      <c r="CD395" s="1">
        <v>1</v>
      </c>
      <c r="CE395" s="17">
        <v>335</v>
      </c>
      <c r="CF395" s="1">
        <v>1</v>
      </c>
      <c r="CG395" s="17">
        <v>340</v>
      </c>
      <c r="CH395" s="1">
        <v>1</v>
      </c>
      <c r="CI395" s="17">
        <v>351</v>
      </c>
      <c r="CJ395" s="1">
        <v>1</v>
      </c>
      <c r="CK395" s="17">
        <v>357</v>
      </c>
      <c r="CL395" s="1">
        <v>1</v>
      </c>
      <c r="CM395" s="17">
        <v>365</v>
      </c>
      <c r="CN395" s="1">
        <v>1</v>
      </c>
      <c r="CO395" s="17">
        <v>377</v>
      </c>
      <c r="CP395" s="1">
        <v>1</v>
      </c>
      <c r="CQ395" s="17">
        <v>387</v>
      </c>
      <c r="CR395" s="1">
        <v>1</v>
      </c>
      <c r="CS395" s="17">
        <v>400</v>
      </c>
      <c r="CT395" s="1">
        <v>1</v>
      </c>
      <c r="CU395" s="17">
        <v>411</v>
      </c>
      <c r="CV395" s="1">
        <v>1</v>
      </c>
    </row>
    <row r="396" spans="1:100">
      <c r="A396" t="str">
        <f>HYPERLINK("http://exon.niaid.nih.gov/transcriptome/T_rubida/S2/links/pep/Triru-357-pep.txt","Triru-357")</f>
        <v>Triru-357</v>
      </c>
      <c r="B396">
        <v>45</v>
      </c>
      <c r="C396" s="1" t="s">
        <v>14</v>
      </c>
      <c r="D396" s="1" t="s">
        <v>3</v>
      </c>
      <c r="E396" t="str">
        <f>HYPERLINK("http://exon.niaid.nih.gov/transcriptome/T_rubida/S2/links/cds/Triru-357-cds.txt","Triru-357")</f>
        <v>Triru-357</v>
      </c>
      <c r="F396">
        <v>138</v>
      </c>
      <c r="G396" s="2" t="s">
        <v>1842</v>
      </c>
      <c r="H396" s="1">
        <v>1</v>
      </c>
      <c r="I396" s="3" t="s">
        <v>1266</v>
      </c>
      <c r="J396" s="17" t="str">
        <f>HYPERLINK("http://exon.niaid.nih.gov/transcriptome/T_rubida/S2/links/Sigp/Triru-357-SigP.txt","CYT")</f>
        <v>CYT</v>
      </c>
      <c r="K396" t="s">
        <v>5</v>
      </c>
      <c r="L396" s="1">
        <v>5.306</v>
      </c>
      <c r="M396" s="1">
        <v>9.9</v>
      </c>
      <c r="P396" s="1">
        <v>0.14499999999999999</v>
      </c>
      <c r="Q396" s="1">
        <v>0.20799999999999999</v>
      </c>
      <c r="R396" s="1">
        <v>0.46899999999999997</v>
      </c>
      <c r="S396" s="17" t="s">
        <v>1346</v>
      </c>
      <c r="T396">
        <v>4</v>
      </c>
      <c r="U396" t="s">
        <v>1379</v>
      </c>
      <c r="V396" s="17">
        <v>0</v>
      </c>
      <c r="W396" t="s">
        <v>5</v>
      </c>
      <c r="X396" t="s">
        <v>5</v>
      </c>
      <c r="Y396" t="s">
        <v>5</v>
      </c>
      <c r="Z396" t="s">
        <v>5</v>
      </c>
      <c r="AA396" t="s">
        <v>5</v>
      </c>
      <c r="AB396" s="17" t="str">
        <f>HYPERLINK("http://exon.niaid.nih.gov/transcriptome/T_rubida/S2/links/netoglyc/TRIRU-357-netoglyc.txt","0")</f>
        <v>0</v>
      </c>
      <c r="AC396">
        <v>6.7</v>
      </c>
      <c r="AD396">
        <v>6.7</v>
      </c>
      <c r="AE396">
        <v>2.2000000000000002</v>
      </c>
      <c r="AF396" s="17" t="s">
        <v>5</v>
      </c>
      <c r="AG396" s="2" t="str">
        <f>HYPERLINK("http://exon.niaid.nih.gov/transcriptome/T_rubida/S2/links/NR/Triru-357-NR.txt","hypothetical protein Kpol_1018p49")</f>
        <v>hypothetical protein Kpol_1018p49</v>
      </c>
      <c r="AH396" t="str">
        <f>HYPERLINK("http://www.ncbi.nlm.nih.gov/sutils/blink.cgi?pid=156848991","66")</f>
        <v>66</v>
      </c>
      <c r="AI396" t="str">
        <f>HYPERLINK("http://www.ncbi.nlm.nih.gov/protein/156848991","gi|156848991")</f>
        <v>gi|156848991</v>
      </c>
      <c r="AJ396">
        <v>30.8</v>
      </c>
      <c r="AK396">
        <v>26</v>
      </c>
      <c r="AL396">
        <v>419</v>
      </c>
      <c r="AM396">
        <v>44</v>
      </c>
      <c r="AN396">
        <v>6</v>
      </c>
      <c r="AO396" t="s">
        <v>728</v>
      </c>
      <c r="AP396" s="2" t="str">
        <f>HYPERLINK("http://exon.niaid.nih.gov/transcriptome/T_rubida/S2/links/SWISSP/Triru-357-SWISSP.txt","Probable beta-galactosidase C")</f>
        <v>Probable beta-galactosidase C</v>
      </c>
      <c r="AQ396" t="str">
        <f>HYPERLINK("http://www.uniprot.org/uniprot/A1CE56","12")</f>
        <v>12</v>
      </c>
      <c r="AR396" t="s">
        <v>729</v>
      </c>
      <c r="AS396">
        <v>28.5</v>
      </c>
      <c r="AT396">
        <v>38</v>
      </c>
      <c r="AU396">
        <v>985</v>
      </c>
      <c r="AV396">
        <v>30</v>
      </c>
      <c r="AW396">
        <v>4</v>
      </c>
      <c r="AX396">
        <v>27</v>
      </c>
      <c r="AY396">
        <v>0</v>
      </c>
      <c r="AZ396">
        <v>383</v>
      </c>
      <c r="BA396">
        <v>5</v>
      </c>
      <c r="BB396">
        <v>1</v>
      </c>
      <c r="BC396" t="s">
        <v>730</v>
      </c>
      <c r="BD396" s="2" t="s">
        <v>5</v>
      </c>
      <c r="BE396" t="s">
        <v>5</v>
      </c>
      <c r="BF396" t="s">
        <v>5</v>
      </c>
      <c r="BG396" t="s">
        <v>5</v>
      </c>
      <c r="BH396" t="s">
        <v>5</v>
      </c>
      <c r="BI396" s="2" t="str">
        <f>HYPERLINK("http://exon.niaid.nih.gov/transcriptome/T_rubida/S2/links/CDD/Triru-357-CDD.txt","COG1449")</f>
        <v>COG1449</v>
      </c>
      <c r="BJ396" t="str">
        <f>HYPERLINK("http://www.ncbi.nlm.nih.gov/Structure/cdd/cddsrv.cgi?uid=COG1449&amp;version=v4.0","4.5")</f>
        <v>4.5</v>
      </c>
      <c r="BK396" t="s">
        <v>731</v>
      </c>
      <c r="BL396" s="2" t="str">
        <f>HYPERLINK("http://exon.niaid.nih.gov/transcriptome/T_rubida/S2/links/KOG/Triru-357-KOG.txt","Uncharacterized conserved protein, contains WD40 repeats")</f>
        <v>Uncharacterized conserved protein, contains WD40 repeats</v>
      </c>
      <c r="BM396" t="str">
        <f>HYPERLINK("http://www.ncbi.nlm.nih.gov/COG/grace/shokog.cgi?KOG1008","5.1")</f>
        <v>5.1</v>
      </c>
      <c r="BN396" t="s">
        <v>264</v>
      </c>
      <c r="BO396" s="2" t="str">
        <f>HYPERLINK("http://exon.niaid.nih.gov/transcriptome/T_rubida/S2/links/PFAM/Triru-357-PFAM.txt","CPSF_A")</f>
        <v>CPSF_A</v>
      </c>
      <c r="BP396" t="str">
        <f>HYPERLINK("http://pfam.sanger.ac.uk/family?acc=PF03178","5.9")</f>
        <v>5.9</v>
      </c>
      <c r="BQ396" s="2" t="str">
        <f>HYPERLINK("http://exon.niaid.nih.gov/transcriptome/T_rubida/S2/links/SMART/Triru-357-SMART.txt","TGFB")</f>
        <v>TGFB</v>
      </c>
      <c r="BR396" t="str">
        <f>HYPERLINK("http://smart.embl-heidelberg.de/smart/do_annotation.pl?DOMAIN=TGFB&amp;BLAST=DUMMY","1.2")</f>
        <v>1.2</v>
      </c>
      <c r="BS396" s="17">
        <f>HYPERLINK("http://exon.niaid.nih.gov/transcriptome/T_rubida/S2/links/cluster/Triru-pep-ext25-50-Sim-CLU1.txt", 1)</f>
        <v>1</v>
      </c>
      <c r="BT396" s="1">
        <f>HYPERLINK("http://exon.niaid.nih.gov/transcriptome/T_rubida/S2/links/cluster/Triru-pep-ext25-50-Sim-CLTL1.txt", 359)</f>
        <v>359</v>
      </c>
      <c r="BU396" s="17">
        <v>165</v>
      </c>
      <c r="BV396" s="1">
        <v>1</v>
      </c>
      <c r="BW396" s="17">
        <v>200</v>
      </c>
      <c r="BX396" s="1">
        <v>1</v>
      </c>
      <c r="BY396" s="17">
        <v>215</v>
      </c>
      <c r="BZ396" s="1">
        <v>1</v>
      </c>
      <c r="CA396" s="17">
        <v>222</v>
      </c>
      <c r="CB396" s="1">
        <v>1</v>
      </c>
      <c r="CC396" s="17">
        <v>227</v>
      </c>
      <c r="CD396" s="1">
        <v>1</v>
      </c>
      <c r="CE396" s="17">
        <v>234</v>
      </c>
      <c r="CF396" s="1">
        <v>1</v>
      </c>
      <c r="CG396" s="17">
        <v>236</v>
      </c>
      <c r="CH396" s="1">
        <v>1</v>
      </c>
      <c r="CI396" s="17">
        <v>246</v>
      </c>
      <c r="CJ396" s="1">
        <v>1</v>
      </c>
      <c r="CK396" s="17">
        <v>251</v>
      </c>
      <c r="CL396" s="1">
        <v>1</v>
      </c>
      <c r="CM396" s="17">
        <v>259</v>
      </c>
      <c r="CN396" s="1">
        <v>1</v>
      </c>
      <c r="CO396" s="17">
        <v>270</v>
      </c>
      <c r="CP396" s="1">
        <v>1</v>
      </c>
      <c r="CQ396" s="17">
        <v>280</v>
      </c>
      <c r="CR396" s="1">
        <v>1</v>
      </c>
      <c r="CS396" s="17">
        <v>290</v>
      </c>
      <c r="CT396" s="1">
        <v>1</v>
      </c>
      <c r="CU396" s="17">
        <v>301</v>
      </c>
      <c r="CV396" s="1">
        <v>1</v>
      </c>
    </row>
    <row r="397" spans="1:100">
      <c r="A397" t="str">
        <f>HYPERLINK("http://exon.niaid.nih.gov/transcriptome/T_rubida/S2/links/pep/Triru-168-pep.txt","Triru-168")</f>
        <v>Triru-168</v>
      </c>
      <c r="B397">
        <v>80</v>
      </c>
      <c r="C397" s="1" t="s">
        <v>10</v>
      </c>
      <c r="D397" s="1" t="s">
        <v>3</v>
      </c>
      <c r="E397" t="str">
        <f>HYPERLINK("http://exon.niaid.nih.gov/transcriptome/T_rubida/S2/links/cds/Triru-168-cds.txt","Triru-168")</f>
        <v>Triru-168</v>
      </c>
      <c r="F397">
        <v>243</v>
      </c>
      <c r="G397" s="2" t="s">
        <v>1843</v>
      </c>
      <c r="H397" s="1">
        <v>1</v>
      </c>
      <c r="I397" s="3" t="s">
        <v>1266</v>
      </c>
      <c r="J397" s="17" t="str">
        <f>HYPERLINK("http://exon.niaid.nih.gov/transcriptome/T_rubida/S2/links/Sigp/Triru-168-SigP.txt","CYT")</f>
        <v>CYT</v>
      </c>
      <c r="K397" t="s">
        <v>5</v>
      </c>
      <c r="L397" s="1">
        <v>9.4190000000000005</v>
      </c>
      <c r="M397" s="1">
        <v>8.94</v>
      </c>
      <c r="P397" s="1">
        <v>0.27900000000000003</v>
      </c>
      <c r="Q397" s="1">
        <v>5.3999999999999999E-2</v>
      </c>
      <c r="R397" s="1">
        <v>0.70099999999999996</v>
      </c>
      <c r="S397" s="17" t="s">
        <v>1346</v>
      </c>
      <c r="T397">
        <v>3</v>
      </c>
      <c r="U397" t="s">
        <v>1348</v>
      </c>
      <c r="V397" s="17">
        <v>0</v>
      </c>
      <c r="W397" t="s">
        <v>5</v>
      </c>
      <c r="X397" t="s">
        <v>5</v>
      </c>
      <c r="Y397" t="s">
        <v>5</v>
      </c>
      <c r="Z397" t="s">
        <v>5</v>
      </c>
      <c r="AA397" t="s">
        <v>5</v>
      </c>
      <c r="AB397" s="17" t="str">
        <f>HYPERLINK("http://exon.niaid.nih.gov/transcriptome/T_rubida/S2/links/netoglyc/TRIRU-168-netoglyc.txt","0")</f>
        <v>0</v>
      </c>
      <c r="AC397">
        <v>13.8</v>
      </c>
      <c r="AD397">
        <v>2.5</v>
      </c>
      <c r="AE397">
        <v>3.8</v>
      </c>
      <c r="AF397" s="17" t="s">
        <v>5</v>
      </c>
      <c r="AG397" s="2" t="str">
        <f>HYPERLINK("http://exon.niaid.nih.gov/transcriptome/T_rubida/S2/links/NR/Triru-168-NR.txt","hypothetical protein")</f>
        <v>hypothetical protein</v>
      </c>
      <c r="AH397" t="str">
        <f>HYPERLINK("http://www.ncbi.nlm.nih.gov/sutils/blink.cgi?pid=82752644","13")</f>
        <v>13</v>
      </c>
      <c r="AI397" t="str">
        <f>HYPERLINK("http://www.ncbi.nlm.nih.gov/protein/82752644","gi|82752644")</f>
        <v>gi|82752644</v>
      </c>
      <c r="AJ397">
        <v>33.1</v>
      </c>
      <c r="AK397">
        <v>67</v>
      </c>
      <c r="AL397">
        <v>1121</v>
      </c>
      <c r="AM397">
        <v>26</v>
      </c>
      <c r="AN397">
        <v>6</v>
      </c>
      <c r="AO397" t="s">
        <v>362</v>
      </c>
      <c r="AP397" s="2" t="str">
        <f>HYPERLINK("http://exon.niaid.nih.gov/transcriptome/T_rubida/S2/links/SWISSP/Triru-168-SWISSP.txt","Shufflon protein C'")</f>
        <v>Shufflon protein C'</v>
      </c>
      <c r="AQ397" t="str">
        <f>HYPERLINK("http://www.uniprot.org/uniprot/P09750","9.5")</f>
        <v>9.5</v>
      </c>
      <c r="AR397" t="s">
        <v>966</v>
      </c>
      <c r="AS397">
        <v>28.9</v>
      </c>
      <c r="AT397">
        <v>29</v>
      </c>
      <c r="AU397">
        <v>433</v>
      </c>
      <c r="AV397">
        <v>45</v>
      </c>
      <c r="AW397">
        <v>7</v>
      </c>
      <c r="AX397">
        <v>18</v>
      </c>
      <c r="AY397">
        <v>3</v>
      </c>
      <c r="AZ397">
        <v>358</v>
      </c>
      <c r="BA397">
        <v>32</v>
      </c>
      <c r="BB397">
        <v>1</v>
      </c>
      <c r="BC397" t="s">
        <v>967</v>
      </c>
      <c r="BD397" s="2" t="s">
        <v>5</v>
      </c>
      <c r="BE397" t="s">
        <v>5</v>
      </c>
      <c r="BF397" t="s">
        <v>5</v>
      </c>
      <c r="BG397" t="s">
        <v>5</v>
      </c>
      <c r="BH397" t="s">
        <v>5</v>
      </c>
      <c r="BI397" s="2" t="str">
        <f>HYPERLINK("http://exon.niaid.nih.gov/transcriptome/T_rubida/S2/links/CDD/Triru-168-CDD.txt","PBP2_NikA")</f>
        <v>PBP2_NikA</v>
      </c>
      <c r="BJ397" t="str">
        <f>HYPERLINK("http://www.ncbi.nlm.nih.gov/Structure/cdd/cddsrv.cgi?uid=cd08489&amp;version=v4.0","1.2")</f>
        <v>1.2</v>
      </c>
      <c r="BK397" t="s">
        <v>968</v>
      </c>
      <c r="BL397" s="2" t="str">
        <f>HYPERLINK("http://exon.niaid.nih.gov/transcriptome/T_rubida/S2/links/KOG/Triru-168-KOG.txt","Histone H3 (Lys4) methyltransferase complex, subunit SET1 and related methyltransferases")</f>
        <v>Histone H3 (Lys4) methyltransferase complex, subunit SET1 and related methyltransferases</v>
      </c>
      <c r="BM397" t="str">
        <f>HYPERLINK("http://www.ncbi.nlm.nih.gov/COG/grace/shokog.cgi?KOG1080","4.6")</f>
        <v>4.6</v>
      </c>
      <c r="BN397" t="s">
        <v>969</v>
      </c>
      <c r="BO397" s="2" t="str">
        <f>HYPERLINK("http://exon.niaid.nih.gov/transcriptome/T_rubida/S2/links/PFAM/Triru-168-PFAM.txt","ASC")</f>
        <v>ASC</v>
      </c>
      <c r="BP397" t="str">
        <f>HYPERLINK("http://pfam.sanger.ac.uk/family?acc=PF00858","8.3")</f>
        <v>8.3</v>
      </c>
      <c r="BQ397" s="2" t="str">
        <f>HYPERLINK("http://exon.niaid.nih.gov/transcriptome/T_rubida/S2/links/SMART/Triru-168-SMART.txt","NGF")</f>
        <v>NGF</v>
      </c>
      <c r="BR397" t="str">
        <f>HYPERLINK("http://smart.embl-heidelberg.de/smart/do_annotation.pl?DOMAIN=NGF&amp;BLAST=DUMMY","1.6")</f>
        <v>1.6</v>
      </c>
      <c r="BS397" s="17">
        <f>HYPERLINK("http://exon.niaid.nih.gov/transcriptome/T_rubida/S2/links/cluster/Triru-pep-ext25-50-Sim-CLU3.txt", 3)</f>
        <v>3</v>
      </c>
      <c r="BT397" s="1">
        <f>HYPERLINK("http://exon.niaid.nih.gov/transcriptome/T_rubida/S2/links/cluster/Triru-pep-ext25-50-Sim-CLTL3.txt", 3)</f>
        <v>3</v>
      </c>
      <c r="BU397" s="17">
        <v>91</v>
      </c>
      <c r="BV397" s="1">
        <v>1</v>
      </c>
      <c r="BW397" s="17">
        <v>102</v>
      </c>
      <c r="BX397" s="1">
        <v>1</v>
      </c>
      <c r="BY397" s="17">
        <v>106</v>
      </c>
      <c r="BZ397" s="1">
        <v>1</v>
      </c>
      <c r="CA397" s="17">
        <v>104</v>
      </c>
      <c r="CB397" s="1">
        <v>1</v>
      </c>
      <c r="CC397" s="17">
        <v>103</v>
      </c>
      <c r="CD397" s="1">
        <v>1</v>
      </c>
      <c r="CE397" s="17">
        <v>98</v>
      </c>
      <c r="CF397" s="1">
        <v>1</v>
      </c>
      <c r="CG397" s="17">
        <v>99</v>
      </c>
      <c r="CH397" s="1">
        <v>1</v>
      </c>
      <c r="CI397" s="17">
        <v>105</v>
      </c>
      <c r="CJ397" s="1">
        <v>1</v>
      </c>
      <c r="CK397" s="17">
        <v>109</v>
      </c>
      <c r="CL397" s="1">
        <v>1</v>
      </c>
      <c r="CM397" s="17">
        <v>114</v>
      </c>
      <c r="CN397" s="1">
        <v>1</v>
      </c>
      <c r="CO397" s="17">
        <v>123</v>
      </c>
      <c r="CP397" s="1">
        <v>1</v>
      </c>
      <c r="CQ397" s="17">
        <v>133</v>
      </c>
      <c r="CR397" s="1">
        <v>1</v>
      </c>
      <c r="CS397" s="17">
        <v>138</v>
      </c>
      <c r="CT397" s="1">
        <v>1</v>
      </c>
      <c r="CU397" s="17">
        <v>149</v>
      </c>
      <c r="CV397" s="1">
        <v>1</v>
      </c>
    </row>
    <row r="398" spans="1:100">
      <c r="A398" t="str">
        <f>HYPERLINK("http://exon.niaid.nih.gov/transcriptome/T_rubida/S2/links/pep/Triru-631-pep.txt","Triru-631")</f>
        <v>Triru-631</v>
      </c>
      <c r="B398">
        <v>45</v>
      </c>
      <c r="C398" s="1" t="s">
        <v>18</v>
      </c>
      <c r="D398" s="1" t="s">
        <v>5</v>
      </c>
      <c r="E398" t="str">
        <f>HYPERLINK("http://exon.niaid.nih.gov/transcriptome/T_rubida/S2/links/cds/Triru-631-cds.txt","Triru-631")</f>
        <v>Triru-631</v>
      </c>
      <c r="F398">
        <v>134</v>
      </c>
      <c r="G398" s="2" t="s">
        <v>1844</v>
      </c>
      <c r="H398" s="1">
        <v>1</v>
      </c>
      <c r="I398" s="3" t="s">
        <v>1266</v>
      </c>
      <c r="J398" s="17" t="str">
        <f>HYPERLINK("http://exon.niaid.nih.gov/transcriptome/T_rubida/S2/links/Sigp/Triru-631-SigP.txt","CYT")</f>
        <v>CYT</v>
      </c>
      <c r="K398" t="s">
        <v>5</v>
      </c>
      <c r="L398" s="1">
        <v>5.3739999999999997</v>
      </c>
      <c r="M398" s="1">
        <v>8.06</v>
      </c>
      <c r="P398" s="1">
        <v>8.9999999999999993E-3</v>
      </c>
      <c r="Q398" s="1">
        <v>0.61399999999999999</v>
      </c>
      <c r="R398" s="1">
        <v>0.73099999999999998</v>
      </c>
      <c r="S398" s="17" t="s">
        <v>1346</v>
      </c>
      <c r="T398">
        <v>5</v>
      </c>
      <c r="U398" t="s">
        <v>1545</v>
      </c>
      <c r="V398" s="17" t="str">
        <f>HYPERLINK("http://exon.niaid.nih.gov/transcriptome/T_rubida/S2/links/tmhmm/TRIRU-631-tmhmm.txt","1")</f>
        <v>1</v>
      </c>
      <c r="W398">
        <v>48.9</v>
      </c>
      <c r="X398">
        <v>33.299999999999997</v>
      </c>
      <c r="Y398">
        <v>17.8</v>
      </c>
      <c r="Z398" t="s">
        <v>5</v>
      </c>
      <c r="AA398">
        <v>8</v>
      </c>
      <c r="AB398" s="17" t="str">
        <f>HYPERLINK("http://exon.niaid.nih.gov/transcriptome/T_rubida/S2/links/netoglyc/TRIRU-631-netoglyc.txt","0")</f>
        <v>0</v>
      </c>
      <c r="AC398">
        <v>13.3</v>
      </c>
      <c r="AD398">
        <v>6.7</v>
      </c>
      <c r="AE398">
        <v>2.2000000000000002</v>
      </c>
      <c r="AF398" s="17" t="s">
        <v>5</v>
      </c>
      <c r="AG398" s="2" t="str">
        <f>HYPERLINK("http://exon.niaid.nih.gov/transcriptome/T_rubida/S2/links/NR/Triru-631-NR.txt","rod-shape determining protein RodA")</f>
        <v>rod-shape determining protein RodA</v>
      </c>
      <c r="AH398" t="str">
        <f>HYPERLINK("http://www.ncbi.nlm.nih.gov/sutils/blink.cgi?pid=262340798","7.8")</f>
        <v>7.8</v>
      </c>
      <c r="AI398" t="str">
        <f>HYPERLINK("http://www.ncbi.nlm.nih.gov/protein/262340798","gi|262340798")</f>
        <v>gi|262340798</v>
      </c>
      <c r="AJ398">
        <v>33.9</v>
      </c>
      <c r="AK398">
        <v>24</v>
      </c>
      <c r="AL398">
        <v>412</v>
      </c>
      <c r="AM398">
        <v>48</v>
      </c>
      <c r="AN398">
        <v>6</v>
      </c>
      <c r="AO398" t="s">
        <v>1181</v>
      </c>
      <c r="AP398" s="2" t="str">
        <f>HYPERLINK("http://exon.niaid.nih.gov/transcriptome/T_rubida/S2/links/SWISSP/Triru-631-SWISSP.txt","Aldehyde dehydrogenase")</f>
        <v>Aldehyde dehydrogenase</v>
      </c>
      <c r="AQ398" t="str">
        <f>HYPERLINK("http://www.uniprot.org/uniprot/P0C6D7","9.4")</f>
        <v>9.4</v>
      </c>
      <c r="AR398" t="s">
        <v>1182</v>
      </c>
      <c r="AS398">
        <v>28.9</v>
      </c>
      <c r="AT398">
        <v>16</v>
      </c>
      <c r="AU398">
        <v>506</v>
      </c>
      <c r="AV398">
        <v>58</v>
      </c>
      <c r="AW398">
        <v>3</v>
      </c>
      <c r="AX398">
        <v>7</v>
      </c>
      <c r="AY398">
        <v>0</v>
      </c>
      <c r="AZ398">
        <v>12</v>
      </c>
      <c r="BA398">
        <v>1</v>
      </c>
      <c r="BB398">
        <v>1</v>
      </c>
      <c r="BC398" t="s">
        <v>1183</v>
      </c>
      <c r="BD398" s="2" t="s">
        <v>5</v>
      </c>
      <c r="BE398" t="s">
        <v>5</v>
      </c>
      <c r="BF398" t="s">
        <v>5</v>
      </c>
      <c r="BG398" t="s">
        <v>5</v>
      </c>
      <c r="BH398" t="s">
        <v>5</v>
      </c>
      <c r="BI398" s="2" t="s">
        <v>5</v>
      </c>
      <c r="BJ398" t="s">
        <v>5</v>
      </c>
      <c r="BK398" t="s">
        <v>5</v>
      </c>
      <c r="BL398" s="2" t="str">
        <f>HYPERLINK("http://exon.niaid.nih.gov/transcriptome/T_rubida/S2/links/KOG/Triru-631-KOG.txt","T-type voltage-gated Ca2+ channel, pore-forming alpha1I subunit")</f>
        <v>T-type voltage-gated Ca2+ channel, pore-forming alpha1I subunit</v>
      </c>
      <c r="BM398" t="str">
        <f>HYPERLINK("http://www.ncbi.nlm.nih.gov/COG/grace/shokog.cgi?KOG2302","2.3")</f>
        <v>2.3</v>
      </c>
      <c r="BN398" t="s">
        <v>58</v>
      </c>
      <c r="BO398" s="2" t="s">
        <v>5</v>
      </c>
      <c r="BP398" t="s">
        <v>5</v>
      </c>
      <c r="BQ398" s="2" t="str">
        <f>HYPERLINK("http://exon.niaid.nih.gov/transcriptome/T_rubida/S2/links/SMART/Triru-631-SMART.txt","DSRM")</f>
        <v>DSRM</v>
      </c>
      <c r="BR398" t="str">
        <f>HYPERLINK("http://smart.embl-heidelberg.de/smart/do_annotation.pl?DOMAIN=DSRM&amp;BLAST=DUMMY","6.5")</f>
        <v>6.5</v>
      </c>
      <c r="BS398" s="17">
        <f t="shared" ref="BS398:BS405" si="66">HYPERLINK("http://exon.niaid.nih.gov/transcriptome/T_rubida/S2/links/cluster/Triru-pep-ext25-50-Sim-CLU1.txt", 1)</f>
        <v>1</v>
      </c>
      <c r="BT398" s="1">
        <f t="shared" ref="BT398:BT405" si="67">HYPERLINK("http://exon.niaid.nih.gov/transcriptome/T_rubida/S2/links/cluster/Triru-pep-ext25-50-Sim-CLTL1.txt", 359)</f>
        <v>359</v>
      </c>
      <c r="BU398" s="17">
        <f>HYPERLINK("http://exon.niaid.nih.gov/transcriptome/T_rubida/S2/links/cluster/Triru-pep-ext30-50-Sim-CLU1.txt", 1)</f>
        <v>1</v>
      </c>
      <c r="BV398" s="1">
        <f>HYPERLINK("http://exon.niaid.nih.gov/transcriptome/T_rubida/S2/links/cluster/Triru-pep-ext30-50-Sim-CLTL1.txt", 225)</f>
        <v>225</v>
      </c>
      <c r="BW398" s="17">
        <f>HYPERLINK("http://exon.niaid.nih.gov/transcriptome/T_rubida/S2/links/cluster/Triru-pep-ext35-50-Sim-CLU1.txt", 1)</f>
        <v>1</v>
      </c>
      <c r="BX398" s="1">
        <f>HYPERLINK("http://exon.niaid.nih.gov/transcriptome/T_rubida/S2/links/cluster/Triru-pep-ext35-50-Sim-CLTL1.txt", 75)</f>
        <v>75</v>
      </c>
      <c r="BY398" s="17">
        <f>HYPERLINK("http://exon.niaid.nih.gov/transcriptome/T_rubida/S2/links/cluster/Triru-pep-ext40-50-Sim-CLU2.txt", 2)</f>
        <v>2</v>
      </c>
      <c r="BZ398" s="1">
        <f>HYPERLINK("http://exon.niaid.nih.gov/transcriptome/T_rubida/S2/links/cluster/Triru-pep-ext40-50-Sim-CLTL2.txt", 42)</f>
        <v>42</v>
      </c>
      <c r="CA398" s="17">
        <v>419</v>
      </c>
      <c r="CB398" s="1">
        <v>1</v>
      </c>
      <c r="CC398" s="17">
        <v>434</v>
      </c>
      <c r="CD398" s="1">
        <v>1</v>
      </c>
      <c r="CE398" s="17">
        <v>450</v>
      </c>
      <c r="CF398" s="1">
        <v>1</v>
      </c>
      <c r="CG398" s="17">
        <v>457</v>
      </c>
      <c r="CH398" s="1">
        <v>1</v>
      </c>
      <c r="CI398" s="17">
        <v>471</v>
      </c>
      <c r="CJ398" s="1">
        <v>1</v>
      </c>
      <c r="CK398" s="17">
        <v>477</v>
      </c>
      <c r="CL398" s="1">
        <v>1</v>
      </c>
      <c r="CM398" s="17">
        <v>489</v>
      </c>
      <c r="CN398" s="1">
        <v>1</v>
      </c>
      <c r="CO398" s="17">
        <v>501</v>
      </c>
      <c r="CP398" s="1">
        <v>1</v>
      </c>
      <c r="CQ398" s="17">
        <v>511</v>
      </c>
      <c r="CR398" s="1">
        <v>1</v>
      </c>
      <c r="CS398" s="17">
        <v>524</v>
      </c>
      <c r="CT398" s="1">
        <v>1</v>
      </c>
      <c r="CU398" s="17">
        <v>537</v>
      </c>
      <c r="CV398" s="1">
        <v>1</v>
      </c>
    </row>
    <row r="399" spans="1:100">
      <c r="A399" t="str">
        <f>HYPERLINK("http://exon.niaid.nih.gov/transcriptome/T_rubida/S2/links/pep/Triru-299-pep.txt","Triru-299")</f>
        <v>Triru-299</v>
      </c>
      <c r="B399">
        <v>59</v>
      </c>
      <c r="C399" s="1" t="s">
        <v>22</v>
      </c>
      <c r="D399" s="1" t="s">
        <v>3</v>
      </c>
      <c r="E399" t="str">
        <f>HYPERLINK("http://exon.niaid.nih.gov/transcriptome/T_rubida/S2/links/cds/Triru-299-cds.txt","Triru-299")</f>
        <v>Triru-299</v>
      </c>
      <c r="F399">
        <v>180</v>
      </c>
      <c r="G399" s="2" t="s">
        <v>1845</v>
      </c>
      <c r="H399" s="1">
        <v>1</v>
      </c>
      <c r="I399" s="3" t="s">
        <v>1266</v>
      </c>
      <c r="J399" s="17" t="str">
        <f>HYPERLINK("http://exon.niaid.nih.gov/transcriptome/T_rubida/S2/links/Sigp/Triru-299-SigP.txt","CYT")</f>
        <v>CYT</v>
      </c>
      <c r="K399" t="s">
        <v>5</v>
      </c>
      <c r="L399" s="1">
        <v>6.9240000000000004</v>
      </c>
      <c r="M399" s="1">
        <v>8.98</v>
      </c>
      <c r="P399" s="1">
        <v>0.68100000000000005</v>
      </c>
      <c r="Q399" s="1">
        <v>7.2999999999999995E-2</v>
      </c>
      <c r="R399" s="1">
        <v>0.22600000000000001</v>
      </c>
      <c r="S399" s="17" t="s">
        <v>9</v>
      </c>
      <c r="T399">
        <v>3</v>
      </c>
      <c r="U399" t="s">
        <v>1546</v>
      </c>
      <c r="V399" s="17">
        <v>0</v>
      </c>
      <c r="W399" t="s">
        <v>5</v>
      </c>
      <c r="X399" t="s">
        <v>5</v>
      </c>
      <c r="Y399" t="s">
        <v>5</v>
      </c>
      <c r="Z399" t="s">
        <v>5</v>
      </c>
      <c r="AA399" t="s">
        <v>5</v>
      </c>
      <c r="AB399" s="17" t="str">
        <f>HYPERLINK("http://exon.niaid.nih.gov/transcriptome/T_rubida/S2/links/netoglyc/TRIRU-299-netoglyc.txt","0")</f>
        <v>0</v>
      </c>
      <c r="AC399">
        <v>8.5</v>
      </c>
      <c r="AD399">
        <v>8.5</v>
      </c>
      <c r="AE399">
        <v>1.7</v>
      </c>
      <c r="AF399" s="17" t="s">
        <v>5</v>
      </c>
      <c r="AG399" s="2" t="str">
        <f>HYPERLINK("http://exon.niaid.nih.gov/transcriptome/T_rubida/S2/links/NR/Triru-299-NR.txt","hypothetical protein ROSEINA2194_02188")</f>
        <v>hypothetical protein ROSEINA2194_02188</v>
      </c>
      <c r="AH399" t="str">
        <f>HYPERLINK("http://www.ncbi.nlm.nih.gov/sutils/blink.cgi?pid=225376546","23")</f>
        <v>23</v>
      </c>
      <c r="AI399" t="str">
        <f>HYPERLINK("http://www.ncbi.nlm.nih.gov/protein/225376546","gi|225376546")</f>
        <v>gi|225376546</v>
      </c>
      <c r="AJ399">
        <v>32.299999999999997</v>
      </c>
      <c r="AK399">
        <v>44</v>
      </c>
      <c r="AL399">
        <v>697</v>
      </c>
      <c r="AM399">
        <v>31</v>
      </c>
      <c r="AN399">
        <v>6</v>
      </c>
      <c r="AO399" t="s">
        <v>715</v>
      </c>
      <c r="AP399" s="2" t="str">
        <f>HYPERLINK("http://exon.niaid.nih.gov/transcriptome/T_rubida/S2/links/SWISSP/Triru-299-SWISSP.txt","Phosphoadenosine phosphosulfate reductase")</f>
        <v>Phosphoadenosine phosphosulfate reductase</v>
      </c>
      <c r="AQ399" t="str">
        <f>HYPERLINK("http://www.uniprot.org/uniprot/Q5WKF5","5.5")</f>
        <v>5.5</v>
      </c>
      <c r="AR399" t="s">
        <v>716</v>
      </c>
      <c r="AS399">
        <v>29.6</v>
      </c>
      <c r="AT399">
        <v>41</v>
      </c>
      <c r="AU399">
        <v>241</v>
      </c>
      <c r="AV399">
        <v>31</v>
      </c>
      <c r="AW399">
        <v>17</v>
      </c>
      <c r="AX399">
        <v>32</v>
      </c>
      <c r="AY399">
        <v>5</v>
      </c>
      <c r="AZ399">
        <v>171</v>
      </c>
      <c r="BA399">
        <v>9</v>
      </c>
      <c r="BB399">
        <v>1</v>
      </c>
      <c r="BC399" t="s">
        <v>717</v>
      </c>
      <c r="BD399" s="2" t="s">
        <v>5</v>
      </c>
      <c r="BE399" t="s">
        <v>5</v>
      </c>
      <c r="BF399" t="s">
        <v>5</v>
      </c>
      <c r="BG399" t="s">
        <v>5</v>
      </c>
      <c r="BH399" t="s">
        <v>5</v>
      </c>
      <c r="BI399" s="2" t="str">
        <f>HYPERLINK("http://exon.niaid.nih.gov/transcriptome/T_rubida/S2/links/CDD/Triru-299-CDD.txt","PRK05035")</f>
        <v>PRK05035</v>
      </c>
      <c r="BJ399" t="str">
        <f>HYPERLINK("http://www.ncbi.nlm.nih.gov/Structure/cdd/cddsrv.cgi?uid=PRK05035&amp;version=v4.0","1.1")</f>
        <v>1.1</v>
      </c>
      <c r="BK399" t="s">
        <v>718</v>
      </c>
      <c r="BL399" s="2" t="str">
        <f>HYPERLINK("http://exon.niaid.nih.gov/transcriptome/T_rubida/S2/links/KOG/Triru-299-KOG.txt","Phytochelatin synthase")</f>
        <v>Phytochelatin synthase</v>
      </c>
      <c r="BM399" t="str">
        <f>HYPERLINK("http://www.ncbi.nlm.nih.gov/COG/grace/shokog.cgi?KOG0632","4.8")</f>
        <v>4.8</v>
      </c>
      <c r="BN399" t="s">
        <v>117</v>
      </c>
      <c r="BO399" s="2" t="str">
        <f>HYPERLINK("http://exon.niaid.nih.gov/transcriptome/T_rubida/S2/links/PFAM/Triru-299-PFAM.txt","Peptidase_U49")</f>
        <v>Peptidase_U49</v>
      </c>
      <c r="BP399" t="str">
        <f>HYPERLINK("http://pfam.sanger.ac.uk/family?acc=PF10463","4.1")</f>
        <v>4.1</v>
      </c>
      <c r="BQ399" s="2" t="str">
        <f>HYPERLINK("http://exon.niaid.nih.gov/transcriptome/T_rubida/S2/links/SMART/Triru-299-SMART.txt","Agro_virD5")</f>
        <v>Agro_virD5</v>
      </c>
      <c r="BR399" t="str">
        <f>HYPERLINK("http://smart.embl-heidelberg.de/smart/do_annotation.pl?DOMAIN=Agro_virD5&amp;BLAST=DUMMY","0.33")</f>
        <v>0.33</v>
      </c>
      <c r="BS399" s="17">
        <f t="shared" si="66"/>
        <v>1</v>
      </c>
      <c r="BT399" s="1">
        <f t="shared" si="67"/>
        <v>359</v>
      </c>
      <c r="BU399" s="17">
        <f>HYPERLINK("http://exon.niaid.nih.gov/transcriptome/T_rubida/S2/links/cluster/Triru-pep-ext30-50-Sim-CLU28.txt", 28)</f>
        <v>28</v>
      </c>
      <c r="BV399" s="1">
        <f>HYPERLINK("http://exon.niaid.nih.gov/transcriptome/T_rubida/S2/links/cluster/Triru-pep-ext30-50-Sim-CLTL28.txt", 2)</f>
        <v>2</v>
      </c>
      <c r="BW399" s="17">
        <f>HYPERLINK("http://exon.niaid.nih.gov/transcriptome/T_rubida/S2/links/cluster/Triru-pep-ext35-50-Sim-CLU30.txt", 30)</f>
        <v>30</v>
      </c>
      <c r="BX399" s="1">
        <f>HYPERLINK("http://exon.niaid.nih.gov/transcriptome/T_rubida/S2/links/cluster/Triru-pep-ext35-50-Sim-CLTL30.txt", 2)</f>
        <v>2</v>
      </c>
      <c r="BY399" s="17">
        <f>HYPERLINK("http://exon.niaid.nih.gov/transcriptome/T_rubida/S2/links/cluster/Triru-pep-ext40-50-Sim-CLU27.txt", 27)</f>
        <v>27</v>
      </c>
      <c r="BZ399" s="1">
        <f>HYPERLINK("http://exon.niaid.nih.gov/transcriptome/T_rubida/S2/links/cluster/Triru-pep-ext40-50-Sim-CLTL27.txt", 2)</f>
        <v>2</v>
      </c>
      <c r="CA399" s="17">
        <f>HYPERLINK("http://exon.niaid.nih.gov/transcriptome/T_rubida/S2/links/cluster/Triru-pep-ext45-50-Sim-CLU22.txt", 22)</f>
        <v>22</v>
      </c>
      <c r="CB399" s="1">
        <f>HYPERLINK("http://exon.niaid.nih.gov/transcriptome/T_rubida/S2/links/cluster/Triru-pep-ext45-50-Sim-CLTL22.txt", 2)</f>
        <v>2</v>
      </c>
      <c r="CC399" s="17">
        <f>HYPERLINK("http://exon.niaid.nih.gov/transcriptome/T_rubida/S2/links/cluster/Triru-pep-ext50-50-Sim-CLU21.txt", 21)</f>
        <v>21</v>
      </c>
      <c r="CD399" s="1">
        <f>HYPERLINK("http://exon.niaid.nih.gov/transcriptome/T_rubida/S2/links/cluster/Triru-pep-ext50-50-Sim-CLTL21.txt", 2)</f>
        <v>2</v>
      </c>
      <c r="CE399" s="17">
        <f>HYPERLINK("http://exon.niaid.nih.gov/transcriptome/T_rubida/S2/links/cluster/Triru-pep-ext55-50-Sim-CLU16.txt", 16)</f>
        <v>16</v>
      </c>
      <c r="CF399" s="1">
        <f>HYPERLINK("http://exon.niaid.nih.gov/transcriptome/T_rubida/S2/links/cluster/Triru-pep-ext55-50-Sim-CLTL16.txt", 2)</f>
        <v>2</v>
      </c>
      <c r="CG399" s="17">
        <f>HYPERLINK("http://exon.niaid.nih.gov/transcriptome/T_rubida/S2/links/cluster/Triru-pep-ext60-50-Sim-CLU17.txt", 17)</f>
        <v>17</v>
      </c>
      <c r="CH399" s="1">
        <f>HYPERLINK("http://exon.niaid.nih.gov/transcriptome/T_rubida/S2/links/cluster/Triru-pep-ext60-50-Sim-CLTL17.txt", 2)</f>
        <v>2</v>
      </c>
      <c r="CI399" s="17">
        <f>HYPERLINK("http://exon.niaid.nih.gov/transcriptome/T_rubida/S2/links/cluster/Triru-pep-ext65-50-Sim-CLU17.txt", 17)</f>
        <v>17</v>
      </c>
      <c r="CJ399" s="1">
        <f>HYPERLINK("http://exon.niaid.nih.gov/transcriptome/T_rubida/S2/links/cluster/Triru-pep-ext65-50-Sim-CLTL17.txt", 2)</f>
        <v>2</v>
      </c>
      <c r="CK399" s="17">
        <f>HYPERLINK("http://exon.niaid.nih.gov/transcriptome/T_rubida/S2/links/cluster/Triru-pep-ext70-50-Sim-CLU17.txt", 17)</f>
        <v>17</v>
      </c>
      <c r="CL399" s="1">
        <f>HYPERLINK("http://exon.niaid.nih.gov/transcriptome/T_rubida/S2/links/cluster/Triru-pep-ext70-50-Sim-CLTL17.txt", 2)</f>
        <v>2</v>
      </c>
      <c r="CM399" s="17">
        <f>HYPERLINK("http://exon.niaid.nih.gov/transcriptome/T_rubida/S2/links/cluster/Triru-pep-ext75-50-Sim-CLU19.txt", 19)</f>
        <v>19</v>
      </c>
      <c r="CN399" s="1">
        <f>HYPERLINK("http://exon.niaid.nih.gov/transcriptome/T_rubida/S2/links/cluster/Triru-pep-ext75-50-Sim-CLTL19.txt", 2)</f>
        <v>2</v>
      </c>
      <c r="CO399" s="17">
        <f>HYPERLINK("http://exon.niaid.nih.gov/transcriptome/T_rubida/S2/links/cluster/Triru-pep-ext80-50-Sim-CLU16.txt", 16)</f>
        <v>16</v>
      </c>
      <c r="CP399" s="1">
        <f>HYPERLINK("http://exon.niaid.nih.gov/transcriptome/T_rubida/S2/links/cluster/Triru-pep-ext80-50-Sim-CLTL16.txt", 2)</f>
        <v>2</v>
      </c>
      <c r="CQ399" s="17">
        <f>HYPERLINK("http://exon.niaid.nih.gov/transcriptome/T_rubida/S2/links/cluster/Triru-pep-ext85-50-Sim-CLU14.txt", 14)</f>
        <v>14</v>
      </c>
      <c r="CR399" s="1">
        <f>HYPERLINK("http://exon.niaid.nih.gov/transcriptome/T_rubida/S2/links/cluster/Triru-pep-ext85-50-Sim-CLTL14.txt", 2)</f>
        <v>2</v>
      </c>
      <c r="CS399" s="17">
        <v>243</v>
      </c>
      <c r="CT399" s="1">
        <v>1</v>
      </c>
      <c r="CU399" s="17">
        <v>254</v>
      </c>
      <c r="CV399" s="1">
        <v>1</v>
      </c>
    </row>
    <row r="400" spans="1:100">
      <c r="A400" t="str">
        <f>HYPERLINK("http://exon.niaid.nih.gov/transcriptome/T_rubida/S2/links/pep/Triru-449-pep.txt","Triru-449")</f>
        <v>Triru-449</v>
      </c>
      <c r="B400">
        <v>54</v>
      </c>
      <c r="C400" s="1" t="s">
        <v>10</v>
      </c>
      <c r="D400" s="1" t="s">
        <v>3</v>
      </c>
      <c r="E400" t="str">
        <f>HYPERLINK("http://exon.niaid.nih.gov/transcriptome/T_rubida/S2/links/cds/Triru-449-cds.txt","Triru-449")</f>
        <v>Triru-449</v>
      </c>
      <c r="F400">
        <v>165</v>
      </c>
      <c r="G400" s="2" t="s">
        <v>1846</v>
      </c>
      <c r="H400" s="1">
        <v>1</v>
      </c>
      <c r="I400" s="3" t="s">
        <v>1266</v>
      </c>
      <c r="J400" s="17" t="str">
        <f>HYPERLINK("http://exon.niaid.nih.gov/transcriptome/T_rubida/S2/links/Sigp/Triru-449-SigP.txt","CYT")</f>
        <v>CYT</v>
      </c>
      <c r="K400" t="s">
        <v>5</v>
      </c>
      <c r="L400" s="1">
        <v>6.1580000000000004</v>
      </c>
      <c r="M400" s="1">
        <v>8.51</v>
      </c>
      <c r="P400" s="1">
        <v>0.222</v>
      </c>
      <c r="Q400" s="1">
        <v>0.105</v>
      </c>
      <c r="R400" s="1">
        <v>0.629</v>
      </c>
      <c r="S400" s="17" t="s">
        <v>1346</v>
      </c>
      <c r="T400">
        <v>3</v>
      </c>
      <c r="U400" t="s">
        <v>1547</v>
      </c>
      <c r="V400" s="17">
        <v>0</v>
      </c>
      <c r="W400" t="s">
        <v>5</v>
      </c>
      <c r="X400" t="s">
        <v>5</v>
      </c>
      <c r="Y400" t="s">
        <v>5</v>
      </c>
      <c r="Z400" t="s">
        <v>5</v>
      </c>
      <c r="AA400" t="s">
        <v>5</v>
      </c>
      <c r="AB400" s="17" t="str">
        <f>HYPERLINK("http://exon.niaid.nih.gov/transcriptome/T_rubida/S2/links/netoglyc/TRIRU-449-netoglyc.txt","0")</f>
        <v>0</v>
      </c>
      <c r="AC400">
        <v>9.3000000000000007</v>
      </c>
      <c r="AD400">
        <v>11.1</v>
      </c>
      <c r="AE400">
        <v>3.7</v>
      </c>
      <c r="AF400" s="17" t="s">
        <v>5</v>
      </c>
      <c r="AG400" s="2" t="str">
        <f>HYPERLINK("http://exon.niaid.nih.gov/transcriptome/T_rubida/S2/links/NR/Triru-449-NR.txt","hypothetical protein ROSEINA2194_02188")</f>
        <v>hypothetical protein ROSEINA2194_02188</v>
      </c>
      <c r="AH400" t="str">
        <f>HYPERLINK("http://www.ncbi.nlm.nih.gov/sutils/blink.cgi?pid=225376546","23")</f>
        <v>23</v>
      </c>
      <c r="AI400" t="str">
        <f>HYPERLINK("http://www.ncbi.nlm.nih.gov/protein/225376546","gi|225376546")</f>
        <v>gi|225376546</v>
      </c>
      <c r="AJ400">
        <v>32.299999999999997</v>
      </c>
      <c r="AK400">
        <v>44</v>
      </c>
      <c r="AL400">
        <v>697</v>
      </c>
      <c r="AM400">
        <v>31</v>
      </c>
      <c r="AN400">
        <v>6</v>
      </c>
      <c r="AO400" t="s">
        <v>715</v>
      </c>
      <c r="AP400" s="2" t="str">
        <f>HYPERLINK("http://exon.niaid.nih.gov/transcriptome/T_rubida/S2/links/SWISSP/Triru-449-SWISSP.txt","Dihydroxy-acid dehydratase")</f>
        <v>Dihydroxy-acid dehydratase</v>
      </c>
      <c r="AQ400" t="str">
        <f>HYPERLINK("http://www.uniprot.org/uniprot/B2UR52","4.3")</f>
        <v>4.3</v>
      </c>
      <c r="AR400" t="s">
        <v>945</v>
      </c>
      <c r="AS400">
        <v>30</v>
      </c>
      <c r="AT400">
        <v>53</v>
      </c>
      <c r="AU400">
        <v>558</v>
      </c>
      <c r="AV400">
        <v>22</v>
      </c>
      <c r="AW400">
        <v>10</v>
      </c>
      <c r="AX400">
        <v>42</v>
      </c>
      <c r="AY400">
        <v>0</v>
      </c>
      <c r="AZ400">
        <v>74</v>
      </c>
      <c r="BA400">
        <v>1</v>
      </c>
      <c r="BB400">
        <v>1</v>
      </c>
      <c r="BC400" t="s">
        <v>946</v>
      </c>
      <c r="BD400" s="2" t="s">
        <v>5</v>
      </c>
      <c r="BE400" t="s">
        <v>5</v>
      </c>
      <c r="BF400" t="s">
        <v>5</v>
      </c>
      <c r="BG400" t="s">
        <v>5</v>
      </c>
      <c r="BH400" t="s">
        <v>5</v>
      </c>
      <c r="BI400" s="2" t="str">
        <f>HYPERLINK("http://exon.niaid.nih.gov/transcriptome/T_rubida/S2/links/CDD/Triru-449-CDD.txt","PRK05035")</f>
        <v>PRK05035</v>
      </c>
      <c r="BJ400" t="str">
        <f>HYPERLINK("http://www.ncbi.nlm.nih.gov/Structure/cdd/cddsrv.cgi?uid=PRK05035&amp;version=v4.0","1.7")</f>
        <v>1.7</v>
      </c>
      <c r="BK400" t="s">
        <v>947</v>
      </c>
      <c r="BL400" s="2" t="str">
        <f>HYPERLINK("http://exon.niaid.nih.gov/transcriptome/T_rubida/S2/links/KOG/Triru-449-KOG.txt","Phytochelatin synthase")</f>
        <v>Phytochelatin synthase</v>
      </c>
      <c r="BM400" t="str">
        <f>HYPERLINK("http://www.ncbi.nlm.nih.gov/COG/grace/shokog.cgi?KOG0632","4.7")</f>
        <v>4.7</v>
      </c>
      <c r="BN400" t="s">
        <v>117</v>
      </c>
      <c r="BO400" s="2" t="str">
        <f>HYPERLINK("http://exon.niaid.nih.gov/transcriptome/T_rubida/S2/links/PFAM/Triru-449-PFAM.txt","Peptidase_U49")</f>
        <v>Peptidase_U49</v>
      </c>
      <c r="BP400" t="str">
        <f>HYPERLINK("http://pfam.sanger.ac.uk/family?acc=PF10463","3.3")</f>
        <v>3.3</v>
      </c>
      <c r="BQ400" s="2" t="str">
        <f>HYPERLINK("http://exon.niaid.nih.gov/transcriptome/T_rubida/S2/links/SMART/Triru-449-SMART.txt","Agro_virD5")</f>
        <v>Agro_virD5</v>
      </c>
      <c r="BR400" t="str">
        <f>HYPERLINK("http://smart.embl-heidelberg.de/smart/do_annotation.pl?DOMAIN=Agro_virD5&amp;BLAST=DUMMY","1.3")</f>
        <v>1.3</v>
      </c>
      <c r="BS400" s="17">
        <f t="shared" si="66"/>
        <v>1</v>
      </c>
      <c r="BT400" s="1">
        <f t="shared" si="67"/>
        <v>359</v>
      </c>
      <c r="BU400" s="17">
        <f>HYPERLINK("http://exon.niaid.nih.gov/transcriptome/T_rubida/S2/links/cluster/Triru-pep-ext30-50-Sim-CLU28.txt", 28)</f>
        <v>28</v>
      </c>
      <c r="BV400" s="1">
        <f>HYPERLINK("http://exon.niaid.nih.gov/transcriptome/T_rubida/S2/links/cluster/Triru-pep-ext30-50-Sim-CLTL28.txt", 2)</f>
        <v>2</v>
      </c>
      <c r="BW400" s="17">
        <f>HYPERLINK("http://exon.niaid.nih.gov/transcriptome/T_rubida/S2/links/cluster/Triru-pep-ext35-50-Sim-CLU30.txt", 30)</f>
        <v>30</v>
      </c>
      <c r="BX400" s="1">
        <f>HYPERLINK("http://exon.niaid.nih.gov/transcriptome/T_rubida/S2/links/cluster/Triru-pep-ext35-50-Sim-CLTL30.txt", 2)</f>
        <v>2</v>
      </c>
      <c r="BY400" s="17">
        <f>HYPERLINK("http://exon.niaid.nih.gov/transcriptome/T_rubida/S2/links/cluster/Triru-pep-ext40-50-Sim-CLU27.txt", 27)</f>
        <v>27</v>
      </c>
      <c r="BZ400" s="1">
        <f>HYPERLINK("http://exon.niaid.nih.gov/transcriptome/T_rubida/S2/links/cluster/Triru-pep-ext40-50-Sim-CLTL27.txt", 2)</f>
        <v>2</v>
      </c>
      <c r="CA400" s="17">
        <f>HYPERLINK("http://exon.niaid.nih.gov/transcriptome/T_rubida/S2/links/cluster/Triru-pep-ext45-50-Sim-CLU22.txt", 22)</f>
        <v>22</v>
      </c>
      <c r="CB400" s="1">
        <f>HYPERLINK("http://exon.niaid.nih.gov/transcriptome/T_rubida/S2/links/cluster/Triru-pep-ext45-50-Sim-CLTL22.txt", 2)</f>
        <v>2</v>
      </c>
      <c r="CC400" s="17">
        <f>HYPERLINK("http://exon.niaid.nih.gov/transcriptome/T_rubida/S2/links/cluster/Triru-pep-ext50-50-Sim-CLU21.txt", 21)</f>
        <v>21</v>
      </c>
      <c r="CD400" s="1">
        <f>HYPERLINK("http://exon.niaid.nih.gov/transcriptome/T_rubida/S2/links/cluster/Triru-pep-ext50-50-Sim-CLTL21.txt", 2)</f>
        <v>2</v>
      </c>
      <c r="CE400" s="17">
        <f>HYPERLINK("http://exon.niaid.nih.gov/transcriptome/T_rubida/S2/links/cluster/Triru-pep-ext55-50-Sim-CLU16.txt", 16)</f>
        <v>16</v>
      </c>
      <c r="CF400" s="1">
        <f>HYPERLINK("http://exon.niaid.nih.gov/transcriptome/T_rubida/S2/links/cluster/Triru-pep-ext55-50-Sim-CLTL16.txt", 2)</f>
        <v>2</v>
      </c>
      <c r="CG400" s="17">
        <f>HYPERLINK("http://exon.niaid.nih.gov/transcriptome/T_rubida/S2/links/cluster/Triru-pep-ext60-50-Sim-CLU17.txt", 17)</f>
        <v>17</v>
      </c>
      <c r="CH400" s="1">
        <f>HYPERLINK("http://exon.niaid.nih.gov/transcriptome/T_rubida/S2/links/cluster/Triru-pep-ext60-50-Sim-CLTL17.txt", 2)</f>
        <v>2</v>
      </c>
      <c r="CI400" s="17">
        <f>HYPERLINK("http://exon.niaid.nih.gov/transcriptome/T_rubida/S2/links/cluster/Triru-pep-ext65-50-Sim-CLU17.txt", 17)</f>
        <v>17</v>
      </c>
      <c r="CJ400" s="1">
        <f>HYPERLINK("http://exon.niaid.nih.gov/transcriptome/T_rubida/S2/links/cluster/Triru-pep-ext65-50-Sim-CLTL17.txt", 2)</f>
        <v>2</v>
      </c>
      <c r="CK400" s="17">
        <f>HYPERLINK("http://exon.niaid.nih.gov/transcriptome/T_rubida/S2/links/cluster/Triru-pep-ext70-50-Sim-CLU17.txt", 17)</f>
        <v>17</v>
      </c>
      <c r="CL400" s="1">
        <f>HYPERLINK("http://exon.niaid.nih.gov/transcriptome/T_rubida/S2/links/cluster/Triru-pep-ext70-50-Sim-CLTL17.txt", 2)</f>
        <v>2</v>
      </c>
      <c r="CM400" s="17">
        <f>HYPERLINK("http://exon.niaid.nih.gov/transcriptome/T_rubida/S2/links/cluster/Triru-pep-ext75-50-Sim-CLU19.txt", 19)</f>
        <v>19</v>
      </c>
      <c r="CN400" s="1">
        <f>HYPERLINK("http://exon.niaid.nih.gov/transcriptome/T_rubida/S2/links/cluster/Triru-pep-ext75-50-Sim-CLTL19.txt", 2)</f>
        <v>2</v>
      </c>
      <c r="CO400" s="17">
        <f>HYPERLINK("http://exon.niaid.nih.gov/transcriptome/T_rubida/S2/links/cluster/Triru-pep-ext80-50-Sim-CLU16.txt", 16)</f>
        <v>16</v>
      </c>
      <c r="CP400" s="1">
        <f>HYPERLINK("http://exon.niaid.nih.gov/transcriptome/T_rubida/S2/links/cluster/Triru-pep-ext80-50-Sim-CLTL16.txt", 2)</f>
        <v>2</v>
      </c>
      <c r="CQ400" s="17">
        <f>HYPERLINK("http://exon.niaid.nih.gov/transcriptome/T_rubida/S2/links/cluster/Triru-pep-ext85-50-Sim-CLU14.txt", 14)</f>
        <v>14</v>
      </c>
      <c r="CR400" s="1">
        <f>HYPERLINK("http://exon.niaid.nih.gov/transcriptome/T_rubida/S2/links/cluster/Triru-pep-ext85-50-Sim-CLTL14.txt", 2)</f>
        <v>2</v>
      </c>
      <c r="CS400" s="17">
        <v>373</v>
      </c>
      <c r="CT400" s="1">
        <v>1</v>
      </c>
      <c r="CU400" s="17">
        <v>384</v>
      </c>
      <c r="CV400" s="1">
        <v>1</v>
      </c>
    </row>
    <row r="401" spans="1:100">
      <c r="A401" t="str">
        <f>HYPERLINK("http://exon.niaid.nih.gov/transcriptome/T_rubida/S2/links/pep/Triru-430-pep.txt","Triru-430")</f>
        <v>Triru-430</v>
      </c>
      <c r="B401">
        <v>60</v>
      </c>
      <c r="C401" s="1" t="s">
        <v>15</v>
      </c>
      <c r="D401" s="1" t="s">
        <v>3</v>
      </c>
      <c r="E401" t="str">
        <f>HYPERLINK("http://exon.niaid.nih.gov/transcriptome/T_rubida/S2/links/cds/Triru-430-cds.txt","Triru-430")</f>
        <v>Triru-430</v>
      </c>
      <c r="F401">
        <v>183</v>
      </c>
      <c r="G401" s="2" t="s">
        <v>1848</v>
      </c>
      <c r="H401" s="1">
        <v>1</v>
      </c>
      <c r="I401" s="3" t="s">
        <v>1266</v>
      </c>
      <c r="J401" s="17" t="str">
        <f>HYPERLINK("http://exon.niaid.nih.gov/transcriptome/T_rubida/S2/links/Sigp/Triru-430-SigP.txt","CYT")</f>
        <v>CYT</v>
      </c>
      <c r="K401" t="s">
        <v>5</v>
      </c>
      <c r="L401" s="1">
        <v>7.1390000000000002</v>
      </c>
      <c r="M401" s="1">
        <v>10.210000000000001</v>
      </c>
      <c r="P401" s="1">
        <v>4.1000000000000002E-2</v>
      </c>
      <c r="Q401" s="1">
        <v>0.434</v>
      </c>
      <c r="R401" s="1">
        <v>0.54600000000000004</v>
      </c>
      <c r="S401" s="17" t="s">
        <v>1346</v>
      </c>
      <c r="T401">
        <v>5</v>
      </c>
      <c r="U401" t="s">
        <v>1549</v>
      </c>
      <c r="V401" s="17" t="str">
        <f>HYPERLINK("http://exon.niaid.nih.gov/transcriptome/T_rubida/S2/links/tmhmm/TRIRU-430-tmhmm.txt","1")</f>
        <v>1</v>
      </c>
      <c r="W401">
        <v>36.700000000000003</v>
      </c>
      <c r="X401">
        <v>41.7</v>
      </c>
      <c r="Y401">
        <v>21.7</v>
      </c>
      <c r="Z401" t="s">
        <v>5</v>
      </c>
      <c r="AA401">
        <v>25</v>
      </c>
      <c r="AB401" s="17" t="s">
        <v>5</v>
      </c>
      <c r="AC401" t="s">
        <v>5</v>
      </c>
      <c r="AD401" t="s">
        <v>5</v>
      </c>
      <c r="AE401" t="s">
        <v>5</v>
      </c>
      <c r="AF401" s="17" t="s">
        <v>5</v>
      </c>
      <c r="AG401" s="2" t="str">
        <f>HYPERLINK("http://exon.niaid.nih.gov/transcriptome/T_rubida/S2/links/NR/Triru-430-NR.txt","zinc finger protein")</f>
        <v>zinc finger protein</v>
      </c>
      <c r="AH401" t="str">
        <f>HYPERLINK("http://www.ncbi.nlm.nih.gov/sutils/blink.cgi?pid=118395377","13")</f>
        <v>13</v>
      </c>
      <c r="AI401" t="str">
        <f>HYPERLINK("http://www.ncbi.nlm.nih.gov/protein/118395377","gi|118395377")</f>
        <v>gi|118395377</v>
      </c>
      <c r="AJ401">
        <v>33.1</v>
      </c>
      <c r="AK401">
        <v>48</v>
      </c>
      <c r="AL401">
        <v>771</v>
      </c>
      <c r="AM401">
        <v>36</v>
      </c>
      <c r="AN401">
        <v>6</v>
      </c>
      <c r="AO401" t="s">
        <v>405</v>
      </c>
      <c r="AP401" s="2" t="str">
        <f>HYPERLINK("http://exon.niaid.nih.gov/transcriptome/T_rubida/S2/links/SWISSP/Triru-430-SWISSP.txt","Putative membrane protein ycf1")</f>
        <v>Putative membrane protein ycf1</v>
      </c>
      <c r="AQ401" t="str">
        <f>HYPERLINK("http://www.uniprot.org/uniprot/Q9BBN6","7.2")</f>
        <v>7.2</v>
      </c>
      <c r="AR401" t="s">
        <v>779</v>
      </c>
      <c r="AS401">
        <v>29.3</v>
      </c>
      <c r="AT401">
        <v>36</v>
      </c>
      <c r="AU401">
        <v>1793</v>
      </c>
      <c r="AV401">
        <v>40</v>
      </c>
      <c r="AW401">
        <v>2</v>
      </c>
      <c r="AX401">
        <v>22</v>
      </c>
      <c r="AY401">
        <v>0</v>
      </c>
      <c r="AZ401">
        <v>952</v>
      </c>
      <c r="BA401">
        <v>9</v>
      </c>
      <c r="BB401">
        <v>1</v>
      </c>
      <c r="BC401" t="s">
        <v>780</v>
      </c>
      <c r="BD401" s="2" t="s">
        <v>5</v>
      </c>
      <c r="BE401" t="s">
        <v>5</v>
      </c>
      <c r="BF401" t="s">
        <v>5</v>
      </c>
      <c r="BG401" t="s">
        <v>5</v>
      </c>
      <c r="BH401" t="s">
        <v>5</v>
      </c>
      <c r="BI401" s="2" t="s">
        <v>5</v>
      </c>
      <c r="BJ401" t="s">
        <v>5</v>
      </c>
      <c r="BK401" t="s">
        <v>5</v>
      </c>
      <c r="BL401" s="2" t="str">
        <f>HYPERLINK("http://exon.niaid.nih.gov/transcriptome/T_rubida/S2/links/KOG/Triru-430-KOG.txt","Uridine 5'- monophosphate synthase/orotate phosphoribosyltransferase")</f>
        <v>Uridine 5'- monophosphate synthase/orotate phosphoribosyltransferase</v>
      </c>
      <c r="BM401" t="str">
        <f>HYPERLINK("http://www.ncbi.nlm.nih.gov/COG/grace/shokog.cgi?KOG1377","3.0")</f>
        <v>3.0</v>
      </c>
      <c r="BN401" t="s">
        <v>420</v>
      </c>
      <c r="BO401" s="2" t="str">
        <f>HYPERLINK("http://exon.niaid.nih.gov/transcriptome/T_rubida/S2/links/PFAM/Triru-430-PFAM.txt","PKD_channel")</f>
        <v>PKD_channel</v>
      </c>
      <c r="BP401" t="str">
        <f>HYPERLINK("http://pfam.sanger.ac.uk/family?acc=PF08016","9.1")</f>
        <v>9.1</v>
      </c>
      <c r="BQ401" s="2" t="str">
        <f>HYPERLINK("http://exon.niaid.nih.gov/transcriptome/T_rubida/S2/links/SMART/Triru-430-SMART.txt","TNF")</f>
        <v>TNF</v>
      </c>
      <c r="BR401" t="str">
        <f>HYPERLINK("http://smart.embl-heidelberg.de/smart/do_annotation.pl?DOMAIN=TNF&amp;BLAST=DUMMY","6.8")</f>
        <v>6.8</v>
      </c>
      <c r="BS401" s="17">
        <f t="shared" si="66"/>
        <v>1</v>
      </c>
      <c r="BT401" s="1">
        <f t="shared" si="67"/>
        <v>359</v>
      </c>
      <c r="BU401" s="17">
        <f>HYPERLINK("http://exon.niaid.nih.gov/transcriptome/T_rubida/S2/links/cluster/Triru-pep-ext30-50-Sim-CLU1.txt", 1)</f>
        <v>1</v>
      </c>
      <c r="BV401" s="1">
        <f>HYPERLINK("http://exon.niaid.nih.gov/transcriptome/T_rubida/S2/links/cluster/Triru-pep-ext30-50-Sim-CLTL1.txt", 225)</f>
        <v>225</v>
      </c>
      <c r="BW401" s="17">
        <v>248</v>
      </c>
      <c r="BX401" s="1">
        <v>1</v>
      </c>
      <c r="BY401" s="17">
        <v>267</v>
      </c>
      <c r="BZ401" s="1">
        <v>1</v>
      </c>
      <c r="CA401" s="17">
        <v>275</v>
      </c>
      <c r="CB401" s="1">
        <v>1</v>
      </c>
      <c r="CC401" s="17">
        <v>283</v>
      </c>
      <c r="CD401" s="1">
        <v>1</v>
      </c>
      <c r="CE401" s="17">
        <v>293</v>
      </c>
      <c r="CF401" s="1">
        <v>1</v>
      </c>
      <c r="CG401" s="17">
        <v>296</v>
      </c>
      <c r="CH401" s="1">
        <v>1</v>
      </c>
      <c r="CI401" s="17">
        <v>306</v>
      </c>
      <c r="CJ401" s="1">
        <v>1</v>
      </c>
      <c r="CK401" s="17">
        <v>312</v>
      </c>
      <c r="CL401" s="1">
        <v>1</v>
      </c>
      <c r="CM401" s="17">
        <v>320</v>
      </c>
      <c r="CN401" s="1">
        <v>1</v>
      </c>
      <c r="CO401" s="17">
        <v>332</v>
      </c>
      <c r="CP401" s="1">
        <v>1</v>
      </c>
      <c r="CQ401" s="17">
        <v>342</v>
      </c>
      <c r="CR401" s="1">
        <v>1</v>
      </c>
      <c r="CS401" s="17">
        <v>354</v>
      </c>
      <c r="CT401" s="1">
        <v>1</v>
      </c>
      <c r="CU401" s="17">
        <v>365</v>
      </c>
      <c r="CV401" s="1">
        <v>1</v>
      </c>
    </row>
    <row r="402" spans="1:100">
      <c r="A402" t="str">
        <f>HYPERLINK("http://exon.niaid.nih.gov/transcriptome/T_rubida/S2/links/pep/Triru-80-pep.txt","Triru-80")</f>
        <v>Triru-80</v>
      </c>
      <c r="B402">
        <v>46</v>
      </c>
      <c r="C402" s="1" t="s">
        <v>15</v>
      </c>
      <c r="D402" s="1" t="s">
        <v>5</v>
      </c>
      <c r="E402" t="str">
        <f>HYPERLINK("http://exon.niaid.nih.gov/transcriptome/T_rubida/S2/links/cds/Triru-80-cds.txt","Triru-80")</f>
        <v>Triru-80</v>
      </c>
      <c r="F402">
        <v>135</v>
      </c>
      <c r="G402" s="2" t="s">
        <v>1849</v>
      </c>
      <c r="H402" s="1">
        <v>2</v>
      </c>
      <c r="I402" s="3" t="s">
        <v>1266</v>
      </c>
      <c r="J402" s="17" t="str">
        <f>HYPERLINK("http://exon.niaid.nih.gov/transcriptome/T_rubida/S2/links/Sigp/Triru-80-SigP.txt","CYT")</f>
        <v>CYT</v>
      </c>
      <c r="K402" t="s">
        <v>5</v>
      </c>
      <c r="L402" s="1">
        <v>5.49</v>
      </c>
      <c r="M402" s="1">
        <v>10.44</v>
      </c>
      <c r="P402" s="1">
        <v>0.13</v>
      </c>
      <c r="Q402" s="1">
        <v>7.0999999999999994E-2</v>
      </c>
      <c r="R402" s="1">
        <v>0.84599999999999997</v>
      </c>
      <c r="S402" s="17" t="s">
        <v>1346</v>
      </c>
      <c r="T402">
        <v>2</v>
      </c>
      <c r="U402" t="s">
        <v>1382</v>
      </c>
      <c r="V402" s="17">
        <v>0</v>
      </c>
      <c r="W402" t="s">
        <v>5</v>
      </c>
      <c r="X402" t="s">
        <v>5</v>
      </c>
      <c r="Y402" t="s">
        <v>5</v>
      </c>
      <c r="Z402" t="s">
        <v>5</v>
      </c>
      <c r="AA402" t="s">
        <v>5</v>
      </c>
      <c r="AB402" s="17" t="str">
        <f>HYPERLINK("http://exon.niaid.nih.gov/transcriptome/T_rubida/S2/links/netoglyc/TRIRU-80-netoglyc.txt","0")</f>
        <v>0</v>
      </c>
      <c r="AC402">
        <v>4.3</v>
      </c>
      <c r="AD402" t="s">
        <v>1417</v>
      </c>
      <c r="AE402">
        <v>4.3</v>
      </c>
      <c r="AF402" s="17" t="s">
        <v>5</v>
      </c>
      <c r="AG402" s="2" t="str">
        <f>HYPERLINK("http://exon.niaid.nih.gov/transcriptome/T_rubida/S2/links/NR/Triru-80-NR.txt","Mpp7 protein")</f>
        <v>Mpp7 protein</v>
      </c>
      <c r="AH402" t="str">
        <f>HYPERLINK("http://www.ncbi.nlm.nih.gov/sutils/blink.cgi?pid=55249731","3.5")</f>
        <v>3.5</v>
      </c>
      <c r="AI402" t="str">
        <f>HYPERLINK("http://www.ncbi.nlm.nih.gov/protein/55249731","gi|55249731")</f>
        <v>gi|55249731</v>
      </c>
      <c r="AJ402">
        <v>35</v>
      </c>
      <c r="AK402">
        <v>33</v>
      </c>
      <c r="AL402">
        <v>591</v>
      </c>
      <c r="AM402">
        <v>47</v>
      </c>
      <c r="AN402">
        <v>6</v>
      </c>
      <c r="AO402" t="s">
        <v>130</v>
      </c>
      <c r="AP402" s="2" t="str">
        <f>HYPERLINK("http://exon.niaid.nih.gov/transcriptome/T_rubida/S2/links/SWISSP/Triru-80-SWISSP.txt","Electrogenic sodium bicarbonate cotransporter 1")</f>
        <v>Electrogenic sodium bicarbonate cotransporter 1</v>
      </c>
      <c r="AQ402" t="str">
        <f>HYPERLINK("http://www.uniprot.org/uniprot/Q9JI66","5.5")</f>
        <v>5.5</v>
      </c>
      <c r="AR402" t="s">
        <v>769</v>
      </c>
      <c r="AS402">
        <v>29.6</v>
      </c>
      <c r="AT402">
        <v>34</v>
      </c>
      <c r="AU402">
        <v>1079</v>
      </c>
      <c r="AV402">
        <v>47</v>
      </c>
      <c r="AW402">
        <v>3</v>
      </c>
      <c r="AX402">
        <v>20</v>
      </c>
      <c r="AY402">
        <v>3</v>
      </c>
      <c r="AZ402">
        <v>990</v>
      </c>
      <c r="BA402">
        <v>9</v>
      </c>
      <c r="BB402">
        <v>1</v>
      </c>
      <c r="BC402" t="s">
        <v>130</v>
      </c>
      <c r="BD402" s="2" t="s">
        <v>5</v>
      </c>
      <c r="BE402" t="s">
        <v>5</v>
      </c>
      <c r="BF402" t="s">
        <v>5</v>
      </c>
      <c r="BG402" t="s">
        <v>5</v>
      </c>
      <c r="BH402" t="s">
        <v>5</v>
      </c>
      <c r="BI402" s="2" t="s">
        <v>5</v>
      </c>
      <c r="BJ402" t="s">
        <v>5</v>
      </c>
      <c r="BK402" t="s">
        <v>5</v>
      </c>
      <c r="BL402" s="2" t="s">
        <v>5</v>
      </c>
      <c r="BM402" t="s">
        <v>5</v>
      </c>
      <c r="BN402" t="s">
        <v>5</v>
      </c>
      <c r="BO402" s="2" t="str">
        <f>HYPERLINK("http://exon.niaid.nih.gov/transcriptome/T_rubida/S2/links/PFAM/Triru-80-PFAM.txt","Rrn6")</f>
        <v>Rrn6</v>
      </c>
      <c r="BP402" t="str">
        <f>HYPERLINK("http://pfam.sanger.ac.uk/family?acc=PF10214","7.7")</f>
        <v>7.7</v>
      </c>
      <c r="BQ402" s="2" t="str">
        <f>HYPERLINK("http://exon.niaid.nih.gov/transcriptome/T_rubida/S2/links/SMART/Triru-80-SMART.txt","DCD")</f>
        <v>DCD</v>
      </c>
      <c r="BR402" t="str">
        <f>HYPERLINK("http://smart.embl-heidelberg.de/smart/do_annotation.pl?DOMAIN=DCD&amp;BLAST=DUMMY","3.8")</f>
        <v>3.8</v>
      </c>
      <c r="BS402" s="17">
        <f t="shared" si="66"/>
        <v>1</v>
      </c>
      <c r="BT402" s="1">
        <f t="shared" si="67"/>
        <v>359</v>
      </c>
      <c r="BU402" s="17">
        <f>HYPERLINK("http://exon.niaid.nih.gov/transcriptome/T_rubida/S2/links/cluster/Triru-pep-ext30-50-Sim-CLU1.txt", 1)</f>
        <v>1</v>
      </c>
      <c r="BV402" s="1">
        <f>HYPERLINK("http://exon.niaid.nih.gov/transcriptome/T_rubida/S2/links/cluster/Triru-pep-ext30-50-Sim-CLTL1.txt", 225)</f>
        <v>225</v>
      </c>
      <c r="BW402" s="17">
        <f>HYPERLINK("http://exon.niaid.nih.gov/transcriptome/T_rubida/S2/links/cluster/Triru-pep-ext35-50-Sim-CLU4.txt", 4)</f>
        <v>4</v>
      </c>
      <c r="BX402" s="1">
        <f>HYPERLINK("http://exon.niaid.nih.gov/transcriptome/T_rubida/S2/links/cluster/Triru-pep-ext35-50-Sim-CLTL4.txt", 6)</f>
        <v>6</v>
      </c>
      <c r="BY402" s="17">
        <f>HYPERLINK("http://exon.niaid.nih.gov/transcriptome/T_rubida/S2/links/cluster/Triru-pep-ext40-50-Sim-CLU10.txt", 10)</f>
        <v>10</v>
      </c>
      <c r="BZ402" s="1">
        <f>HYPERLINK("http://exon.niaid.nih.gov/transcriptome/T_rubida/S2/links/cluster/Triru-pep-ext40-50-Sim-CLTL10.txt", 2)</f>
        <v>2</v>
      </c>
      <c r="CA402" s="17">
        <f>HYPERLINK("http://exon.niaid.nih.gov/transcriptome/T_rubida/S2/links/cluster/Triru-pep-ext45-50-Sim-CLU8.txt", 8)</f>
        <v>8</v>
      </c>
      <c r="CB402" s="1">
        <f>HYPERLINK("http://exon.niaid.nih.gov/transcriptome/T_rubida/S2/links/cluster/Triru-pep-ext45-50-Sim-CLTL8.txt", 2)</f>
        <v>2</v>
      </c>
      <c r="CC402" s="17">
        <f>HYPERLINK("http://exon.niaid.nih.gov/transcriptome/T_rubida/S2/links/cluster/Triru-pep-ext50-50-Sim-CLU8.txt", 8)</f>
        <v>8</v>
      </c>
      <c r="CD402" s="1">
        <f>HYPERLINK("http://exon.niaid.nih.gov/transcriptome/T_rubida/S2/links/cluster/Triru-pep-ext50-50-Sim-CLTL8.txt", 2)</f>
        <v>2</v>
      </c>
      <c r="CE402" s="17">
        <f>HYPERLINK("http://exon.niaid.nih.gov/transcriptome/T_rubida/S2/links/cluster/Triru-pep-ext55-50-Sim-CLU7.txt", 7)</f>
        <v>7</v>
      </c>
      <c r="CF402" s="1">
        <f>HYPERLINK("http://exon.niaid.nih.gov/transcriptome/T_rubida/S2/links/cluster/Triru-pep-ext55-50-Sim-CLTL7.txt", 2)</f>
        <v>2</v>
      </c>
      <c r="CG402" s="17">
        <v>41</v>
      </c>
      <c r="CH402" s="1">
        <v>1</v>
      </c>
      <c r="CI402" s="17">
        <v>42</v>
      </c>
      <c r="CJ402" s="1">
        <v>1</v>
      </c>
      <c r="CK402" s="17">
        <v>44</v>
      </c>
      <c r="CL402" s="1">
        <v>1</v>
      </c>
      <c r="CM402" s="17">
        <v>46</v>
      </c>
      <c r="CN402" s="1">
        <v>1</v>
      </c>
      <c r="CO402" s="17">
        <v>54</v>
      </c>
      <c r="CP402" s="1">
        <v>1</v>
      </c>
      <c r="CQ402" s="17">
        <v>64</v>
      </c>
      <c r="CR402" s="1">
        <v>1</v>
      </c>
      <c r="CS402" s="17">
        <v>69</v>
      </c>
      <c r="CT402" s="1">
        <v>1</v>
      </c>
      <c r="CU402" s="17">
        <v>78</v>
      </c>
      <c r="CV402" s="1">
        <v>1</v>
      </c>
    </row>
    <row r="403" spans="1:100">
      <c r="A403" t="str">
        <f>HYPERLINK("http://exon.niaid.nih.gov/transcriptome/T_rubida/S2/links/pep/Triru-520-pep.txt","Triru-520")</f>
        <v>Triru-520</v>
      </c>
      <c r="B403">
        <v>69</v>
      </c>
      <c r="C403" s="1" t="s">
        <v>6</v>
      </c>
      <c r="D403" s="1" t="s">
        <v>3</v>
      </c>
      <c r="E403" t="str">
        <f>HYPERLINK("http://exon.niaid.nih.gov/transcriptome/T_rubida/S2/links/cds/Triru-520-cds.txt","Triru-520")</f>
        <v>Triru-520</v>
      </c>
      <c r="F403">
        <v>210</v>
      </c>
      <c r="G403" s="2" t="s">
        <v>1795</v>
      </c>
      <c r="H403" s="1">
        <v>1</v>
      </c>
      <c r="I403" s="3" t="s">
        <v>1266</v>
      </c>
      <c r="J403" s="17" t="str">
        <f>HYPERLINK("http://exon.niaid.nih.gov/transcriptome/T_rubida/S2/links/Sigp/Triru-520-SigP.txt","CYT")</f>
        <v>CYT</v>
      </c>
      <c r="K403" t="s">
        <v>5</v>
      </c>
      <c r="L403" s="1">
        <v>8.2439999999999998</v>
      </c>
      <c r="M403" s="1">
        <v>9.33</v>
      </c>
      <c r="P403" s="1">
        <v>5.7000000000000002E-2</v>
      </c>
      <c r="Q403" s="1">
        <v>0.41699999999999998</v>
      </c>
      <c r="R403" s="1">
        <v>0.69199999999999995</v>
      </c>
      <c r="S403" s="17" t="s">
        <v>1346</v>
      </c>
      <c r="T403">
        <v>4</v>
      </c>
      <c r="U403" t="s">
        <v>1550</v>
      </c>
      <c r="V403" s="17">
        <v>0</v>
      </c>
      <c r="W403" t="s">
        <v>5</v>
      </c>
      <c r="X403" t="s">
        <v>5</v>
      </c>
      <c r="Y403" t="s">
        <v>5</v>
      </c>
      <c r="Z403" t="s">
        <v>5</v>
      </c>
      <c r="AA403" t="s">
        <v>5</v>
      </c>
      <c r="AB403" s="17" t="str">
        <f>HYPERLINK("http://exon.niaid.nih.gov/transcriptome/T_rubida/S2/links/netoglyc/TRIRU-520-netoglyc.txt","0")</f>
        <v>0</v>
      </c>
      <c r="AC403">
        <v>8.6999999999999993</v>
      </c>
      <c r="AD403">
        <v>5.8</v>
      </c>
      <c r="AE403">
        <v>1.4</v>
      </c>
      <c r="AF403" s="17" t="s">
        <v>5</v>
      </c>
      <c r="AG403" s="2" t="str">
        <f>HYPERLINK("http://exon.niaid.nih.gov/transcriptome/T_rubida/S2/links/NR/Triru-520-NR.txt","putative aspartyl-tRNA synthetase")</f>
        <v>putative aspartyl-tRNA synthetase</v>
      </c>
      <c r="AH403" t="str">
        <f>HYPERLINK("http://www.ncbi.nlm.nih.gov/sutils/blink.cgi?pid=307069545","30")</f>
        <v>30</v>
      </c>
      <c r="AI403" t="str">
        <f>HYPERLINK("http://www.ncbi.nlm.nih.gov/protein/307069545","gi|307069545")</f>
        <v>gi|307069545</v>
      </c>
      <c r="AJ403">
        <v>32</v>
      </c>
      <c r="AK403">
        <v>26</v>
      </c>
      <c r="AL403">
        <v>567</v>
      </c>
      <c r="AM403">
        <v>55</v>
      </c>
      <c r="AN403">
        <v>5</v>
      </c>
      <c r="AO403" t="s">
        <v>516</v>
      </c>
      <c r="AP403" s="2" t="str">
        <f>HYPERLINK("http://exon.niaid.nih.gov/transcriptome/T_rubida/S2/links/SWISSP/Triru-520-SWISSP.txt","Protein jhp_1168")</f>
        <v>Protein jhp_1168</v>
      </c>
      <c r="AQ403" t="str">
        <f>HYPERLINK("http://www.uniprot.org/uniprot/Q9ZJY0","16")</f>
        <v>16</v>
      </c>
      <c r="AR403" t="s">
        <v>517</v>
      </c>
      <c r="AS403">
        <v>28.1</v>
      </c>
      <c r="AT403">
        <v>49</v>
      </c>
      <c r="AU403">
        <v>340</v>
      </c>
      <c r="AV403">
        <v>30</v>
      </c>
      <c r="AW403">
        <v>15</v>
      </c>
      <c r="AX403">
        <v>36</v>
      </c>
      <c r="AY403">
        <v>2</v>
      </c>
      <c r="AZ403">
        <v>225</v>
      </c>
      <c r="BA403">
        <v>2</v>
      </c>
      <c r="BB403">
        <v>1</v>
      </c>
      <c r="BC403" t="s">
        <v>518</v>
      </c>
      <c r="BD403" s="2" t="s">
        <v>5</v>
      </c>
      <c r="BE403" t="s">
        <v>5</v>
      </c>
      <c r="BF403" t="s">
        <v>5</v>
      </c>
      <c r="BG403" t="s">
        <v>5</v>
      </c>
      <c r="BH403" t="s">
        <v>5</v>
      </c>
      <c r="BI403" s="2" t="str">
        <f>HYPERLINK("http://exon.niaid.nih.gov/transcriptome/T_rubida/S2/links/CDD/Triru-520-CDD.txt","RNA_pol_I_A49")</f>
        <v>RNA_pol_I_A49</v>
      </c>
      <c r="BJ403" t="str">
        <f>HYPERLINK("http://www.ncbi.nlm.nih.gov/Structure/cdd/cddsrv.cgi?uid=pfam06870&amp;version=v4.0","3.0")</f>
        <v>3.0</v>
      </c>
      <c r="BK403" t="s">
        <v>519</v>
      </c>
      <c r="BL403" s="2" t="str">
        <f>HYPERLINK("http://exon.niaid.nih.gov/transcriptome/T_rubida/S2/links/KOG/Triru-520-KOG.txt","Predicted Zn2+-binding protein, contains FYVE domain")</f>
        <v>Predicted Zn2+-binding protein, contains FYVE domain</v>
      </c>
      <c r="BM403" t="str">
        <f>HYPERLINK("http://www.ncbi.nlm.nih.gov/COG/grace/shokog.cgi?KOG1811","0.79")</f>
        <v>0.79</v>
      </c>
      <c r="BN403" t="s">
        <v>96</v>
      </c>
      <c r="BO403" s="2" t="str">
        <f>HYPERLINK("http://exon.niaid.nih.gov/transcriptome/T_rubida/S2/links/PFAM/Triru-520-PFAM.txt","RNA_pol_I_A49")</f>
        <v>RNA_pol_I_A49</v>
      </c>
      <c r="BP403" t="str">
        <f>HYPERLINK("http://pfam.sanger.ac.uk/family?acc=PF06870","0.65")</f>
        <v>0.65</v>
      </c>
      <c r="BQ403" s="2" t="str">
        <f>HYPERLINK("http://exon.niaid.nih.gov/transcriptome/T_rubida/S2/links/SMART/Triru-520-SMART.txt","RIO")</f>
        <v>RIO</v>
      </c>
      <c r="BR403" t="str">
        <f>HYPERLINK("http://smart.embl-heidelberg.de/smart/do_annotation.pl?DOMAIN=RIO&amp;BLAST=DUMMY","1.7")</f>
        <v>1.7</v>
      </c>
      <c r="BS403" s="17">
        <f t="shared" si="66"/>
        <v>1</v>
      </c>
      <c r="BT403" s="1">
        <f t="shared" si="67"/>
        <v>359</v>
      </c>
      <c r="BU403" s="17">
        <f>HYPERLINK("http://exon.niaid.nih.gov/transcriptome/T_rubida/S2/links/cluster/Triru-pep-ext30-50-Sim-CLU1.txt", 1)</f>
        <v>1</v>
      </c>
      <c r="BV403" s="1">
        <f>HYPERLINK("http://exon.niaid.nih.gov/transcriptome/T_rubida/S2/links/cluster/Triru-pep-ext30-50-Sim-CLTL1.txt", 225)</f>
        <v>225</v>
      </c>
      <c r="BW403" s="17">
        <f>HYPERLINK("http://exon.niaid.nih.gov/transcriptome/T_rubida/S2/links/cluster/Triru-pep-ext35-50-Sim-CLU1.txt", 1)</f>
        <v>1</v>
      </c>
      <c r="BX403" s="1">
        <f>HYPERLINK("http://exon.niaid.nih.gov/transcriptome/T_rubida/S2/links/cluster/Triru-pep-ext35-50-Sim-CLTL1.txt", 75)</f>
        <v>75</v>
      </c>
      <c r="BY403" s="17">
        <f>HYPERLINK("http://exon.niaid.nih.gov/transcriptome/T_rubida/S2/links/cluster/Triru-pep-ext40-50-Sim-CLU15.txt", 15)</f>
        <v>15</v>
      </c>
      <c r="BZ403" s="1">
        <f>HYPERLINK("http://exon.niaid.nih.gov/transcriptome/T_rubida/S2/links/cluster/Triru-pep-ext40-50-Sim-CLTL15.txt", 2)</f>
        <v>2</v>
      </c>
      <c r="CA403" s="17">
        <f>HYPERLINK("http://exon.niaid.nih.gov/transcriptome/T_rubida/S2/links/cluster/Triru-pep-ext45-50-Sim-CLU12.txt", 12)</f>
        <v>12</v>
      </c>
      <c r="CB403" s="1">
        <f>HYPERLINK("http://exon.niaid.nih.gov/transcriptome/T_rubida/S2/links/cluster/Triru-pep-ext45-50-Sim-CLTL12.txt", 2)</f>
        <v>2</v>
      </c>
      <c r="CC403" s="17">
        <f>HYPERLINK("http://exon.niaid.nih.gov/transcriptome/T_rubida/S2/links/cluster/Triru-pep-ext50-50-Sim-CLU12.txt", 12)</f>
        <v>12</v>
      </c>
      <c r="CD403" s="1">
        <f>HYPERLINK("http://exon.niaid.nih.gov/transcriptome/T_rubida/S2/links/cluster/Triru-pep-ext50-50-Sim-CLTL12.txt", 2)</f>
        <v>2</v>
      </c>
      <c r="CE403" s="17">
        <v>366</v>
      </c>
      <c r="CF403" s="1">
        <v>1</v>
      </c>
      <c r="CG403" s="17">
        <v>372</v>
      </c>
      <c r="CH403" s="1">
        <v>1</v>
      </c>
      <c r="CI403" s="17">
        <v>384</v>
      </c>
      <c r="CJ403" s="1">
        <v>1</v>
      </c>
      <c r="CK403" s="17">
        <v>390</v>
      </c>
      <c r="CL403" s="1">
        <v>1</v>
      </c>
      <c r="CM403" s="17">
        <v>399</v>
      </c>
      <c r="CN403" s="1">
        <v>1</v>
      </c>
      <c r="CO403" s="17">
        <v>411</v>
      </c>
      <c r="CP403" s="1">
        <v>1</v>
      </c>
      <c r="CQ403" s="17">
        <v>421</v>
      </c>
      <c r="CR403" s="1">
        <v>1</v>
      </c>
      <c r="CS403" s="17">
        <v>434</v>
      </c>
      <c r="CT403" s="1">
        <v>1</v>
      </c>
      <c r="CU403" s="17">
        <v>445</v>
      </c>
      <c r="CV403" s="1">
        <v>1</v>
      </c>
    </row>
    <row r="404" spans="1:100">
      <c r="A404" t="str">
        <f>HYPERLINK("http://exon.niaid.nih.gov/transcriptome/T_rubida/S2/links/pep/Triru-150-pep.txt","Triru-150")</f>
        <v>Triru-150</v>
      </c>
      <c r="B404">
        <v>26</v>
      </c>
      <c r="C404" s="1" t="s">
        <v>14</v>
      </c>
      <c r="D404" s="1" t="s">
        <v>3</v>
      </c>
      <c r="E404" t="str">
        <f>HYPERLINK("http://exon.niaid.nih.gov/transcriptome/T_rubida/S2/links/cds/Triru-150-cds.txt","Triru-150")</f>
        <v>Triru-150</v>
      </c>
      <c r="F404">
        <v>81</v>
      </c>
      <c r="G404" s="2" t="s">
        <v>1851</v>
      </c>
      <c r="H404" s="1">
        <v>2</v>
      </c>
      <c r="I404" s="3" t="s">
        <v>1266</v>
      </c>
      <c r="J404" s="17" t="str">
        <f>HYPERLINK("http://exon.niaid.nih.gov/transcriptome/T_rubida/S2/links/Sigp/Triru-150-SigP.txt","CYT")</f>
        <v>CYT</v>
      </c>
      <c r="K404" t="s">
        <v>5</v>
      </c>
      <c r="L404" s="1">
        <v>3.262</v>
      </c>
      <c r="M404" s="1">
        <v>9.42</v>
      </c>
      <c r="P404" s="1">
        <v>8.2000000000000003E-2</v>
      </c>
      <c r="Q404" s="1">
        <v>9.0999999999999998E-2</v>
      </c>
      <c r="R404" s="1">
        <v>0.89800000000000002</v>
      </c>
      <c r="S404" s="17" t="s">
        <v>1346</v>
      </c>
      <c r="T404">
        <v>1</v>
      </c>
      <c r="U404" t="s">
        <v>1552</v>
      </c>
      <c r="V404" s="17">
        <v>0</v>
      </c>
      <c r="W404" t="s">
        <v>5</v>
      </c>
      <c r="X404" t="s">
        <v>5</v>
      </c>
      <c r="Y404" t="s">
        <v>5</v>
      </c>
      <c r="Z404" t="s">
        <v>5</v>
      </c>
      <c r="AA404" t="s">
        <v>5</v>
      </c>
      <c r="AB404" s="17" t="str">
        <f>HYPERLINK("http://exon.niaid.nih.gov/transcriptome/T_rubida/S2/links/netoglyc/TRIRU-150-netoglyc.txt","0")</f>
        <v>0</v>
      </c>
      <c r="AC404">
        <v>7.7</v>
      </c>
      <c r="AD404">
        <v>3.8</v>
      </c>
      <c r="AE404" t="s">
        <v>1394</v>
      </c>
      <c r="AF404" s="17" t="s">
        <v>5</v>
      </c>
      <c r="AG404" s="2" t="str">
        <f>HYPERLINK("http://exon.niaid.nih.gov/transcriptome/T_rubida/S2/links/NR/Triru-150-NR.txt","hypothetical protein IMG5_013420")</f>
        <v>hypothetical protein IMG5_013420</v>
      </c>
      <c r="AH404" t="str">
        <f>HYPERLINK("http://www.ncbi.nlm.nih.gov/sutils/blink.cgi?pid=340508752","67")</f>
        <v>67</v>
      </c>
      <c r="AI404" t="str">
        <f>HYPERLINK("http://www.ncbi.nlm.nih.gov/protein/340508752","gi|340508752")</f>
        <v>gi|340508752</v>
      </c>
      <c r="AJ404">
        <v>30.8</v>
      </c>
      <c r="AK404">
        <v>23</v>
      </c>
      <c r="AL404">
        <v>522</v>
      </c>
      <c r="AM404">
        <v>54</v>
      </c>
      <c r="AN404">
        <v>5</v>
      </c>
      <c r="AO404" t="s">
        <v>384</v>
      </c>
      <c r="AP404" s="2" t="s">
        <v>5</v>
      </c>
      <c r="AQ404" t="s">
        <v>5</v>
      </c>
      <c r="AR404" t="s">
        <v>5</v>
      </c>
      <c r="AS404" t="s">
        <v>5</v>
      </c>
      <c r="AT404" t="s">
        <v>5</v>
      </c>
      <c r="AU404" t="s">
        <v>5</v>
      </c>
      <c r="AV404" t="s">
        <v>5</v>
      </c>
      <c r="AW404" t="s">
        <v>5</v>
      </c>
      <c r="AX404" t="s">
        <v>5</v>
      </c>
      <c r="AY404" t="s">
        <v>5</v>
      </c>
      <c r="AZ404" t="s">
        <v>5</v>
      </c>
      <c r="BA404" t="s">
        <v>5</v>
      </c>
      <c r="BB404" t="s">
        <v>5</v>
      </c>
      <c r="BC404" t="s">
        <v>5</v>
      </c>
      <c r="BD404" s="2" t="s">
        <v>5</v>
      </c>
      <c r="BE404" t="s">
        <v>5</v>
      </c>
      <c r="BF404" t="s">
        <v>5</v>
      </c>
      <c r="BG404" t="s">
        <v>5</v>
      </c>
      <c r="BH404" t="s">
        <v>5</v>
      </c>
      <c r="BI404" s="2" t="s">
        <v>5</v>
      </c>
      <c r="BJ404" t="s">
        <v>5</v>
      </c>
      <c r="BK404" t="s">
        <v>5</v>
      </c>
      <c r="BL404" s="2" t="s">
        <v>5</v>
      </c>
      <c r="BM404" t="s">
        <v>5</v>
      </c>
      <c r="BN404" t="s">
        <v>5</v>
      </c>
      <c r="BO404" s="2" t="str">
        <f>HYPERLINK("http://exon.niaid.nih.gov/transcriptome/T_rubida/S2/links/PFAM/Triru-150-PFAM.txt","Pup_ligase")</f>
        <v>Pup_ligase</v>
      </c>
      <c r="BP404" t="str">
        <f>HYPERLINK("http://pfam.sanger.ac.uk/family?acc=PF03136","1.8")</f>
        <v>1.8</v>
      </c>
      <c r="BQ404" s="2" t="str">
        <f>HYPERLINK("http://exon.niaid.nih.gov/transcriptome/T_rubida/S2/links/SMART/Triru-150-SMART.txt","BPI2")</f>
        <v>BPI2</v>
      </c>
      <c r="BR404" t="str">
        <f>HYPERLINK("http://smart.embl-heidelberg.de/smart/do_annotation.pl?DOMAIN=BPI2&amp;BLAST=DUMMY","8.2")</f>
        <v>8.2</v>
      </c>
      <c r="BS404" s="17">
        <f t="shared" si="66"/>
        <v>1</v>
      </c>
      <c r="BT404" s="1">
        <f t="shared" si="67"/>
        <v>359</v>
      </c>
      <c r="BU404" s="17">
        <f>HYPERLINK("http://exon.niaid.nih.gov/transcriptome/T_rubida/S2/links/cluster/Triru-pep-ext30-50-Sim-CLU1.txt", 1)</f>
        <v>1</v>
      </c>
      <c r="BV404" s="1">
        <f>HYPERLINK("http://exon.niaid.nih.gov/transcriptome/T_rubida/S2/links/cluster/Triru-pep-ext30-50-Sim-CLTL1.txt", 225)</f>
        <v>225</v>
      </c>
      <c r="BW404" s="17">
        <v>91</v>
      </c>
      <c r="BX404" s="1">
        <v>1</v>
      </c>
      <c r="BY404" s="17">
        <v>93</v>
      </c>
      <c r="BZ404" s="1">
        <v>1</v>
      </c>
      <c r="CA404" s="17">
        <v>91</v>
      </c>
      <c r="CB404" s="1">
        <v>1</v>
      </c>
      <c r="CC404" s="17">
        <v>90</v>
      </c>
      <c r="CD404" s="1">
        <v>1</v>
      </c>
      <c r="CE404" s="17">
        <v>85</v>
      </c>
      <c r="CF404" s="1">
        <v>1</v>
      </c>
      <c r="CG404" s="17">
        <v>85</v>
      </c>
      <c r="CH404" s="1">
        <v>1</v>
      </c>
      <c r="CI404" s="17">
        <v>91</v>
      </c>
      <c r="CJ404" s="1">
        <v>1</v>
      </c>
      <c r="CK404" s="17">
        <v>95</v>
      </c>
      <c r="CL404" s="1">
        <v>1</v>
      </c>
      <c r="CM404" s="17">
        <v>100</v>
      </c>
      <c r="CN404" s="1">
        <v>1</v>
      </c>
      <c r="CO404" s="17">
        <v>108</v>
      </c>
      <c r="CP404" s="1">
        <v>1</v>
      </c>
      <c r="CQ404" s="17">
        <v>118</v>
      </c>
      <c r="CR404" s="1">
        <v>1</v>
      </c>
      <c r="CS404" s="17">
        <v>123</v>
      </c>
      <c r="CT404" s="1">
        <v>1</v>
      </c>
      <c r="CU404" s="17">
        <v>134</v>
      </c>
      <c r="CV404" s="1">
        <v>1</v>
      </c>
    </row>
    <row r="405" spans="1:100">
      <c r="A405" t="str">
        <f>HYPERLINK("http://exon.niaid.nih.gov/transcriptome/T_rubida/S2/links/pep/Triru-292-pep.txt","Triru-292")</f>
        <v>Triru-292</v>
      </c>
      <c r="B405">
        <v>28</v>
      </c>
      <c r="C405" s="1" t="s">
        <v>15</v>
      </c>
      <c r="D405" s="1" t="s">
        <v>5</v>
      </c>
      <c r="E405" t="str">
        <f>HYPERLINK("http://exon.niaid.nih.gov/transcriptome/T_rubida/S2/links/cds/Triru-292-cds.txt","Triru-292")</f>
        <v>Triru-292</v>
      </c>
      <c r="F405">
        <v>83</v>
      </c>
      <c r="G405" s="2" t="s">
        <v>1852</v>
      </c>
      <c r="H405" s="1">
        <v>1</v>
      </c>
      <c r="I405" s="3" t="s">
        <v>1266</v>
      </c>
      <c r="J405" s="17" t="str">
        <f>HYPERLINK("http://exon.niaid.nih.gov/transcriptome/T_rubida/S2/links/Sigp/Triru-292-SigP.txt","CYT")</f>
        <v>CYT</v>
      </c>
      <c r="K405" t="s">
        <v>5</v>
      </c>
      <c r="L405" s="1">
        <v>3.5129999999999999</v>
      </c>
      <c r="M405" s="1">
        <v>10.36</v>
      </c>
      <c r="P405" s="1">
        <v>0.14399999999999999</v>
      </c>
      <c r="Q405" s="1">
        <v>0.04</v>
      </c>
      <c r="R405" s="1">
        <v>0.89600000000000002</v>
      </c>
      <c r="S405" s="17" t="s">
        <v>1346</v>
      </c>
      <c r="T405">
        <v>2</v>
      </c>
      <c r="U405" t="s">
        <v>1348</v>
      </c>
      <c r="V405" s="17">
        <v>0</v>
      </c>
      <c r="W405" t="s">
        <v>5</v>
      </c>
      <c r="X405" t="s">
        <v>5</v>
      </c>
      <c r="Y405" t="s">
        <v>5</v>
      </c>
      <c r="Z405" t="s">
        <v>5</v>
      </c>
      <c r="AA405" t="s">
        <v>5</v>
      </c>
      <c r="AB405" s="17" t="str">
        <f>HYPERLINK("http://exon.niaid.nih.gov/transcriptome/T_rubida/S2/links/netoglyc/TRIRU-292-netoglyc.txt","0")</f>
        <v>0</v>
      </c>
      <c r="AC405">
        <v>7.1</v>
      </c>
      <c r="AD405">
        <v>3.6</v>
      </c>
      <c r="AE405">
        <v>7.1</v>
      </c>
      <c r="AF405" s="17" t="s">
        <v>5</v>
      </c>
      <c r="AG405" s="2" t="str">
        <f>HYPERLINK("http://exon.niaid.nih.gov/transcriptome/T_rubida/S2/links/NR/Triru-292-NR.txt","putative membrane protein")</f>
        <v>putative membrane protein</v>
      </c>
      <c r="AH405" t="str">
        <f>HYPERLINK("http://www.ncbi.nlm.nih.gov/sutils/blink.cgi?pid=301166785","39")</f>
        <v>39</v>
      </c>
      <c r="AI405" t="str">
        <f>HYPERLINK("http://www.ncbi.nlm.nih.gov/protein/301166785","gi|301166785")</f>
        <v>gi|301166785</v>
      </c>
      <c r="AJ405">
        <v>31.6</v>
      </c>
      <c r="AK405">
        <v>27</v>
      </c>
      <c r="AL405">
        <v>563</v>
      </c>
      <c r="AM405">
        <v>46</v>
      </c>
      <c r="AN405">
        <v>5</v>
      </c>
      <c r="AO405" t="s">
        <v>766</v>
      </c>
      <c r="AP405" s="2" t="str">
        <f>HYPERLINK("http://exon.niaid.nih.gov/transcriptome/T_rubida/S2/links/SWISSP/Triru-292-SWISSP.txt","Uncharacterized adenine-specific methylase MJECS02")</f>
        <v>Uncharacterized adenine-specific methylase MJECS02</v>
      </c>
      <c r="AQ405" t="str">
        <f>HYPERLINK("http://www.uniprot.org/uniprot/Q60301","61")</f>
        <v>61</v>
      </c>
      <c r="AR405" t="s">
        <v>767</v>
      </c>
      <c r="AS405">
        <v>26.2</v>
      </c>
      <c r="AT405">
        <v>23</v>
      </c>
      <c r="AU405">
        <v>1181</v>
      </c>
      <c r="AV405">
        <v>45</v>
      </c>
      <c r="AW405">
        <v>2</v>
      </c>
      <c r="AX405">
        <v>13</v>
      </c>
      <c r="AY405">
        <v>0</v>
      </c>
      <c r="AZ405">
        <v>706</v>
      </c>
      <c r="BA405">
        <v>5</v>
      </c>
      <c r="BB405">
        <v>1</v>
      </c>
      <c r="BC405" t="s">
        <v>768</v>
      </c>
      <c r="BD405" s="2" t="s">
        <v>5</v>
      </c>
      <c r="BE405" t="s">
        <v>5</v>
      </c>
      <c r="BF405" t="s">
        <v>5</v>
      </c>
      <c r="BG405" t="s">
        <v>5</v>
      </c>
      <c r="BH405" t="s">
        <v>5</v>
      </c>
      <c r="BI405" s="2" t="s">
        <v>5</v>
      </c>
      <c r="BJ405" t="s">
        <v>5</v>
      </c>
      <c r="BK405" t="s">
        <v>5</v>
      </c>
      <c r="BL405" s="2" t="s">
        <v>5</v>
      </c>
      <c r="BM405" t="s">
        <v>5</v>
      </c>
      <c r="BN405" t="s">
        <v>5</v>
      </c>
      <c r="BO405" s="2" t="s">
        <v>5</v>
      </c>
      <c r="BP405" t="s">
        <v>5</v>
      </c>
      <c r="BQ405" s="2" t="str">
        <f>HYPERLINK("http://exon.niaid.nih.gov/transcriptome/T_rubida/S2/links/SMART/Triru-292-SMART.txt","SHR3_chaperone")</f>
        <v>SHR3_chaperone</v>
      </c>
      <c r="BR405" t="str">
        <f>HYPERLINK("http://smart.embl-heidelberg.de/smart/do_annotation.pl?DOMAIN=SHR3_chaperone&amp;BLAST=DUMMY","1.9")</f>
        <v>1.9</v>
      </c>
      <c r="BS405" s="17">
        <f t="shared" si="66"/>
        <v>1</v>
      </c>
      <c r="BT405" s="1">
        <f t="shared" si="67"/>
        <v>359</v>
      </c>
      <c r="BU405" s="17">
        <f>HYPERLINK("http://exon.niaid.nih.gov/transcriptome/T_rubida/S2/links/cluster/Triru-pep-ext30-50-Sim-CLU1.txt", 1)</f>
        <v>1</v>
      </c>
      <c r="BV405" s="1">
        <f>HYPERLINK("http://exon.niaid.nih.gov/transcriptome/T_rubida/S2/links/cluster/Triru-pep-ext30-50-Sim-CLTL1.txt", 225)</f>
        <v>225</v>
      </c>
      <c r="BW405" s="17">
        <f>HYPERLINK("http://exon.niaid.nih.gov/transcriptome/T_rubida/S2/links/cluster/Triru-pep-ext35-50-Sim-CLU1.txt", 1)</f>
        <v>1</v>
      </c>
      <c r="BX405" s="1">
        <f>HYPERLINK("http://exon.niaid.nih.gov/transcriptome/T_rubida/S2/links/cluster/Triru-pep-ext35-50-Sim-CLTL1.txt", 75)</f>
        <v>75</v>
      </c>
      <c r="BY405" s="17">
        <f>HYPERLINK("http://exon.niaid.nih.gov/transcriptome/T_rubida/S2/links/cluster/Triru-pep-ext40-50-Sim-CLU2.txt", 2)</f>
        <v>2</v>
      </c>
      <c r="BZ405" s="1">
        <f>HYPERLINK("http://exon.niaid.nih.gov/transcriptome/T_rubida/S2/links/cluster/Triru-pep-ext40-50-Sim-CLTL2.txt", 42)</f>
        <v>42</v>
      </c>
      <c r="CA405" s="17">
        <f>HYPERLINK("http://exon.niaid.nih.gov/transcriptome/T_rubida/S2/links/cluster/Triru-pep-ext45-50-Sim-CLU6.txt", 6)</f>
        <v>6</v>
      </c>
      <c r="CB405" s="1">
        <f>HYPERLINK("http://exon.niaid.nih.gov/transcriptome/T_rubida/S2/links/cluster/Triru-pep-ext45-50-Sim-CLTL6.txt", 3)</f>
        <v>3</v>
      </c>
      <c r="CC405" s="17">
        <f>HYPERLINK("http://exon.niaid.nih.gov/transcriptome/T_rubida/S2/links/cluster/Triru-pep-ext50-50-Sim-CLU11.txt", 11)</f>
        <v>11</v>
      </c>
      <c r="CD405" s="1">
        <f>HYPERLINK("http://exon.niaid.nih.gov/transcriptome/T_rubida/S2/links/cluster/Triru-pep-ext50-50-Sim-CLTL11.txt", 2)</f>
        <v>2</v>
      </c>
      <c r="CE405" s="17">
        <v>188</v>
      </c>
      <c r="CF405" s="1">
        <v>1</v>
      </c>
      <c r="CG405" s="17">
        <v>190</v>
      </c>
      <c r="CH405" s="1">
        <v>1</v>
      </c>
      <c r="CI405" s="17">
        <v>197</v>
      </c>
      <c r="CJ405" s="1">
        <v>1</v>
      </c>
      <c r="CK405" s="17">
        <v>202</v>
      </c>
      <c r="CL405" s="1">
        <v>1</v>
      </c>
      <c r="CM405" s="17">
        <v>208</v>
      </c>
      <c r="CN405" s="1">
        <v>1</v>
      </c>
      <c r="CO405" s="17">
        <v>219</v>
      </c>
      <c r="CP405" s="1">
        <v>1</v>
      </c>
      <c r="CQ405" s="17">
        <v>229</v>
      </c>
      <c r="CR405" s="1">
        <v>1</v>
      </c>
      <c r="CS405" s="17">
        <v>236</v>
      </c>
      <c r="CT405" s="1">
        <v>1</v>
      </c>
      <c r="CU405" s="17">
        <v>247</v>
      </c>
      <c r="CV405" s="1">
        <v>1</v>
      </c>
    </row>
    <row r="406" spans="1:100">
      <c r="A406" t="str">
        <f>HYPERLINK("http://exon.niaid.nih.gov/transcriptome/T_rubida/S2/links/pep/Triru-440-pep.txt","Triru-440")</f>
        <v>Triru-440</v>
      </c>
      <c r="B406">
        <v>97</v>
      </c>
      <c r="C406" s="1" t="s">
        <v>23</v>
      </c>
      <c r="D406" s="1" t="s">
        <v>3</v>
      </c>
      <c r="E406" t="str">
        <f>HYPERLINK("http://exon.niaid.nih.gov/transcriptome/T_rubida/S2/links/cds/Triru-440-cds.txt","Triru-440")</f>
        <v>Triru-440</v>
      </c>
      <c r="F406">
        <v>294</v>
      </c>
      <c r="G406" s="2" t="s">
        <v>1853</v>
      </c>
      <c r="H406" s="1">
        <v>1</v>
      </c>
      <c r="I406" s="3" t="s">
        <v>1266</v>
      </c>
      <c r="J406" s="17" t="str">
        <f>HYPERLINK("http://exon.niaid.nih.gov/transcriptome/T_rubida/S2/links/Sigp/Triru-440-SigP.txt","CYT")</f>
        <v>CYT</v>
      </c>
      <c r="K406" t="s">
        <v>5</v>
      </c>
      <c r="L406" s="1">
        <v>10.795</v>
      </c>
      <c r="M406" s="1">
        <v>6.73</v>
      </c>
      <c r="P406" s="1">
        <v>0.05</v>
      </c>
      <c r="Q406" s="1">
        <v>0.38800000000000001</v>
      </c>
      <c r="R406" s="1">
        <v>0.65400000000000003</v>
      </c>
      <c r="S406" s="17" t="s">
        <v>1346</v>
      </c>
      <c r="T406">
        <v>4</v>
      </c>
      <c r="U406" t="s">
        <v>1553</v>
      </c>
      <c r="V406" s="17">
        <v>0</v>
      </c>
      <c r="W406" t="s">
        <v>5</v>
      </c>
      <c r="X406" t="s">
        <v>5</v>
      </c>
      <c r="Y406" t="s">
        <v>5</v>
      </c>
      <c r="Z406" t="s">
        <v>5</v>
      </c>
      <c r="AA406" t="s">
        <v>5</v>
      </c>
      <c r="AB406" s="17" t="str">
        <f>HYPERLINK("http://exon.niaid.nih.gov/transcriptome/T_rubida/S2/links/netoglyc/TRIRU-440-netoglyc.txt","3")</f>
        <v>3</v>
      </c>
      <c r="AC406">
        <v>13.4</v>
      </c>
      <c r="AD406">
        <v>2.1</v>
      </c>
      <c r="AE406">
        <v>16.5</v>
      </c>
      <c r="AF406" s="17" t="s">
        <v>5</v>
      </c>
      <c r="AG406" s="2" t="str">
        <f>HYPERLINK("http://exon.niaid.nih.gov/transcriptome/T_rubida/S2/links/NR/Triru-440-NR.txt","xylosyltransferase oxt")</f>
        <v>xylosyltransferase oxt</v>
      </c>
      <c r="AH406" t="str">
        <f>HYPERLINK("http://www.ncbi.nlm.nih.gov/sutils/blink.cgi?pid=170071839","0.19")</f>
        <v>0.19</v>
      </c>
      <c r="AI406" t="str">
        <f>HYPERLINK("http://www.ncbi.nlm.nih.gov/protein/170071839","gi|170071839")</f>
        <v>gi|170071839</v>
      </c>
      <c r="AJ406">
        <v>39.299999999999997</v>
      </c>
      <c r="AK406">
        <v>34</v>
      </c>
      <c r="AL406">
        <v>836</v>
      </c>
      <c r="AM406">
        <v>40</v>
      </c>
      <c r="AN406">
        <v>4</v>
      </c>
      <c r="AO406" t="s">
        <v>275</v>
      </c>
      <c r="AP406" s="2" t="str">
        <f>HYPERLINK("http://exon.niaid.nih.gov/transcriptome/T_rubida/S2/links/SWISSP/Triru-440-SWISSP.txt","Sin3 histone deacetylase corepressor complex component SDS3")</f>
        <v>Sin3 histone deacetylase corepressor complex component SDS3</v>
      </c>
      <c r="AQ406" t="str">
        <f>HYPERLINK("http://www.uniprot.org/uniprot/A6H6W9","1.5")</f>
        <v>1.5</v>
      </c>
      <c r="AR406" t="s">
        <v>276</v>
      </c>
      <c r="AS406">
        <v>31.6</v>
      </c>
      <c r="AT406">
        <v>50</v>
      </c>
      <c r="AU406">
        <v>328</v>
      </c>
      <c r="AV406">
        <v>36</v>
      </c>
      <c r="AW406">
        <v>16</v>
      </c>
      <c r="AX406">
        <v>37</v>
      </c>
      <c r="AY406">
        <v>7</v>
      </c>
      <c r="AZ406">
        <v>200</v>
      </c>
      <c r="BA406">
        <v>4</v>
      </c>
      <c r="BB406">
        <v>1</v>
      </c>
      <c r="BC406" t="s">
        <v>95</v>
      </c>
      <c r="BD406" s="2" t="s">
        <v>5</v>
      </c>
      <c r="BE406" t="s">
        <v>5</v>
      </c>
      <c r="BF406" t="s">
        <v>5</v>
      </c>
      <c r="BG406" t="s">
        <v>5</v>
      </c>
      <c r="BH406" t="s">
        <v>5</v>
      </c>
      <c r="BI406" s="2" t="str">
        <f>HYPERLINK("http://exon.niaid.nih.gov/transcriptome/T_rubida/S2/links/CDD/Triru-440-CDD.txt","PRK06975")</f>
        <v>PRK06975</v>
      </c>
      <c r="BJ406" t="str">
        <f>HYPERLINK("http://www.ncbi.nlm.nih.gov/Structure/cdd/cddsrv.cgi?uid=PRK06975&amp;version=v4.0","1.3")</f>
        <v>1.3</v>
      </c>
      <c r="BK406" t="s">
        <v>277</v>
      </c>
      <c r="BL406" s="2" t="str">
        <f>HYPERLINK("http://exon.niaid.nih.gov/transcriptome/T_rubida/S2/links/KOG/Triru-440-KOG.txt","Synaptic vesicle protein rabphilin-3A")</f>
        <v>Synaptic vesicle protein rabphilin-3A</v>
      </c>
      <c r="BM406" t="str">
        <f>HYPERLINK("http://www.ncbi.nlm.nih.gov/COG/grace/shokog.cgi?KOG1013","1.2")</f>
        <v>1.2</v>
      </c>
      <c r="BN406" t="s">
        <v>164</v>
      </c>
      <c r="BO406" s="2" t="str">
        <f>HYPERLINK("http://exon.niaid.nih.gov/transcriptome/T_rubida/S2/links/PFAM/Triru-440-PFAM.txt","DEC-1_N")</f>
        <v>DEC-1_N</v>
      </c>
      <c r="BP406" t="str">
        <f>HYPERLINK("http://pfam.sanger.ac.uk/family?acc=PF04625","5.1")</f>
        <v>5.1</v>
      </c>
      <c r="BQ406" s="2" t="str">
        <f>HYPERLINK("http://exon.niaid.nih.gov/transcriptome/T_rubida/S2/links/SMART/Triru-440-SMART.txt","ZnF_C3H1")</f>
        <v>ZnF_C3H1</v>
      </c>
      <c r="BR406" t="str">
        <f>HYPERLINK("http://smart.embl-heidelberg.de/smart/do_annotation.pl?DOMAIN=ZnF_C3H1&amp;BLAST=DUMMY","1.6")</f>
        <v>1.6</v>
      </c>
      <c r="BS406" s="17">
        <v>136</v>
      </c>
      <c r="BT406" s="1">
        <v>1</v>
      </c>
      <c r="BU406" s="17">
        <v>201</v>
      </c>
      <c r="BV406" s="1">
        <v>1</v>
      </c>
      <c r="BW406" s="17">
        <v>255</v>
      </c>
      <c r="BX406" s="1">
        <v>1</v>
      </c>
      <c r="BY406" s="17">
        <v>275</v>
      </c>
      <c r="BZ406" s="1">
        <v>1</v>
      </c>
      <c r="CA406" s="17">
        <v>284</v>
      </c>
      <c r="CB406" s="1">
        <v>1</v>
      </c>
      <c r="CC406" s="17">
        <v>292</v>
      </c>
      <c r="CD406" s="1">
        <v>1</v>
      </c>
      <c r="CE406" s="17">
        <v>302</v>
      </c>
      <c r="CF406" s="1">
        <v>1</v>
      </c>
      <c r="CG406" s="17">
        <v>306</v>
      </c>
      <c r="CH406" s="1">
        <v>1</v>
      </c>
      <c r="CI406" s="17">
        <v>316</v>
      </c>
      <c r="CJ406" s="1">
        <v>1</v>
      </c>
      <c r="CK406" s="17">
        <v>322</v>
      </c>
      <c r="CL406" s="1">
        <v>1</v>
      </c>
      <c r="CM406" s="17">
        <v>330</v>
      </c>
      <c r="CN406" s="1">
        <v>1</v>
      </c>
      <c r="CO406" s="17">
        <v>342</v>
      </c>
      <c r="CP406" s="1">
        <v>1</v>
      </c>
      <c r="CQ406" s="17">
        <v>352</v>
      </c>
      <c r="CR406" s="1">
        <v>1</v>
      </c>
      <c r="CS406" s="17">
        <v>364</v>
      </c>
      <c r="CT406" s="1">
        <v>1</v>
      </c>
      <c r="CU406" s="17">
        <v>375</v>
      </c>
      <c r="CV406" s="1">
        <v>1</v>
      </c>
    </row>
    <row r="407" spans="1:100">
      <c r="A407" t="str">
        <f>HYPERLINK("http://exon.niaid.nih.gov/transcriptome/T_rubida/S2/links/pep/Triru-306-pep.txt","Triru-306")</f>
        <v>Triru-306</v>
      </c>
      <c r="B407">
        <v>54</v>
      </c>
      <c r="C407" s="1" t="s">
        <v>4</v>
      </c>
      <c r="D407" s="1" t="s">
        <v>3</v>
      </c>
      <c r="E407" t="str">
        <f>HYPERLINK("http://exon.niaid.nih.gov/transcriptome/T_rubida/S2/links/cds/Triru-306-cds.txt","Triru-306")</f>
        <v>Triru-306</v>
      </c>
      <c r="F407">
        <v>165</v>
      </c>
      <c r="G407" s="2" t="s">
        <v>1855</v>
      </c>
      <c r="H407" s="1">
        <v>1</v>
      </c>
      <c r="I407" s="3" t="s">
        <v>1266</v>
      </c>
      <c r="J407" s="17" t="str">
        <f>HYPERLINK("http://exon.niaid.nih.gov/transcriptome/T_rubida/S2/links/Sigp/Triru-306-SigP.txt","CYT")</f>
        <v>CYT</v>
      </c>
      <c r="K407" t="s">
        <v>5</v>
      </c>
      <c r="L407" s="1">
        <v>5.9489999999999998</v>
      </c>
      <c r="M407" s="1">
        <v>5.28</v>
      </c>
      <c r="P407" s="1">
        <v>7.6999999999999999E-2</v>
      </c>
      <c r="Q407" s="1">
        <v>7.2999999999999995E-2</v>
      </c>
      <c r="R407" s="1">
        <v>0.91300000000000003</v>
      </c>
      <c r="S407" s="17" t="s">
        <v>1346</v>
      </c>
      <c r="T407">
        <v>1</v>
      </c>
      <c r="U407" t="s">
        <v>1348</v>
      </c>
      <c r="V407" s="17">
        <v>0</v>
      </c>
      <c r="W407" t="s">
        <v>5</v>
      </c>
      <c r="X407" t="s">
        <v>5</v>
      </c>
      <c r="Y407" t="s">
        <v>5</v>
      </c>
      <c r="Z407" t="s">
        <v>5</v>
      </c>
      <c r="AA407" t="s">
        <v>5</v>
      </c>
      <c r="AB407" s="17" t="str">
        <f>HYPERLINK("http://exon.niaid.nih.gov/transcriptome/T_rubida/S2/links/netoglyc/TRIRU-306-netoglyc.txt","0")</f>
        <v>0</v>
      </c>
      <c r="AC407">
        <v>16.7</v>
      </c>
      <c r="AD407">
        <v>7.4</v>
      </c>
      <c r="AE407">
        <v>5.6</v>
      </c>
      <c r="AF407" s="17" t="s">
        <v>5</v>
      </c>
      <c r="AG407" s="2" t="str">
        <f>HYPERLINK("http://exon.niaid.nih.gov/transcriptome/T_rubida/S2/links/NR/Triru-306-NR.txt","AGAP006768-PA")</f>
        <v>AGAP006768-PA</v>
      </c>
      <c r="AH407" t="str">
        <f>HYPERLINK("http://www.ncbi.nlm.nih.gov/sutils/blink.cgi?pid=158286873","0.19")</f>
        <v>0.19</v>
      </c>
      <c r="AI407" t="str">
        <f>HYPERLINK("http://www.ncbi.nlm.nih.gov/protein/158286873","gi|158286873")</f>
        <v>gi|158286873</v>
      </c>
      <c r="AJ407">
        <v>39.299999999999997</v>
      </c>
      <c r="AK407">
        <v>23</v>
      </c>
      <c r="AL407">
        <v>562</v>
      </c>
      <c r="AM407">
        <v>66</v>
      </c>
      <c r="AN407">
        <v>4</v>
      </c>
      <c r="AO407" t="s">
        <v>125</v>
      </c>
      <c r="AP407" s="2" t="str">
        <f>HYPERLINK("http://exon.niaid.nih.gov/transcriptome/T_rubida/S2/links/SWISSP/Triru-306-SWISSP.txt","Diacylglycerol kinase alpha")</f>
        <v>Diacylglycerol kinase alpha</v>
      </c>
      <c r="AQ407" t="str">
        <f>HYPERLINK("http://www.uniprot.org/uniprot/P51556","0.13")</f>
        <v>0.13</v>
      </c>
      <c r="AR407" t="s">
        <v>129</v>
      </c>
      <c r="AS407">
        <v>35</v>
      </c>
      <c r="AT407">
        <v>30</v>
      </c>
      <c r="AU407">
        <v>727</v>
      </c>
      <c r="AV407">
        <v>51</v>
      </c>
      <c r="AW407">
        <v>4</v>
      </c>
      <c r="AX407">
        <v>15</v>
      </c>
      <c r="AY407">
        <v>0</v>
      </c>
      <c r="AZ407">
        <v>691</v>
      </c>
      <c r="BA407">
        <v>2</v>
      </c>
      <c r="BB407">
        <v>1</v>
      </c>
      <c r="BC407" t="s">
        <v>130</v>
      </c>
      <c r="BD407" s="2" t="s">
        <v>5</v>
      </c>
      <c r="BE407" t="s">
        <v>5</v>
      </c>
      <c r="BF407" t="s">
        <v>5</v>
      </c>
      <c r="BG407" t="s">
        <v>5</v>
      </c>
      <c r="BH407" t="s">
        <v>5</v>
      </c>
      <c r="BI407" s="2" t="str">
        <f>HYPERLINK("http://exon.niaid.nih.gov/transcriptome/T_rubida/S2/links/CDD/Triru-306-CDD.txt","Cwf_Cwc_15")</f>
        <v>Cwf_Cwc_15</v>
      </c>
      <c r="BJ407" t="str">
        <f>HYPERLINK("http://www.ncbi.nlm.nih.gov/Structure/cdd/cddsrv.cgi?uid=pfam04889&amp;version=v4.0","2.4")</f>
        <v>2.4</v>
      </c>
      <c r="BK407" t="s">
        <v>131</v>
      </c>
      <c r="BL407" s="2" t="str">
        <f>HYPERLINK("http://exon.niaid.nih.gov/transcriptome/T_rubida/S2/links/KOG/Triru-306-KOG.txt","Diacylglycerol kinase")</f>
        <v>Diacylglycerol kinase</v>
      </c>
      <c r="BM407" t="str">
        <f>HYPERLINK("http://www.ncbi.nlm.nih.gov/COG/grace/shokog.cgi?KOG1169","1E-004")</f>
        <v>1E-004</v>
      </c>
      <c r="BN407" t="s">
        <v>132</v>
      </c>
      <c r="BO407" s="2" t="str">
        <f>HYPERLINK("http://exon.niaid.nih.gov/transcriptome/T_rubida/S2/links/PFAM/Triru-306-PFAM.txt","Cwf_Cwc_15")</f>
        <v>Cwf_Cwc_15</v>
      </c>
      <c r="BP407" t="str">
        <f>HYPERLINK("http://pfam.sanger.ac.uk/family?acc=PF04889","0.50")</f>
        <v>0.50</v>
      </c>
      <c r="BQ407" s="2" t="str">
        <f>HYPERLINK("http://exon.niaid.nih.gov/transcriptome/T_rubida/S2/links/SMART/Triru-306-SMART.txt","PIPKc")</f>
        <v>PIPKc</v>
      </c>
      <c r="BR407" t="str">
        <f>HYPERLINK("http://smart.embl-heidelberg.de/smart/do_annotation.pl?DOMAIN=PIPKc&amp;BLAST=DUMMY","1.1")</f>
        <v>1.1</v>
      </c>
      <c r="BS407" s="17">
        <v>90</v>
      </c>
      <c r="BT407" s="1">
        <v>1</v>
      </c>
      <c r="BU407" s="17">
        <v>142</v>
      </c>
      <c r="BV407" s="1">
        <v>1</v>
      </c>
      <c r="BW407" s="17">
        <v>171</v>
      </c>
      <c r="BX407" s="1">
        <v>1</v>
      </c>
      <c r="BY407" s="17">
        <v>182</v>
      </c>
      <c r="BZ407" s="1">
        <v>1</v>
      </c>
      <c r="CA407" s="17">
        <v>187</v>
      </c>
      <c r="CB407" s="1">
        <v>1</v>
      </c>
      <c r="CC407" s="17">
        <v>192</v>
      </c>
      <c r="CD407" s="1">
        <v>1</v>
      </c>
      <c r="CE407" s="17">
        <v>198</v>
      </c>
      <c r="CF407" s="1">
        <v>1</v>
      </c>
      <c r="CG407" s="17">
        <v>200</v>
      </c>
      <c r="CH407" s="1">
        <v>1</v>
      </c>
      <c r="CI407" s="17">
        <v>209</v>
      </c>
      <c r="CJ407" s="1">
        <v>1</v>
      </c>
      <c r="CK407" s="17">
        <v>214</v>
      </c>
      <c r="CL407" s="1">
        <v>1</v>
      </c>
      <c r="CM407" s="17">
        <v>220</v>
      </c>
      <c r="CN407" s="1">
        <v>1</v>
      </c>
      <c r="CO407" s="17">
        <v>231</v>
      </c>
      <c r="CP407" s="1">
        <v>1</v>
      </c>
      <c r="CQ407" s="17">
        <v>241</v>
      </c>
      <c r="CR407" s="1">
        <v>1</v>
      </c>
      <c r="CS407" s="17">
        <v>250</v>
      </c>
      <c r="CT407" s="1">
        <v>1</v>
      </c>
      <c r="CU407" s="17">
        <v>261</v>
      </c>
      <c r="CV407" s="1">
        <v>1</v>
      </c>
    </row>
    <row r="408" spans="1:100">
      <c r="A408" t="str">
        <f>HYPERLINK("http://exon.niaid.nih.gov/transcriptome/T_rubida/S2/links/pep/Triru-317-pep.txt","Triru-317")</f>
        <v>Triru-317</v>
      </c>
      <c r="B408">
        <v>82</v>
      </c>
      <c r="C408" s="1" t="s">
        <v>20</v>
      </c>
      <c r="D408" s="1" t="s">
        <v>3</v>
      </c>
      <c r="E408" t="str">
        <f>HYPERLINK("http://exon.niaid.nih.gov/transcriptome/T_rubida/S2/links/cds/Triru-317-cds.txt","Triru-317")</f>
        <v>Triru-317</v>
      </c>
      <c r="F408">
        <v>249</v>
      </c>
      <c r="G408" s="2" t="s">
        <v>1858</v>
      </c>
      <c r="H408" s="1">
        <v>1</v>
      </c>
      <c r="I408" s="3" t="s">
        <v>1266</v>
      </c>
      <c r="J408" s="17" t="str">
        <f>HYPERLINK("http://exon.niaid.nih.gov/transcriptome/T_rubida/S2/links/Sigp/Triru-317-SigP.txt","CYT")</f>
        <v>CYT</v>
      </c>
      <c r="K408" t="s">
        <v>5</v>
      </c>
      <c r="L408" s="1">
        <v>9.5640000000000001</v>
      </c>
      <c r="M408" s="1">
        <v>10.86</v>
      </c>
      <c r="P408" s="1">
        <v>0.41399999999999998</v>
      </c>
      <c r="Q408" s="1">
        <v>3.1E-2</v>
      </c>
      <c r="R408" s="1">
        <v>0.55400000000000005</v>
      </c>
      <c r="S408" s="17" t="s">
        <v>1346</v>
      </c>
      <c r="T408">
        <v>5</v>
      </c>
      <c r="U408" t="s">
        <v>1558</v>
      </c>
      <c r="V408" s="17">
        <v>0</v>
      </c>
      <c r="W408" t="s">
        <v>5</v>
      </c>
      <c r="X408" t="s">
        <v>5</v>
      </c>
      <c r="Y408" t="s">
        <v>5</v>
      </c>
      <c r="Z408" t="s">
        <v>5</v>
      </c>
      <c r="AA408" t="s">
        <v>5</v>
      </c>
      <c r="AB408" s="17" t="str">
        <f>HYPERLINK("http://exon.niaid.nih.gov/transcriptome/T_rubida/S2/links/netoglyc/TRIRU-317-netoglyc.txt","3")</f>
        <v>3</v>
      </c>
      <c r="AC408">
        <v>13.4</v>
      </c>
      <c r="AD408">
        <v>4.9000000000000004</v>
      </c>
      <c r="AE408">
        <v>17.100000000000001</v>
      </c>
      <c r="AF408" s="17" t="s">
        <v>5</v>
      </c>
      <c r="AG408" s="2" t="str">
        <f>HYPERLINK("http://exon.niaid.nih.gov/transcriptome/T_rubida/S2/links/NR/Triru-317-NR.txt","hypothetical protein CRE_13202")</f>
        <v>hypothetical protein CRE_13202</v>
      </c>
      <c r="AH408" t="str">
        <f>HYPERLINK("http://www.ncbi.nlm.nih.gov/sutils/blink.cgi?pid=308451624","6.0")</f>
        <v>6.0</v>
      </c>
      <c r="AI408" t="str">
        <f>HYPERLINK("http://www.ncbi.nlm.nih.gov/protein/308451624","gi|308451624")</f>
        <v>gi|308451624</v>
      </c>
      <c r="AJ408">
        <v>34.299999999999997</v>
      </c>
      <c r="AK408">
        <v>58</v>
      </c>
      <c r="AL408">
        <v>1503</v>
      </c>
      <c r="AM408">
        <v>34</v>
      </c>
      <c r="AN408">
        <v>4</v>
      </c>
      <c r="AO408" t="s">
        <v>892</v>
      </c>
      <c r="AP408" s="2" t="str">
        <f>HYPERLINK("http://exon.niaid.nih.gov/transcriptome/T_rubida/S2/links/SWISSP/Triru-317-SWISSP.txt","Pheromone-processing carboxypeptidase KEX1")</f>
        <v>Pheromone-processing carboxypeptidase KEX1</v>
      </c>
      <c r="AQ408" t="str">
        <f>HYPERLINK("http://www.uniprot.org/uniprot/E7R7R2","0.85")</f>
        <v>0.85</v>
      </c>
      <c r="AR408" t="s">
        <v>893</v>
      </c>
      <c r="AS408">
        <v>32.299999999999997</v>
      </c>
      <c r="AT408">
        <v>37</v>
      </c>
      <c r="AU408">
        <v>610</v>
      </c>
      <c r="AV408">
        <v>44</v>
      </c>
      <c r="AW408">
        <v>6</v>
      </c>
      <c r="AX408">
        <v>21</v>
      </c>
      <c r="AY408">
        <v>0</v>
      </c>
      <c r="AZ408">
        <v>508</v>
      </c>
      <c r="BA408">
        <v>10</v>
      </c>
      <c r="BB408">
        <v>1</v>
      </c>
      <c r="BC408" t="s">
        <v>894</v>
      </c>
      <c r="BD408" s="2" t="s">
        <v>5</v>
      </c>
      <c r="BE408" t="s">
        <v>5</v>
      </c>
      <c r="BF408" t="s">
        <v>5</v>
      </c>
      <c r="BG408" t="s">
        <v>5</v>
      </c>
      <c r="BH408" t="s">
        <v>5</v>
      </c>
      <c r="BI408" s="2" t="str">
        <f>HYPERLINK("http://exon.niaid.nih.gov/transcriptome/T_rubida/S2/links/CDD/Triru-317-CDD.txt","FTR1")</f>
        <v>FTR1</v>
      </c>
      <c r="BJ408" t="str">
        <f>HYPERLINK("http://www.ncbi.nlm.nih.gov/Structure/cdd/cddsrv.cgi?uid=COG0672&amp;version=v4.0","1.5")</f>
        <v>1.5</v>
      </c>
      <c r="BK408" t="s">
        <v>895</v>
      </c>
      <c r="BL408" s="2" t="str">
        <f>HYPERLINK("http://exon.niaid.nih.gov/transcriptome/T_rubida/S2/links/KOG/Triru-317-KOG.txt","PolyC-binding hnRNP-K protein HRB57A/hnRNP, contains KH domain")</f>
        <v>PolyC-binding hnRNP-K protein HRB57A/hnRNP, contains KH domain</v>
      </c>
      <c r="BM408" t="str">
        <f>HYPERLINK("http://www.ncbi.nlm.nih.gov/COG/grace/shokog.cgi?KOG2192","0.19")</f>
        <v>0.19</v>
      </c>
      <c r="BN408" t="s">
        <v>896</v>
      </c>
      <c r="BO408" s="2" t="str">
        <f>HYPERLINK("http://exon.niaid.nih.gov/transcriptome/T_rubida/S2/links/PFAM/Triru-317-PFAM.txt","Herpes_UL47")</f>
        <v>Herpes_UL47</v>
      </c>
      <c r="BP408" t="str">
        <f>HYPERLINK("http://pfam.sanger.ac.uk/family?acc=PF03362","0.98")</f>
        <v>0.98</v>
      </c>
      <c r="BQ408" s="2" t="str">
        <f>HYPERLINK("http://exon.niaid.nih.gov/transcriptome/T_rubida/S2/links/SMART/Triru-317-SMART.txt","CT")</f>
        <v>CT</v>
      </c>
      <c r="BR408" t="str">
        <f>HYPERLINK("http://smart.embl-heidelberg.de/smart/do_annotation.pl?DOMAIN=CT&amp;BLAST=DUMMY","1.6")</f>
        <v>1.6</v>
      </c>
      <c r="BS408" s="17">
        <f t="shared" ref="BS408:BS414" si="68">HYPERLINK("http://exon.niaid.nih.gov/transcriptome/T_rubida/S2/links/cluster/Triru-pep-ext25-50-Sim-CLU1.txt", 1)</f>
        <v>1</v>
      </c>
      <c r="BT408" s="1">
        <f t="shared" ref="BT408:BT414" si="69">HYPERLINK("http://exon.niaid.nih.gov/transcriptome/T_rubida/S2/links/cluster/Triru-pep-ext25-50-Sim-CLTL1.txt", 359)</f>
        <v>359</v>
      </c>
      <c r="BU408" s="17">
        <v>147</v>
      </c>
      <c r="BV408" s="1">
        <v>1</v>
      </c>
      <c r="BW408" s="17">
        <v>179</v>
      </c>
      <c r="BX408" s="1">
        <v>1</v>
      </c>
      <c r="BY408" s="17">
        <v>190</v>
      </c>
      <c r="BZ408" s="1">
        <v>1</v>
      </c>
      <c r="CA408" s="17">
        <v>196</v>
      </c>
      <c r="CB408" s="1">
        <v>1</v>
      </c>
      <c r="CC408" s="17">
        <v>201</v>
      </c>
      <c r="CD408" s="1">
        <v>1</v>
      </c>
      <c r="CE408" s="17">
        <v>207</v>
      </c>
      <c r="CF408" s="1">
        <v>1</v>
      </c>
      <c r="CG408" s="17">
        <v>209</v>
      </c>
      <c r="CH408" s="1">
        <v>1</v>
      </c>
      <c r="CI408" s="17">
        <v>218</v>
      </c>
      <c r="CJ408" s="1">
        <v>1</v>
      </c>
      <c r="CK408" s="17">
        <v>223</v>
      </c>
      <c r="CL408" s="1">
        <v>1</v>
      </c>
      <c r="CM408" s="17">
        <v>230</v>
      </c>
      <c r="CN408" s="1">
        <v>1</v>
      </c>
      <c r="CO408" s="17">
        <v>241</v>
      </c>
      <c r="CP408" s="1">
        <v>1</v>
      </c>
      <c r="CQ408" s="17">
        <v>251</v>
      </c>
      <c r="CR408" s="1">
        <v>1</v>
      </c>
      <c r="CS408" s="17">
        <v>260</v>
      </c>
      <c r="CT408" s="1">
        <v>1</v>
      </c>
      <c r="CU408" s="17">
        <v>271</v>
      </c>
      <c r="CV408" s="1">
        <v>1</v>
      </c>
    </row>
    <row r="409" spans="1:100">
      <c r="A409" t="str">
        <f>HYPERLINK("http://exon.niaid.nih.gov/transcriptome/T_rubida/S2/links/pep/Triru-214-pep.txt","Triru-214")</f>
        <v>Triru-214</v>
      </c>
      <c r="B409">
        <v>47</v>
      </c>
      <c r="C409" s="1" t="s">
        <v>4</v>
      </c>
      <c r="D409" s="1" t="s">
        <v>5</v>
      </c>
      <c r="E409" t="str">
        <f>HYPERLINK("http://exon.niaid.nih.gov/transcriptome/T_rubida/S2/links/cds/Triru-214-cds.txt","Triru-214")</f>
        <v>Triru-214</v>
      </c>
      <c r="F409">
        <v>138</v>
      </c>
      <c r="G409" s="2" t="s">
        <v>1859</v>
      </c>
      <c r="H409" s="1">
        <v>1</v>
      </c>
      <c r="I409" s="3" t="s">
        <v>1266</v>
      </c>
      <c r="J409" s="17" t="str">
        <f>HYPERLINK("http://exon.niaid.nih.gov/transcriptome/T_rubida/S2/links/Sigp/Triru-214-SigP.txt","CYT")</f>
        <v>CYT</v>
      </c>
      <c r="K409" t="s">
        <v>5</v>
      </c>
      <c r="L409" s="1">
        <v>5.5940000000000003</v>
      </c>
      <c r="M409" s="1">
        <v>10.14</v>
      </c>
      <c r="P409" s="1">
        <v>8.5000000000000006E-2</v>
      </c>
      <c r="Q409" s="1">
        <v>0.27100000000000002</v>
      </c>
      <c r="R409" s="1">
        <v>0.62</v>
      </c>
      <c r="S409" s="17" t="s">
        <v>1346</v>
      </c>
      <c r="T409">
        <v>4</v>
      </c>
      <c r="U409" t="s">
        <v>1559</v>
      </c>
      <c r="V409" s="17" t="str">
        <f>HYPERLINK("http://exon.niaid.nih.gov/transcriptome/T_rubida/S2/links/tmhmm/TRIRU-214-tmhmm.txt","1")</f>
        <v>1</v>
      </c>
      <c r="W409">
        <v>46.8</v>
      </c>
      <c r="X409">
        <v>38.299999999999997</v>
      </c>
      <c r="Y409">
        <v>14.9</v>
      </c>
      <c r="Z409" t="s">
        <v>5</v>
      </c>
      <c r="AA409">
        <v>18</v>
      </c>
      <c r="AB409" s="17" t="str">
        <f>HYPERLINK("http://exon.niaid.nih.gov/transcriptome/T_rubida/S2/links/netoglyc/TRIRU-214-netoglyc.txt","0")</f>
        <v>0</v>
      </c>
      <c r="AC409">
        <v>12.8</v>
      </c>
      <c r="AD409" t="s">
        <v>1417</v>
      </c>
      <c r="AE409" t="s">
        <v>1394</v>
      </c>
      <c r="AF409" s="17" t="s">
        <v>5</v>
      </c>
      <c r="AG409" s="2" t="str">
        <f>HYPERLINK("http://exon.niaid.nih.gov/transcriptome/T_rubida/S2/links/NR/Triru-214-NR.txt","conserved hypothetical protein")</f>
        <v>conserved hypothetical protein</v>
      </c>
      <c r="AH409" t="str">
        <f>HYPERLINK("http://www.ncbi.nlm.nih.gov/sutils/blink.cgi?pid=242018378","39")</f>
        <v>39</v>
      </c>
      <c r="AI409" t="str">
        <f>HYPERLINK("http://www.ncbi.nlm.nih.gov/protein/242018378","gi|242018378")</f>
        <v>gi|242018378</v>
      </c>
      <c r="AJ409">
        <v>31.6</v>
      </c>
      <c r="AK409">
        <v>33</v>
      </c>
      <c r="AL409">
        <v>1093</v>
      </c>
      <c r="AM409">
        <v>48</v>
      </c>
      <c r="AN409">
        <v>3</v>
      </c>
      <c r="AO409" t="s">
        <v>54</v>
      </c>
      <c r="AP409" s="2" t="str">
        <f>HYPERLINK("http://exon.niaid.nih.gov/transcriptome/T_rubida/S2/links/SWISSP/Triru-214-SWISSP.txt","Regulatory protein BlaR1")</f>
        <v>Regulatory protein BlaR1</v>
      </c>
      <c r="AQ409" t="str">
        <f>HYPERLINK("http://www.uniprot.org/uniprot/P18357","12")</f>
        <v>12</v>
      </c>
      <c r="AR409" t="s">
        <v>55</v>
      </c>
      <c r="AS409">
        <v>28.5</v>
      </c>
      <c r="AT409">
        <v>40</v>
      </c>
      <c r="AU409">
        <v>585</v>
      </c>
      <c r="AV409">
        <v>32</v>
      </c>
      <c r="AW409">
        <v>7</v>
      </c>
      <c r="AX409">
        <v>29</v>
      </c>
      <c r="AY409">
        <v>2</v>
      </c>
      <c r="AZ409">
        <v>105</v>
      </c>
      <c r="BA409">
        <v>4</v>
      </c>
      <c r="BB409">
        <v>1</v>
      </c>
      <c r="BC409" t="s">
        <v>56</v>
      </c>
      <c r="BD409" s="2" t="s">
        <v>5</v>
      </c>
      <c r="BE409" t="s">
        <v>5</v>
      </c>
      <c r="BF409" t="s">
        <v>5</v>
      </c>
      <c r="BG409" t="s">
        <v>5</v>
      </c>
      <c r="BH409" t="s">
        <v>5</v>
      </c>
      <c r="BI409" s="2" t="str">
        <f>HYPERLINK("http://exon.niaid.nih.gov/transcriptome/T_rubida/S2/links/CDD/Triru-214-CDD.txt","rim_protein")</f>
        <v>rim_protein</v>
      </c>
      <c r="BJ409" t="str">
        <f>HYPERLINK("http://www.ncbi.nlm.nih.gov/Structure/cdd/cddsrv.cgi?uid=TIGR01257&amp;version=v4.0","3.6")</f>
        <v>3.6</v>
      </c>
      <c r="BK409" t="s">
        <v>57</v>
      </c>
      <c r="BL409" s="2" t="str">
        <f>HYPERLINK("http://exon.niaid.nih.gov/transcriptome/T_rubida/S2/links/KOG/Triru-214-KOG.txt","Ca2+-permeable cation channel OSM-9 and related channels (OTRPC family)")</f>
        <v>Ca2+-permeable cation channel OSM-9 and related channels (OTRPC family)</v>
      </c>
      <c r="BM409" t="str">
        <f>HYPERLINK("http://www.ncbi.nlm.nih.gov/COG/grace/shokog.cgi?KOG3676","3.5")</f>
        <v>3.5</v>
      </c>
      <c r="BN409" t="s">
        <v>58</v>
      </c>
      <c r="BO409" s="2" t="str">
        <f>HYPERLINK("http://exon.niaid.nih.gov/transcriptome/T_rubida/S2/links/PFAM/Triru-214-PFAM.txt","Transferase")</f>
        <v>Transferase</v>
      </c>
      <c r="BP409" t="str">
        <f>HYPERLINK("http://pfam.sanger.ac.uk/family?acc=PF02458","4.3")</f>
        <v>4.3</v>
      </c>
      <c r="BQ409" s="2" t="str">
        <f>HYPERLINK("http://exon.niaid.nih.gov/transcriptome/T_rubida/S2/links/SMART/Triru-214-SMART.txt","RPOL9")</f>
        <v>RPOL9</v>
      </c>
      <c r="BR409" t="str">
        <f>HYPERLINK("http://smart.embl-heidelberg.de/smart/do_annotation.pl?DOMAIN=RPOL9&amp;BLAST=DUMMY","4.3")</f>
        <v>4.3</v>
      </c>
      <c r="BS409" s="17">
        <f t="shared" si="68"/>
        <v>1</v>
      </c>
      <c r="BT409" s="1">
        <f t="shared" si="69"/>
        <v>359</v>
      </c>
      <c r="BU409" s="17">
        <f>HYPERLINK("http://exon.niaid.nih.gov/transcriptome/T_rubida/S2/links/cluster/Triru-pep-ext30-50-Sim-CLU1.txt", 1)</f>
        <v>1</v>
      </c>
      <c r="BV409" s="1">
        <f>HYPERLINK("http://exon.niaid.nih.gov/transcriptome/T_rubida/S2/links/cluster/Triru-pep-ext30-50-Sim-CLTL1.txt", 225)</f>
        <v>225</v>
      </c>
      <c r="BW409" s="17">
        <f>HYPERLINK("http://exon.niaid.nih.gov/transcriptome/T_rubida/S2/links/cluster/Triru-pep-ext35-50-Sim-CLU4.txt", 4)</f>
        <v>4</v>
      </c>
      <c r="BX409" s="1">
        <f>HYPERLINK("http://exon.niaid.nih.gov/transcriptome/T_rubida/S2/links/cluster/Triru-pep-ext35-50-Sim-CLTL4.txt", 6)</f>
        <v>6</v>
      </c>
      <c r="BY409" s="17">
        <f>HYPERLINK("http://exon.niaid.nih.gov/transcriptome/T_rubida/S2/links/cluster/Triru-pep-ext40-50-Sim-CLU10.txt", 10)</f>
        <v>10</v>
      </c>
      <c r="BZ409" s="1">
        <f>HYPERLINK("http://exon.niaid.nih.gov/transcriptome/T_rubida/S2/links/cluster/Triru-pep-ext40-50-Sim-CLTL10.txt", 2)</f>
        <v>2</v>
      </c>
      <c r="CA409" s="17">
        <f>HYPERLINK("http://exon.niaid.nih.gov/transcriptome/T_rubida/S2/links/cluster/Triru-pep-ext45-50-Sim-CLU8.txt", 8)</f>
        <v>8</v>
      </c>
      <c r="CB409" s="1">
        <f>HYPERLINK("http://exon.niaid.nih.gov/transcriptome/T_rubida/S2/links/cluster/Triru-pep-ext45-50-Sim-CLTL8.txt", 2)</f>
        <v>2</v>
      </c>
      <c r="CC409" s="17">
        <f>HYPERLINK("http://exon.niaid.nih.gov/transcriptome/T_rubida/S2/links/cluster/Triru-pep-ext50-50-Sim-CLU8.txt", 8)</f>
        <v>8</v>
      </c>
      <c r="CD409" s="1">
        <f>HYPERLINK("http://exon.niaid.nih.gov/transcriptome/T_rubida/S2/links/cluster/Triru-pep-ext50-50-Sim-CLTL8.txt", 2)</f>
        <v>2</v>
      </c>
      <c r="CE409" s="17">
        <f>HYPERLINK("http://exon.niaid.nih.gov/transcriptome/T_rubida/S2/links/cluster/Triru-pep-ext55-50-Sim-CLU7.txt", 7)</f>
        <v>7</v>
      </c>
      <c r="CF409" s="1">
        <f>HYPERLINK("http://exon.niaid.nih.gov/transcriptome/T_rubida/S2/links/cluster/Triru-pep-ext55-50-Sim-CLTL7.txt", 2)</f>
        <v>2</v>
      </c>
      <c r="CG409" s="17">
        <v>131</v>
      </c>
      <c r="CH409" s="1">
        <v>1</v>
      </c>
      <c r="CI409" s="17">
        <v>137</v>
      </c>
      <c r="CJ409" s="1">
        <v>1</v>
      </c>
      <c r="CK409" s="17">
        <v>142</v>
      </c>
      <c r="CL409" s="1">
        <v>1</v>
      </c>
      <c r="CM409" s="17">
        <v>148</v>
      </c>
      <c r="CN409" s="1">
        <v>1</v>
      </c>
      <c r="CO409" s="17">
        <v>158</v>
      </c>
      <c r="CP409" s="1">
        <v>1</v>
      </c>
      <c r="CQ409" s="17">
        <v>168</v>
      </c>
      <c r="CR409" s="1">
        <v>1</v>
      </c>
      <c r="CS409" s="17">
        <v>173</v>
      </c>
      <c r="CT409" s="1">
        <v>1</v>
      </c>
      <c r="CU409" s="17">
        <v>184</v>
      </c>
      <c r="CV409" s="1">
        <v>1</v>
      </c>
    </row>
    <row r="410" spans="1:100">
      <c r="A410" t="str">
        <f>HYPERLINK("http://exon.niaid.nih.gov/transcriptome/T_rubida/S2/links/pep/Triru-637-pep.txt","Triru-637")</f>
        <v>Triru-637</v>
      </c>
      <c r="B410">
        <v>17</v>
      </c>
      <c r="C410" s="1" t="s">
        <v>8</v>
      </c>
      <c r="D410" s="1" t="s">
        <v>3</v>
      </c>
      <c r="E410" t="str">
        <f>HYPERLINK("http://exon.niaid.nih.gov/transcriptome/T_rubida/S2/links/cds/Triru-637-cds.txt","Triru-637")</f>
        <v>Triru-637</v>
      </c>
      <c r="F410">
        <v>54</v>
      </c>
      <c r="G410" s="2" t="s">
        <v>1860</v>
      </c>
      <c r="H410" s="1">
        <v>1</v>
      </c>
      <c r="I410" s="3" t="s">
        <v>1266</v>
      </c>
      <c r="J410" s="17" t="str">
        <f>HYPERLINK("http://exon.niaid.nih.gov/transcriptome/T_rubida/S2/links/Sigp/Triru-637-SigP.txt","CYT")</f>
        <v>CYT</v>
      </c>
      <c r="K410" t="s">
        <v>5</v>
      </c>
      <c r="L410" s="1">
        <v>2.3180000000000001</v>
      </c>
      <c r="M410" s="1">
        <v>8.59</v>
      </c>
      <c r="P410" s="1">
        <v>0.21199999999999999</v>
      </c>
      <c r="Q410" s="1">
        <v>0.17199999999999999</v>
      </c>
      <c r="R410" s="1">
        <v>0.58499999999999996</v>
      </c>
      <c r="S410" s="17" t="s">
        <v>1346</v>
      </c>
      <c r="T410">
        <v>4</v>
      </c>
      <c r="U410" t="s">
        <v>1560</v>
      </c>
      <c r="V410" s="17">
        <v>0</v>
      </c>
      <c r="W410" t="s">
        <v>5</v>
      </c>
      <c r="X410" t="s">
        <v>5</v>
      </c>
      <c r="Y410" t="s">
        <v>5</v>
      </c>
      <c r="Z410" t="s">
        <v>5</v>
      </c>
      <c r="AA410" t="s">
        <v>5</v>
      </c>
      <c r="AB410" s="17" t="str">
        <f>HYPERLINK("http://exon.niaid.nih.gov/transcriptome/T_rubida/S2/links/netoglyc/TRIRU-637-netoglyc.txt","0")</f>
        <v>0</v>
      </c>
      <c r="AC410">
        <v>5.9</v>
      </c>
      <c r="AD410">
        <v>5.9</v>
      </c>
      <c r="AE410" t="s">
        <v>1394</v>
      </c>
      <c r="AF410" s="17" t="s">
        <v>5</v>
      </c>
      <c r="AG410" s="2" t="str">
        <f>HYPERLINK("http://exon.niaid.nih.gov/transcriptome/T_rubida/S2/links/NR/Triru-637-NR.txt","NADH dehydrogenase subunit 5")</f>
        <v>NADH dehydrogenase subunit 5</v>
      </c>
      <c r="AH410" t="str">
        <f>HYPERLINK("http://www.ncbi.nlm.nih.gov/sutils/blink.cgi?pid=240266564","5.4")</f>
        <v>5.4</v>
      </c>
      <c r="AI410" t="str">
        <f>HYPERLINK("http://www.ncbi.nlm.nih.gov/protein/240266564","gi|240266564")</f>
        <v>gi|240266564</v>
      </c>
      <c r="AJ410">
        <v>33.9</v>
      </c>
      <c r="AK410">
        <v>15</v>
      </c>
      <c r="AL410">
        <v>559</v>
      </c>
      <c r="AM410">
        <v>87</v>
      </c>
      <c r="AN410">
        <v>3</v>
      </c>
      <c r="AO410" t="s">
        <v>349</v>
      </c>
      <c r="AP410" s="2" t="str">
        <f>HYPERLINK("http://exon.niaid.nih.gov/transcriptome/T_rubida/S2/links/SWISSP/Triru-637-SWISSP.txt","Putative uncharacterized transmembrane protein DDB_G0280807")</f>
        <v>Putative uncharacterized transmembrane protein DDB_G0280807</v>
      </c>
      <c r="AQ410" t="str">
        <f>HYPERLINK("http://www.uniprot.org/uniprot/Q54UX2","3.8")</f>
        <v>3.8</v>
      </c>
      <c r="AR410" t="s">
        <v>350</v>
      </c>
      <c r="AS410">
        <v>29.6</v>
      </c>
      <c r="AT410">
        <v>15</v>
      </c>
      <c r="AU410">
        <v>159</v>
      </c>
      <c r="AV410">
        <v>68</v>
      </c>
      <c r="AW410">
        <v>10</v>
      </c>
      <c r="AX410">
        <v>5</v>
      </c>
      <c r="AY410">
        <v>0</v>
      </c>
      <c r="AZ410">
        <v>91</v>
      </c>
      <c r="BA410">
        <v>1</v>
      </c>
      <c r="BB410">
        <v>1</v>
      </c>
      <c r="BC410" t="s">
        <v>99</v>
      </c>
      <c r="BD410" s="2" t="s">
        <v>5</v>
      </c>
      <c r="BE410" t="s">
        <v>5</v>
      </c>
      <c r="BF410" t="s">
        <v>5</v>
      </c>
      <c r="BG410" t="s">
        <v>5</v>
      </c>
      <c r="BH410" t="s">
        <v>5</v>
      </c>
      <c r="BI410" s="2" t="s">
        <v>5</v>
      </c>
      <c r="BJ410" t="s">
        <v>5</v>
      </c>
      <c r="BK410" t="s">
        <v>5</v>
      </c>
      <c r="BL410" s="2" t="s">
        <v>5</v>
      </c>
      <c r="BM410" t="s">
        <v>5</v>
      </c>
      <c r="BN410" t="s">
        <v>5</v>
      </c>
      <c r="BO410" s="2" t="s">
        <v>5</v>
      </c>
      <c r="BP410" t="s">
        <v>5</v>
      </c>
      <c r="BQ410" s="2" t="s">
        <v>5</v>
      </c>
      <c r="BR410" t="s">
        <v>5</v>
      </c>
      <c r="BS410" s="17">
        <f t="shared" si="68"/>
        <v>1</v>
      </c>
      <c r="BT410" s="1">
        <f t="shared" si="69"/>
        <v>359</v>
      </c>
      <c r="BU410" s="17">
        <f>HYPERLINK("http://exon.niaid.nih.gov/transcriptome/T_rubida/S2/links/cluster/Triru-pep-ext30-50-Sim-CLU1.txt", 1)</f>
        <v>1</v>
      </c>
      <c r="BV410" s="1">
        <f>HYPERLINK("http://exon.niaid.nih.gov/transcriptome/T_rubida/S2/links/cluster/Triru-pep-ext30-50-Sim-CLTL1.txt", 225)</f>
        <v>225</v>
      </c>
      <c r="BW410" s="17">
        <f>HYPERLINK("http://exon.niaid.nih.gov/transcriptome/T_rubida/S2/links/cluster/Triru-pep-ext35-50-Sim-CLU1.txt", 1)</f>
        <v>1</v>
      </c>
      <c r="BX410" s="1">
        <f>HYPERLINK("http://exon.niaid.nih.gov/transcriptome/T_rubida/S2/links/cluster/Triru-pep-ext35-50-Sim-CLTL1.txt", 75)</f>
        <v>75</v>
      </c>
      <c r="BY410" s="17">
        <f>HYPERLINK("http://exon.niaid.nih.gov/transcriptome/T_rubida/S2/links/cluster/Triru-pep-ext40-50-Sim-CLU2.txt", 2)</f>
        <v>2</v>
      </c>
      <c r="BZ410" s="1">
        <f>HYPERLINK("http://exon.niaid.nih.gov/transcriptome/T_rubida/S2/links/cluster/Triru-pep-ext40-50-Sim-CLTL2.txt", 42)</f>
        <v>42</v>
      </c>
      <c r="CA410" s="17">
        <f>HYPERLINK("http://exon.niaid.nih.gov/transcriptome/T_rubida/S2/links/cluster/Triru-pep-ext45-50-Sim-CLU2.txt", 2)</f>
        <v>2</v>
      </c>
      <c r="CB410" s="1">
        <f>HYPERLINK("http://exon.niaid.nih.gov/transcriptome/T_rubida/S2/links/cluster/Triru-pep-ext45-50-Sim-CLTL2.txt", 33)</f>
        <v>33</v>
      </c>
      <c r="CC410" s="17">
        <f>HYPERLINK("http://exon.niaid.nih.gov/transcriptome/T_rubida/S2/links/cluster/Triru-pep-ext50-50-Sim-CLU3.txt", 3)</f>
        <v>3</v>
      </c>
      <c r="CD410" s="1">
        <f>HYPERLINK("http://exon.niaid.nih.gov/transcriptome/T_rubida/S2/links/cluster/Triru-pep-ext50-50-Sim-CLTL3.txt", 23)</f>
        <v>23</v>
      </c>
      <c r="CE410" s="17">
        <f>HYPERLINK("http://exon.niaid.nih.gov/transcriptome/T_rubida/S2/links/cluster/Triru-pep-ext55-50-Sim-CLU3.txt", 3)</f>
        <v>3</v>
      </c>
      <c r="CF410" s="1">
        <f>HYPERLINK("http://exon.niaid.nih.gov/transcriptome/T_rubida/S2/links/cluster/Triru-pep-ext55-50-Sim-CLTL3.txt", 16)</f>
        <v>16</v>
      </c>
      <c r="CG410" s="17">
        <v>462</v>
      </c>
      <c r="CH410" s="1">
        <v>1</v>
      </c>
      <c r="CI410" s="17">
        <v>476</v>
      </c>
      <c r="CJ410" s="1">
        <v>1</v>
      </c>
      <c r="CK410" s="17">
        <v>482</v>
      </c>
      <c r="CL410" s="1">
        <v>1</v>
      </c>
      <c r="CM410" s="17">
        <v>494</v>
      </c>
      <c r="CN410" s="1">
        <v>1</v>
      </c>
      <c r="CO410" s="17">
        <v>506</v>
      </c>
      <c r="CP410" s="1">
        <v>1</v>
      </c>
      <c r="CQ410" s="17">
        <v>516</v>
      </c>
      <c r="CR410" s="1">
        <v>1</v>
      </c>
      <c r="CS410" s="17">
        <v>529</v>
      </c>
      <c r="CT410" s="1">
        <v>1</v>
      </c>
      <c r="CU410" s="17">
        <v>542</v>
      </c>
      <c r="CV410" s="1">
        <v>1</v>
      </c>
    </row>
    <row r="411" spans="1:100">
      <c r="A411" t="str">
        <f>HYPERLINK("http://exon.niaid.nih.gov/transcriptome/T_rubida/S2/links/pep/Triru-254-pep.txt","Triru-254")</f>
        <v>Triru-254</v>
      </c>
      <c r="B411">
        <v>32</v>
      </c>
      <c r="C411" s="1" t="s">
        <v>8</v>
      </c>
      <c r="D411" s="1" t="s">
        <v>3</v>
      </c>
      <c r="E411" t="str">
        <f>HYPERLINK("http://exon.niaid.nih.gov/transcriptome/T_rubida/S2/links/cds/Triru-254-cds.txt","Triru-254")</f>
        <v>Triru-254</v>
      </c>
      <c r="F411">
        <v>99</v>
      </c>
      <c r="G411" s="2" t="s">
        <v>1861</v>
      </c>
      <c r="H411" s="1">
        <v>1</v>
      </c>
      <c r="I411" s="3" t="s">
        <v>1266</v>
      </c>
      <c r="J411" s="17" t="str">
        <f>HYPERLINK("http://exon.niaid.nih.gov/transcriptome/T_rubida/S2/links/Sigp/Triru-254-SigP.txt","CYT")</f>
        <v>CYT</v>
      </c>
      <c r="K411" t="s">
        <v>5</v>
      </c>
      <c r="L411" s="1">
        <v>4.1459999999999999</v>
      </c>
      <c r="M411" s="1">
        <v>9.43</v>
      </c>
      <c r="P411" s="1">
        <v>0.28199999999999997</v>
      </c>
      <c r="Q411" s="1">
        <v>0.187</v>
      </c>
      <c r="R411" s="1">
        <v>0.37</v>
      </c>
      <c r="S411" s="17" t="s">
        <v>1346</v>
      </c>
      <c r="T411">
        <v>5</v>
      </c>
      <c r="U411" t="s">
        <v>1347</v>
      </c>
      <c r="V411" s="17">
        <v>0</v>
      </c>
      <c r="W411" t="s">
        <v>5</v>
      </c>
      <c r="X411" t="s">
        <v>5</v>
      </c>
      <c r="Y411" t="s">
        <v>5</v>
      </c>
      <c r="Z411" t="s">
        <v>5</v>
      </c>
      <c r="AA411" t="s">
        <v>5</v>
      </c>
      <c r="AB411" s="17" t="str">
        <f>HYPERLINK("http://exon.niaid.nih.gov/transcriptome/T_rubida/S2/links/netoglyc/TRIRU-254-netoglyc.txt","0")</f>
        <v>0</v>
      </c>
      <c r="AC411">
        <v>6.3</v>
      </c>
      <c r="AD411">
        <v>3.1</v>
      </c>
      <c r="AE411" t="s">
        <v>1394</v>
      </c>
      <c r="AF411" s="17" t="s">
        <v>5</v>
      </c>
      <c r="AG411" s="2" t="str">
        <f>HYPERLINK("http://exon.niaid.nih.gov/transcriptome/T_rubida/S2/links/NR/Triru-254-NR.txt","integral membrane protein")</f>
        <v>integral membrane protein</v>
      </c>
      <c r="AH411" t="str">
        <f>HYPERLINK("http://www.ncbi.nlm.nih.gov/sutils/blink.cgi?pid=85001599","66")</f>
        <v>66</v>
      </c>
      <c r="AI411" t="str">
        <f>HYPERLINK("http://www.ncbi.nlm.nih.gov/protein/85001599","gi|85001599")</f>
        <v>gi|85001599</v>
      </c>
      <c r="AJ411">
        <v>30.8</v>
      </c>
      <c r="AK411">
        <v>28</v>
      </c>
      <c r="AL411">
        <v>1096</v>
      </c>
      <c r="AM411">
        <v>48</v>
      </c>
      <c r="AN411">
        <v>3</v>
      </c>
      <c r="AO411" t="s">
        <v>370</v>
      </c>
      <c r="AP411" s="2" t="str">
        <f>HYPERLINK("http://exon.niaid.nih.gov/transcriptome/T_rubida/S2/links/SWISSP/Triru-254-SWISSP.txt","Endothelin B receptor")</f>
        <v>Endothelin B receptor</v>
      </c>
      <c r="AQ411" t="str">
        <f>HYPERLINK("http://www.uniprot.org/uniprot/P21451","36")</f>
        <v>36</v>
      </c>
      <c r="AR411" t="s">
        <v>371</v>
      </c>
      <c r="AS411">
        <v>26.9</v>
      </c>
      <c r="AT411">
        <v>26</v>
      </c>
      <c r="AU411">
        <v>442</v>
      </c>
      <c r="AV411">
        <v>44</v>
      </c>
      <c r="AW411">
        <v>6</v>
      </c>
      <c r="AX411">
        <v>15</v>
      </c>
      <c r="AY411">
        <v>0</v>
      </c>
      <c r="AZ411">
        <v>278</v>
      </c>
      <c r="BA411">
        <v>2</v>
      </c>
      <c r="BB411">
        <v>1</v>
      </c>
      <c r="BC411" t="s">
        <v>130</v>
      </c>
      <c r="BD411" s="2" t="s">
        <v>5</v>
      </c>
      <c r="BE411" t="s">
        <v>5</v>
      </c>
      <c r="BF411" t="s">
        <v>5</v>
      </c>
      <c r="BG411" t="s">
        <v>5</v>
      </c>
      <c r="BH411" t="s">
        <v>5</v>
      </c>
      <c r="BI411" s="2" t="s">
        <v>5</v>
      </c>
      <c r="BJ411" t="s">
        <v>5</v>
      </c>
      <c r="BK411" t="s">
        <v>5</v>
      </c>
      <c r="BL411" s="2" t="s">
        <v>5</v>
      </c>
      <c r="BM411" t="s">
        <v>5</v>
      </c>
      <c r="BN411" t="s">
        <v>5</v>
      </c>
      <c r="BO411" s="2" t="str">
        <f>HYPERLINK("http://exon.niaid.nih.gov/transcriptome/T_rubida/S2/links/PFAM/Triru-254-PFAM.txt","PIG-S")</f>
        <v>PIG-S</v>
      </c>
      <c r="BP411" t="str">
        <f>HYPERLINK("http://pfam.sanger.ac.uk/family?acc=PF10510","4.9")</f>
        <v>4.9</v>
      </c>
      <c r="BQ411" s="2" t="str">
        <f>HYPERLINK("http://exon.niaid.nih.gov/transcriptome/T_rubida/S2/links/SMART/Triru-254-SMART.txt","TOP2c")</f>
        <v>TOP2c</v>
      </c>
      <c r="BR411" t="str">
        <f>HYPERLINK("http://smart.embl-heidelberg.de/smart/do_annotation.pl?DOMAIN=TOP2c&amp;BLAST=DUMMY","6.8")</f>
        <v>6.8</v>
      </c>
      <c r="BS411" s="17">
        <f t="shared" si="68"/>
        <v>1</v>
      </c>
      <c r="BT411" s="1">
        <f t="shared" si="69"/>
        <v>359</v>
      </c>
      <c r="BU411" s="17">
        <f>HYPERLINK("http://exon.niaid.nih.gov/transcriptome/T_rubida/S2/links/cluster/Triru-pep-ext30-50-Sim-CLU1.txt", 1)</f>
        <v>1</v>
      </c>
      <c r="BV411" s="1">
        <f>HYPERLINK("http://exon.niaid.nih.gov/transcriptome/T_rubida/S2/links/cluster/Triru-pep-ext30-50-Sim-CLTL1.txt", 225)</f>
        <v>225</v>
      </c>
      <c r="BW411" s="17">
        <f>HYPERLINK("http://exon.niaid.nih.gov/transcriptome/T_rubida/S2/links/cluster/Triru-pep-ext35-50-Sim-CLU1.txt", 1)</f>
        <v>1</v>
      </c>
      <c r="BX411" s="1">
        <f>HYPERLINK("http://exon.niaid.nih.gov/transcriptome/T_rubida/S2/links/cluster/Triru-pep-ext35-50-Sim-CLTL1.txt", 75)</f>
        <v>75</v>
      </c>
      <c r="BY411" s="17">
        <f>HYPERLINK("http://exon.niaid.nih.gov/transcriptome/T_rubida/S2/links/cluster/Triru-pep-ext40-50-Sim-CLU2.txt", 2)</f>
        <v>2</v>
      </c>
      <c r="BZ411" s="1">
        <f>HYPERLINK("http://exon.niaid.nih.gov/transcriptome/T_rubida/S2/links/cluster/Triru-pep-ext40-50-Sim-CLTL2.txt", 42)</f>
        <v>42</v>
      </c>
      <c r="CA411" s="17">
        <f>HYPERLINK("http://exon.niaid.nih.gov/transcriptome/T_rubida/S2/links/cluster/Triru-pep-ext45-50-Sim-CLU2.txt", 2)</f>
        <v>2</v>
      </c>
      <c r="CB411" s="1">
        <f>HYPERLINK("http://exon.niaid.nih.gov/transcriptome/T_rubida/S2/links/cluster/Triru-pep-ext45-50-Sim-CLTL2.txt", 33)</f>
        <v>33</v>
      </c>
      <c r="CC411" s="17">
        <f>HYPERLINK("http://exon.niaid.nih.gov/transcriptome/T_rubida/S2/links/cluster/Triru-pep-ext50-50-Sim-CLU5.txt", 5)</f>
        <v>5</v>
      </c>
      <c r="CD411" s="1">
        <f>HYPERLINK("http://exon.niaid.nih.gov/transcriptome/T_rubida/S2/links/cluster/Triru-pep-ext50-50-Sim-CLTL5.txt", 4)</f>
        <v>4</v>
      </c>
      <c r="CE411" s="17">
        <v>161</v>
      </c>
      <c r="CF411" s="1">
        <v>1</v>
      </c>
      <c r="CG411" s="17">
        <v>163</v>
      </c>
      <c r="CH411" s="1">
        <v>1</v>
      </c>
      <c r="CI411" s="17">
        <v>170</v>
      </c>
      <c r="CJ411" s="1">
        <v>1</v>
      </c>
      <c r="CK411" s="17">
        <v>175</v>
      </c>
      <c r="CL411" s="1">
        <v>1</v>
      </c>
      <c r="CM411" s="17">
        <v>181</v>
      </c>
      <c r="CN411" s="1">
        <v>1</v>
      </c>
      <c r="CO411" s="17">
        <v>191</v>
      </c>
      <c r="CP411" s="1">
        <v>1</v>
      </c>
      <c r="CQ411" s="17">
        <v>201</v>
      </c>
      <c r="CR411" s="1">
        <v>1</v>
      </c>
      <c r="CS411" s="17">
        <v>206</v>
      </c>
      <c r="CT411" s="1">
        <v>1</v>
      </c>
      <c r="CU411" s="17">
        <v>217</v>
      </c>
      <c r="CV411" s="1">
        <v>1</v>
      </c>
    </row>
    <row r="412" spans="1:100">
      <c r="A412" t="str">
        <f>HYPERLINK("http://exon.niaid.nih.gov/transcriptome/T_rubida/S2/links/pep/Triru-431-pep.txt","Triru-431")</f>
        <v>Triru-431</v>
      </c>
      <c r="B412">
        <v>62</v>
      </c>
      <c r="C412" s="1" t="s">
        <v>6</v>
      </c>
      <c r="D412" s="1" t="s">
        <v>3</v>
      </c>
      <c r="E412" t="str">
        <f>HYPERLINK("http://exon.niaid.nih.gov/transcriptome/T_rubida/S2/links/cds/Triru-431-cds.txt","Triru-431")</f>
        <v>Triru-431</v>
      </c>
      <c r="F412">
        <v>189</v>
      </c>
      <c r="G412" s="2" t="s">
        <v>1862</v>
      </c>
      <c r="H412" s="1">
        <v>1</v>
      </c>
      <c r="I412" s="3" t="s">
        <v>1266</v>
      </c>
      <c r="J412" s="17" t="str">
        <f>HYPERLINK("http://exon.niaid.nih.gov/transcriptome/T_rubida/S2/links/Sigp/Triru-431-SigP.txt","CYT")</f>
        <v>CYT</v>
      </c>
      <c r="K412" t="s">
        <v>5</v>
      </c>
      <c r="L412" s="1">
        <v>6.9790000000000001</v>
      </c>
      <c r="M412" s="1">
        <v>11.17</v>
      </c>
      <c r="P412" s="1">
        <v>0.93200000000000005</v>
      </c>
      <c r="Q412" s="1">
        <v>1.4999999999999999E-2</v>
      </c>
      <c r="R412" s="1">
        <v>0.11700000000000001</v>
      </c>
      <c r="S412" s="17" t="s">
        <v>9</v>
      </c>
      <c r="T412">
        <v>1</v>
      </c>
      <c r="U412" t="s">
        <v>1357</v>
      </c>
      <c r="V412" s="17">
        <v>0</v>
      </c>
      <c r="W412" t="s">
        <v>5</v>
      </c>
      <c r="X412" t="s">
        <v>5</v>
      </c>
      <c r="Y412" t="s">
        <v>5</v>
      </c>
      <c r="Z412" t="s">
        <v>5</v>
      </c>
      <c r="AA412" t="s">
        <v>5</v>
      </c>
      <c r="AB412" s="17" t="str">
        <f>HYPERLINK("http://exon.niaid.nih.gov/transcriptome/T_rubida/S2/links/netoglyc/TRIRU-431-netoglyc.txt","0")</f>
        <v>0</v>
      </c>
      <c r="AC412">
        <v>17.7</v>
      </c>
      <c r="AD412">
        <v>4.8</v>
      </c>
      <c r="AE412">
        <v>4.8</v>
      </c>
      <c r="AF412" s="17" t="s">
        <v>5</v>
      </c>
      <c r="AG412" s="2" t="str">
        <f>HYPERLINK("http://exon.niaid.nih.gov/transcriptome/T_rubida/S2/links/NR/Triru-431-NR.txt","limbin")</f>
        <v>limbin</v>
      </c>
      <c r="AH412" t="str">
        <f>HYPERLINK("http://www.ncbi.nlm.nih.gov/sutils/blink.cgi?pid=224050129","52")</f>
        <v>52</v>
      </c>
      <c r="AI412" t="str">
        <f>HYPERLINK("http://www.ncbi.nlm.nih.gov/protein/224050129","gi|224050129")</f>
        <v>gi|224050129</v>
      </c>
      <c r="AJ412">
        <v>31.2</v>
      </c>
      <c r="AK412">
        <v>41</v>
      </c>
      <c r="AL412">
        <v>1299</v>
      </c>
      <c r="AM412">
        <v>42</v>
      </c>
      <c r="AN412">
        <v>3</v>
      </c>
      <c r="AO412" t="s">
        <v>487</v>
      </c>
      <c r="AP412" s="2" t="str">
        <f>HYPERLINK("http://exon.niaid.nih.gov/transcriptome/T_rubida/S2/links/SWISSP/Triru-431-SWISSP.txt","Myosin-VIIa")</f>
        <v>Myosin-VIIa</v>
      </c>
      <c r="AQ412" t="str">
        <f>HYPERLINK("http://www.uniprot.org/uniprot/Q29P71","28")</f>
        <v>28</v>
      </c>
      <c r="AR412" t="s">
        <v>488</v>
      </c>
      <c r="AS412">
        <v>27.3</v>
      </c>
      <c r="AT412">
        <v>37</v>
      </c>
      <c r="AU412">
        <v>2168</v>
      </c>
      <c r="AV412">
        <v>36</v>
      </c>
      <c r="AW412">
        <v>2</v>
      </c>
      <c r="AX412">
        <v>24</v>
      </c>
      <c r="AY412">
        <v>3</v>
      </c>
      <c r="AZ412">
        <v>1666</v>
      </c>
      <c r="BA412">
        <v>25</v>
      </c>
      <c r="BB412">
        <v>1</v>
      </c>
      <c r="BC412" t="s">
        <v>489</v>
      </c>
      <c r="BD412" s="2" t="s">
        <v>5</v>
      </c>
      <c r="BE412" t="s">
        <v>5</v>
      </c>
      <c r="BF412" t="s">
        <v>5</v>
      </c>
      <c r="BG412" t="s">
        <v>5</v>
      </c>
      <c r="BH412" t="s">
        <v>5</v>
      </c>
      <c r="BI412" s="2" t="str">
        <f>HYPERLINK("http://exon.niaid.nih.gov/transcriptome/T_rubida/S2/links/CDD/Triru-431-CDD.txt","NrdE_NrdA")</f>
        <v>NrdE_NrdA</v>
      </c>
      <c r="BJ412" t="str">
        <f>HYPERLINK("http://www.ncbi.nlm.nih.gov/Structure/cdd/cddsrv.cgi?uid=TIGR02506&amp;version=v4.0","8.2")</f>
        <v>8.2</v>
      </c>
      <c r="BK412" t="s">
        <v>490</v>
      </c>
      <c r="BL412" s="2" t="str">
        <f>HYPERLINK("http://exon.niaid.nih.gov/transcriptome/T_rubida/S2/links/KOG/Triru-431-KOG.txt","Thiamine pyrophosphokinase")</f>
        <v>Thiamine pyrophosphokinase</v>
      </c>
      <c r="BM412" t="str">
        <f>HYPERLINK("http://www.ncbi.nlm.nih.gov/COG/grace/shokog.cgi?KOG3153","9.2")</f>
        <v>9.2</v>
      </c>
      <c r="BN412" t="s">
        <v>491</v>
      </c>
      <c r="BO412" s="2" t="s">
        <v>5</v>
      </c>
      <c r="BP412" t="s">
        <v>5</v>
      </c>
      <c r="BQ412" s="2" t="str">
        <f>HYPERLINK("http://exon.niaid.nih.gov/transcriptome/T_rubida/S2/links/SMART/Triru-431-SMART.txt","YceI")</f>
        <v>YceI</v>
      </c>
      <c r="BR412" t="str">
        <f>HYPERLINK("http://smart.embl-heidelberg.de/smart/do_annotation.pl?DOMAIN=YceI&amp;BLAST=DUMMY","0.83")</f>
        <v>0.83</v>
      </c>
      <c r="BS412" s="17">
        <f t="shared" si="68"/>
        <v>1</v>
      </c>
      <c r="BT412" s="1">
        <f t="shared" si="69"/>
        <v>359</v>
      </c>
      <c r="BU412" s="17">
        <f>HYPERLINK("http://exon.niaid.nih.gov/transcriptome/T_rubida/S2/links/cluster/Triru-pep-ext30-50-Sim-CLU1.txt", 1)</f>
        <v>1</v>
      </c>
      <c r="BV412" s="1">
        <f>HYPERLINK("http://exon.niaid.nih.gov/transcriptome/T_rubida/S2/links/cluster/Triru-pep-ext30-50-Sim-CLTL1.txt", 225)</f>
        <v>225</v>
      </c>
      <c r="BW412" s="17">
        <f>HYPERLINK("http://exon.niaid.nih.gov/transcriptome/T_rubida/S2/links/cluster/Triru-pep-ext35-50-Sim-CLU9.txt", 9)</f>
        <v>9</v>
      </c>
      <c r="BX412" s="1">
        <f>HYPERLINK("http://exon.niaid.nih.gov/transcriptome/T_rubida/S2/links/cluster/Triru-pep-ext35-50-Sim-CLTL9.txt", 3)</f>
        <v>3</v>
      </c>
      <c r="BY412" s="17">
        <f>HYPERLINK("http://exon.niaid.nih.gov/transcriptome/T_rubida/S2/links/cluster/Triru-pep-ext40-50-Sim-CLU18.txt", 18)</f>
        <v>18</v>
      </c>
      <c r="BZ412" s="1">
        <f>HYPERLINK("http://exon.niaid.nih.gov/transcriptome/T_rubida/S2/links/cluster/Triru-pep-ext40-50-Sim-CLTL18.txt", 2)</f>
        <v>2</v>
      </c>
      <c r="CA412" s="17">
        <v>276</v>
      </c>
      <c r="CB412" s="1">
        <v>1</v>
      </c>
      <c r="CC412" s="17">
        <v>284</v>
      </c>
      <c r="CD412" s="1">
        <v>1</v>
      </c>
      <c r="CE412" s="17">
        <v>294</v>
      </c>
      <c r="CF412" s="1">
        <v>1</v>
      </c>
      <c r="CG412" s="17">
        <v>297</v>
      </c>
      <c r="CH412" s="1">
        <v>1</v>
      </c>
      <c r="CI412" s="17">
        <v>307</v>
      </c>
      <c r="CJ412" s="1">
        <v>1</v>
      </c>
      <c r="CK412" s="17">
        <v>313</v>
      </c>
      <c r="CL412" s="1">
        <v>1</v>
      </c>
      <c r="CM412" s="17">
        <v>321</v>
      </c>
      <c r="CN412" s="1">
        <v>1</v>
      </c>
      <c r="CO412" s="17">
        <v>333</v>
      </c>
      <c r="CP412" s="1">
        <v>1</v>
      </c>
      <c r="CQ412" s="17">
        <v>343</v>
      </c>
      <c r="CR412" s="1">
        <v>1</v>
      </c>
      <c r="CS412" s="17">
        <v>355</v>
      </c>
      <c r="CT412" s="1">
        <v>1</v>
      </c>
      <c r="CU412" s="17">
        <v>366</v>
      </c>
      <c r="CV412" s="1">
        <v>1</v>
      </c>
    </row>
    <row r="413" spans="1:100">
      <c r="A413" t="str">
        <f>HYPERLINK("http://exon.niaid.nih.gov/transcriptome/T_rubida/S2/links/pep/Triru-512-pep.txt","Triru-512")</f>
        <v>Triru-512</v>
      </c>
      <c r="B413">
        <v>45</v>
      </c>
      <c r="C413" s="1" t="s">
        <v>18</v>
      </c>
      <c r="D413" s="1" t="s">
        <v>3</v>
      </c>
      <c r="E413" t="str">
        <f>HYPERLINK("http://exon.niaid.nih.gov/transcriptome/T_rubida/S2/links/cds/Triru-512-cds.txt","Triru-512")</f>
        <v>Triru-512</v>
      </c>
      <c r="F413">
        <v>138</v>
      </c>
      <c r="G413" s="2" t="s">
        <v>1863</v>
      </c>
      <c r="H413" s="1">
        <v>1</v>
      </c>
      <c r="I413" s="3" t="s">
        <v>1266</v>
      </c>
      <c r="J413" s="17" t="str">
        <f>HYPERLINK("http://exon.niaid.nih.gov/transcriptome/T_rubida/S2/links/Sigp/Triru-512-SigP.txt","CYT")</f>
        <v>CYT</v>
      </c>
      <c r="K413" t="s">
        <v>5</v>
      </c>
      <c r="L413" s="1">
        <v>5.4480000000000004</v>
      </c>
      <c r="M413" s="1">
        <v>6.66</v>
      </c>
      <c r="P413" s="1">
        <v>0.125</v>
      </c>
      <c r="Q413" s="1">
        <v>5.8999999999999997E-2</v>
      </c>
      <c r="R413" s="1">
        <v>0.89500000000000002</v>
      </c>
      <c r="S413" s="17" t="s">
        <v>1346</v>
      </c>
      <c r="T413">
        <v>2</v>
      </c>
      <c r="U413" t="s">
        <v>1561</v>
      </c>
      <c r="V413" s="17">
        <v>0</v>
      </c>
      <c r="W413" t="s">
        <v>5</v>
      </c>
      <c r="X413" t="s">
        <v>5</v>
      </c>
      <c r="Y413" t="s">
        <v>5</v>
      </c>
      <c r="Z413" t="s">
        <v>5</v>
      </c>
      <c r="AA413" t="s">
        <v>5</v>
      </c>
      <c r="AB413" s="17" t="str">
        <f>HYPERLINK("http://exon.niaid.nih.gov/transcriptome/T_rubida/S2/links/netoglyc/TRIRU-512-netoglyc.txt","0")</f>
        <v>0</v>
      </c>
      <c r="AC413">
        <v>17.8</v>
      </c>
      <c r="AD413" t="s">
        <v>1417</v>
      </c>
      <c r="AE413" t="s">
        <v>1394</v>
      </c>
      <c r="AF413" s="17" t="s">
        <v>5</v>
      </c>
      <c r="AG413" s="2" t="str">
        <f>HYPERLINK("http://exon.niaid.nih.gov/transcriptome/T_rubida/S2/links/NR/Triru-512-NR.txt","Ymf77")</f>
        <v>Ymf77</v>
      </c>
      <c r="AH413" t="str">
        <f>HYPERLINK("http://www.ncbi.nlm.nih.gov/sutils/blink.cgi?pid=114329887","87")</f>
        <v>87</v>
      </c>
      <c r="AI413" t="str">
        <f>HYPERLINK("http://www.ncbi.nlm.nih.gov/protein/114329887","gi|114329887")</f>
        <v>gi|114329887</v>
      </c>
      <c r="AJ413">
        <v>30.4</v>
      </c>
      <c r="AK413">
        <v>34</v>
      </c>
      <c r="AL413">
        <v>1333</v>
      </c>
      <c r="AM413">
        <v>37</v>
      </c>
      <c r="AN413">
        <v>3</v>
      </c>
      <c r="AO413" t="s">
        <v>1193</v>
      </c>
      <c r="AP413" s="2" t="str">
        <f>HYPERLINK("http://exon.niaid.nih.gov/transcriptome/T_rubida/S2/links/SWISSP/Triru-512-SWISSP.txt","ATP-dependent permease AUS1")</f>
        <v>ATP-dependent permease AUS1</v>
      </c>
      <c r="AQ413" t="str">
        <f>HYPERLINK("http://www.uniprot.org/uniprot/Q08409","27")</f>
        <v>27</v>
      </c>
      <c r="AR413" t="s">
        <v>1194</v>
      </c>
      <c r="AS413">
        <v>27.3</v>
      </c>
      <c r="AT413">
        <v>24</v>
      </c>
      <c r="AU413">
        <v>1394</v>
      </c>
      <c r="AV413">
        <v>46</v>
      </c>
      <c r="AW413">
        <v>2</v>
      </c>
      <c r="AX413">
        <v>14</v>
      </c>
      <c r="AY413">
        <v>1</v>
      </c>
      <c r="AZ413">
        <v>487</v>
      </c>
      <c r="BA413">
        <v>18</v>
      </c>
      <c r="BB413">
        <v>1</v>
      </c>
      <c r="BC413" t="s">
        <v>344</v>
      </c>
      <c r="BD413" s="2" t="s">
        <v>5</v>
      </c>
      <c r="BE413" t="s">
        <v>5</v>
      </c>
      <c r="BF413" t="s">
        <v>5</v>
      </c>
      <c r="BG413" t="s">
        <v>5</v>
      </c>
      <c r="BH413" t="s">
        <v>5</v>
      </c>
      <c r="BI413" s="2" t="str">
        <f>HYPERLINK("http://exon.niaid.nih.gov/transcriptome/T_rubida/S2/links/CDD/Triru-512-CDD.txt","DUF3160")</f>
        <v>DUF3160</v>
      </c>
      <c r="BJ413" t="str">
        <f>HYPERLINK("http://www.ncbi.nlm.nih.gov/Structure/cdd/cddsrv.cgi?uid=pfam11369&amp;version=v4.0","0.98")</f>
        <v>0.98</v>
      </c>
      <c r="BK413" t="s">
        <v>1195</v>
      </c>
      <c r="BL413" s="2" t="s">
        <v>5</v>
      </c>
      <c r="BM413" t="s">
        <v>5</v>
      </c>
      <c r="BN413" t="s">
        <v>5</v>
      </c>
      <c r="BO413" s="2" t="str">
        <f>HYPERLINK("http://exon.niaid.nih.gov/transcriptome/T_rubida/S2/links/PFAM/Triru-512-PFAM.txt","DUF3160")</f>
        <v>DUF3160</v>
      </c>
      <c r="BP413" t="str">
        <f>HYPERLINK("http://pfam.sanger.ac.uk/family?acc=PF11369","0.21")</f>
        <v>0.21</v>
      </c>
      <c r="BQ413" s="2" t="str">
        <f>HYPERLINK("http://exon.niaid.nih.gov/transcriptome/T_rubida/S2/links/SMART/Triru-512-SMART.txt","CLH")</f>
        <v>CLH</v>
      </c>
      <c r="BR413" t="str">
        <f>HYPERLINK("http://smart.embl-heidelberg.de/smart/do_annotation.pl?DOMAIN=CLH&amp;BLAST=DUMMY","5.6")</f>
        <v>5.6</v>
      </c>
      <c r="BS413" s="17">
        <f t="shared" si="68"/>
        <v>1</v>
      </c>
      <c r="BT413" s="1">
        <f t="shared" si="69"/>
        <v>359</v>
      </c>
      <c r="BU413" s="17">
        <v>234</v>
      </c>
      <c r="BV413" s="1">
        <v>1</v>
      </c>
      <c r="BW413" s="17">
        <v>299</v>
      </c>
      <c r="BX413" s="1">
        <v>1</v>
      </c>
      <c r="BY413" s="17">
        <v>325</v>
      </c>
      <c r="BZ413" s="1">
        <v>1</v>
      </c>
      <c r="CA413" s="17">
        <v>336</v>
      </c>
      <c r="CB413" s="1">
        <v>1</v>
      </c>
      <c r="CC413" s="17">
        <v>348</v>
      </c>
      <c r="CD413" s="1">
        <v>1</v>
      </c>
      <c r="CE413" s="17">
        <v>360</v>
      </c>
      <c r="CF413" s="1">
        <v>1</v>
      </c>
      <c r="CG413" s="17">
        <v>366</v>
      </c>
      <c r="CH413" s="1">
        <v>1</v>
      </c>
      <c r="CI413" s="17">
        <v>378</v>
      </c>
      <c r="CJ413" s="1">
        <v>1</v>
      </c>
      <c r="CK413" s="17">
        <v>384</v>
      </c>
      <c r="CL413" s="1">
        <v>1</v>
      </c>
      <c r="CM413" s="17">
        <v>392</v>
      </c>
      <c r="CN413" s="1">
        <v>1</v>
      </c>
      <c r="CO413" s="17">
        <v>404</v>
      </c>
      <c r="CP413" s="1">
        <v>1</v>
      </c>
      <c r="CQ413" s="17">
        <v>414</v>
      </c>
      <c r="CR413" s="1">
        <v>1</v>
      </c>
      <c r="CS413" s="17">
        <v>427</v>
      </c>
      <c r="CT413" s="1">
        <v>1</v>
      </c>
      <c r="CU413" s="17">
        <v>438</v>
      </c>
      <c r="CV413" s="1">
        <v>1</v>
      </c>
    </row>
    <row r="414" spans="1:100">
      <c r="A414" t="str">
        <f>HYPERLINK("http://exon.niaid.nih.gov/transcriptome/T_rubida/S2/links/pep/Triru-544-pep.txt","Triru-544")</f>
        <v>Triru-544</v>
      </c>
      <c r="B414">
        <v>24</v>
      </c>
      <c r="C414" s="1" t="s">
        <v>14</v>
      </c>
      <c r="D414" s="1" t="s">
        <v>5</v>
      </c>
      <c r="E414" t="str">
        <f>HYPERLINK("http://exon.niaid.nih.gov/transcriptome/T_rubida/S2/links/cds/Triru-544-cds.txt","Triru-544")</f>
        <v>Triru-544</v>
      </c>
      <c r="F414">
        <v>70</v>
      </c>
      <c r="G414" s="2" t="s">
        <v>1864</v>
      </c>
      <c r="H414" s="1">
        <v>1</v>
      </c>
      <c r="I414" s="3" t="s">
        <v>1266</v>
      </c>
      <c r="J414" s="17" t="str">
        <f>HYPERLINK("http://exon.niaid.nih.gov/transcriptome/T_rubida/S2/links/Sigp/Triru-544-SigP.txt","CYT")</f>
        <v>CYT</v>
      </c>
      <c r="K414" t="s">
        <v>5</v>
      </c>
      <c r="L414" s="1">
        <v>2.9129999999999998</v>
      </c>
      <c r="M414" s="1">
        <v>11.04</v>
      </c>
      <c r="P414" s="1">
        <v>7.9000000000000001E-2</v>
      </c>
      <c r="Q414" s="1">
        <v>3.6999999999999998E-2</v>
      </c>
      <c r="R414" s="1">
        <v>0.95399999999999996</v>
      </c>
      <c r="S414" s="17" t="s">
        <v>1346</v>
      </c>
      <c r="T414">
        <v>1</v>
      </c>
      <c r="U414" t="s">
        <v>1382</v>
      </c>
      <c r="V414" s="17">
        <v>0</v>
      </c>
      <c r="W414" t="s">
        <v>5</v>
      </c>
      <c r="X414" t="s">
        <v>5</v>
      </c>
      <c r="Y414" t="s">
        <v>5</v>
      </c>
      <c r="Z414" t="s">
        <v>5</v>
      </c>
      <c r="AA414" t="s">
        <v>5</v>
      </c>
      <c r="AB414" s="17" t="str">
        <f>HYPERLINK("http://exon.niaid.nih.gov/transcriptome/T_rubida/S2/links/netoglyc/TRIRU-544-netoglyc.txt","0")</f>
        <v>0</v>
      </c>
      <c r="AC414">
        <v>12.5</v>
      </c>
      <c r="AD414">
        <v>4.2</v>
      </c>
      <c r="AE414" t="s">
        <v>1394</v>
      </c>
      <c r="AF414" s="17" t="s">
        <v>5</v>
      </c>
      <c r="AG414" s="2" t="str">
        <f>HYPERLINK("http://exon.niaid.nih.gov/transcriptome/T_rubida/S2/links/NR/Triru-544-NR.txt","protein phosphatase 2C domain containing protein")</f>
        <v>protein phosphatase 2C domain containing protein</v>
      </c>
      <c r="AH414" t="str">
        <f>HYPERLINK("http://www.ncbi.nlm.nih.gov/sutils/blink.cgi?pid=156102657","65")</f>
        <v>65</v>
      </c>
      <c r="AI414" t="str">
        <f>HYPERLINK("http://www.ncbi.nlm.nih.gov/protein/156102657","gi|156102657")</f>
        <v>gi|156102657</v>
      </c>
      <c r="AJ414">
        <v>30.8</v>
      </c>
      <c r="AK414">
        <v>23</v>
      </c>
      <c r="AL414">
        <v>782</v>
      </c>
      <c r="AM414">
        <v>58</v>
      </c>
      <c r="AN414">
        <v>3</v>
      </c>
      <c r="AO414" t="s">
        <v>719</v>
      </c>
      <c r="AP414" s="2" t="str">
        <f>HYPERLINK("http://exon.niaid.nih.gov/transcriptome/T_rubida/S2/links/SWISSP/Triru-544-SWISSP.txt","Protein TMA23")</f>
        <v>Protein TMA23</v>
      </c>
      <c r="AQ414" t="str">
        <f>HYPERLINK("http://www.uniprot.org/uniprot/Q03525","20")</f>
        <v>20</v>
      </c>
      <c r="AR414" t="s">
        <v>720</v>
      </c>
      <c r="AS414">
        <v>27.7</v>
      </c>
      <c r="AT414">
        <v>23</v>
      </c>
      <c r="AU414">
        <v>211</v>
      </c>
      <c r="AV414">
        <v>54</v>
      </c>
      <c r="AW414">
        <v>11</v>
      </c>
      <c r="AX414">
        <v>11</v>
      </c>
      <c r="AY414">
        <v>0</v>
      </c>
      <c r="AZ414">
        <v>141</v>
      </c>
      <c r="BA414">
        <v>1</v>
      </c>
      <c r="BB414">
        <v>1</v>
      </c>
      <c r="BC414" t="s">
        <v>344</v>
      </c>
      <c r="BD414" s="2" t="s">
        <v>5</v>
      </c>
      <c r="BE414" t="s">
        <v>5</v>
      </c>
      <c r="BF414" t="s">
        <v>5</v>
      </c>
      <c r="BG414" t="s">
        <v>5</v>
      </c>
      <c r="BH414" t="s">
        <v>5</v>
      </c>
      <c r="BI414" s="2" t="s">
        <v>5</v>
      </c>
      <c r="BJ414" t="s">
        <v>5</v>
      </c>
      <c r="BK414" t="s">
        <v>5</v>
      </c>
      <c r="BL414" s="2" t="s">
        <v>5</v>
      </c>
      <c r="BM414" t="s">
        <v>5</v>
      </c>
      <c r="BN414" t="s">
        <v>5</v>
      </c>
      <c r="BO414" s="2" t="s">
        <v>5</v>
      </c>
      <c r="BP414" t="s">
        <v>5</v>
      </c>
      <c r="BQ414" s="2" t="s">
        <v>5</v>
      </c>
      <c r="BR414" t="s">
        <v>5</v>
      </c>
      <c r="BS414" s="17">
        <f t="shared" si="68"/>
        <v>1</v>
      </c>
      <c r="BT414" s="1">
        <f t="shared" si="69"/>
        <v>359</v>
      </c>
      <c r="BU414" s="17">
        <f>HYPERLINK("http://exon.niaid.nih.gov/transcriptome/T_rubida/S2/links/cluster/Triru-pep-ext30-50-Sim-CLU1.txt", 1)</f>
        <v>1</v>
      </c>
      <c r="BV414" s="1">
        <f>HYPERLINK("http://exon.niaid.nih.gov/transcriptome/T_rubida/S2/links/cluster/Triru-pep-ext30-50-Sim-CLTL1.txt", 225)</f>
        <v>225</v>
      </c>
      <c r="BW414" s="17">
        <f>HYPERLINK("http://exon.niaid.nih.gov/transcriptome/T_rubida/S2/links/cluster/Triru-pep-ext35-50-Sim-CLU1.txt", 1)</f>
        <v>1</v>
      </c>
      <c r="BX414" s="1">
        <f>HYPERLINK("http://exon.niaid.nih.gov/transcriptome/T_rubida/S2/links/cluster/Triru-pep-ext35-50-Sim-CLTL1.txt", 75)</f>
        <v>75</v>
      </c>
      <c r="BY414" s="17">
        <v>345</v>
      </c>
      <c r="BZ414" s="1">
        <v>1</v>
      </c>
      <c r="CA414" s="17">
        <v>357</v>
      </c>
      <c r="CB414" s="1">
        <v>1</v>
      </c>
      <c r="CC414" s="17">
        <v>370</v>
      </c>
      <c r="CD414" s="1">
        <v>1</v>
      </c>
      <c r="CE414" s="17">
        <v>385</v>
      </c>
      <c r="CF414" s="1">
        <v>1</v>
      </c>
      <c r="CG414" s="17">
        <v>391</v>
      </c>
      <c r="CH414" s="1">
        <v>1</v>
      </c>
      <c r="CI414" s="17">
        <v>403</v>
      </c>
      <c r="CJ414" s="1">
        <v>1</v>
      </c>
      <c r="CK414" s="17">
        <v>409</v>
      </c>
      <c r="CL414" s="1">
        <v>1</v>
      </c>
      <c r="CM414" s="17">
        <v>419</v>
      </c>
      <c r="CN414" s="1">
        <v>1</v>
      </c>
      <c r="CO414" s="17">
        <v>431</v>
      </c>
      <c r="CP414" s="1">
        <v>1</v>
      </c>
      <c r="CQ414" s="17">
        <v>441</v>
      </c>
      <c r="CR414" s="1">
        <v>1</v>
      </c>
      <c r="CS414" s="17">
        <v>454</v>
      </c>
      <c r="CT414" s="1">
        <v>1</v>
      </c>
      <c r="CU414" s="17">
        <v>465</v>
      </c>
      <c r="CV414" s="1">
        <v>1</v>
      </c>
    </row>
    <row r="415" spans="1:100">
      <c r="A415" t="str">
        <f>HYPERLINK("http://exon.niaid.nih.gov/transcriptome/T_rubida/S2/links/pep/Triru-44-pep.txt","Triru-44")</f>
        <v>Triru-44</v>
      </c>
      <c r="B415">
        <v>42</v>
      </c>
      <c r="C415" s="1" t="s">
        <v>18</v>
      </c>
      <c r="D415" s="1" t="s">
        <v>3</v>
      </c>
      <c r="E415" t="str">
        <f>HYPERLINK("http://exon.niaid.nih.gov/transcriptome/T_rubida/S2/links/cds/Triru-44-cds.txt","Triru-44")</f>
        <v>Triru-44</v>
      </c>
      <c r="F415">
        <v>129</v>
      </c>
      <c r="G415" s="2" t="s">
        <v>1865</v>
      </c>
      <c r="H415" s="1">
        <v>1</v>
      </c>
      <c r="I415" s="3" t="s">
        <v>1266</v>
      </c>
      <c r="J415" s="17" t="str">
        <f>HYPERLINK("http://exon.niaid.nih.gov/transcriptome/T_rubida/S2/links/Sigp/Triru-44-SigP.txt","CYT")</f>
        <v>CYT</v>
      </c>
      <c r="K415" t="s">
        <v>5</v>
      </c>
      <c r="L415" s="1">
        <v>4.819</v>
      </c>
      <c r="M415" s="1">
        <v>5.84</v>
      </c>
      <c r="P415" s="1">
        <v>0.214</v>
      </c>
      <c r="Q415" s="1">
        <v>4.4999999999999998E-2</v>
      </c>
      <c r="R415" s="1">
        <v>0.77300000000000002</v>
      </c>
      <c r="S415" s="17" t="s">
        <v>1346</v>
      </c>
      <c r="T415">
        <v>3</v>
      </c>
      <c r="U415" t="s">
        <v>1348</v>
      </c>
      <c r="V415" s="17">
        <v>0</v>
      </c>
      <c r="W415" t="s">
        <v>5</v>
      </c>
      <c r="X415" t="s">
        <v>5</v>
      </c>
      <c r="Y415" t="s">
        <v>5</v>
      </c>
      <c r="Z415" t="s">
        <v>5</v>
      </c>
      <c r="AA415" t="s">
        <v>5</v>
      </c>
      <c r="AB415" s="17" t="str">
        <f>HYPERLINK("http://exon.niaid.nih.gov/transcriptome/T_rubida/S2/links/netoglyc/TRIRU-44-netoglyc.txt","9")</f>
        <v>9</v>
      </c>
      <c r="AC415">
        <v>26.2</v>
      </c>
      <c r="AD415" t="s">
        <v>1417</v>
      </c>
      <c r="AE415">
        <v>14.3</v>
      </c>
      <c r="AF415" s="17" t="s">
        <v>5</v>
      </c>
      <c r="AG415" s="2" t="str">
        <f>HYPERLINK("http://exon.niaid.nih.gov/transcriptome/T_rubida/S2/links/NR/Triru-44-NR.txt","anaerobic dehydrogenase")</f>
        <v>anaerobic dehydrogenase</v>
      </c>
      <c r="AH415" t="str">
        <f>HYPERLINK("http://www.ncbi.nlm.nih.gov/sutils/blink.cgi?pid=90577433","7.9")</f>
        <v>7.9</v>
      </c>
      <c r="AI415" t="str">
        <f>HYPERLINK("http://www.ncbi.nlm.nih.gov/protein/90577433","gi|90577433")</f>
        <v>gi|90577433</v>
      </c>
      <c r="AJ415">
        <v>33.9</v>
      </c>
      <c r="AK415">
        <v>28</v>
      </c>
      <c r="AL415">
        <v>899</v>
      </c>
      <c r="AM415">
        <v>48</v>
      </c>
      <c r="AN415">
        <v>3</v>
      </c>
      <c r="AO415" t="s">
        <v>1191</v>
      </c>
      <c r="AP415" s="2" t="str">
        <f>HYPERLINK("http://exon.niaid.nih.gov/transcriptome/T_rubida/S2/links/SWISSP/Triru-44-SWISSP.txt","Probable pectinesterase/pectinesterase inhibitor 33")</f>
        <v>Probable pectinesterase/pectinesterase inhibitor 33</v>
      </c>
      <c r="AQ415" t="str">
        <f>HYPERLINK("http://www.uniprot.org/uniprot/Q9STY3","7.3")</f>
        <v>7.3</v>
      </c>
      <c r="AR415" t="s">
        <v>1192</v>
      </c>
      <c r="AS415">
        <v>29.3</v>
      </c>
      <c r="AT415">
        <v>37</v>
      </c>
      <c r="AU415">
        <v>594</v>
      </c>
      <c r="AV415">
        <v>42</v>
      </c>
      <c r="AW415">
        <v>6</v>
      </c>
      <c r="AX415">
        <v>22</v>
      </c>
      <c r="AY415">
        <v>2</v>
      </c>
      <c r="AZ415">
        <v>20</v>
      </c>
      <c r="BA415">
        <v>1</v>
      </c>
      <c r="BB415">
        <v>1</v>
      </c>
      <c r="BC415" t="s">
        <v>71</v>
      </c>
      <c r="BD415" s="2" t="s">
        <v>5</v>
      </c>
      <c r="BE415" t="s">
        <v>5</v>
      </c>
      <c r="BF415" t="s">
        <v>5</v>
      </c>
      <c r="BG415" t="s">
        <v>5</v>
      </c>
      <c r="BH415" t="s">
        <v>5</v>
      </c>
      <c r="BI415" s="2" t="s">
        <v>5</v>
      </c>
      <c r="BJ415" t="s">
        <v>5</v>
      </c>
      <c r="BK415" t="s">
        <v>5</v>
      </c>
      <c r="BL415" s="2" t="str">
        <f>HYPERLINK("http://exon.niaid.nih.gov/transcriptome/T_rubida/S2/links/KOG/Triru-44-KOG.txt","Guanine nucleotide binding protein MIP1")</f>
        <v>Guanine nucleotide binding protein MIP1</v>
      </c>
      <c r="BM415" t="str">
        <f>HYPERLINK("http://www.ncbi.nlm.nih.gov/COG/grace/shokog.cgi?KOG1517","9.4")</f>
        <v>9.4</v>
      </c>
      <c r="BN415" t="s">
        <v>124</v>
      </c>
      <c r="BO415" s="2" t="str">
        <f>HYPERLINK("http://exon.niaid.nih.gov/transcriptome/T_rubida/S2/links/PFAM/Triru-44-PFAM.txt","An_peroxidase")</f>
        <v>An_peroxidase</v>
      </c>
      <c r="BP415" t="str">
        <f>HYPERLINK("http://pfam.sanger.ac.uk/family?acc=PF03098","2.5")</f>
        <v>2.5</v>
      </c>
      <c r="BQ415" s="2" t="str">
        <f>HYPERLINK("http://exon.niaid.nih.gov/transcriptome/T_rubida/S2/links/SMART/Triru-44-SMART.txt","KISc")</f>
        <v>KISc</v>
      </c>
      <c r="BR415" t="str">
        <f>HYPERLINK("http://smart.embl-heidelberg.de/smart/do_annotation.pl?DOMAIN=KISc&amp;BLAST=DUMMY","7.2")</f>
        <v>7.2</v>
      </c>
      <c r="BS415" s="17">
        <v>37</v>
      </c>
      <c r="BT415" s="1">
        <v>1</v>
      </c>
      <c r="BU415" s="17">
        <v>51</v>
      </c>
      <c r="BV415" s="1">
        <v>1</v>
      </c>
      <c r="BW415" s="17">
        <v>52</v>
      </c>
      <c r="BX415" s="1">
        <v>1</v>
      </c>
      <c r="BY415" s="17">
        <v>49</v>
      </c>
      <c r="BZ415" s="1">
        <v>1</v>
      </c>
      <c r="CA415" s="17">
        <v>46</v>
      </c>
      <c r="CB415" s="1">
        <v>1</v>
      </c>
      <c r="CC415" s="17">
        <v>44</v>
      </c>
      <c r="CD415" s="1">
        <v>1</v>
      </c>
      <c r="CE415" s="17">
        <v>37</v>
      </c>
      <c r="CF415" s="1">
        <v>1</v>
      </c>
      <c r="CG415" s="17">
        <v>36</v>
      </c>
      <c r="CH415" s="1">
        <v>1</v>
      </c>
      <c r="CI415" s="17">
        <v>37</v>
      </c>
      <c r="CJ415" s="1">
        <v>1</v>
      </c>
      <c r="CK415" s="17">
        <v>37</v>
      </c>
      <c r="CL415" s="1">
        <v>1</v>
      </c>
      <c r="CM415" s="17">
        <v>38</v>
      </c>
      <c r="CN415" s="1">
        <v>1</v>
      </c>
      <c r="CO415" s="17">
        <v>39</v>
      </c>
      <c r="CP415" s="1">
        <v>1</v>
      </c>
      <c r="CQ415" s="17">
        <v>41</v>
      </c>
      <c r="CR415" s="1">
        <v>1</v>
      </c>
      <c r="CS415" s="17">
        <v>42</v>
      </c>
      <c r="CT415" s="1">
        <v>1</v>
      </c>
      <c r="CU415" s="17">
        <v>46</v>
      </c>
      <c r="CV415" s="1">
        <v>1</v>
      </c>
    </row>
    <row r="416" spans="1:100">
      <c r="A416" t="str">
        <f>HYPERLINK("http://exon.niaid.nih.gov/transcriptome/T_rubida/S2/links/pep/Triru-344-pep.txt","Triru-344")</f>
        <v>Triru-344</v>
      </c>
      <c r="B416">
        <v>58</v>
      </c>
      <c r="C416" s="1" t="s">
        <v>8</v>
      </c>
      <c r="D416" s="1" t="s">
        <v>5</v>
      </c>
      <c r="E416" t="str">
        <f>HYPERLINK("http://exon.niaid.nih.gov/transcriptome/T_rubida/S2/links/cds/Triru-344-cds.txt","Triru-344")</f>
        <v>Triru-344</v>
      </c>
      <c r="F416">
        <v>172</v>
      </c>
      <c r="G416" s="2" t="s">
        <v>1866</v>
      </c>
      <c r="H416" s="1">
        <v>1</v>
      </c>
      <c r="I416" s="3" t="s">
        <v>1266</v>
      </c>
      <c r="J416" s="17" t="str">
        <f>HYPERLINK("http://exon.niaid.nih.gov/transcriptome/T_rubida/S2/links/Sigp/Triru-344-SigP.txt","CYT")</f>
        <v>CYT</v>
      </c>
      <c r="K416" t="s">
        <v>5</v>
      </c>
      <c r="L416" s="1">
        <v>6.3339999999999996</v>
      </c>
      <c r="M416" s="1">
        <v>4.5</v>
      </c>
      <c r="P416" s="1">
        <v>5.2999999999999999E-2</v>
      </c>
      <c r="Q416" s="1">
        <v>0.184</v>
      </c>
      <c r="R416" s="1">
        <v>0.86299999999999999</v>
      </c>
      <c r="S416" s="17" t="s">
        <v>1346</v>
      </c>
      <c r="T416">
        <v>2</v>
      </c>
      <c r="U416" t="s">
        <v>1348</v>
      </c>
      <c r="V416" s="17">
        <v>0</v>
      </c>
      <c r="W416" t="s">
        <v>5</v>
      </c>
      <c r="X416" t="s">
        <v>5</v>
      </c>
      <c r="Y416" t="s">
        <v>5</v>
      </c>
      <c r="Z416" t="s">
        <v>5</v>
      </c>
      <c r="AA416" t="s">
        <v>5</v>
      </c>
      <c r="AB416" s="17" t="str">
        <f>HYPERLINK("http://exon.niaid.nih.gov/transcriptome/T_rubida/S2/links/netoglyc/TRIRU-344-netoglyc.txt","9")</f>
        <v>9</v>
      </c>
      <c r="AC416">
        <v>25.9</v>
      </c>
      <c r="AD416">
        <v>1.7</v>
      </c>
      <c r="AE416">
        <v>13.8</v>
      </c>
      <c r="AF416" s="17" t="s">
        <v>5</v>
      </c>
      <c r="AG416" s="2" t="str">
        <f>HYPERLINK("http://exon.niaid.nih.gov/transcriptome/T_rubida/S2/links/NR/Triru-344-NR.txt","GL10309")</f>
        <v>GL10309</v>
      </c>
      <c r="AH416" t="str">
        <f>HYPERLINK("http://www.ncbi.nlm.nih.gov/sutils/blink.cgi?pid=195173424","4.6")</f>
        <v>4.6</v>
      </c>
      <c r="AI416" t="str">
        <f>HYPERLINK("http://www.ncbi.nlm.nih.gov/protein/195173424","gi|195173424")</f>
        <v>gi|195173424</v>
      </c>
      <c r="AJ416">
        <v>34.700000000000003</v>
      </c>
      <c r="AK416">
        <v>44</v>
      </c>
      <c r="AL416">
        <v>1772</v>
      </c>
      <c r="AM416">
        <v>37</v>
      </c>
      <c r="AN416">
        <v>3</v>
      </c>
      <c r="AO416" t="s">
        <v>342</v>
      </c>
      <c r="AP416" s="2" t="str">
        <f>HYPERLINK("http://exon.niaid.nih.gov/transcriptome/T_rubida/S2/links/SWISSP/Triru-344-SWISSP.txt","Uncharacterized protein YDR348C")</f>
        <v>Uncharacterized protein YDR348C</v>
      </c>
      <c r="AQ416" t="str">
        <f>HYPERLINK("http://www.uniprot.org/uniprot/Q05518","3.2")</f>
        <v>3.2</v>
      </c>
      <c r="AR416" t="s">
        <v>343</v>
      </c>
      <c r="AS416">
        <v>30.4</v>
      </c>
      <c r="AT416">
        <v>44</v>
      </c>
      <c r="AU416">
        <v>499</v>
      </c>
      <c r="AV416">
        <v>40</v>
      </c>
      <c r="AW416">
        <v>9</v>
      </c>
      <c r="AX416">
        <v>27</v>
      </c>
      <c r="AY416">
        <v>1</v>
      </c>
      <c r="AZ416">
        <v>83</v>
      </c>
      <c r="BA416">
        <v>3</v>
      </c>
      <c r="BB416">
        <v>1</v>
      </c>
      <c r="BC416" t="s">
        <v>344</v>
      </c>
      <c r="BD416" s="2" t="s">
        <v>5</v>
      </c>
      <c r="BE416" t="s">
        <v>5</v>
      </c>
      <c r="BF416" t="s">
        <v>5</v>
      </c>
      <c r="BG416" t="s">
        <v>5</v>
      </c>
      <c r="BH416" t="s">
        <v>5</v>
      </c>
      <c r="BI416" s="2" t="str">
        <f>HYPERLINK("http://exon.niaid.nih.gov/transcriptome/T_rubida/S2/links/CDD/Triru-344-CDD.txt","G2F")</f>
        <v>G2F</v>
      </c>
      <c r="BJ416" t="str">
        <f>HYPERLINK("http://www.ncbi.nlm.nih.gov/Structure/cdd/cddsrv.cgi?uid=smart00682&amp;version=v4.0","1.5")</f>
        <v>1.5</v>
      </c>
      <c r="BK416" t="s">
        <v>345</v>
      </c>
      <c r="BL416" s="2" t="str">
        <f>HYPERLINK("http://exon.niaid.nih.gov/transcriptome/T_rubida/S2/links/KOG/Triru-344-KOG.txt","Serine/threonine protein kinase")</f>
        <v>Serine/threonine protein kinase</v>
      </c>
      <c r="BM416" t="str">
        <f>HYPERLINK("http://www.ncbi.nlm.nih.gov/COG/grace/shokog.cgi?KOG4279","0.56")</f>
        <v>0.56</v>
      </c>
      <c r="BN416" t="s">
        <v>179</v>
      </c>
      <c r="BO416" s="2" t="str">
        <f>HYPERLINK("http://exon.niaid.nih.gov/transcriptome/T_rubida/S2/links/PFAM/Triru-344-PFAM.txt","DUF2713")</f>
        <v>DUF2713</v>
      </c>
      <c r="BP416" t="str">
        <f>HYPERLINK("http://pfam.sanger.ac.uk/family?acc=PF10897","0.54")</f>
        <v>0.54</v>
      </c>
      <c r="BQ416" s="2" t="str">
        <f>HYPERLINK("http://exon.niaid.nih.gov/transcriptome/T_rubida/S2/links/SMART/Triru-344-SMART.txt","G2F")</f>
        <v>G2F</v>
      </c>
      <c r="BR416" t="str">
        <f>HYPERLINK("http://smart.embl-heidelberg.de/smart/do_annotation.pl?DOMAIN=G2F&amp;BLAST=DUMMY","0.014")</f>
        <v>0.014</v>
      </c>
      <c r="BS416" s="17">
        <f>HYPERLINK("http://exon.niaid.nih.gov/transcriptome/T_rubida/S2/links/cluster/Triru-pep-ext25-50-Sim-CLU1.txt", 1)</f>
        <v>1</v>
      </c>
      <c r="BT416" s="1">
        <f>HYPERLINK("http://exon.niaid.nih.gov/transcriptome/T_rubida/S2/links/cluster/Triru-pep-ext25-50-Sim-CLTL1.txt", 359)</f>
        <v>359</v>
      </c>
      <c r="BU416" s="17">
        <f>HYPERLINK("http://exon.niaid.nih.gov/transcriptome/T_rubida/S2/links/cluster/Triru-pep-ext30-50-Sim-CLU12.txt", 12)</f>
        <v>12</v>
      </c>
      <c r="BV416" s="1">
        <f>HYPERLINK("http://exon.niaid.nih.gov/transcriptome/T_rubida/S2/links/cluster/Triru-pep-ext30-50-Sim-CLTL12.txt", 3)</f>
        <v>3</v>
      </c>
      <c r="BW416" s="17">
        <v>194</v>
      </c>
      <c r="BX416" s="1">
        <v>1</v>
      </c>
      <c r="BY416" s="17">
        <v>206</v>
      </c>
      <c r="BZ416" s="1">
        <v>1</v>
      </c>
      <c r="CA416" s="17">
        <v>212</v>
      </c>
      <c r="CB416" s="1">
        <v>1</v>
      </c>
      <c r="CC416" s="17">
        <v>217</v>
      </c>
      <c r="CD416" s="1">
        <v>1</v>
      </c>
      <c r="CE416" s="17">
        <v>223</v>
      </c>
      <c r="CF416" s="1">
        <v>1</v>
      </c>
      <c r="CG416" s="17">
        <v>225</v>
      </c>
      <c r="CH416" s="1">
        <v>1</v>
      </c>
      <c r="CI416" s="17">
        <v>235</v>
      </c>
      <c r="CJ416" s="1">
        <v>1</v>
      </c>
      <c r="CK416" s="17">
        <v>240</v>
      </c>
      <c r="CL416" s="1">
        <v>1</v>
      </c>
      <c r="CM416" s="17">
        <v>248</v>
      </c>
      <c r="CN416" s="1">
        <v>1</v>
      </c>
      <c r="CO416" s="17">
        <v>259</v>
      </c>
      <c r="CP416" s="1">
        <v>1</v>
      </c>
      <c r="CQ416" s="17">
        <v>269</v>
      </c>
      <c r="CR416" s="1">
        <v>1</v>
      </c>
      <c r="CS416" s="17">
        <v>279</v>
      </c>
      <c r="CT416" s="1">
        <v>1</v>
      </c>
      <c r="CU416" s="17">
        <v>290</v>
      </c>
      <c r="CV416" s="1">
        <v>1</v>
      </c>
    </row>
    <row r="417" spans="1:100">
      <c r="A417" t="str">
        <f>HYPERLINK("http://exon.niaid.nih.gov/transcriptome/T_rubida/S2/links/pep/Triru-456-pep.txt","Triru-456")</f>
        <v>Triru-456</v>
      </c>
      <c r="B417">
        <v>67</v>
      </c>
      <c r="C417" s="1" t="s">
        <v>15</v>
      </c>
      <c r="D417" s="1" t="s">
        <v>3</v>
      </c>
      <c r="E417" t="str">
        <f>HYPERLINK("http://exon.niaid.nih.gov/transcriptome/T_rubida/S2/links/cds/Triru-456-cds.txt","Triru-456")</f>
        <v>Triru-456</v>
      </c>
      <c r="F417">
        <v>204</v>
      </c>
      <c r="G417" s="2" t="s">
        <v>1867</v>
      </c>
      <c r="H417" s="1">
        <v>1</v>
      </c>
      <c r="I417" s="3" t="s">
        <v>1266</v>
      </c>
      <c r="J417" s="17" t="str">
        <f>HYPERLINK("http://exon.niaid.nih.gov/transcriptome/T_rubida/S2/links/Sigp/Triru-456-SigP.txt","CYT")</f>
        <v>CYT</v>
      </c>
      <c r="K417" t="s">
        <v>5</v>
      </c>
      <c r="L417" s="1">
        <v>7.7549999999999999</v>
      </c>
      <c r="M417" s="1">
        <v>6.74</v>
      </c>
      <c r="P417" s="1">
        <v>9.9000000000000005E-2</v>
      </c>
      <c r="Q417" s="1">
        <v>0.125</v>
      </c>
      <c r="R417" s="1">
        <v>0.871</v>
      </c>
      <c r="S417" s="17" t="s">
        <v>1346</v>
      </c>
      <c r="T417">
        <v>2</v>
      </c>
      <c r="U417" t="s">
        <v>1562</v>
      </c>
      <c r="V417" s="17">
        <v>0</v>
      </c>
      <c r="W417" t="s">
        <v>5</v>
      </c>
      <c r="X417" t="s">
        <v>5</v>
      </c>
      <c r="Y417" t="s">
        <v>5</v>
      </c>
      <c r="Z417" t="s">
        <v>5</v>
      </c>
      <c r="AA417" t="s">
        <v>5</v>
      </c>
      <c r="AB417" s="17" t="str">
        <f>HYPERLINK("http://exon.niaid.nih.gov/transcriptome/T_rubida/S2/links/netoglyc/TRIRU-456-netoglyc.txt","0")</f>
        <v>0</v>
      </c>
      <c r="AC417">
        <v>17.899999999999999</v>
      </c>
      <c r="AD417">
        <v>4.5</v>
      </c>
      <c r="AE417">
        <v>3</v>
      </c>
      <c r="AF417" s="17" t="s">
        <v>5</v>
      </c>
      <c r="AG417" s="2" t="str">
        <f>HYPERLINK("http://exon.niaid.nih.gov/transcriptome/T_rubida/S2/links/NR/Triru-456-NR.txt","AP-4 complex subunit epsilon-1 isoform 2")</f>
        <v>AP-4 complex subunit epsilon-1 isoform 2</v>
      </c>
      <c r="AH417" t="str">
        <f>HYPERLINK("http://www.ncbi.nlm.nih.gov/sutils/blink.cgi?pid=332235555","23")</f>
        <v>23</v>
      </c>
      <c r="AI417" t="str">
        <f>HYPERLINK("http://www.ncbi.nlm.nih.gov/protein/332235555","gi|332235555")</f>
        <v>gi|332235555</v>
      </c>
      <c r="AJ417">
        <v>32.299999999999997</v>
      </c>
      <c r="AK417">
        <v>30</v>
      </c>
      <c r="AL417">
        <v>1062</v>
      </c>
      <c r="AM417">
        <v>45</v>
      </c>
      <c r="AN417">
        <v>3</v>
      </c>
      <c r="AO417" t="s">
        <v>783</v>
      </c>
      <c r="AP417" s="2" t="str">
        <f>HYPERLINK("http://exon.niaid.nih.gov/transcriptome/T_rubida/S2/links/SWISSP/Triru-456-SWISSP.txt","AP-4 complex subunit epsilon-1")</f>
        <v>AP-4 complex subunit epsilon-1</v>
      </c>
      <c r="AQ417" t="str">
        <f>HYPERLINK("http://www.uniprot.org/uniprot/Q9UPM8","0.86")</f>
        <v>0.86</v>
      </c>
      <c r="AR417" t="s">
        <v>784</v>
      </c>
      <c r="AS417">
        <v>32.299999999999997</v>
      </c>
      <c r="AT417">
        <v>30</v>
      </c>
      <c r="AU417">
        <v>1137</v>
      </c>
      <c r="AV417">
        <v>45</v>
      </c>
      <c r="AW417">
        <v>3</v>
      </c>
      <c r="AX417">
        <v>18</v>
      </c>
      <c r="AY417">
        <v>2</v>
      </c>
      <c r="AZ417">
        <v>905</v>
      </c>
      <c r="BA417">
        <v>19</v>
      </c>
      <c r="BB417">
        <v>1</v>
      </c>
      <c r="BC417" t="s">
        <v>208</v>
      </c>
      <c r="BD417" s="2" t="s">
        <v>5</v>
      </c>
      <c r="BE417" t="s">
        <v>5</v>
      </c>
      <c r="BF417" t="s">
        <v>5</v>
      </c>
      <c r="BG417" t="s">
        <v>5</v>
      </c>
      <c r="BH417" t="s">
        <v>5</v>
      </c>
      <c r="BI417" s="2" t="str">
        <f>HYPERLINK("http://exon.niaid.nih.gov/transcriptome/T_rubida/S2/links/CDD/Triru-456-CDD.txt","PRK07207")</f>
        <v>PRK07207</v>
      </c>
      <c r="BJ417" t="str">
        <f>HYPERLINK("http://www.ncbi.nlm.nih.gov/Structure/cdd/cddsrv.cgi?uid=PRK07207&amp;version=v4.0","3.3")</f>
        <v>3.3</v>
      </c>
      <c r="BK417" t="s">
        <v>785</v>
      </c>
      <c r="BL417" s="2" t="s">
        <v>5</v>
      </c>
      <c r="BM417" t="s">
        <v>5</v>
      </c>
      <c r="BN417" t="s">
        <v>5</v>
      </c>
      <c r="BO417" s="2" t="str">
        <f>HYPERLINK("http://exon.niaid.nih.gov/transcriptome/T_rubida/S2/links/PFAM/Triru-456-PFAM.txt","Hap2_elong")</f>
        <v>Hap2_elong</v>
      </c>
      <c r="BP417" t="str">
        <f>HYPERLINK("http://pfam.sanger.ac.uk/family?acc=PF10483","5.1")</f>
        <v>5.1</v>
      </c>
      <c r="BQ417" s="2" t="str">
        <f>HYPERLINK("http://exon.niaid.nih.gov/transcriptome/T_rubida/S2/links/SMART/Triru-456-SMART.txt","53EXOc")</f>
        <v>53EXOc</v>
      </c>
      <c r="BR417" t="str">
        <f>HYPERLINK("http://smart.embl-heidelberg.de/smart/do_annotation.pl?DOMAIN=53EXOc&amp;BLAST=DUMMY","1.5")</f>
        <v>1.5</v>
      </c>
      <c r="BS417" s="17">
        <f>HYPERLINK("http://exon.niaid.nih.gov/transcriptome/T_rubida/S2/links/cluster/Triru-pep-ext25-50-Sim-CLU1.txt", 1)</f>
        <v>1</v>
      </c>
      <c r="BT417" s="1">
        <f>HYPERLINK("http://exon.niaid.nih.gov/transcriptome/T_rubida/S2/links/cluster/Triru-pep-ext25-50-Sim-CLTL1.txt", 359)</f>
        <v>359</v>
      </c>
      <c r="BU417" s="17">
        <f>HYPERLINK("http://exon.niaid.nih.gov/transcriptome/T_rubida/S2/links/cluster/Triru-pep-ext30-50-Sim-CLU1.txt", 1)</f>
        <v>1</v>
      </c>
      <c r="BV417" s="1">
        <f>HYPERLINK("http://exon.niaid.nih.gov/transcriptome/T_rubida/S2/links/cluster/Triru-pep-ext30-50-Sim-CLTL1.txt", 225)</f>
        <v>225</v>
      </c>
      <c r="BW417" s="17">
        <v>266</v>
      </c>
      <c r="BX417" s="1">
        <v>1</v>
      </c>
      <c r="BY417" s="17">
        <v>287</v>
      </c>
      <c r="BZ417" s="1">
        <v>1</v>
      </c>
      <c r="CA417" s="17">
        <v>296</v>
      </c>
      <c r="CB417" s="1">
        <v>1</v>
      </c>
      <c r="CC417" s="17">
        <v>305</v>
      </c>
      <c r="CD417" s="1">
        <v>1</v>
      </c>
      <c r="CE417" s="17">
        <v>315</v>
      </c>
      <c r="CF417" s="1">
        <v>1</v>
      </c>
      <c r="CG417" s="17">
        <v>319</v>
      </c>
      <c r="CH417" s="1">
        <v>1</v>
      </c>
      <c r="CI417" s="17">
        <v>329</v>
      </c>
      <c r="CJ417" s="1">
        <v>1</v>
      </c>
      <c r="CK417" s="17">
        <v>335</v>
      </c>
      <c r="CL417" s="1">
        <v>1</v>
      </c>
      <c r="CM417" s="17">
        <v>343</v>
      </c>
      <c r="CN417" s="1">
        <v>1</v>
      </c>
      <c r="CO417" s="17">
        <v>355</v>
      </c>
      <c r="CP417" s="1">
        <v>1</v>
      </c>
      <c r="CQ417" s="17">
        <v>365</v>
      </c>
      <c r="CR417" s="1">
        <v>1</v>
      </c>
      <c r="CS417" s="17">
        <v>378</v>
      </c>
      <c r="CT417" s="1">
        <v>1</v>
      </c>
      <c r="CU417" s="17">
        <v>389</v>
      </c>
      <c r="CV417" s="1">
        <v>1</v>
      </c>
    </row>
    <row r="418" spans="1:100">
      <c r="A418" t="str">
        <f>HYPERLINK("http://exon.niaid.nih.gov/transcriptome/T_rubida/S2/links/pep/Triru-484-pep.txt","Triru-484")</f>
        <v>Triru-484</v>
      </c>
      <c r="B418">
        <v>93</v>
      </c>
      <c r="C418" s="1" t="s">
        <v>6</v>
      </c>
      <c r="D418" s="1" t="s">
        <v>3</v>
      </c>
      <c r="E418" t="str">
        <f>HYPERLINK("http://exon.niaid.nih.gov/transcriptome/T_rubida/S2/links/cds/Triru-484-cds.txt","Triru-484")</f>
        <v>Triru-484</v>
      </c>
      <c r="F418">
        <v>282</v>
      </c>
      <c r="G418" s="2" t="s">
        <v>1869</v>
      </c>
      <c r="H418" s="1">
        <v>1</v>
      </c>
      <c r="I418" s="3" t="s">
        <v>1266</v>
      </c>
      <c r="J418" s="17" t="str">
        <f>HYPERLINK("http://exon.niaid.nih.gov/transcriptome/T_rubida/S2/links/Sigp/Triru-484-SigP.txt","CYT")</f>
        <v>CYT</v>
      </c>
      <c r="K418" t="s">
        <v>5</v>
      </c>
      <c r="L418" s="1">
        <v>10.457000000000001</v>
      </c>
      <c r="M418" s="1">
        <v>12.15</v>
      </c>
      <c r="P418" s="1">
        <v>0.59599999999999997</v>
      </c>
      <c r="Q418" s="1">
        <v>4.9000000000000002E-2</v>
      </c>
      <c r="R418" s="1">
        <v>0.47399999999999998</v>
      </c>
      <c r="S418" s="17" t="s">
        <v>9</v>
      </c>
      <c r="T418">
        <v>5</v>
      </c>
      <c r="U418" t="s">
        <v>1558</v>
      </c>
      <c r="V418" s="17">
        <v>0</v>
      </c>
      <c r="W418" t="s">
        <v>5</v>
      </c>
      <c r="X418" t="s">
        <v>5</v>
      </c>
      <c r="Y418" t="s">
        <v>5</v>
      </c>
      <c r="Z418" t="s">
        <v>5</v>
      </c>
      <c r="AA418" t="s">
        <v>5</v>
      </c>
      <c r="AB418" s="17" t="str">
        <f>HYPERLINK("http://exon.niaid.nih.gov/transcriptome/T_rubida/S2/links/netoglyc/TRIRU-484-netoglyc.txt","3")</f>
        <v>3</v>
      </c>
      <c r="AC418">
        <v>19.399999999999999</v>
      </c>
      <c r="AD418">
        <v>5.4</v>
      </c>
      <c r="AE418">
        <v>7.5</v>
      </c>
      <c r="AF418" s="17" t="s">
        <v>1564</v>
      </c>
      <c r="AG418" s="2" t="str">
        <f>HYPERLINK("http://exon.niaid.nih.gov/transcriptome/T_rubida/S2/links/NR/Triru-484-NR.txt","recombination protein F")</f>
        <v>recombination protein F</v>
      </c>
      <c r="AH418" t="str">
        <f>HYPERLINK("http://www.ncbi.nlm.nih.gov/sutils/blink.cgi?pid=148826362","1.6")</f>
        <v>1.6</v>
      </c>
      <c r="AI418" t="str">
        <f>HYPERLINK("http://www.ncbi.nlm.nih.gov/protein/148826362","gi|148826362")</f>
        <v>gi|148826362</v>
      </c>
      <c r="AJ418">
        <v>36.200000000000003</v>
      </c>
      <c r="AK418">
        <v>60</v>
      </c>
      <c r="AL418">
        <v>1758</v>
      </c>
      <c r="AM418">
        <v>29</v>
      </c>
      <c r="AN418">
        <v>3</v>
      </c>
      <c r="AO418" t="s">
        <v>569</v>
      </c>
      <c r="AP418" s="2" t="str">
        <f>HYPERLINK("http://exon.niaid.nih.gov/transcriptome/T_rubida/S2/links/SWISSP/Triru-484-SWISSP.txt","Serine/threonine-protein kinase CST20")</f>
        <v>Serine/threonine-protein kinase CST20</v>
      </c>
      <c r="AQ418" t="str">
        <f>HYPERLINK("http://www.uniprot.org/uniprot/Q92212","0.29")</f>
        <v>0.29</v>
      </c>
      <c r="AR418" t="s">
        <v>570</v>
      </c>
      <c r="AS418">
        <v>33.9</v>
      </c>
      <c r="AT418">
        <v>74</v>
      </c>
      <c r="AU418">
        <v>1228</v>
      </c>
      <c r="AV418">
        <v>26</v>
      </c>
      <c r="AW418">
        <v>6</v>
      </c>
      <c r="AX418">
        <v>55</v>
      </c>
      <c r="AY418">
        <v>0</v>
      </c>
      <c r="AZ418">
        <v>379</v>
      </c>
      <c r="BA418">
        <v>16</v>
      </c>
      <c r="BB418">
        <v>1</v>
      </c>
      <c r="BC418" t="s">
        <v>571</v>
      </c>
      <c r="BD418" s="2" t="s">
        <v>5</v>
      </c>
      <c r="BE418" t="s">
        <v>5</v>
      </c>
      <c r="BF418" t="s">
        <v>5</v>
      </c>
      <c r="BG418" t="s">
        <v>5</v>
      </c>
      <c r="BH418" t="s">
        <v>5</v>
      </c>
      <c r="BI418" s="2" t="str">
        <f>HYPERLINK("http://exon.niaid.nih.gov/transcriptome/T_rubida/S2/links/CDD/Triru-484-CDD.txt","PRK15065")</f>
        <v>PRK15065</v>
      </c>
      <c r="BJ418" t="str">
        <f>HYPERLINK("http://www.ncbi.nlm.nih.gov/Structure/cdd/cddsrv.cgi?uid=PRK15065&amp;version=v4.0","0.65")</f>
        <v>0.65</v>
      </c>
      <c r="BK418" t="s">
        <v>572</v>
      </c>
      <c r="BL418" s="2" t="str">
        <f>HYPERLINK("http://exon.niaid.nih.gov/transcriptome/T_rubida/S2/links/KOG/Triru-484-KOG.txt","PHD finger protein")</f>
        <v>PHD finger protein</v>
      </c>
      <c r="BM418" t="str">
        <f>HYPERLINK("http://www.ncbi.nlm.nih.gov/COG/grace/shokog.cgi?KOG0954","1.8")</f>
        <v>1.8</v>
      </c>
      <c r="BN418" t="s">
        <v>96</v>
      </c>
      <c r="BO418" s="2" t="str">
        <f>HYPERLINK("http://exon.niaid.nih.gov/transcriptome/T_rubida/S2/links/PFAM/Triru-484-PFAM.txt","Spore_permease")</f>
        <v>Spore_permease</v>
      </c>
      <c r="BP418" t="str">
        <f>HYPERLINK("http://pfam.sanger.ac.uk/family?acc=PF03845","4.7")</f>
        <v>4.7</v>
      </c>
      <c r="BQ418" s="2" t="str">
        <f>HYPERLINK("http://exon.niaid.nih.gov/transcriptome/T_rubida/S2/links/SMART/Triru-484-SMART.txt","RPOLA_N")</f>
        <v>RPOLA_N</v>
      </c>
      <c r="BR418" t="str">
        <f>HYPERLINK("http://smart.embl-heidelberg.de/smart/do_annotation.pl?DOMAIN=RPOLA_N&amp;BLAST=DUMMY","0.43")</f>
        <v>0.43</v>
      </c>
      <c r="BS418" s="17">
        <f>HYPERLINK("http://exon.niaid.nih.gov/transcriptome/T_rubida/S2/links/cluster/Triru-pep-ext25-50-Sim-CLU17.txt", 17)</f>
        <v>17</v>
      </c>
      <c r="BT418" s="1">
        <f>HYPERLINK("http://exon.niaid.nih.gov/transcriptome/T_rubida/S2/links/cluster/Triru-pep-ext25-50-Sim-CLTL17.txt", 2)</f>
        <v>2</v>
      </c>
      <c r="BU418" s="17">
        <v>217</v>
      </c>
      <c r="BV418" s="1">
        <v>1</v>
      </c>
      <c r="BW418" s="17">
        <v>281</v>
      </c>
      <c r="BX418" s="1">
        <v>1</v>
      </c>
      <c r="BY418" s="17">
        <v>303</v>
      </c>
      <c r="BZ418" s="1">
        <v>1</v>
      </c>
      <c r="CA418" s="17">
        <v>313</v>
      </c>
      <c r="CB418" s="1">
        <v>1</v>
      </c>
      <c r="CC418" s="17">
        <v>324</v>
      </c>
      <c r="CD418" s="1">
        <v>1</v>
      </c>
      <c r="CE418" s="17">
        <v>336</v>
      </c>
      <c r="CF418" s="1">
        <v>1</v>
      </c>
      <c r="CG418" s="17">
        <v>341</v>
      </c>
      <c r="CH418" s="1">
        <v>1</v>
      </c>
      <c r="CI418" s="17">
        <v>352</v>
      </c>
      <c r="CJ418" s="1">
        <v>1</v>
      </c>
      <c r="CK418" s="17">
        <v>358</v>
      </c>
      <c r="CL418" s="1">
        <v>1</v>
      </c>
      <c r="CM418" s="17">
        <v>366</v>
      </c>
      <c r="CN418" s="1">
        <v>1</v>
      </c>
      <c r="CO418" s="17">
        <v>378</v>
      </c>
      <c r="CP418" s="1">
        <v>1</v>
      </c>
      <c r="CQ418" s="17">
        <v>388</v>
      </c>
      <c r="CR418" s="1">
        <v>1</v>
      </c>
      <c r="CS418" s="17">
        <v>401</v>
      </c>
      <c r="CT418" s="1">
        <v>1</v>
      </c>
      <c r="CU418" s="17">
        <v>412</v>
      </c>
      <c r="CV418" s="1">
        <v>1</v>
      </c>
    </row>
    <row r="419" spans="1:100">
      <c r="A419" t="str">
        <f>HYPERLINK("http://exon.niaid.nih.gov/transcriptome/T_rubida/S2/links/pep/Triru-504-pep.txt","Triru-504")</f>
        <v>Triru-504</v>
      </c>
      <c r="B419">
        <v>93</v>
      </c>
      <c r="C419" s="1" t="s">
        <v>6</v>
      </c>
      <c r="D419" s="1" t="s">
        <v>3</v>
      </c>
      <c r="E419" t="str">
        <f>HYPERLINK("http://exon.niaid.nih.gov/transcriptome/T_rubida/S2/links/cds/Triru-504-cds.txt","Triru-504")</f>
        <v>Triru-504</v>
      </c>
      <c r="F419">
        <v>282</v>
      </c>
      <c r="G419" s="2" t="s">
        <v>1870</v>
      </c>
      <c r="H419" s="1">
        <v>1</v>
      </c>
      <c r="I419" s="3" t="s">
        <v>1266</v>
      </c>
      <c r="J419" s="17" t="str">
        <f>HYPERLINK("http://exon.niaid.nih.gov/transcriptome/T_rubida/S2/links/Sigp/Triru-504-SigP.txt","CYT")</f>
        <v>CYT</v>
      </c>
      <c r="K419" t="s">
        <v>5</v>
      </c>
      <c r="L419" s="1">
        <v>10.047000000000001</v>
      </c>
      <c r="M419" s="1">
        <v>8.56</v>
      </c>
      <c r="P419" s="1">
        <v>0.30199999999999999</v>
      </c>
      <c r="Q419" s="1">
        <v>2.4E-2</v>
      </c>
      <c r="R419" s="1">
        <v>0.78400000000000003</v>
      </c>
      <c r="S419" s="17" t="s">
        <v>1346</v>
      </c>
      <c r="T419">
        <v>3</v>
      </c>
      <c r="U419" t="s">
        <v>1348</v>
      </c>
      <c r="V419" s="17">
        <v>0</v>
      </c>
      <c r="W419" t="s">
        <v>5</v>
      </c>
      <c r="X419" t="s">
        <v>5</v>
      </c>
      <c r="Y419" t="s">
        <v>5</v>
      </c>
      <c r="Z419" t="s">
        <v>5</v>
      </c>
      <c r="AA419" t="s">
        <v>5</v>
      </c>
      <c r="AB419" s="17" t="str">
        <f>HYPERLINK("http://exon.niaid.nih.gov/transcriptome/T_rubida/S2/links/netoglyc/TRIRU-504-netoglyc.txt","0")</f>
        <v>0</v>
      </c>
      <c r="AC419">
        <v>9.6999999999999993</v>
      </c>
      <c r="AD419">
        <v>10.8</v>
      </c>
      <c r="AE419">
        <v>2.2000000000000002</v>
      </c>
      <c r="AF419" s="17" t="s">
        <v>5</v>
      </c>
      <c r="AG419" s="2" t="str">
        <f>HYPERLINK("http://exon.niaid.nih.gov/transcriptome/T_rubida/S2/links/NR/Triru-504-NR.txt","similar to myosin-rhogap protein, myr")</f>
        <v>similar to myosin-rhogap protein, myr</v>
      </c>
      <c r="AH419" t="str">
        <f>HYPERLINK("http://www.ncbi.nlm.nih.gov/sutils/blink.cgi?pid=156548458","1E-005")</f>
        <v>1E-005</v>
      </c>
      <c r="AI419" t="str">
        <f>HYPERLINK("http://www.ncbi.nlm.nih.gov/protein/156548458","gi|156548458")</f>
        <v>gi|156548458</v>
      </c>
      <c r="AJ419">
        <v>53.5</v>
      </c>
      <c r="AK419">
        <v>61</v>
      </c>
      <c r="AL419">
        <v>2292</v>
      </c>
      <c r="AM419">
        <v>45</v>
      </c>
      <c r="AN419">
        <v>3</v>
      </c>
      <c r="AO419" t="s">
        <v>288</v>
      </c>
      <c r="AP419" s="2" t="str">
        <f>HYPERLINK("http://exon.niaid.nih.gov/transcriptome/T_rubida/S2/links/SWISSP/Triru-504-SWISSP.txt","Transcription elongation factor 1 homolog")</f>
        <v>Transcription elongation factor 1 homolog</v>
      </c>
      <c r="AQ419" t="str">
        <f>HYPERLINK("http://www.uniprot.org/uniprot/Q54KR5","3.2")</f>
        <v>3.2</v>
      </c>
      <c r="AR419" t="s">
        <v>564</v>
      </c>
      <c r="AS419">
        <v>30.4</v>
      </c>
      <c r="AT419">
        <v>29</v>
      </c>
      <c r="AU419">
        <v>80</v>
      </c>
      <c r="AV419">
        <v>47</v>
      </c>
      <c r="AW419">
        <v>38</v>
      </c>
      <c r="AX419">
        <v>18</v>
      </c>
      <c r="AY419">
        <v>4</v>
      </c>
      <c r="AZ419">
        <v>35</v>
      </c>
      <c r="BA419">
        <v>37</v>
      </c>
      <c r="BB419">
        <v>1</v>
      </c>
      <c r="BC419" t="s">
        <v>99</v>
      </c>
      <c r="BD419" s="2" t="s">
        <v>5</v>
      </c>
      <c r="BE419" t="s">
        <v>5</v>
      </c>
      <c r="BF419" t="s">
        <v>5</v>
      </c>
      <c r="BG419" t="s">
        <v>5</v>
      </c>
      <c r="BH419" t="s">
        <v>5</v>
      </c>
      <c r="BI419" s="2" t="str">
        <f>HYPERLINK("http://exon.niaid.nih.gov/transcriptome/T_rubida/S2/links/CDD/Triru-504-CDD.txt","arabinose_DH_li")</f>
        <v>arabinose_DH_li</v>
      </c>
      <c r="BJ419" t="str">
        <f>HYPERLINK("http://www.ncbi.nlm.nih.gov/Structure/cdd/cddsrv.cgi?uid=cd05284&amp;version=v4.0","2.0")</f>
        <v>2.0</v>
      </c>
      <c r="BK419" t="s">
        <v>565</v>
      </c>
      <c r="BL419" s="2" t="str">
        <f>HYPERLINK("http://exon.niaid.nih.gov/transcriptome/T_rubida/S2/links/KOG/Triru-504-KOG.txt","Uncharacterized conserved protein")</f>
        <v>Uncharacterized conserved protein</v>
      </c>
      <c r="BM419" t="str">
        <f>HYPERLINK("http://www.ncbi.nlm.nih.gov/COG/grace/shokog.cgi?KOG2390","0.72")</f>
        <v>0.72</v>
      </c>
      <c r="BN419" t="s">
        <v>264</v>
      </c>
      <c r="BO419" s="2" t="str">
        <f>HYPERLINK("http://exon.niaid.nih.gov/transcriptome/T_rubida/S2/links/PFAM/Triru-504-PFAM.txt","DUF2085")</f>
        <v>DUF2085</v>
      </c>
      <c r="BP419" t="str">
        <f>HYPERLINK("http://pfam.sanger.ac.uk/family?acc=PF09858","0.42")</f>
        <v>0.42</v>
      </c>
      <c r="BQ419" s="2" t="str">
        <f>HYPERLINK("http://exon.niaid.nih.gov/transcriptome/T_rubida/S2/links/SMART/Triru-504-SMART.txt","KIND")</f>
        <v>KIND</v>
      </c>
      <c r="BR419" t="str">
        <f>HYPERLINK("http://smart.embl-heidelberg.de/smart/do_annotation.pl?DOMAIN=KIND&amp;BLAST=DUMMY","0.88")</f>
        <v>0.88</v>
      </c>
      <c r="BS419" s="17">
        <f>HYPERLINK("http://exon.niaid.nih.gov/transcriptome/T_rubida/S2/links/cluster/Triru-pep-ext25-50-Sim-CLU4.txt", 4)</f>
        <v>4</v>
      </c>
      <c r="BT419" s="1">
        <f>HYPERLINK("http://exon.niaid.nih.gov/transcriptome/T_rubida/S2/links/cluster/Triru-pep-ext25-50-Sim-CLTL4.txt", 3)</f>
        <v>3</v>
      </c>
      <c r="BU419" s="17">
        <f>HYPERLINK("http://exon.niaid.nih.gov/transcriptome/T_rubida/S2/links/cluster/Triru-pep-ext30-50-Sim-CLU10.txt", 10)</f>
        <v>10</v>
      </c>
      <c r="BV419" s="1">
        <f>HYPERLINK("http://exon.niaid.nih.gov/transcriptome/T_rubida/S2/links/cluster/Triru-pep-ext30-50-Sim-CLTL10.txt", 3)</f>
        <v>3</v>
      </c>
      <c r="BW419" s="17">
        <f>HYPERLINK("http://exon.niaid.nih.gov/transcriptome/T_rubida/S2/links/cluster/Triru-pep-ext35-50-Sim-CLU20.txt", 20)</f>
        <v>20</v>
      </c>
      <c r="BX419" s="1">
        <f>HYPERLINK("http://exon.niaid.nih.gov/transcriptome/T_rubida/S2/links/cluster/Triru-pep-ext35-50-Sim-CLTL20.txt", 2)</f>
        <v>2</v>
      </c>
      <c r="BY419" s="17">
        <f>HYPERLINK("http://exon.niaid.nih.gov/transcriptome/T_rubida/S2/links/cluster/Triru-pep-ext40-50-Sim-CLU19.txt", 19)</f>
        <v>19</v>
      </c>
      <c r="BZ419" s="1">
        <f>HYPERLINK("http://exon.niaid.nih.gov/transcriptome/T_rubida/S2/links/cluster/Triru-pep-ext40-50-Sim-CLTL19.txt", 2)</f>
        <v>2</v>
      </c>
      <c r="CA419" s="17">
        <f>HYPERLINK("http://exon.niaid.nih.gov/transcriptome/T_rubida/S2/links/cluster/Triru-pep-ext45-50-Sim-CLU15.txt", 15)</f>
        <v>15</v>
      </c>
      <c r="CB419" s="1">
        <f>HYPERLINK("http://exon.niaid.nih.gov/transcriptome/T_rubida/S2/links/cluster/Triru-pep-ext45-50-Sim-CLTL15.txt", 2)</f>
        <v>2</v>
      </c>
      <c r="CC419" s="17">
        <f>HYPERLINK("http://exon.niaid.nih.gov/transcriptome/T_rubida/S2/links/cluster/Triru-pep-ext50-50-Sim-CLU15.txt", 15)</f>
        <v>15</v>
      </c>
      <c r="CD419" s="1">
        <f>HYPERLINK("http://exon.niaid.nih.gov/transcriptome/T_rubida/S2/links/cluster/Triru-pep-ext50-50-Sim-CLTL15.txt", 2)</f>
        <v>2</v>
      </c>
      <c r="CE419" s="17">
        <f>HYPERLINK("http://exon.niaid.nih.gov/transcriptome/T_rubida/S2/links/cluster/Triru-pep-ext55-50-Sim-CLU11.txt", 11)</f>
        <v>11</v>
      </c>
      <c r="CF419" s="1">
        <f>HYPERLINK("http://exon.niaid.nih.gov/transcriptome/T_rubida/S2/links/cluster/Triru-pep-ext55-50-Sim-CLTL11.txt", 2)</f>
        <v>2</v>
      </c>
      <c r="CG419" s="17">
        <f>HYPERLINK("http://exon.niaid.nih.gov/transcriptome/T_rubida/S2/links/cluster/Triru-pep-ext60-50-Sim-CLU12.txt", 12)</f>
        <v>12</v>
      </c>
      <c r="CH419" s="1">
        <f>HYPERLINK("http://exon.niaid.nih.gov/transcriptome/T_rubida/S2/links/cluster/Triru-pep-ext60-50-Sim-CLTL12.txt", 2)</f>
        <v>2</v>
      </c>
      <c r="CI419" s="17">
        <v>370</v>
      </c>
      <c r="CJ419" s="1">
        <v>1</v>
      </c>
      <c r="CK419" s="17">
        <v>376</v>
      </c>
      <c r="CL419" s="1">
        <v>1</v>
      </c>
      <c r="CM419" s="17">
        <v>384</v>
      </c>
      <c r="CN419" s="1">
        <v>1</v>
      </c>
      <c r="CO419" s="17">
        <v>396</v>
      </c>
      <c r="CP419" s="1">
        <v>1</v>
      </c>
      <c r="CQ419" s="17">
        <v>406</v>
      </c>
      <c r="CR419" s="1">
        <v>1</v>
      </c>
      <c r="CS419" s="17">
        <v>419</v>
      </c>
      <c r="CT419" s="1">
        <v>1</v>
      </c>
      <c r="CU419" s="17">
        <v>430</v>
      </c>
      <c r="CV419" s="1">
        <v>1</v>
      </c>
    </row>
    <row r="420" spans="1:100">
      <c r="A420" t="str">
        <f>HYPERLINK("http://exon.niaid.nih.gov/transcriptome/T_rubida/S2/links/pep/Triru-229-pep.txt","Triru-229")</f>
        <v>Triru-229</v>
      </c>
      <c r="B420">
        <v>99</v>
      </c>
      <c r="C420" s="1" t="s">
        <v>20</v>
      </c>
      <c r="D420" s="1" t="s">
        <v>3</v>
      </c>
      <c r="E420" t="str">
        <f>HYPERLINK("http://exon.niaid.nih.gov/transcriptome/T_rubida/S2/links/cds/Triru-229-cds.txt","Triru-229")</f>
        <v>Triru-229</v>
      </c>
      <c r="F420">
        <v>300</v>
      </c>
      <c r="G420" s="2" t="s">
        <v>1871</v>
      </c>
      <c r="H420" s="1">
        <v>1</v>
      </c>
      <c r="I420" s="3" t="s">
        <v>1266</v>
      </c>
      <c r="J420" s="17" t="str">
        <f>HYPERLINK("http://exon.niaid.nih.gov/transcriptome/T_rubida/S2/links/Sigp/Triru-229-SigP.txt","CYT")</f>
        <v>CYT</v>
      </c>
      <c r="K420" t="s">
        <v>5</v>
      </c>
      <c r="L420" s="1">
        <v>11.335000000000001</v>
      </c>
      <c r="M420" s="1">
        <v>8.31</v>
      </c>
      <c r="P420" s="1">
        <v>0.32200000000000001</v>
      </c>
      <c r="Q420" s="1">
        <v>4.2000000000000003E-2</v>
      </c>
      <c r="R420" s="1">
        <v>0.70099999999999996</v>
      </c>
      <c r="S420" s="17" t="s">
        <v>1346</v>
      </c>
      <c r="T420">
        <v>4</v>
      </c>
      <c r="U420" t="s">
        <v>1382</v>
      </c>
      <c r="V420" s="17">
        <v>0</v>
      </c>
      <c r="W420" t="s">
        <v>5</v>
      </c>
      <c r="X420" t="s">
        <v>5</v>
      </c>
      <c r="Y420" t="s">
        <v>5</v>
      </c>
      <c r="Z420" t="s">
        <v>5</v>
      </c>
      <c r="AA420" t="s">
        <v>5</v>
      </c>
      <c r="AB420" s="17" t="str">
        <f>HYPERLINK("http://exon.niaid.nih.gov/transcriptome/T_rubida/S2/links/netoglyc/TRIRU-229-netoglyc.txt","0")</f>
        <v>0</v>
      </c>
      <c r="AC420">
        <v>9.1</v>
      </c>
      <c r="AD420">
        <v>8.1</v>
      </c>
      <c r="AE420">
        <v>4</v>
      </c>
      <c r="AF420" s="17" t="s">
        <v>5</v>
      </c>
      <c r="AG420" s="2" t="str">
        <f>HYPERLINK("http://exon.niaid.nih.gov/transcriptome/T_rubida/S2/links/NR/Triru-229-NR.txt","similar to myosin-rhogap protein, myr")</f>
        <v>similar to myosin-rhogap protein, myr</v>
      </c>
      <c r="AH420" t="str">
        <f>HYPERLINK("http://www.ncbi.nlm.nih.gov/sutils/blink.cgi?pid=156548458","1E-006")</f>
        <v>1E-006</v>
      </c>
      <c r="AI420" t="str">
        <f>HYPERLINK("http://www.ncbi.nlm.nih.gov/protein/156548458","gi|156548458")</f>
        <v>gi|156548458</v>
      </c>
      <c r="AJ420">
        <v>56.2</v>
      </c>
      <c r="AK420">
        <v>73</v>
      </c>
      <c r="AL420">
        <v>2292</v>
      </c>
      <c r="AM420">
        <v>44</v>
      </c>
      <c r="AN420">
        <v>3</v>
      </c>
      <c r="AO420" t="s">
        <v>288</v>
      </c>
      <c r="AP420" s="2" t="str">
        <f>HYPERLINK("http://exon.niaid.nih.gov/transcriptome/T_rubida/S2/links/SWISSP/Triru-229-SWISSP.txt","Retrovirus-related Pol polyprotein from type-1 retrotransposable element R1")</f>
        <v>Retrovirus-related Pol polyprotein from type-1 retrotransposable element R1</v>
      </c>
      <c r="AQ420" t="str">
        <f>HYPERLINK("http://www.uniprot.org/uniprot/Q03277","0.51")</f>
        <v>0.51</v>
      </c>
      <c r="AR420" t="s">
        <v>900</v>
      </c>
      <c r="AS420">
        <v>33.1</v>
      </c>
      <c r="AT420">
        <v>38</v>
      </c>
      <c r="AU420">
        <v>1004</v>
      </c>
      <c r="AV420">
        <v>42</v>
      </c>
      <c r="AW420">
        <v>4</v>
      </c>
      <c r="AX420">
        <v>23</v>
      </c>
      <c r="AY420">
        <v>1</v>
      </c>
      <c r="AZ420">
        <v>908</v>
      </c>
      <c r="BA420">
        <v>18</v>
      </c>
      <c r="BB420">
        <v>1</v>
      </c>
      <c r="BC420" t="s">
        <v>901</v>
      </c>
      <c r="BD420" s="2" t="s">
        <v>5</v>
      </c>
      <c r="BE420" t="s">
        <v>5</v>
      </c>
      <c r="BF420" t="s">
        <v>5</v>
      </c>
      <c r="BG420" t="s">
        <v>5</v>
      </c>
      <c r="BH420" t="s">
        <v>5</v>
      </c>
      <c r="BI420" s="2" t="str">
        <f>HYPERLINK("http://exon.niaid.nih.gov/transcriptome/T_rubida/S2/links/CDD/Triru-229-CDD.txt","PLN02740")</f>
        <v>PLN02740</v>
      </c>
      <c r="BJ420" t="str">
        <f>HYPERLINK("http://www.ncbi.nlm.nih.gov/Structure/cdd/cddsrv.cgi?uid=PLN02740&amp;version=v4.0","1.3")</f>
        <v>1.3</v>
      </c>
      <c r="BK420" t="s">
        <v>902</v>
      </c>
      <c r="BL420" s="2" t="str">
        <f>HYPERLINK("http://exon.niaid.nih.gov/transcriptome/T_rubida/S2/links/KOG/Triru-229-KOG.txt","PHD finger protein BR140/LIN-49")</f>
        <v>PHD finger protein BR140/LIN-49</v>
      </c>
      <c r="BM420" t="str">
        <f>HYPERLINK("http://www.ncbi.nlm.nih.gov/COG/grace/shokog.cgi?KOG0955","1.5")</f>
        <v>1.5</v>
      </c>
      <c r="BN420" t="s">
        <v>96</v>
      </c>
      <c r="BO420" s="2" t="str">
        <f>HYPERLINK("http://exon.niaid.nih.gov/transcriptome/T_rubida/S2/links/PFAM/Triru-229-PFAM.txt","RNase_P_pop3")</f>
        <v>RNase_P_pop3</v>
      </c>
      <c r="BP420" t="str">
        <f>HYPERLINK("http://pfam.sanger.ac.uk/family?acc=PF08228","1.4")</f>
        <v>1.4</v>
      </c>
      <c r="BQ420" s="2" t="str">
        <f>HYPERLINK("http://exon.niaid.nih.gov/transcriptome/T_rubida/S2/links/SMART/Triru-229-SMART.txt","DALR_1")</f>
        <v>DALR_1</v>
      </c>
      <c r="BR420" t="str">
        <f>HYPERLINK("http://smart.embl-heidelberg.de/smart/do_annotation.pl?DOMAIN=DALR_1&amp;BLAST=DUMMY","0.33")</f>
        <v>0.33</v>
      </c>
      <c r="BS420" s="17">
        <f>HYPERLINK("http://exon.niaid.nih.gov/transcriptome/T_rubida/S2/links/cluster/Triru-pep-ext25-50-Sim-CLU4.txt", 4)</f>
        <v>4</v>
      </c>
      <c r="BT420" s="1">
        <f>HYPERLINK("http://exon.niaid.nih.gov/transcriptome/T_rubida/S2/links/cluster/Triru-pep-ext25-50-Sim-CLTL4.txt", 3)</f>
        <v>3</v>
      </c>
      <c r="BU420" s="17">
        <f>HYPERLINK("http://exon.niaid.nih.gov/transcriptome/T_rubida/S2/links/cluster/Triru-pep-ext30-50-Sim-CLU10.txt", 10)</f>
        <v>10</v>
      </c>
      <c r="BV420" s="1">
        <f>HYPERLINK("http://exon.niaid.nih.gov/transcriptome/T_rubida/S2/links/cluster/Triru-pep-ext30-50-Sim-CLTL10.txt", 3)</f>
        <v>3</v>
      </c>
      <c r="BW420" s="17">
        <f>HYPERLINK("http://exon.niaid.nih.gov/transcriptome/T_rubida/S2/links/cluster/Triru-pep-ext35-50-Sim-CLU20.txt", 20)</f>
        <v>20</v>
      </c>
      <c r="BX420" s="1">
        <f>HYPERLINK("http://exon.niaid.nih.gov/transcriptome/T_rubida/S2/links/cluster/Triru-pep-ext35-50-Sim-CLTL20.txt", 2)</f>
        <v>2</v>
      </c>
      <c r="BY420" s="17">
        <f>HYPERLINK("http://exon.niaid.nih.gov/transcriptome/T_rubida/S2/links/cluster/Triru-pep-ext40-50-Sim-CLU19.txt", 19)</f>
        <v>19</v>
      </c>
      <c r="BZ420" s="1">
        <f>HYPERLINK("http://exon.niaid.nih.gov/transcriptome/T_rubida/S2/links/cluster/Triru-pep-ext40-50-Sim-CLTL19.txt", 2)</f>
        <v>2</v>
      </c>
      <c r="CA420" s="17">
        <f>HYPERLINK("http://exon.niaid.nih.gov/transcriptome/T_rubida/S2/links/cluster/Triru-pep-ext45-50-Sim-CLU15.txt", 15)</f>
        <v>15</v>
      </c>
      <c r="CB420" s="1">
        <f>HYPERLINK("http://exon.niaid.nih.gov/transcriptome/T_rubida/S2/links/cluster/Triru-pep-ext45-50-Sim-CLTL15.txt", 2)</f>
        <v>2</v>
      </c>
      <c r="CC420" s="17">
        <f>HYPERLINK("http://exon.niaid.nih.gov/transcriptome/T_rubida/S2/links/cluster/Triru-pep-ext50-50-Sim-CLU15.txt", 15)</f>
        <v>15</v>
      </c>
      <c r="CD420" s="1">
        <f>HYPERLINK("http://exon.niaid.nih.gov/transcriptome/T_rubida/S2/links/cluster/Triru-pep-ext50-50-Sim-CLTL15.txt", 2)</f>
        <v>2</v>
      </c>
      <c r="CE420" s="17">
        <f>HYPERLINK("http://exon.niaid.nih.gov/transcriptome/T_rubida/S2/links/cluster/Triru-pep-ext55-50-Sim-CLU11.txt", 11)</f>
        <v>11</v>
      </c>
      <c r="CF420" s="1">
        <f>HYPERLINK("http://exon.niaid.nih.gov/transcriptome/T_rubida/S2/links/cluster/Triru-pep-ext55-50-Sim-CLTL11.txt", 2)</f>
        <v>2</v>
      </c>
      <c r="CG420" s="17">
        <f>HYPERLINK("http://exon.niaid.nih.gov/transcriptome/T_rubida/S2/links/cluster/Triru-pep-ext60-50-Sim-CLU12.txt", 12)</f>
        <v>12</v>
      </c>
      <c r="CH420" s="1">
        <f>HYPERLINK("http://exon.niaid.nih.gov/transcriptome/T_rubida/S2/links/cluster/Triru-pep-ext60-50-Sim-CLTL12.txt", 2)</f>
        <v>2</v>
      </c>
      <c r="CI420" s="17">
        <v>150</v>
      </c>
      <c r="CJ420" s="1">
        <v>1</v>
      </c>
      <c r="CK420" s="17">
        <v>155</v>
      </c>
      <c r="CL420" s="1">
        <v>1</v>
      </c>
      <c r="CM420" s="17">
        <v>161</v>
      </c>
      <c r="CN420" s="1">
        <v>1</v>
      </c>
      <c r="CO420" s="17">
        <v>171</v>
      </c>
      <c r="CP420" s="1">
        <v>1</v>
      </c>
      <c r="CQ420" s="17">
        <v>181</v>
      </c>
      <c r="CR420" s="1">
        <v>1</v>
      </c>
      <c r="CS420" s="17">
        <v>186</v>
      </c>
      <c r="CT420" s="1">
        <v>1</v>
      </c>
      <c r="CU420" s="17">
        <v>197</v>
      </c>
      <c r="CV420" s="1">
        <v>1</v>
      </c>
    </row>
    <row r="421" spans="1:100">
      <c r="A421" t="str">
        <f>HYPERLINK("http://exon.niaid.nih.gov/transcriptome/T_rubida/S2/links/pep/Triru-564-pep.txt","Triru-564")</f>
        <v>Triru-564</v>
      </c>
      <c r="B421">
        <v>50</v>
      </c>
      <c r="C421" s="1" t="s">
        <v>10</v>
      </c>
      <c r="D421" s="1" t="s">
        <v>3</v>
      </c>
      <c r="E421" t="str">
        <f>HYPERLINK("http://exon.niaid.nih.gov/transcriptome/T_rubida/S2/links/cds/Triru-564-cds.txt","Triru-564")</f>
        <v>Triru-564</v>
      </c>
      <c r="F421">
        <v>153</v>
      </c>
      <c r="G421" s="2" t="s">
        <v>1872</v>
      </c>
      <c r="H421" s="1">
        <v>1</v>
      </c>
      <c r="I421" s="3" t="s">
        <v>1266</v>
      </c>
      <c r="J421" s="17" t="str">
        <f>HYPERLINK("http://exon.niaid.nih.gov/transcriptome/T_rubida/S2/links/Sigp/Triru-564-SigP.txt","CYT")</f>
        <v>CYT</v>
      </c>
      <c r="K421" t="s">
        <v>5</v>
      </c>
      <c r="L421" s="1">
        <v>5.6189999999999998</v>
      </c>
      <c r="M421" s="1">
        <v>9.93</v>
      </c>
      <c r="P421" s="1">
        <v>0.108</v>
      </c>
      <c r="Q421" s="1">
        <v>7.9000000000000001E-2</v>
      </c>
      <c r="R421" s="1">
        <v>0.83899999999999997</v>
      </c>
      <c r="S421" s="17" t="s">
        <v>1346</v>
      </c>
      <c r="T421">
        <v>2</v>
      </c>
      <c r="U421" t="s">
        <v>1379</v>
      </c>
      <c r="V421" s="17">
        <v>0</v>
      </c>
      <c r="W421" t="s">
        <v>5</v>
      </c>
      <c r="X421" t="s">
        <v>5</v>
      </c>
      <c r="Y421" t="s">
        <v>5</v>
      </c>
      <c r="Z421" t="s">
        <v>5</v>
      </c>
      <c r="AA421" t="s">
        <v>5</v>
      </c>
      <c r="AB421" s="17" t="str">
        <f>HYPERLINK("http://exon.niaid.nih.gov/transcriptome/T_rubida/S2/links/netoglyc/TRIRU-564-netoglyc.txt","0")</f>
        <v>0</v>
      </c>
      <c r="AC421">
        <v>12</v>
      </c>
      <c r="AD421">
        <v>8</v>
      </c>
      <c r="AE421">
        <v>2</v>
      </c>
      <c r="AF421" s="17" t="s">
        <v>5</v>
      </c>
      <c r="AG421" s="2" t="str">
        <f>HYPERLINK("http://exon.niaid.nih.gov/transcriptome/T_rubida/S2/links/NR/Triru-564-NR.txt","putative polyketide synthase")</f>
        <v>putative polyketide synthase</v>
      </c>
      <c r="AH421" t="str">
        <f>HYPERLINK("http://www.ncbi.nlm.nih.gov/sutils/blink.cgi?pid=114799051","89")</f>
        <v>89</v>
      </c>
      <c r="AI421" t="str">
        <f>HYPERLINK("http://www.ncbi.nlm.nih.gov/protein/114799051","gi|114799051")</f>
        <v>gi|114799051</v>
      </c>
      <c r="AJ421">
        <v>30.4</v>
      </c>
      <c r="AK421">
        <v>34</v>
      </c>
      <c r="AL421">
        <v>2026</v>
      </c>
      <c r="AM421">
        <v>31</v>
      </c>
      <c r="AN421">
        <v>2</v>
      </c>
      <c r="AO421" t="s">
        <v>938</v>
      </c>
      <c r="AP421" s="2" t="str">
        <f>HYPERLINK("http://exon.niaid.nih.gov/transcriptome/T_rubida/S2/links/SWISSP/Triru-564-SWISSP.txt","Transcription activator gutR")</f>
        <v>Transcription activator gutR</v>
      </c>
      <c r="AQ421" t="str">
        <f>HYPERLINK("http://www.uniprot.org/uniprot/P39143","13")</f>
        <v>13</v>
      </c>
      <c r="AR421" t="s">
        <v>939</v>
      </c>
      <c r="AS421">
        <v>28.5</v>
      </c>
      <c r="AT421">
        <v>28</v>
      </c>
      <c r="AU421">
        <v>829</v>
      </c>
      <c r="AV421">
        <v>41</v>
      </c>
      <c r="AW421">
        <v>3</v>
      </c>
      <c r="AX421">
        <v>17</v>
      </c>
      <c r="AY421">
        <v>0</v>
      </c>
      <c r="AZ421">
        <v>203</v>
      </c>
      <c r="BA421">
        <v>16</v>
      </c>
      <c r="BB421">
        <v>1</v>
      </c>
      <c r="BC421" t="s">
        <v>372</v>
      </c>
      <c r="BD421" s="2" t="s">
        <v>5</v>
      </c>
      <c r="BE421" t="s">
        <v>5</v>
      </c>
      <c r="BF421" t="s">
        <v>5</v>
      </c>
      <c r="BG421" t="s">
        <v>5</v>
      </c>
      <c r="BH421" t="s">
        <v>5</v>
      </c>
      <c r="BI421" s="2" t="str">
        <f>HYPERLINK("http://exon.niaid.nih.gov/transcriptome/T_rubida/S2/links/CDD/Triru-564-CDD.txt","HypE")</f>
        <v>HypE</v>
      </c>
      <c r="BJ421" t="str">
        <f>HYPERLINK("http://www.ncbi.nlm.nih.gov/Structure/cdd/cddsrv.cgi?uid=COG0309&amp;version=v4.0","9.3")</f>
        <v>9.3</v>
      </c>
      <c r="BK421" t="s">
        <v>940</v>
      </c>
      <c r="BL421" s="2" t="str">
        <f>HYPERLINK("http://exon.niaid.nih.gov/transcriptome/T_rubida/S2/links/KOG/Triru-564-KOG.txt","Vesicle coat complex AP-3, beta subunit")</f>
        <v>Vesicle coat complex AP-3, beta subunit</v>
      </c>
      <c r="BM421" t="str">
        <f>HYPERLINK("http://www.ncbi.nlm.nih.gov/COG/grace/shokog.cgi?KOG1060","3.7")</f>
        <v>3.7</v>
      </c>
      <c r="BN421" t="s">
        <v>164</v>
      </c>
      <c r="BO421" s="2" t="str">
        <f>HYPERLINK("http://exon.niaid.nih.gov/transcriptome/T_rubida/S2/links/PFAM/Triru-564-PFAM.txt","DUF2282")</f>
        <v>DUF2282</v>
      </c>
      <c r="BP421" t="str">
        <f>HYPERLINK("http://pfam.sanger.ac.uk/family?acc=PF10048","9.7")</f>
        <v>9.7</v>
      </c>
      <c r="BQ421" s="2" t="str">
        <f>HYPERLINK("http://exon.niaid.nih.gov/transcriptome/T_rubida/S2/links/SMART/Triru-564-SMART.txt","PLAc")</f>
        <v>PLAc</v>
      </c>
      <c r="BR421" t="str">
        <f>HYPERLINK("http://smart.embl-heidelberg.de/smart/do_annotation.pl?DOMAIN=PLAc&amp;BLAST=DUMMY","9.7")</f>
        <v>9.7</v>
      </c>
      <c r="BS421" s="17">
        <f>HYPERLINK("http://exon.niaid.nih.gov/transcriptome/T_rubida/S2/links/cluster/Triru-pep-ext25-50-Sim-CLU1.txt", 1)</f>
        <v>1</v>
      </c>
      <c r="BT421" s="1">
        <f>HYPERLINK("http://exon.niaid.nih.gov/transcriptome/T_rubida/S2/links/cluster/Triru-pep-ext25-50-Sim-CLTL1.txt", 359)</f>
        <v>359</v>
      </c>
      <c r="BU421" s="17">
        <f>HYPERLINK("http://exon.niaid.nih.gov/transcriptome/T_rubida/S2/links/cluster/Triru-pep-ext30-50-Sim-CLU1.txt", 1)</f>
        <v>1</v>
      </c>
      <c r="BV421" s="1">
        <f>HYPERLINK("http://exon.niaid.nih.gov/transcriptome/T_rubida/S2/links/cluster/Triru-pep-ext30-50-Sim-CLTL1.txt", 225)</f>
        <v>225</v>
      </c>
      <c r="BW421" s="17">
        <v>325</v>
      </c>
      <c r="BX421" s="1">
        <v>1</v>
      </c>
      <c r="BY421" s="17">
        <v>357</v>
      </c>
      <c r="BZ421" s="1">
        <v>1</v>
      </c>
      <c r="CA421" s="17">
        <v>371</v>
      </c>
      <c r="CB421" s="1">
        <v>1</v>
      </c>
      <c r="CC421" s="17">
        <v>384</v>
      </c>
      <c r="CD421" s="1">
        <v>1</v>
      </c>
      <c r="CE421" s="17">
        <v>399</v>
      </c>
      <c r="CF421" s="1">
        <v>1</v>
      </c>
      <c r="CG421" s="17">
        <v>405</v>
      </c>
      <c r="CH421" s="1">
        <v>1</v>
      </c>
      <c r="CI421" s="17">
        <v>417</v>
      </c>
      <c r="CJ421" s="1">
        <v>1</v>
      </c>
      <c r="CK421" s="17">
        <v>423</v>
      </c>
      <c r="CL421" s="1">
        <v>1</v>
      </c>
      <c r="CM421" s="17">
        <v>434</v>
      </c>
      <c r="CN421" s="1">
        <v>1</v>
      </c>
      <c r="CO421" s="17">
        <v>446</v>
      </c>
      <c r="CP421" s="1">
        <v>1</v>
      </c>
      <c r="CQ421" s="17">
        <v>456</v>
      </c>
      <c r="CR421" s="1">
        <v>1</v>
      </c>
      <c r="CS421" s="17">
        <v>469</v>
      </c>
      <c r="CT421" s="1">
        <v>1</v>
      </c>
      <c r="CU421" s="17">
        <v>481</v>
      </c>
      <c r="CV421" s="1">
        <v>1</v>
      </c>
    </row>
    <row r="422" spans="1:100">
      <c r="A422" t="str">
        <f>HYPERLINK("http://exon.niaid.nih.gov/transcriptome/T_rubida/S2/links/pep/Triru-366-pep.txt","Triru-366")</f>
        <v>Triru-366</v>
      </c>
      <c r="B422">
        <v>42</v>
      </c>
      <c r="C422" s="1" t="s">
        <v>11</v>
      </c>
      <c r="D422" s="1" t="s">
        <v>3</v>
      </c>
      <c r="E422" t="str">
        <f>HYPERLINK("http://exon.niaid.nih.gov/transcriptome/T_rubida/S2/links/cds/Triru-366-cds.txt","Triru-366")</f>
        <v>Triru-366</v>
      </c>
      <c r="F422">
        <v>129</v>
      </c>
      <c r="G422" s="2" t="s">
        <v>1873</v>
      </c>
      <c r="H422" s="1">
        <v>1</v>
      </c>
      <c r="I422" s="3" t="s">
        <v>1266</v>
      </c>
      <c r="J422" s="17" t="str">
        <f>HYPERLINK("http://exon.niaid.nih.gov/transcriptome/T_rubida/S2/links/Sigp/Triru-366-SigP.txt","CYT")</f>
        <v>CYT</v>
      </c>
      <c r="K422" t="s">
        <v>5</v>
      </c>
      <c r="L422" s="1">
        <v>5.1779999999999999</v>
      </c>
      <c r="M422" s="1">
        <v>5.32</v>
      </c>
      <c r="P422" s="1">
        <v>7.4999999999999997E-2</v>
      </c>
      <c r="Q422" s="1">
        <v>0.155</v>
      </c>
      <c r="R422" s="1">
        <v>0.89400000000000002</v>
      </c>
      <c r="S422" s="17" t="s">
        <v>1346</v>
      </c>
      <c r="T422">
        <v>2</v>
      </c>
      <c r="U422" t="s">
        <v>1565</v>
      </c>
      <c r="V422" s="17" t="str">
        <f>HYPERLINK("http://exon.niaid.nih.gov/transcriptome/T_rubida/S2/links/tmhmm/TRIRU-366-tmhmm.txt","1")</f>
        <v>1</v>
      </c>
      <c r="W422">
        <v>45.2</v>
      </c>
      <c r="X422">
        <v>47.6</v>
      </c>
      <c r="Y422">
        <v>7.1</v>
      </c>
      <c r="Z422">
        <v>1</v>
      </c>
      <c r="AA422">
        <v>3</v>
      </c>
      <c r="AB422" s="17" t="str">
        <f>HYPERLINK("http://exon.niaid.nih.gov/transcriptome/T_rubida/S2/links/netoglyc/TRIRU-366-netoglyc.txt","0")</f>
        <v>0</v>
      </c>
      <c r="AC422">
        <v>14.3</v>
      </c>
      <c r="AD422">
        <v>4.8</v>
      </c>
      <c r="AE422" t="s">
        <v>1394</v>
      </c>
      <c r="AF422" s="17" t="s">
        <v>5</v>
      </c>
      <c r="AG422" s="2" t="str">
        <f>HYPERLINK("http://exon.niaid.nih.gov/transcriptome/T_rubida/S2/links/NR/Triru-366-NR.txt","hypothetical protein HMPREF0127_02088")</f>
        <v>hypothetical protein HMPREF0127_02088</v>
      </c>
      <c r="AH422" t="str">
        <f>HYPERLINK("http://www.ncbi.nlm.nih.gov/sutils/blink.cgi?pid=336404076","23")</f>
        <v>23</v>
      </c>
      <c r="AI422" t="str">
        <f>HYPERLINK("http://www.ncbi.nlm.nih.gov/protein/336404076","gi|336404076")</f>
        <v>gi|336404076</v>
      </c>
      <c r="AJ422">
        <v>32.299999999999997</v>
      </c>
      <c r="AK422">
        <v>25</v>
      </c>
      <c r="AL422">
        <v>1430</v>
      </c>
      <c r="AM422">
        <v>50</v>
      </c>
      <c r="AN422">
        <v>2</v>
      </c>
      <c r="AO422" t="s">
        <v>1252</v>
      </c>
      <c r="AP422" s="2" t="str">
        <f>HYPERLINK("http://exon.niaid.nih.gov/transcriptome/T_rubida/S2/links/SWISSP/Triru-366-SWISSP.txt","Choline transporter-like protein 3")</f>
        <v>Choline transporter-like protein 3</v>
      </c>
      <c r="AQ422" t="str">
        <f>HYPERLINK("http://www.uniprot.org/uniprot/A5PK40","12")</f>
        <v>12</v>
      </c>
      <c r="AR422" t="s">
        <v>94</v>
      </c>
      <c r="AS422">
        <v>28.5</v>
      </c>
      <c r="AT422">
        <v>24</v>
      </c>
      <c r="AU422">
        <v>649</v>
      </c>
      <c r="AV422">
        <v>44</v>
      </c>
      <c r="AW422">
        <v>4</v>
      </c>
      <c r="AX422">
        <v>14</v>
      </c>
      <c r="AY422">
        <v>0</v>
      </c>
      <c r="AZ422">
        <v>324</v>
      </c>
      <c r="BA422">
        <v>16</v>
      </c>
      <c r="BB422">
        <v>1</v>
      </c>
      <c r="BC422" t="s">
        <v>95</v>
      </c>
      <c r="BD422" s="2" t="s">
        <v>5</v>
      </c>
      <c r="BE422" t="s">
        <v>5</v>
      </c>
      <c r="BF422" t="s">
        <v>5</v>
      </c>
      <c r="BG422" t="s">
        <v>5</v>
      </c>
      <c r="BH422" t="s">
        <v>5</v>
      </c>
      <c r="BI422" s="2" t="s">
        <v>5</v>
      </c>
      <c r="BJ422" t="s">
        <v>5</v>
      </c>
      <c r="BK422" t="s">
        <v>5</v>
      </c>
      <c r="BL422" s="2" t="str">
        <f>HYPERLINK("http://exon.niaid.nih.gov/transcriptome/T_rubida/S2/links/KOG/Triru-366-KOG.txt","Predicted splicing regulator, contains RRM, SWAP and RPR domains")</f>
        <v>Predicted splicing regulator, contains RRM, SWAP and RPR domains</v>
      </c>
      <c r="BM422" t="str">
        <f>HYPERLINK("http://www.ncbi.nlm.nih.gov/COG/grace/shokog.cgi?KOG0151","0.63")</f>
        <v>0.63</v>
      </c>
      <c r="BN422" t="s">
        <v>96</v>
      </c>
      <c r="BO422" s="2" t="str">
        <f>HYPERLINK("http://exon.niaid.nih.gov/transcriptome/T_rubida/S2/links/PFAM/Triru-366-PFAM.txt","DUF2152")</f>
        <v>DUF2152</v>
      </c>
      <c r="BP422" t="str">
        <f>HYPERLINK("http://pfam.sanger.ac.uk/family?acc=PF10222","9.4")</f>
        <v>9.4</v>
      </c>
      <c r="BQ422" s="2" t="str">
        <f>HYPERLINK("http://exon.niaid.nih.gov/transcriptome/T_rubida/S2/links/SMART/Triru-366-SMART.txt","PP2C_SIG")</f>
        <v>PP2C_SIG</v>
      </c>
      <c r="BR422" t="str">
        <f>HYPERLINK("http://smart.embl-heidelberg.de/smart/do_annotation.pl?DOMAIN=PP2C_SIG&amp;BLAST=DUMMY","4.0")</f>
        <v>4.0</v>
      </c>
      <c r="BS422" s="17">
        <f>HYPERLINK("http://exon.niaid.nih.gov/transcriptome/T_rubida/S2/links/cluster/Triru-pep-ext25-50-Sim-CLU1.txt", 1)</f>
        <v>1</v>
      </c>
      <c r="BT422" s="1">
        <f>HYPERLINK("http://exon.niaid.nih.gov/transcriptome/T_rubida/S2/links/cluster/Triru-pep-ext25-50-Sim-CLTL1.txt", 359)</f>
        <v>359</v>
      </c>
      <c r="BU422" s="17">
        <f>HYPERLINK("http://exon.niaid.nih.gov/transcriptome/T_rubida/S2/links/cluster/Triru-pep-ext30-50-Sim-CLU35.txt", 35)</f>
        <v>35</v>
      </c>
      <c r="BV422" s="1">
        <f>HYPERLINK("http://exon.niaid.nih.gov/transcriptome/T_rubida/S2/links/cluster/Triru-pep-ext30-50-Sim-CLTL35.txt", 2)</f>
        <v>2</v>
      </c>
      <c r="BW422" s="17">
        <f>HYPERLINK("http://exon.niaid.nih.gov/transcriptome/T_rubida/S2/links/cluster/Triru-pep-ext35-50-Sim-CLU35.txt", 35)</f>
        <v>35</v>
      </c>
      <c r="BX422" s="1">
        <f>HYPERLINK("http://exon.niaid.nih.gov/transcriptome/T_rubida/S2/links/cluster/Triru-pep-ext35-50-Sim-CLTL35.txt", 2)</f>
        <v>2</v>
      </c>
      <c r="BY422" s="17">
        <f>HYPERLINK("http://exon.niaid.nih.gov/transcriptome/T_rubida/S2/links/cluster/Triru-pep-ext40-50-Sim-CLU33.txt", 33)</f>
        <v>33</v>
      </c>
      <c r="BZ422" s="1">
        <f>HYPERLINK("http://exon.niaid.nih.gov/transcriptome/T_rubida/S2/links/cluster/Triru-pep-ext40-50-Sim-CLTL33.txt", 2)</f>
        <v>2</v>
      </c>
      <c r="CA422" s="17">
        <f>HYPERLINK("http://exon.niaid.nih.gov/transcriptome/T_rubida/S2/links/cluster/Triru-pep-ext45-50-Sim-CLU28.txt", 28)</f>
        <v>28</v>
      </c>
      <c r="CB422" s="1">
        <f>HYPERLINK("http://exon.niaid.nih.gov/transcriptome/T_rubida/S2/links/cluster/Triru-pep-ext45-50-Sim-CLTL28.txt", 2)</f>
        <v>2</v>
      </c>
      <c r="CC422" s="17">
        <f>HYPERLINK("http://exon.niaid.nih.gov/transcriptome/T_rubida/S2/links/cluster/Triru-pep-ext50-50-Sim-CLU27.txt", 27)</f>
        <v>27</v>
      </c>
      <c r="CD422" s="1">
        <f>HYPERLINK("http://exon.niaid.nih.gov/transcriptome/T_rubida/S2/links/cluster/Triru-pep-ext50-50-Sim-CLTL27.txt", 2)</f>
        <v>2</v>
      </c>
      <c r="CE422" s="17">
        <f>HYPERLINK("http://exon.niaid.nih.gov/transcriptome/T_rubida/S2/links/cluster/Triru-pep-ext55-50-Sim-CLU22.txt", 22)</f>
        <v>22</v>
      </c>
      <c r="CF422" s="1">
        <f>HYPERLINK("http://exon.niaid.nih.gov/transcriptome/T_rubida/S2/links/cluster/Triru-pep-ext55-50-Sim-CLTL22.txt", 2)</f>
        <v>2</v>
      </c>
      <c r="CG422" s="17">
        <f>HYPERLINK("http://exon.niaid.nih.gov/transcriptome/T_rubida/S2/links/cluster/Triru-pep-ext60-50-Sim-CLU23.txt", 23)</f>
        <v>23</v>
      </c>
      <c r="CH422" s="1">
        <f>HYPERLINK("http://exon.niaid.nih.gov/transcriptome/T_rubida/S2/links/cluster/Triru-pep-ext60-50-Sim-CLTL23.txt", 2)</f>
        <v>2</v>
      </c>
      <c r="CI422" s="17">
        <f>HYPERLINK("http://exon.niaid.nih.gov/transcriptome/T_rubida/S2/links/cluster/Triru-pep-ext65-50-Sim-CLU22.txt", 22)</f>
        <v>22</v>
      </c>
      <c r="CJ422" s="1">
        <f>HYPERLINK("http://exon.niaid.nih.gov/transcriptome/T_rubida/S2/links/cluster/Triru-pep-ext65-50-Sim-CLTL22.txt", 2)</f>
        <v>2</v>
      </c>
      <c r="CK422" s="17">
        <f>HYPERLINK("http://exon.niaid.nih.gov/transcriptome/T_rubida/S2/links/cluster/Triru-pep-ext70-50-Sim-CLU22.txt", 22)</f>
        <v>22</v>
      </c>
      <c r="CL422" s="1">
        <f>HYPERLINK("http://exon.niaid.nih.gov/transcriptome/T_rubida/S2/links/cluster/Triru-pep-ext70-50-Sim-CLTL22.txt", 2)</f>
        <v>2</v>
      </c>
      <c r="CM422" s="17">
        <f>HYPERLINK("http://exon.niaid.nih.gov/transcriptome/T_rubida/S2/links/cluster/Triru-pep-ext75-50-Sim-CLU22.txt", 22)</f>
        <v>22</v>
      </c>
      <c r="CN422" s="1">
        <f>HYPERLINK("http://exon.niaid.nih.gov/transcriptome/T_rubida/S2/links/cluster/Triru-pep-ext75-50-Sim-CLTL22.txt", 2)</f>
        <v>2</v>
      </c>
      <c r="CO422" s="17">
        <f>HYPERLINK("http://exon.niaid.nih.gov/transcriptome/T_rubida/S2/links/cluster/Triru-pep-ext80-50-Sim-CLU19.txt", 19)</f>
        <v>19</v>
      </c>
      <c r="CP422" s="1">
        <f>HYPERLINK("http://exon.niaid.nih.gov/transcriptome/T_rubida/S2/links/cluster/Triru-pep-ext80-50-Sim-CLTL19.txt", 2)</f>
        <v>2</v>
      </c>
      <c r="CQ422" s="17">
        <f>HYPERLINK("http://exon.niaid.nih.gov/transcriptome/T_rubida/S2/links/cluster/Triru-pep-ext85-50-Sim-CLU17.txt", 17)</f>
        <v>17</v>
      </c>
      <c r="CR422" s="1">
        <f>HYPERLINK("http://exon.niaid.nih.gov/transcriptome/T_rubida/S2/links/cluster/Triru-pep-ext85-50-Sim-CLTL17.txt", 2)</f>
        <v>2</v>
      </c>
      <c r="CS422" s="17">
        <v>297</v>
      </c>
      <c r="CT422" s="1">
        <v>1</v>
      </c>
      <c r="CU422" s="17">
        <v>308</v>
      </c>
      <c r="CV422" s="1">
        <v>1</v>
      </c>
    </row>
    <row r="423" spans="1:100">
      <c r="A423" t="str">
        <f>HYPERLINK("http://exon.niaid.nih.gov/transcriptome/T_rubida/S2/links/pep/Triru-207-pep.txt","Triru-207")</f>
        <v>Triru-207</v>
      </c>
      <c r="B423">
        <v>65</v>
      </c>
      <c r="C423" s="1" t="s">
        <v>6</v>
      </c>
      <c r="D423" s="1" t="s">
        <v>3</v>
      </c>
      <c r="E423" t="str">
        <f>HYPERLINK("http://exon.niaid.nih.gov/transcriptome/T_rubida/S2/links/cds/Triru-207-cds.txt","Triru-207")</f>
        <v>Triru-207</v>
      </c>
      <c r="F423">
        <v>198</v>
      </c>
      <c r="G423" s="2" t="s">
        <v>1874</v>
      </c>
      <c r="H423" s="1">
        <v>1</v>
      </c>
      <c r="I423" s="3" t="s">
        <v>1266</v>
      </c>
      <c r="J423" s="17" t="str">
        <f>HYPERLINK("http://exon.niaid.nih.gov/transcriptome/T_rubida/S2/links/Sigp/Triru-207-SigP.txt","CYT")</f>
        <v>CYT</v>
      </c>
      <c r="K423" t="s">
        <v>5</v>
      </c>
      <c r="L423" s="1">
        <v>7.4880000000000004</v>
      </c>
      <c r="M423" s="1">
        <v>9.7799999999999994</v>
      </c>
      <c r="P423" s="1">
        <v>0.35199999999999998</v>
      </c>
      <c r="Q423" s="1">
        <v>4.3999999999999997E-2</v>
      </c>
      <c r="R423" s="1">
        <v>0.69</v>
      </c>
      <c r="S423" s="17" t="s">
        <v>1346</v>
      </c>
      <c r="T423">
        <v>4</v>
      </c>
      <c r="U423" t="s">
        <v>1348</v>
      </c>
      <c r="V423" s="17">
        <v>0</v>
      </c>
      <c r="W423" t="s">
        <v>5</v>
      </c>
      <c r="X423" t="s">
        <v>5</v>
      </c>
      <c r="Y423" t="s">
        <v>5</v>
      </c>
      <c r="Z423" t="s">
        <v>5</v>
      </c>
      <c r="AA423" t="s">
        <v>5</v>
      </c>
      <c r="AB423" s="17" t="str">
        <f>HYPERLINK("http://exon.niaid.nih.gov/transcriptome/T_rubida/S2/links/netoglyc/TRIRU-207-netoglyc.txt","0")</f>
        <v>0</v>
      </c>
      <c r="AC423">
        <v>18.5</v>
      </c>
      <c r="AD423">
        <v>6.2</v>
      </c>
      <c r="AE423">
        <v>3.1</v>
      </c>
      <c r="AF423" s="17" t="s">
        <v>5</v>
      </c>
      <c r="AG423" s="2" t="str">
        <f>HYPERLINK("http://exon.niaid.nih.gov/transcriptome/T_rubida/S2/links/NR/Triru-207-NR.txt","hypothetical protein AND_16999")</f>
        <v>hypothetical protein AND_16999</v>
      </c>
      <c r="AH423" t="str">
        <f>HYPERLINK("http://www.ncbi.nlm.nih.gov/sutils/blink.cgi?pid=312373790","30")</f>
        <v>30</v>
      </c>
      <c r="AI423" t="str">
        <f>HYPERLINK("http://www.ncbi.nlm.nih.gov/protein/312373790","gi|312373790")</f>
        <v>gi|312373790</v>
      </c>
      <c r="AJ423">
        <v>32</v>
      </c>
      <c r="AK423">
        <v>30</v>
      </c>
      <c r="AL423">
        <v>2050</v>
      </c>
      <c r="AM423">
        <v>41</v>
      </c>
      <c r="AN423">
        <v>2</v>
      </c>
      <c r="AO423" t="s">
        <v>499</v>
      </c>
      <c r="AP423" s="2" t="str">
        <f>HYPERLINK("http://exon.niaid.nih.gov/transcriptome/T_rubida/S2/links/SWISSP/Triru-207-SWISSP.txt","Cysteine protease yopT1")</f>
        <v>Cysteine protease yopT1</v>
      </c>
      <c r="AQ423" t="str">
        <f>HYPERLINK("http://www.uniprot.org/uniprot/P0C2N1","4.3")</f>
        <v>4.3</v>
      </c>
      <c r="AR423" t="s">
        <v>500</v>
      </c>
      <c r="AS423">
        <v>30</v>
      </c>
      <c r="AT423">
        <v>28</v>
      </c>
      <c r="AU423">
        <v>322</v>
      </c>
      <c r="AV423">
        <v>45</v>
      </c>
      <c r="AW423">
        <v>9</v>
      </c>
      <c r="AX423">
        <v>18</v>
      </c>
      <c r="AY423">
        <v>4</v>
      </c>
      <c r="AZ423">
        <v>130</v>
      </c>
      <c r="BA423">
        <v>23</v>
      </c>
      <c r="BB423">
        <v>1</v>
      </c>
      <c r="BC423" t="s">
        <v>501</v>
      </c>
      <c r="BD423" s="2" t="s">
        <v>5</v>
      </c>
      <c r="BE423" t="s">
        <v>5</v>
      </c>
      <c r="BF423" t="s">
        <v>5</v>
      </c>
      <c r="BG423" t="s">
        <v>5</v>
      </c>
      <c r="BH423" t="s">
        <v>5</v>
      </c>
      <c r="BI423" s="2" t="str">
        <f>HYPERLINK("http://exon.niaid.nih.gov/transcriptome/T_rubida/S2/links/CDD/Triru-207-CDD.txt","PRK14439")</f>
        <v>PRK14439</v>
      </c>
      <c r="BJ423" t="str">
        <f>HYPERLINK("http://www.ncbi.nlm.nih.gov/Structure/cdd/cddsrv.cgi?uid=PRK14439&amp;version=v4.0","5.2")</f>
        <v>5.2</v>
      </c>
      <c r="BK423" t="s">
        <v>502</v>
      </c>
      <c r="BL423" s="2" t="s">
        <v>5</v>
      </c>
      <c r="BM423" t="s">
        <v>5</v>
      </c>
      <c r="BN423" t="s">
        <v>5</v>
      </c>
      <c r="BO423" s="2" t="str">
        <f>HYPERLINK("http://exon.niaid.nih.gov/transcriptome/T_rubida/S2/links/PFAM/Triru-207-PFAM.txt","Cwf_Cwc_15")</f>
        <v>Cwf_Cwc_15</v>
      </c>
      <c r="BP423" t="str">
        <f>HYPERLINK("http://pfam.sanger.ac.uk/family?acc=PF04889","7.0")</f>
        <v>7.0</v>
      </c>
      <c r="BQ423" s="2" t="str">
        <f>HYPERLINK("http://exon.niaid.nih.gov/transcriptome/T_rubida/S2/links/SMART/Triru-207-SMART.txt","STE")</f>
        <v>STE</v>
      </c>
      <c r="BR423" t="str">
        <f>HYPERLINK("http://smart.embl-heidelberg.de/smart/do_annotation.pl?DOMAIN=STE&amp;BLAST=DUMMY","2.2")</f>
        <v>2.2</v>
      </c>
      <c r="BS423" s="17">
        <v>71</v>
      </c>
      <c r="BT423" s="1">
        <v>1</v>
      </c>
      <c r="BU423" s="17">
        <v>103</v>
      </c>
      <c r="BV423" s="1">
        <v>1</v>
      </c>
      <c r="BW423" s="17">
        <v>119</v>
      </c>
      <c r="BX423" s="1">
        <v>1</v>
      </c>
      <c r="BY423" s="17">
        <v>123</v>
      </c>
      <c r="BZ423" s="1">
        <v>1</v>
      </c>
      <c r="CA423" s="17">
        <v>124</v>
      </c>
      <c r="CB423" s="1">
        <v>1</v>
      </c>
      <c r="CC423" s="17">
        <v>127</v>
      </c>
      <c r="CD423" s="1">
        <v>1</v>
      </c>
      <c r="CE423" s="17">
        <v>125</v>
      </c>
      <c r="CF423" s="1">
        <v>1</v>
      </c>
      <c r="CG423" s="17">
        <v>126</v>
      </c>
      <c r="CH423" s="1">
        <v>1</v>
      </c>
      <c r="CI423" s="17">
        <v>132</v>
      </c>
      <c r="CJ423" s="1">
        <v>1</v>
      </c>
      <c r="CK423" s="17">
        <v>137</v>
      </c>
      <c r="CL423" s="1">
        <v>1</v>
      </c>
      <c r="CM423" s="17">
        <v>143</v>
      </c>
      <c r="CN423" s="1">
        <v>1</v>
      </c>
      <c r="CO423" s="17">
        <v>153</v>
      </c>
      <c r="CP423" s="1">
        <v>1</v>
      </c>
      <c r="CQ423" s="17">
        <v>163</v>
      </c>
      <c r="CR423" s="1">
        <v>1</v>
      </c>
      <c r="CS423" s="17">
        <v>168</v>
      </c>
      <c r="CT423" s="1">
        <v>1</v>
      </c>
      <c r="CU423" s="17">
        <v>179</v>
      </c>
      <c r="CV423" s="1">
        <v>1</v>
      </c>
    </row>
    <row r="424" spans="1:100">
      <c r="A424" t="str">
        <f>HYPERLINK("http://exon.niaid.nih.gov/transcriptome/T_rubida/S2/links/pep/Triru-599-pep.txt","Triru-599")</f>
        <v>Triru-599</v>
      </c>
      <c r="B424">
        <v>51</v>
      </c>
      <c r="C424" s="1" t="s">
        <v>12</v>
      </c>
      <c r="D424" s="1" t="s">
        <v>3</v>
      </c>
      <c r="E424" t="str">
        <f>HYPERLINK("http://exon.niaid.nih.gov/transcriptome/T_rubida/S2/links/cds/Triru-599-cds.txt","Triru-599")</f>
        <v>Triru-599</v>
      </c>
      <c r="F424">
        <v>156</v>
      </c>
      <c r="G424" s="2" t="s">
        <v>1875</v>
      </c>
      <c r="H424" s="1">
        <v>1</v>
      </c>
      <c r="I424" s="3" t="s">
        <v>1266</v>
      </c>
      <c r="J424" s="17" t="str">
        <f>HYPERLINK("http://exon.niaid.nih.gov/transcriptome/T_rubida/S2/links/Sigp/Triru-599-SigP.txt","CYT")</f>
        <v>CYT</v>
      </c>
      <c r="K424" t="s">
        <v>5</v>
      </c>
      <c r="L424" s="1">
        <v>5.7210000000000001</v>
      </c>
      <c r="M424" s="1">
        <v>3.66</v>
      </c>
      <c r="P424" s="1">
        <v>9.6000000000000002E-2</v>
      </c>
      <c r="Q424" s="1">
        <v>0.36</v>
      </c>
      <c r="R424" s="1">
        <v>0.76600000000000001</v>
      </c>
      <c r="S424" s="17" t="s">
        <v>1346</v>
      </c>
      <c r="T424">
        <v>3</v>
      </c>
      <c r="U424" t="s">
        <v>1566</v>
      </c>
      <c r="V424" s="17" t="str">
        <f>HYPERLINK("http://exon.niaid.nih.gov/transcriptome/T_rubida/S2/links/tmhmm/TRIRU-599-tmhmm.txt","1")</f>
        <v>1</v>
      </c>
      <c r="W424">
        <v>43.1</v>
      </c>
      <c r="X424">
        <v>39.200000000000003</v>
      </c>
      <c r="Y424">
        <v>17.600000000000001</v>
      </c>
      <c r="Z424" t="s">
        <v>5</v>
      </c>
      <c r="AA424">
        <v>9</v>
      </c>
      <c r="AB424" s="17" t="s">
        <v>5</v>
      </c>
      <c r="AC424" t="s">
        <v>5</v>
      </c>
      <c r="AD424" t="s">
        <v>5</v>
      </c>
      <c r="AE424" t="s">
        <v>5</v>
      </c>
      <c r="AF424" s="17" t="s">
        <v>5</v>
      </c>
      <c r="AG424" s="2" t="str">
        <f>HYPERLINK("http://exon.niaid.nih.gov/transcriptome/T_rubida/S2/links/NR/Triru-599-NR.txt","Hypothetical protein GL50581_1301")</f>
        <v>Hypothetical protein GL50581_1301</v>
      </c>
      <c r="AH424" t="str">
        <f>HYPERLINK("http://www.ncbi.nlm.nih.gov/sutils/blink.cgi?pid=253745637","14")</f>
        <v>14</v>
      </c>
      <c r="AI424" t="str">
        <f>HYPERLINK("http://www.ncbi.nlm.nih.gov/protein/253745637","gi|253745637")</f>
        <v>gi|253745637</v>
      </c>
      <c r="AJ424">
        <v>33.1</v>
      </c>
      <c r="AK424">
        <v>39</v>
      </c>
      <c r="AL424">
        <v>2405</v>
      </c>
      <c r="AM424">
        <v>37</v>
      </c>
      <c r="AN424">
        <v>2</v>
      </c>
      <c r="AO424" t="s">
        <v>1211</v>
      </c>
      <c r="AP424" s="2" t="str">
        <f>HYPERLINK("http://exon.niaid.nih.gov/transcriptome/T_rubida/S2/links/SWISSP/Triru-599-SWISSP.txt","Tensin-4")</f>
        <v>Tensin-4</v>
      </c>
      <c r="AQ424" t="str">
        <f>HYPERLINK("http://www.uniprot.org/uniprot/Q4V8I3","37")</f>
        <v>37</v>
      </c>
      <c r="AR424" t="s">
        <v>1212</v>
      </c>
      <c r="AS424">
        <v>26.9</v>
      </c>
      <c r="AT424">
        <v>28</v>
      </c>
      <c r="AU424">
        <v>718</v>
      </c>
      <c r="AV424">
        <v>41</v>
      </c>
      <c r="AW424">
        <v>4</v>
      </c>
      <c r="AX424">
        <v>17</v>
      </c>
      <c r="AY424">
        <v>0</v>
      </c>
      <c r="AZ424">
        <v>422</v>
      </c>
      <c r="BA424">
        <v>2</v>
      </c>
      <c r="BB424">
        <v>1</v>
      </c>
      <c r="BC424" t="s">
        <v>130</v>
      </c>
      <c r="BD424" s="2" t="s">
        <v>5</v>
      </c>
      <c r="BE424" t="s">
        <v>5</v>
      </c>
      <c r="BF424" t="s">
        <v>5</v>
      </c>
      <c r="BG424" t="s">
        <v>5</v>
      </c>
      <c r="BH424" t="s">
        <v>5</v>
      </c>
      <c r="BI424" s="2" t="s">
        <v>5</v>
      </c>
      <c r="BJ424" t="s">
        <v>5</v>
      </c>
      <c r="BK424" t="s">
        <v>5</v>
      </c>
      <c r="BL424" s="2" t="str">
        <f>HYPERLINK("http://exon.niaid.nih.gov/transcriptome/T_rubida/S2/links/KOG/Triru-599-KOG.txt","Peptidyl-prolyl cis-trans isomerase")</f>
        <v>Peptidyl-prolyl cis-trans isomerase</v>
      </c>
      <c r="BM424" t="str">
        <f>HYPERLINK("http://www.ncbi.nlm.nih.gov/COG/grace/shokog.cgi?KOG0885","1.9")</f>
        <v>1.9</v>
      </c>
      <c r="BN424" t="s">
        <v>72</v>
      </c>
      <c r="BO424" s="2" t="str">
        <f>HYPERLINK("http://exon.niaid.nih.gov/transcriptome/T_rubida/S2/links/PFAM/Triru-599-PFAM.txt","Gag_p17")</f>
        <v>Gag_p17</v>
      </c>
      <c r="BP424" t="str">
        <f>HYPERLINK("http://pfam.sanger.ac.uk/family?acc=PF00540","0.58")</f>
        <v>0.58</v>
      </c>
      <c r="BQ424" s="2" t="str">
        <f>HYPERLINK("http://exon.niaid.nih.gov/transcriptome/T_rubida/S2/links/SMART/Triru-599-SMART.txt","HRDC")</f>
        <v>HRDC</v>
      </c>
      <c r="BR424" t="str">
        <f>HYPERLINK("http://smart.embl-heidelberg.de/smart/do_annotation.pl?DOMAIN=HRDC&amp;BLAST=DUMMY","4.9")</f>
        <v>4.9</v>
      </c>
      <c r="BS424" s="17">
        <v>177</v>
      </c>
      <c r="BT424" s="1">
        <v>1</v>
      </c>
      <c r="BU424" s="17">
        <v>271</v>
      </c>
      <c r="BV424" s="1">
        <v>1</v>
      </c>
      <c r="BW424" s="17">
        <v>348</v>
      </c>
      <c r="BX424" s="1">
        <v>1</v>
      </c>
      <c r="BY424" s="17">
        <v>383</v>
      </c>
      <c r="BZ424" s="1">
        <v>1</v>
      </c>
      <c r="CA424" s="17">
        <v>398</v>
      </c>
      <c r="CB424" s="1">
        <v>1</v>
      </c>
      <c r="CC424" s="17">
        <v>412</v>
      </c>
      <c r="CD424" s="1">
        <v>1</v>
      </c>
      <c r="CE424" s="17">
        <v>427</v>
      </c>
      <c r="CF424" s="1">
        <v>1</v>
      </c>
      <c r="CG424" s="17">
        <v>434</v>
      </c>
      <c r="CH424" s="1">
        <v>1</v>
      </c>
      <c r="CI424" s="17">
        <v>447</v>
      </c>
      <c r="CJ424" s="1">
        <v>1</v>
      </c>
      <c r="CK424" s="17">
        <v>453</v>
      </c>
      <c r="CL424" s="1">
        <v>1</v>
      </c>
      <c r="CM424" s="17">
        <v>465</v>
      </c>
      <c r="CN424" s="1">
        <v>1</v>
      </c>
      <c r="CO424" s="17">
        <v>477</v>
      </c>
      <c r="CP424" s="1">
        <v>1</v>
      </c>
      <c r="CQ424" s="17">
        <v>487</v>
      </c>
      <c r="CR424" s="1">
        <v>1</v>
      </c>
      <c r="CS424" s="17">
        <v>500</v>
      </c>
      <c r="CT424" s="1">
        <v>1</v>
      </c>
      <c r="CU424" s="17">
        <v>512</v>
      </c>
      <c r="CV424" s="1">
        <v>1</v>
      </c>
    </row>
    <row r="425" spans="1:100">
      <c r="A425" t="str">
        <f>HYPERLINK("http://exon.niaid.nih.gov/transcriptome/T_rubida/S2/links/pep/Triru-435-pep.txt","Triru-435")</f>
        <v>Triru-435</v>
      </c>
      <c r="B425">
        <v>38</v>
      </c>
      <c r="C425" s="1" t="s">
        <v>14</v>
      </c>
      <c r="D425" s="1" t="s">
        <v>3</v>
      </c>
      <c r="E425" t="str">
        <f>HYPERLINK("http://exon.niaid.nih.gov/transcriptome/T_rubida/S2/links/cds/Triru-435-cds.txt","Triru-435")</f>
        <v>Triru-435</v>
      </c>
      <c r="F425">
        <v>117</v>
      </c>
      <c r="G425" s="2" t="s">
        <v>1876</v>
      </c>
      <c r="H425" s="1">
        <v>1</v>
      </c>
      <c r="I425" s="3" t="s">
        <v>1266</v>
      </c>
      <c r="J425" s="17" t="str">
        <f>HYPERLINK("http://exon.niaid.nih.gov/transcriptome/T_rubida/S2/links/Sigp/Triru-435-SigP.txt","CYT")</f>
        <v>CYT</v>
      </c>
      <c r="K425" t="s">
        <v>5</v>
      </c>
      <c r="L425" s="1">
        <v>4.548</v>
      </c>
      <c r="M425" s="1">
        <v>10.68</v>
      </c>
      <c r="P425" s="1">
        <v>9.2999999999999999E-2</v>
      </c>
      <c r="Q425" s="1">
        <v>4.2000000000000003E-2</v>
      </c>
      <c r="R425" s="1">
        <v>0.93700000000000006</v>
      </c>
      <c r="S425" s="17" t="s">
        <v>1346</v>
      </c>
      <c r="T425">
        <v>1</v>
      </c>
      <c r="U425" t="s">
        <v>1382</v>
      </c>
      <c r="V425" s="17">
        <v>0</v>
      </c>
      <c r="W425" t="s">
        <v>5</v>
      </c>
      <c r="X425" t="s">
        <v>5</v>
      </c>
      <c r="Y425" t="s">
        <v>5</v>
      </c>
      <c r="Z425" t="s">
        <v>5</v>
      </c>
      <c r="AA425" t="s">
        <v>5</v>
      </c>
      <c r="AB425" s="17" t="str">
        <f>HYPERLINK("http://exon.niaid.nih.gov/transcriptome/T_rubida/S2/links/netoglyc/TRIRU-435-netoglyc.txt","0")</f>
        <v>0</v>
      </c>
      <c r="AC425">
        <v>15.8</v>
      </c>
      <c r="AD425" t="s">
        <v>1417</v>
      </c>
      <c r="AE425" t="s">
        <v>1394</v>
      </c>
      <c r="AF425" s="17" t="s">
        <v>5</v>
      </c>
      <c r="AG425" s="2" t="str">
        <f>HYPERLINK("http://exon.niaid.nih.gov/transcriptome/T_rubida/S2/links/NR/Triru-435-NR.txt","Kinesin-like protein KIF16B")</f>
        <v>Kinesin-like protein KIF16B</v>
      </c>
      <c r="AH425" t="str">
        <f>HYPERLINK("http://www.ncbi.nlm.nih.gov/sutils/blink.cgi?pid=332026691","18")</f>
        <v>18</v>
      </c>
      <c r="AI425" t="str">
        <f>HYPERLINK("http://www.ncbi.nlm.nih.gov/protein/332026691","gi|332026691")</f>
        <v>gi|332026691</v>
      </c>
      <c r="AJ425">
        <v>32.700000000000003</v>
      </c>
      <c r="AK425">
        <v>34</v>
      </c>
      <c r="AL425">
        <v>1840</v>
      </c>
      <c r="AM425">
        <v>37</v>
      </c>
      <c r="AN425">
        <v>2</v>
      </c>
      <c r="AO425" t="s">
        <v>300</v>
      </c>
      <c r="AP425" s="2" t="str">
        <f>HYPERLINK("http://exon.niaid.nih.gov/transcriptome/T_rubida/S2/links/SWISSP/Triru-435-SWISSP.txt","Putative membrane protein ycf1")</f>
        <v>Putative membrane protein ycf1</v>
      </c>
      <c r="AQ425" t="str">
        <f>HYPERLINK("http://www.uniprot.org/uniprot/A9L9E2","21")</f>
        <v>21</v>
      </c>
      <c r="AR425" t="s">
        <v>726</v>
      </c>
      <c r="AS425">
        <v>27.7</v>
      </c>
      <c r="AT425">
        <v>20</v>
      </c>
      <c r="AU425">
        <v>1911</v>
      </c>
      <c r="AV425">
        <v>52</v>
      </c>
      <c r="AW425">
        <v>1</v>
      </c>
      <c r="AX425">
        <v>10</v>
      </c>
      <c r="AY425">
        <v>0</v>
      </c>
      <c r="AZ425">
        <v>1635</v>
      </c>
      <c r="BA425">
        <v>9</v>
      </c>
      <c r="BB425">
        <v>1</v>
      </c>
      <c r="BC425" t="s">
        <v>727</v>
      </c>
      <c r="BD425" s="2" t="s">
        <v>5</v>
      </c>
      <c r="BE425" t="s">
        <v>5</v>
      </c>
      <c r="BF425" t="s">
        <v>5</v>
      </c>
      <c r="BG425" t="s">
        <v>5</v>
      </c>
      <c r="BH425" t="s">
        <v>5</v>
      </c>
      <c r="BI425" s="2" t="s">
        <v>5</v>
      </c>
      <c r="BJ425" t="s">
        <v>5</v>
      </c>
      <c r="BK425" t="s">
        <v>5</v>
      </c>
      <c r="BL425" s="2" t="str">
        <f>HYPERLINK("http://exon.niaid.nih.gov/transcriptome/T_rubida/S2/links/KOG/Triru-435-KOG.txt","Tripeptidyl peptidase II")</f>
        <v>Tripeptidyl peptidase II</v>
      </c>
      <c r="BM425" t="str">
        <f>HYPERLINK("http://www.ncbi.nlm.nih.gov/COG/grace/shokog.cgi?KOG1114","6.0")</f>
        <v>6.0</v>
      </c>
      <c r="BN425" t="s">
        <v>72</v>
      </c>
      <c r="BO425" s="2" t="s">
        <v>5</v>
      </c>
      <c r="BP425" t="s">
        <v>5</v>
      </c>
      <c r="BQ425" s="2" t="str">
        <f>HYPERLINK("http://exon.niaid.nih.gov/transcriptome/T_rubida/S2/links/SMART/Triru-435-SMART.txt","FtsA")</f>
        <v>FtsA</v>
      </c>
      <c r="BR425" t="str">
        <f>HYPERLINK("http://smart.embl-heidelberg.de/smart/do_annotation.pl?DOMAIN=FtsA&amp;BLAST=DUMMY","2.6")</f>
        <v>2.6</v>
      </c>
      <c r="BS425" s="17">
        <f>HYPERLINK("http://exon.niaid.nih.gov/transcriptome/T_rubida/S2/links/cluster/Triru-pep-ext25-50-Sim-CLU1.txt", 1)</f>
        <v>1</v>
      </c>
      <c r="BT425" s="1">
        <f>HYPERLINK("http://exon.niaid.nih.gov/transcriptome/T_rubida/S2/links/cluster/Triru-pep-ext25-50-Sim-CLTL1.txt", 359)</f>
        <v>359</v>
      </c>
      <c r="BU425" s="17">
        <f>HYPERLINK("http://exon.niaid.nih.gov/transcriptome/T_rubida/S2/links/cluster/Triru-pep-ext30-50-Sim-CLU1.txt", 1)</f>
        <v>1</v>
      </c>
      <c r="BV425" s="1">
        <f>HYPERLINK("http://exon.niaid.nih.gov/transcriptome/T_rubida/S2/links/cluster/Triru-pep-ext30-50-Sim-CLTL1.txt", 225)</f>
        <v>225</v>
      </c>
      <c r="BW425" s="17">
        <f>HYPERLINK("http://exon.niaid.nih.gov/transcriptome/T_rubida/S2/links/cluster/Triru-pep-ext35-50-Sim-CLU1.txt", 1)</f>
        <v>1</v>
      </c>
      <c r="BX425" s="1">
        <f>HYPERLINK("http://exon.niaid.nih.gov/transcriptome/T_rubida/S2/links/cluster/Triru-pep-ext35-50-Sim-CLTL1.txt", 75)</f>
        <v>75</v>
      </c>
      <c r="BY425" s="17">
        <v>270</v>
      </c>
      <c r="BZ425" s="1">
        <v>1</v>
      </c>
      <c r="CA425" s="17">
        <v>279</v>
      </c>
      <c r="CB425" s="1">
        <v>1</v>
      </c>
      <c r="CC425" s="17">
        <v>287</v>
      </c>
      <c r="CD425" s="1">
        <v>1</v>
      </c>
      <c r="CE425" s="17">
        <v>297</v>
      </c>
      <c r="CF425" s="1">
        <v>1</v>
      </c>
      <c r="CG425" s="17">
        <v>301</v>
      </c>
      <c r="CH425" s="1">
        <v>1</v>
      </c>
      <c r="CI425" s="17">
        <v>311</v>
      </c>
      <c r="CJ425" s="1">
        <v>1</v>
      </c>
      <c r="CK425" s="17">
        <v>317</v>
      </c>
      <c r="CL425" s="1">
        <v>1</v>
      </c>
      <c r="CM425" s="17">
        <v>325</v>
      </c>
      <c r="CN425" s="1">
        <v>1</v>
      </c>
      <c r="CO425" s="17">
        <v>337</v>
      </c>
      <c r="CP425" s="1">
        <v>1</v>
      </c>
      <c r="CQ425" s="17">
        <v>347</v>
      </c>
      <c r="CR425" s="1">
        <v>1</v>
      </c>
      <c r="CS425" s="17">
        <v>359</v>
      </c>
      <c r="CT425" s="1">
        <v>1</v>
      </c>
      <c r="CU425" s="17">
        <v>370</v>
      </c>
      <c r="CV425" s="1">
        <v>1</v>
      </c>
    </row>
    <row r="426" spans="1:100">
      <c r="A426" t="str">
        <f>HYPERLINK("http://exon.niaid.nih.gov/transcriptome/T_rubida/S2/links/pep/Triru-468-pep.txt","Triru-468")</f>
        <v>Triru-468</v>
      </c>
      <c r="B426">
        <v>74</v>
      </c>
      <c r="C426" s="1" t="s">
        <v>15</v>
      </c>
      <c r="D426" s="1" t="s">
        <v>3</v>
      </c>
      <c r="E426" t="str">
        <f>HYPERLINK("http://exon.niaid.nih.gov/transcriptome/T_rubida/S2/links/cds/Triru-468-cds.txt","Triru-468")</f>
        <v>Triru-468</v>
      </c>
      <c r="F426">
        <v>225</v>
      </c>
      <c r="G426" s="2" t="s">
        <v>1877</v>
      </c>
      <c r="H426" s="1">
        <v>1</v>
      </c>
      <c r="I426" s="3" t="s">
        <v>1266</v>
      </c>
      <c r="J426" s="17" t="str">
        <f>HYPERLINK("http://exon.niaid.nih.gov/transcriptome/T_rubida/S2/links/Sigp/Triru-468-SigP.txt","CYT")</f>
        <v>CYT</v>
      </c>
      <c r="K426" t="s">
        <v>5</v>
      </c>
      <c r="L426" s="1">
        <v>8.7100000000000009</v>
      </c>
      <c r="M426" s="1">
        <v>9.35</v>
      </c>
      <c r="P426" s="1">
        <v>0.13300000000000001</v>
      </c>
      <c r="Q426" s="1">
        <v>0.104</v>
      </c>
      <c r="R426" s="1">
        <v>0.80500000000000005</v>
      </c>
      <c r="S426" s="17" t="s">
        <v>1346</v>
      </c>
      <c r="T426">
        <v>2</v>
      </c>
      <c r="U426" t="s">
        <v>1348</v>
      </c>
      <c r="V426" s="17">
        <v>0</v>
      </c>
      <c r="W426" t="s">
        <v>5</v>
      </c>
      <c r="X426" t="s">
        <v>5</v>
      </c>
      <c r="Y426" t="s">
        <v>5</v>
      </c>
      <c r="Z426" t="s">
        <v>5</v>
      </c>
      <c r="AA426" t="s">
        <v>5</v>
      </c>
      <c r="AB426" s="17" t="str">
        <f>HYPERLINK("http://exon.niaid.nih.gov/transcriptome/T_rubida/S2/links/netoglyc/TRIRU-468-netoglyc.txt","0")</f>
        <v>0</v>
      </c>
      <c r="AC426">
        <v>13.5</v>
      </c>
      <c r="AD426">
        <v>5.4</v>
      </c>
      <c r="AE426">
        <v>4.0999999999999996</v>
      </c>
      <c r="AF426" s="17" t="s">
        <v>5</v>
      </c>
      <c r="AG426" s="2" t="str">
        <f>HYPERLINK("http://exon.niaid.nih.gov/transcriptome/T_rubida/S2/links/NR/Triru-468-NR.txt","similar to myosin-rhogap protein, myr")</f>
        <v>similar to myosin-rhogap protein, myr</v>
      </c>
      <c r="AH426" t="str">
        <f>HYPERLINK("http://www.ncbi.nlm.nih.gov/sutils/blink.cgi?pid=156548458","0.086")</f>
        <v>0.086</v>
      </c>
      <c r="AI426" t="str">
        <f>HYPERLINK("http://www.ncbi.nlm.nih.gov/protein/156548458","gi|156548458")</f>
        <v>gi|156548458</v>
      </c>
      <c r="AJ426">
        <v>40.4</v>
      </c>
      <c r="AK426">
        <v>35</v>
      </c>
      <c r="AL426">
        <v>2292</v>
      </c>
      <c r="AM426">
        <v>50</v>
      </c>
      <c r="AN426">
        <v>2</v>
      </c>
      <c r="AO426" t="s">
        <v>288</v>
      </c>
      <c r="AP426" s="2" t="str">
        <f>HYPERLINK("http://exon.niaid.nih.gov/transcriptome/T_rubida/S2/links/SWISSP/Triru-468-SWISSP.txt","Putative regulator of nonsense transcripts 1")</f>
        <v>Putative regulator of nonsense transcripts 1</v>
      </c>
      <c r="AQ426" t="str">
        <f>HYPERLINK("http://www.uniprot.org/uniprot/Q98TR3","13")</f>
        <v>13</v>
      </c>
      <c r="AR426" t="s">
        <v>786</v>
      </c>
      <c r="AS426">
        <v>28.5</v>
      </c>
      <c r="AT426">
        <v>33</v>
      </c>
      <c r="AU426">
        <v>1097</v>
      </c>
      <c r="AV426">
        <v>38</v>
      </c>
      <c r="AW426">
        <v>3</v>
      </c>
      <c r="AX426">
        <v>21</v>
      </c>
      <c r="AY426">
        <v>0</v>
      </c>
      <c r="AZ426">
        <v>511</v>
      </c>
      <c r="BA426">
        <v>6</v>
      </c>
      <c r="BB426">
        <v>1</v>
      </c>
      <c r="BC426" t="s">
        <v>734</v>
      </c>
      <c r="BD426" s="2" t="s">
        <v>5</v>
      </c>
      <c r="BE426" t="s">
        <v>5</v>
      </c>
      <c r="BF426" t="s">
        <v>5</v>
      </c>
      <c r="BG426" t="s">
        <v>5</v>
      </c>
      <c r="BH426" t="s">
        <v>5</v>
      </c>
      <c r="BI426" s="2" t="str">
        <f>HYPERLINK("http://exon.niaid.nih.gov/transcriptome/T_rubida/S2/links/CDD/Triru-468-CDD.txt","DGOK")</f>
        <v>DGOK</v>
      </c>
      <c r="BJ426" t="str">
        <f>HYPERLINK("http://www.ncbi.nlm.nih.gov/Structure/cdd/cddsrv.cgi?uid=pfam05035&amp;version=v4.0","0.28")</f>
        <v>0.28</v>
      </c>
      <c r="BK426" t="s">
        <v>787</v>
      </c>
      <c r="BL426" s="2" t="str">
        <f>HYPERLINK("http://exon.niaid.nih.gov/transcriptome/T_rubida/S2/links/KOG/Triru-468-KOG.txt","Protein kinase ATM/Tel1, involved in telomere length regulation and DNA repair")</f>
        <v>Protein kinase ATM/Tel1, involved in telomere length regulation and DNA repair</v>
      </c>
      <c r="BM426" t="str">
        <f>HYPERLINK("http://www.ncbi.nlm.nih.gov/COG/grace/shokog.cgi?KOG0892","0.17")</f>
        <v>0.17</v>
      </c>
      <c r="BN426" t="s">
        <v>788</v>
      </c>
      <c r="BO426" s="2" t="str">
        <f>HYPERLINK("http://exon.niaid.nih.gov/transcriptome/T_rubida/S2/links/PFAM/Triru-468-PFAM.txt","DGOK")</f>
        <v>DGOK</v>
      </c>
      <c r="BP426" t="str">
        <f>HYPERLINK("http://pfam.sanger.ac.uk/family?acc=PF05035","0.060")</f>
        <v>0.060</v>
      </c>
      <c r="BQ426" s="2" t="str">
        <f>HYPERLINK("http://exon.niaid.nih.gov/transcriptome/T_rubida/S2/links/SMART/Triru-468-SMART.txt","MeTrc")</f>
        <v>MeTrc</v>
      </c>
      <c r="BR426" t="str">
        <f>HYPERLINK("http://smart.embl-heidelberg.de/smart/do_annotation.pl?DOMAIN=MeTrc&amp;BLAST=DUMMY","3.8")</f>
        <v>3.8</v>
      </c>
      <c r="BS426" s="17">
        <f>HYPERLINK("http://exon.niaid.nih.gov/transcriptome/T_rubida/S2/links/cluster/Triru-pep-ext25-50-Sim-CLU4.txt", 4)</f>
        <v>4</v>
      </c>
      <c r="BT426" s="1">
        <f>HYPERLINK("http://exon.niaid.nih.gov/transcriptome/T_rubida/S2/links/cluster/Triru-pep-ext25-50-Sim-CLTL4.txt", 3)</f>
        <v>3</v>
      </c>
      <c r="BU426" s="17">
        <f>HYPERLINK("http://exon.niaid.nih.gov/transcriptome/T_rubida/S2/links/cluster/Triru-pep-ext30-50-Sim-CLU10.txt", 10)</f>
        <v>10</v>
      </c>
      <c r="BV426" s="1">
        <f>HYPERLINK("http://exon.niaid.nih.gov/transcriptome/T_rubida/S2/links/cluster/Triru-pep-ext30-50-Sim-CLTL10.txt", 3)</f>
        <v>3</v>
      </c>
      <c r="BW426" s="17">
        <v>271</v>
      </c>
      <c r="BX426" s="1">
        <v>1</v>
      </c>
      <c r="BY426" s="17">
        <v>293</v>
      </c>
      <c r="BZ426" s="1">
        <v>1</v>
      </c>
      <c r="CA426" s="17">
        <v>303</v>
      </c>
      <c r="CB426" s="1">
        <v>1</v>
      </c>
      <c r="CC426" s="17">
        <v>313</v>
      </c>
      <c r="CD426" s="1">
        <v>1</v>
      </c>
      <c r="CE426" s="17">
        <v>324</v>
      </c>
      <c r="CF426" s="1">
        <v>1</v>
      </c>
      <c r="CG426" s="17">
        <v>329</v>
      </c>
      <c r="CH426" s="1">
        <v>1</v>
      </c>
      <c r="CI426" s="17">
        <v>339</v>
      </c>
      <c r="CJ426" s="1">
        <v>1</v>
      </c>
      <c r="CK426" s="17">
        <v>345</v>
      </c>
      <c r="CL426" s="1">
        <v>1</v>
      </c>
      <c r="CM426" s="17">
        <v>353</v>
      </c>
      <c r="CN426" s="1">
        <v>1</v>
      </c>
      <c r="CO426" s="17">
        <v>365</v>
      </c>
      <c r="CP426" s="1">
        <v>1</v>
      </c>
      <c r="CQ426" s="17">
        <v>375</v>
      </c>
      <c r="CR426" s="1">
        <v>1</v>
      </c>
      <c r="CS426" s="17">
        <v>388</v>
      </c>
      <c r="CT426" s="1">
        <v>1</v>
      </c>
      <c r="CU426" s="17">
        <v>399</v>
      </c>
      <c r="CV426" s="1">
        <v>1</v>
      </c>
    </row>
    <row r="427" spans="1:100">
      <c r="A427" t="str">
        <f>HYPERLINK("http://exon.niaid.nih.gov/transcriptome/T_rubida/S2/links/pep/Triru-437-pep.txt","Triru-437")</f>
        <v>Triru-437</v>
      </c>
      <c r="B427">
        <v>35</v>
      </c>
      <c r="C427" s="1" t="s">
        <v>6</v>
      </c>
      <c r="D427" s="1" t="s">
        <v>3</v>
      </c>
      <c r="E427" t="str">
        <f>HYPERLINK("http://exon.niaid.nih.gov/transcriptome/T_rubida/S2/links/cds/Triru-437-cds.txt","Triru-437")</f>
        <v>Triru-437</v>
      </c>
      <c r="F427">
        <v>108</v>
      </c>
      <c r="G427" s="2" t="s">
        <v>1878</v>
      </c>
      <c r="H427" s="1">
        <v>1</v>
      </c>
      <c r="I427" s="3" t="s">
        <v>1266</v>
      </c>
      <c r="J427" s="17" t="str">
        <f>HYPERLINK("http://exon.niaid.nih.gov/transcriptome/T_rubida/S2/links/Sigp/Triru-437-SigP.txt","CYT")</f>
        <v>CYT</v>
      </c>
      <c r="K427" t="s">
        <v>5</v>
      </c>
      <c r="L427" s="1">
        <v>3.7639999999999998</v>
      </c>
      <c r="M427" s="1">
        <v>9.69</v>
      </c>
      <c r="P427" s="1">
        <v>0.41599999999999998</v>
      </c>
      <c r="Q427" s="1">
        <v>3.5000000000000003E-2</v>
      </c>
      <c r="R427" s="1">
        <v>0.65600000000000003</v>
      </c>
      <c r="S427" s="17" t="s">
        <v>1346</v>
      </c>
      <c r="T427">
        <v>4</v>
      </c>
      <c r="U427" t="s">
        <v>1348</v>
      </c>
      <c r="V427" s="17">
        <v>0</v>
      </c>
      <c r="W427" t="s">
        <v>5</v>
      </c>
      <c r="X427" t="s">
        <v>5</v>
      </c>
      <c r="Y427" t="s">
        <v>5</v>
      </c>
      <c r="Z427" t="s">
        <v>5</v>
      </c>
      <c r="AA427" t="s">
        <v>5</v>
      </c>
      <c r="AB427" s="17" t="str">
        <f>HYPERLINK("http://exon.niaid.nih.gov/transcriptome/T_rubida/S2/links/netoglyc/TRIRU-437-netoglyc.txt","0")</f>
        <v>0</v>
      </c>
      <c r="AC427">
        <v>11.4</v>
      </c>
      <c r="AD427">
        <v>14.3</v>
      </c>
      <c r="AE427">
        <v>8.6</v>
      </c>
      <c r="AF427" s="17" t="s">
        <v>5</v>
      </c>
      <c r="AG427" s="2" t="str">
        <f>HYPERLINK("http://exon.niaid.nih.gov/transcriptome/T_rubida/S2/links/NR/Triru-437-NR.txt","Triple functional domain protein")</f>
        <v>Triple functional domain protein</v>
      </c>
      <c r="AH427" t="str">
        <f>HYPERLINK("http://www.ncbi.nlm.nih.gov/sutils/blink.cgi?pid=332029109","0.19")</f>
        <v>0.19</v>
      </c>
      <c r="AI427" t="str">
        <f>HYPERLINK("http://www.ncbi.nlm.nih.gov/protein/332029109","gi|332029109")</f>
        <v>gi|332029109</v>
      </c>
      <c r="AJ427">
        <v>39.299999999999997</v>
      </c>
      <c r="AK427">
        <v>21</v>
      </c>
      <c r="AL427">
        <v>1559</v>
      </c>
      <c r="AM427">
        <v>77</v>
      </c>
      <c r="AN427">
        <v>1</v>
      </c>
      <c r="AO427" t="s">
        <v>300</v>
      </c>
      <c r="AP427" s="2" t="s">
        <v>5</v>
      </c>
      <c r="AQ427" t="s">
        <v>5</v>
      </c>
      <c r="AR427" t="s">
        <v>5</v>
      </c>
      <c r="AS427" t="s">
        <v>5</v>
      </c>
      <c r="AT427" t="s">
        <v>5</v>
      </c>
      <c r="AU427" t="s">
        <v>5</v>
      </c>
      <c r="AV427" t="s">
        <v>5</v>
      </c>
      <c r="AW427" t="s">
        <v>5</v>
      </c>
      <c r="AX427" t="s">
        <v>5</v>
      </c>
      <c r="AY427" t="s">
        <v>5</v>
      </c>
      <c r="AZ427" t="s">
        <v>5</v>
      </c>
      <c r="BA427" t="s">
        <v>5</v>
      </c>
      <c r="BB427" t="s">
        <v>5</v>
      </c>
      <c r="BC427" t="s">
        <v>5</v>
      </c>
      <c r="BD427" s="2" t="s">
        <v>5</v>
      </c>
      <c r="BE427" t="s">
        <v>5</v>
      </c>
      <c r="BF427" t="s">
        <v>5</v>
      </c>
      <c r="BG427" t="s">
        <v>5</v>
      </c>
      <c r="BH427" t="s">
        <v>5</v>
      </c>
      <c r="BI427" s="2" t="str">
        <f>HYPERLINK("http://exon.niaid.nih.gov/transcriptome/T_rubida/S2/links/CDD/Triru-437-CDD.txt","PRK06930")</f>
        <v>PRK06930</v>
      </c>
      <c r="BJ427" t="str">
        <f>HYPERLINK("http://www.ncbi.nlm.nih.gov/Structure/cdd/cddsrv.cgi?uid=PRK06930&amp;version=v4.0","1.1")</f>
        <v>1.1</v>
      </c>
      <c r="BK427" t="s">
        <v>426</v>
      </c>
      <c r="BL427" s="2" t="s">
        <v>5</v>
      </c>
      <c r="BM427" t="s">
        <v>5</v>
      </c>
      <c r="BN427" t="s">
        <v>5</v>
      </c>
      <c r="BO427" s="2" t="s">
        <v>5</v>
      </c>
      <c r="BP427" t="s">
        <v>5</v>
      </c>
      <c r="BQ427" s="2" t="str">
        <f>HYPERLINK("http://exon.niaid.nih.gov/transcriptome/T_rubida/S2/links/SMART/Triru-437-SMART.txt","Biotin_carb_C")</f>
        <v>Biotin_carb_C</v>
      </c>
      <c r="BR427" t="str">
        <f>HYPERLINK("http://smart.embl-heidelberg.de/smart/do_annotation.pl?DOMAIN=Biotin_carb_C&amp;BLAST=DUMMY","3.2")</f>
        <v>3.2</v>
      </c>
      <c r="BS427" s="17">
        <f>HYPERLINK("http://exon.niaid.nih.gov/transcriptome/T_rubida/S2/links/cluster/Triru-pep-ext25-50-Sim-CLU1.txt", 1)</f>
        <v>1</v>
      </c>
      <c r="BT427" s="1">
        <f>HYPERLINK("http://exon.niaid.nih.gov/transcriptome/T_rubida/S2/links/cluster/Triru-pep-ext25-50-Sim-CLTL1.txt", 359)</f>
        <v>359</v>
      </c>
      <c r="BU427" s="17">
        <v>199</v>
      </c>
      <c r="BV427" s="1">
        <v>1</v>
      </c>
      <c r="BW427" s="17">
        <v>252</v>
      </c>
      <c r="BX427" s="1">
        <v>1</v>
      </c>
      <c r="BY427" s="17">
        <v>272</v>
      </c>
      <c r="BZ427" s="1">
        <v>1</v>
      </c>
      <c r="CA427" s="17">
        <v>281</v>
      </c>
      <c r="CB427" s="1">
        <v>1</v>
      </c>
      <c r="CC427" s="17">
        <v>289</v>
      </c>
      <c r="CD427" s="1">
        <v>1</v>
      </c>
      <c r="CE427" s="17">
        <v>299</v>
      </c>
      <c r="CF427" s="1">
        <v>1</v>
      </c>
      <c r="CG427" s="17">
        <v>303</v>
      </c>
      <c r="CH427" s="1">
        <v>1</v>
      </c>
      <c r="CI427" s="17">
        <v>313</v>
      </c>
      <c r="CJ427" s="1">
        <v>1</v>
      </c>
      <c r="CK427" s="17">
        <v>319</v>
      </c>
      <c r="CL427" s="1">
        <v>1</v>
      </c>
      <c r="CM427" s="17">
        <v>327</v>
      </c>
      <c r="CN427" s="1">
        <v>1</v>
      </c>
      <c r="CO427" s="17">
        <v>339</v>
      </c>
      <c r="CP427" s="1">
        <v>1</v>
      </c>
      <c r="CQ427" s="17">
        <v>349</v>
      </c>
      <c r="CR427" s="1">
        <v>1</v>
      </c>
      <c r="CS427" s="17">
        <v>361</v>
      </c>
      <c r="CT427" s="1">
        <v>1</v>
      </c>
      <c r="CU427" s="17">
        <v>372</v>
      </c>
      <c r="CV427" s="1">
        <v>1</v>
      </c>
    </row>
    <row r="428" spans="1:100">
      <c r="A428" t="str">
        <f>HYPERLINK("http://exon.niaid.nih.gov/transcriptome/T_rubida/S2/links/pep/Triru-532-pep.txt","Triru-532")</f>
        <v>Triru-532</v>
      </c>
      <c r="B428">
        <v>52</v>
      </c>
      <c r="C428" s="1" t="s">
        <v>10</v>
      </c>
      <c r="D428" s="1" t="s">
        <v>3</v>
      </c>
      <c r="E428" t="str">
        <f>HYPERLINK("http://exon.niaid.nih.gov/transcriptome/T_rubida/S2/links/cds/Triru-532-cds.txt","Triru-532")</f>
        <v>Triru-532</v>
      </c>
      <c r="F428">
        <v>159</v>
      </c>
      <c r="G428" s="2" t="s">
        <v>1879</v>
      </c>
      <c r="H428" s="1">
        <v>1</v>
      </c>
      <c r="I428" s="3" t="s">
        <v>1266</v>
      </c>
      <c r="J428" s="17" t="str">
        <f>HYPERLINK("http://exon.niaid.nih.gov/transcriptome/T_rubida/S2/links/Sigp/Triru-532-SigP.txt","CYT")</f>
        <v>CYT</v>
      </c>
      <c r="K428" t="s">
        <v>5</v>
      </c>
      <c r="L428" s="1">
        <v>6.016</v>
      </c>
      <c r="M428" s="1">
        <v>10.32</v>
      </c>
      <c r="P428" s="1">
        <v>0.77200000000000002</v>
      </c>
      <c r="Q428" s="1">
        <v>1.9E-2</v>
      </c>
      <c r="R428" s="1">
        <v>0.28499999999999998</v>
      </c>
      <c r="S428" s="17" t="s">
        <v>9</v>
      </c>
      <c r="T428">
        <v>3</v>
      </c>
      <c r="U428" t="s">
        <v>1348</v>
      </c>
      <c r="V428" s="17">
        <v>0</v>
      </c>
      <c r="W428" t="s">
        <v>5</v>
      </c>
      <c r="X428" t="s">
        <v>5</v>
      </c>
      <c r="Y428" t="s">
        <v>5</v>
      </c>
      <c r="Z428" t="s">
        <v>5</v>
      </c>
      <c r="AA428" t="s">
        <v>5</v>
      </c>
      <c r="AB428" s="17" t="str">
        <f>HYPERLINK("http://exon.niaid.nih.gov/transcriptome/T_rubida/S2/links/netoglyc/TRIRU-532-netoglyc.txt","0")</f>
        <v>0</v>
      </c>
      <c r="AC428">
        <v>15.4</v>
      </c>
      <c r="AD428">
        <v>5.8</v>
      </c>
      <c r="AE428">
        <v>5.8</v>
      </c>
      <c r="AF428" s="17" t="s">
        <v>5</v>
      </c>
      <c r="AG428" s="2" t="str">
        <f>HYPERLINK("http://exon.niaid.nih.gov/transcriptome/T_rubida/S2/links/NR/Triru-532-NR.txt","predicted protein")</f>
        <v>predicted protein</v>
      </c>
      <c r="AH428" t="str">
        <f>HYPERLINK("http://www.ncbi.nlm.nih.gov/sutils/blink.cgi?pid=290976028","68")</f>
        <v>68</v>
      </c>
      <c r="AI428" t="str">
        <f>HYPERLINK("http://www.ncbi.nlm.nih.gov/protein/290976028","gi|290976028")</f>
        <v>gi|290976028</v>
      </c>
      <c r="AJ428">
        <v>30.8</v>
      </c>
      <c r="AK428">
        <v>32</v>
      </c>
      <c r="AL428">
        <v>4292</v>
      </c>
      <c r="AM428">
        <v>44</v>
      </c>
      <c r="AN428">
        <v>1</v>
      </c>
      <c r="AO428" t="s">
        <v>85</v>
      </c>
      <c r="AP428" s="2" t="str">
        <f>HYPERLINK("http://exon.niaid.nih.gov/transcriptome/T_rubida/S2/links/SWISSP/Triru-532-SWISSP.txt","Afadin")</f>
        <v>Afadin</v>
      </c>
      <c r="AQ428" t="str">
        <f>HYPERLINK("http://www.uniprot.org/uniprot/O35889","28")</f>
        <v>28</v>
      </c>
      <c r="AR428" t="s">
        <v>944</v>
      </c>
      <c r="AS428">
        <v>27.3</v>
      </c>
      <c r="AT428">
        <v>32</v>
      </c>
      <c r="AU428">
        <v>1829</v>
      </c>
      <c r="AV428">
        <v>36</v>
      </c>
      <c r="AW428">
        <v>2</v>
      </c>
      <c r="AX428">
        <v>21</v>
      </c>
      <c r="AY428">
        <v>4</v>
      </c>
      <c r="AZ428">
        <v>821</v>
      </c>
      <c r="BA428">
        <v>3</v>
      </c>
      <c r="BB428">
        <v>1</v>
      </c>
      <c r="BC428" t="s">
        <v>130</v>
      </c>
      <c r="BD428" s="2" t="s">
        <v>5</v>
      </c>
      <c r="BE428" t="s">
        <v>5</v>
      </c>
      <c r="BF428" t="s">
        <v>5</v>
      </c>
      <c r="BG428" t="s">
        <v>5</v>
      </c>
      <c r="BH428" t="s">
        <v>5</v>
      </c>
      <c r="BI428" s="2" t="s">
        <v>5</v>
      </c>
      <c r="BJ428" t="s">
        <v>5</v>
      </c>
      <c r="BK428" t="s">
        <v>5</v>
      </c>
      <c r="BL428" s="2" t="str">
        <f>HYPERLINK("http://exon.niaid.nih.gov/transcriptome/T_rubida/S2/links/KOG/Triru-532-KOG.txt","Actin filament-binding protein Afadin")</f>
        <v>Actin filament-binding protein Afadin</v>
      </c>
      <c r="BM428" t="str">
        <f>HYPERLINK("http://www.ncbi.nlm.nih.gov/COG/grace/shokog.cgi?KOG1892","4.8")</f>
        <v>4.8</v>
      </c>
      <c r="BN428" t="s">
        <v>147</v>
      </c>
      <c r="BO428" s="2" t="str">
        <f>HYPERLINK("http://exon.niaid.nih.gov/transcriptome/T_rubida/S2/links/PFAM/Triru-532-PFAM.txt","Rod_C")</f>
        <v>Rod_C</v>
      </c>
      <c r="BP428" t="str">
        <f>HYPERLINK("http://pfam.sanger.ac.uk/family?acc=PF10493","3.2")</f>
        <v>3.2</v>
      </c>
      <c r="BQ428" s="2" t="str">
        <f>HYPERLINK("http://exon.niaid.nih.gov/transcriptome/T_rubida/S2/links/SMART/Triru-532-SMART.txt","CARD")</f>
        <v>CARD</v>
      </c>
      <c r="BR428" t="str">
        <f>HYPERLINK("http://smart.embl-heidelberg.de/smart/do_annotation.pl?DOMAIN=CARD&amp;BLAST=DUMMY","4.7")</f>
        <v>4.7</v>
      </c>
      <c r="BS428" s="17">
        <v>163</v>
      </c>
      <c r="BT428" s="1">
        <v>1</v>
      </c>
      <c r="BU428" s="17">
        <v>242</v>
      </c>
      <c r="BV428" s="1">
        <v>1</v>
      </c>
      <c r="BW428" s="17">
        <v>308</v>
      </c>
      <c r="BX428" s="1">
        <v>1</v>
      </c>
      <c r="BY428" s="17">
        <v>336</v>
      </c>
      <c r="BZ428" s="1">
        <v>1</v>
      </c>
      <c r="CA428" s="17">
        <v>348</v>
      </c>
      <c r="CB428" s="1">
        <v>1</v>
      </c>
      <c r="CC428" s="17">
        <v>361</v>
      </c>
      <c r="CD428" s="1">
        <v>1</v>
      </c>
      <c r="CE428" s="17">
        <v>376</v>
      </c>
      <c r="CF428" s="1">
        <v>1</v>
      </c>
      <c r="CG428" s="17">
        <v>382</v>
      </c>
      <c r="CH428" s="1">
        <v>1</v>
      </c>
      <c r="CI428" s="17">
        <v>394</v>
      </c>
      <c r="CJ428" s="1">
        <v>1</v>
      </c>
      <c r="CK428" s="17">
        <v>400</v>
      </c>
      <c r="CL428" s="1">
        <v>1</v>
      </c>
      <c r="CM428" s="17">
        <v>409</v>
      </c>
      <c r="CN428" s="1">
        <v>1</v>
      </c>
      <c r="CO428" s="17">
        <v>421</v>
      </c>
      <c r="CP428" s="1">
        <v>1</v>
      </c>
      <c r="CQ428" s="17">
        <v>431</v>
      </c>
      <c r="CR428" s="1">
        <v>1</v>
      </c>
      <c r="CS428" s="17">
        <v>444</v>
      </c>
      <c r="CT428" s="1">
        <v>1</v>
      </c>
      <c r="CU428" s="17">
        <v>455</v>
      </c>
      <c r="CV428" s="1">
        <v>1</v>
      </c>
    </row>
    <row r="429" spans="1:100">
      <c r="A429" t="str">
        <f>HYPERLINK("http://exon.niaid.nih.gov/transcriptome/T_rubida/S2/links/pep/Triru-282-pep.txt","Triru-282")</f>
        <v>Triru-282</v>
      </c>
      <c r="B429">
        <v>37</v>
      </c>
      <c r="C429" s="1" t="s">
        <v>4</v>
      </c>
      <c r="D429" s="1" t="s">
        <v>3</v>
      </c>
      <c r="E429" t="str">
        <f>HYPERLINK("http://exon.niaid.nih.gov/transcriptome/T_rubida/S2/links/cds/Triru-282-cds.txt","Triru-282")</f>
        <v>Triru-282</v>
      </c>
      <c r="F429">
        <v>114</v>
      </c>
      <c r="G429" s="2" t="s">
        <v>1856</v>
      </c>
      <c r="H429" s="1">
        <v>1</v>
      </c>
      <c r="I429" s="3" t="s">
        <v>1266</v>
      </c>
      <c r="J429" s="17" t="str">
        <f>HYPERLINK("http://exon.niaid.nih.gov/transcriptome/T_rubida/S2/links/Sigp/Triru-282-SigP.txt","SIG")</f>
        <v>SIG</v>
      </c>
      <c r="K429" t="s">
        <v>1329</v>
      </c>
      <c r="L429" s="1">
        <v>3.9670000000000001</v>
      </c>
      <c r="M429" s="1">
        <v>8.2200000000000006</v>
      </c>
      <c r="N429" s="1">
        <v>0.56899999999999995</v>
      </c>
      <c r="O429" s="1">
        <v>8.75</v>
      </c>
      <c r="P429" s="1">
        <v>2.1999999999999999E-2</v>
      </c>
      <c r="Q429" s="1">
        <v>0.92</v>
      </c>
      <c r="R429" s="1">
        <v>0.115</v>
      </c>
      <c r="S429" s="17" t="s">
        <v>18</v>
      </c>
      <c r="T429">
        <v>1</v>
      </c>
      <c r="U429" t="s">
        <v>1555</v>
      </c>
      <c r="V429" s="17" t="str">
        <f>HYPERLINK("http://exon.niaid.nih.gov/transcriptome/T_rubida/S2/links/tmhmm/TRIRU-282-tmhmm.txt","1")</f>
        <v>1</v>
      </c>
      <c r="W429">
        <v>59.5</v>
      </c>
      <c r="X429">
        <v>27</v>
      </c>
      <c r="Y429">
        <v>13.5</v>
      </c>
      <c r="Z429" t="s">
        <v>5</v>
      </c>
      <c r="AA429">
        <v>10</v>
      </c>
      <c r="AB429" s="17" t="str">
        <f>HYPERLINK("http://exon.niaid.nih.gov/transcriptome/T_rubida/S2/links/netoglyc/TRIRU-282-netoglyc.txt","0")</f>
        <v>0</v>
      </c>
      <c r="AC429" t="s">
        <v>1417</v>
      </c>
      <c r="AD429">
        <v>8.1</v>
      </c>
      <c r="AE429">
        <v>8.1</v>
      </c>
      <c r="AF429" s="17" t="s">
        <v>5</v>
      </c>
      <c r="AG429" s="2" t="str">
        <f>HYPERLINK("http://exon.niaid.nih.gov/transcriptome/T_rubida/S2/links/NR/Triru-282-NR.txt","ATP-binding cassette sub-family G member 5-like")</f>
        <v>ATP-binding cassette sub-family G member 5-like</v>
      </c>
      <c r="AH429" t="str">
        <f>HYPERLINK("http://www.ncbi.nlm.nih.gov/sutils/blink.cgi?pid=328718471","0.56")</f>
        <v>0.56</v>
      </c>
      <c r="AI429" t="str">
        <f>HYPERLINK("http://www.ncbi.nlm.nih.gov/protein/328718471","gi|328718471")</f>
        <v>gi|328718471</v>
      </c>
      <c r="AJ429">
        <v>37.700000000000003</v>
      </c>
      <c r="AK429">
        <v>25</v>
      </c>
      <c r="AL429">
        <v>638</v>
      </c>
      <c r="AM429">
        <v>61</v>
      </c>
      <c r="AN429">
        <v>4</v>
      </c>
      <c r="AO429" t="s">
        <v>89</v>
      </c>
      <c r="AP429" s="2" t="str">
        <f>HYPERLINK("http://exon.niaid.nih.gov/transcriptome/T_rubida/S2/links/SWISSP/Triru-282-SWISSP.txt","Putative ribose/galactose/methyl galactoside import ATP-binding protein")</f>
        <v>Putative ribose/galactose/methyl galactoside import ATP-binding protein</v>
      </c>
      <c r="AQ429" t="str">
        <f>HYPERLINK("http://www.uniprot.org/uniprot/Q4KDI2","62")</f>
        <v>62</v>
      </c>
      <c r="AR429" t="s">
        <v>90</v>
      </c>
      <c r="AS429">
        <v>26.2</v>
      </c>
      <c r="AT429">
        <v>16</v>
      </c>
      <c r="AU429">
        <v>515</v>
      </c>
      <c r="AV429">
        <v>64</v>
      </c>
      <c r="AW429">
        <v>3</v>
      </c>
      <c r="AX429">
        <v>6</v>
      </c>
      <c r="AY429">
        <v>0</v>
      </c>
      <c r="AZ429">
        <v>33</v>
      </c>
      <c r="BA429">
        <v>10</v>
      </c>
      <c r="BB429">
        <v>1</v>
      </c>
      <c r="BC429" t="s">
        <v>91</v>
      </c>
      <c r="BD429" s="2" t="s">
        <v>5</v>
      </c>
      <c r="BE429" t="s">
        <v>5</v>
      </c>
      <c r="BF429" t="s">
        <v>5</v>
      </c>
      <c r="BG429" t="s">
        <v>5</v>
      </c>
      <c r="BH429" t="s">
        <v>5</v>
      </c>
      <c r="BI429" s="2" t="str">
        <f>HYPERLINK("http://exon.niaid.nih.gov/transcriptome/T_rubida/S2/links/CDD/Triru-282-CDD.txt","TMPIT")</f>
        <v>TMPIT</v>
      </c>
      <c r="BJ429" t="str">
        <f>HYPERLINK("http://www.ncbi.nlm.nih.gov/Structure/cdd/cddsrv.cgi?uid=pfam07851&amp;version=v4.0","8.3")</f>
        <v>8.3</v>
      </c>
      <c r="BK429" t="s">
        <v>92</v>
      </c>
      <c r="BL429" s="2" t="str">
        <f>HYPERLINK("http://exon.niaid.nih.gov/transcriptome/T_rubida/S2/links/KOG/Triru-282-KOG.txt","Ferric reductase, NADH/NADPH oxidase and related proteins")</f>
        <v>Ferric reductase, NADH/NADPH oxidase and related proteins</v>
      </c>
      <c r="BM429" t="str">
        <f>HYPERLINK("http://www.ncbi.nlm.nih.gov/COG/grace/shokog.cgi?KOG0039","6.3")</f>
        <v>6.3</v>
      </c>
      <c r="BN429" t="s">
        <v>93</v>
      </c>
      <c r="BO429" s="2" t="str">
        <f>HYPERLINK("http://exon.niaid.nih.gov/transcriptome/T_rubida/S2/links/PFAM/Triru-282-PFAM.txt","TMPIT")</f>
        <v>TMPIT</v>
      </c>
      <c r="BP429" t="str">
        <f>HYPERLINK("http://pfam.sanger.ac.uk/family?acc=PF07851","1.7")</f>
        <v>1.7</v>
      </c>
      <c r="BQ429" s="2" t="s">
        <v>5</v>
      </c>
      <c r="BR429" t="s">
        <v>5</v>
      </c>
      <c r="BS429" s="17">
        <f t="shared" ref="BS429:BS440" si="70">HYPERLINK("http://exon.niaid.nih.gov/transcriptome/T_rubida/S2/links/cluster/Triru-pep-ext25-50-Sim-CLU1.txt", 1)</f>
        <v>1</v>
      </c>
      <c r="BT429" s="1">
        <f t="shared" ref="BT429:BT440" si="71">HYPERLINK("http://exon.niaid.nih.gov/transcriptome/T_rubida/S2/links/cluster/Triru-pep-ext25-50-Sim-CLTL1.txt", 359)</f>
        <v>359</v>
      </c>
      <c r="BU429" s="17">
        <f>HYPERLINK("http://exon.niaid.nih.gov/transcriptome/T_rubida/S2/links/cluster/Triru-pep-ext30-50-Sim-CLU11.txt", 11)</f>
        <v>11</v>
      </c>
      <c r="BV429" s="1">
        <f>HYPERLINK("http://exon.niaid.nih.gov/transcriptome/T_rubida/S2/links/cluster/Triru-pep-ext30-50-Sim-CLTL11.txt", 3)</f>
        <v>3</v>
      </c>
      <c r="BW429" s="17">
        <f>HYPERLINK("http://exon.niaid.nih.gov/transcriptome/T_rubida/S2/links/cluster/Triru-pep-ext35-50-Sim-CLU28.txt", 28)</f>
        <v>28</v>
      </c>
      <c r="BX429" s="1">
        <f>HYPERLINK("http://exon.niaid.nih.gov/transcriptome/T_rubida/S2/links/cluster/Triru-pep-ext35-50-Sim-CLTL28.txt", 2)</f>
        <v>2</v>
      </c>
      <c r="BY429" s="17">
        <f>HYPERLINK("http://exon.niaid.nih.gov/transcriptome/T_rubida/S2/links/cluster/Triru-pep-ext40-50-Sim-CLU25.txt", 25)</f>
        <v>25</v>
      </c>
      <c r="BZ429" s="1">
        <f>HYPERLINK("http://exon.niaid.nih.gov/transcriptome/T_rubida/S2/links/cluster/Triru-pep-ext40-50-Sim-CLTL25.txt", 2)</f>
        <v>2</v>
      </c>
      <c r="CA429" s="17">
        <f>HYPERLINK("http://exon.niaid.nih.gov/transcriptome/T_rubida/S2/links/cluster/Triru-pep-ext45-50-Sim-CLU20.txt", 20)</f>
        <v>20</v>
      </c>
      <c r="CB429" s="1">
        <f>HYPERLINK("http://exon.niaid.nih.gov/transcriptome/T_rubida/S2/links/cluster/Triru-pep-ext45-50-Sim-CLTL20.txt", 2)</f>
        <v>2</v>
      </c>
      <c r="CC429" s="17">
        <f>HYPERLINK("http://exon.niaid.nih.gov/transcriptome/T_rubida/S2/links/cluster/Triru-pep-ext50-50-Sim-CLU19.txt", 19)</f>
        <v>19</v>
      </c>
      <c r="CD429" s="1">
        <f>HYPERLINK("http://exon.niaid.nih.gov/transcriptome/T_rubida/S2/links/cluster/Triru-pep-ext50-50-Sim-CLTL19.txt", 2)</f>
        <v>2</v>
      </c>
      <c r="CE429" s="17">
        <f>HYPERLINK("http://exon.niaid.nih.gov/transcriptome/T_rubida/S2/links/cluster/Triru-pep-ext55-50-Sim-CLU14.txt", 14)</f>
        <v>14</v>
      </c>
      <c r="CF429" s="1">
        <f>HYPERLINK("http://exon.niaid.nih.gov/transcriptome/T_rubida/S2/links/cluster/Triru-pep-ext55-50-Sim-CLTL14.txt", 2)</f>
        <v>2</v>
      </c>
      <c r="CG429" s="17">
        <f>HYPERLINK("http://exon.niaid.nih.gov/transcriptome/T_rubida/S2/links/cluster/Triru-pep-ext60-50-Sim-CLU15.txt", 15)</f>
        <v>15</v>
      </c>
      <c r="CH429" s="1">
        <f>HYPERLINK("http://exon.niaid.nih.gov/transcriptome/T_rubida/S2/links/cluster/Triru-pep-ext60-50-Sim-CLTL15.txt", 2)</f>
        <v>2</v>
      </c>
      <c r="CI429" s="17">
        <f>HYPERLINK("http://exon.niaid.nih.gov/transcriptome/T_rubida/S2/links/cluster/Triru-pep-ext65-50-Sim-CLU15.txt", 15)</f>
        <v>15</v>
      </c>
      <c r="CJ429" s="1">
        <f>HYPERLINK("http://exon.niaid.nih.gov/transcriptome/T_rubida/S2/links/cluster/Triru-pep-ext65-50-Sim-CLTL15.txt", 2)</f>
        <v>2</v>
      </c>
      <c r="CK429" s="17">
        <f>HYPERLINK("http://exon.niaid.nih.gov/transcriptome/T_rubida/S2/links/cluster/Triru-pep-ext70-50-Sim-CLU15.txt", 15)</f>
        <v>15</v>
      </c>
      <c r="CL429" s="1">
        <f>HYPERLINK("http://exon.niaid.nih.gov/transcriptome/T_rubida/S2/links/cluster/Triru-pep-ext70-50-Sim-CLTL15.txt", 2)</f>
        <v>2</v>
      </c>
      <c r="CM429" s="17">
        <f>HYPERLINK("http://exon.niaid.nih.gov/transcriptome/T_rubida/S2/links/cluster/Triru-pep-ext75-50-Sim-CLU16.txt", 16)</f>
        <v>16</v>
      </c>
      <c r="CN429" s="1">
        <f>HYPERLINK("http://exon.niaid.nih.gov/transcriptome/T_rubida/S2/links/cluster/Triru-pep-ext75-50-Sim-CLTL16.txt", 2)</f>
        <v>2</v>
      </c>
      <c r="CO429" s="17">
        <f>HYPERLINK("http://exon.niaid.nih.gov/transcriptome/T_rubida/S2/links/cluster/Triru-pep-ext80-50-Sim-CLU14.txt", 14)</f>
        <v>14</v>
      </c>
      <c r="CP429" s="1">
        <f>HYPERLINK("http://exon.niaid.nih.gov/transcriptome/T_rubida/S2/links/cluster/Triru-pep-ext80-50-Sim-CLTL14.txt", 2)</f>
        <v>2</v>
      </c>
      <c r="CQ429" s="17">
        <f>HYPERLINK("http://exon.niaid.nih.gov/transcriptome/T_rubida/S2/links/cluster/Triru-pep-ext85-50-Sim-CLU12.txt", 12)</f>
        <v>12</v>
      </c>
      <c r="CR429" s="1">
        <f>HYPERLINK("http://exon.niaid.nih.gov/transcriptome/T_rubida/S2/links/cluster/Triru-pep-ext85-50-Sim-CLTL12.txt", 2)</f>
        <v>2</v>
      </c>
      <c r="CS429" s="17">
        <v>226</v>
      </c>
      <c r="CT429" s="1">
        <v>1</v>
      </c>
      <c r="CU429" s="17">
        <v>237</v>
      </c>
      <c r="CV429" s="1">
        <v>1</v>
      </c>
    </row>
    <row r="430" spans="1:100">
      <c r="A430" t="str">
        <f>HYPERLINK("http://exon.niaid.nih.gov/transcriptome/T_rubida/S2/links/pep/Triru-552-pep.txt","Triru-552")</f>
        <v>Triru-552</v>
      </c>
      <c r="B430">
        <v>86</v>
      </c>
      <c r="C430" s="1" t="s">
        <v>8</v>
      </c>
      <c r="D430" s="1" t="s">
        <v>3</v>
      </c>
      <c r="E430" t="str">
        <f>HYPERLINK("http://exon.niaid.nih.gov/transcriptome/T_rubida/S2/links/cds/Triru-552-cds.txt","Triru-552")</f>
        <v>Triru-552</v>
      </c>
      <c r="F430">
        <v>261</v>
      </c>
      <c r="G430" s="2" t="s">
        <v>1743</v>
      </c>
      <c r="H430" s="1">
        <v>1</v>
      </c>
      <c r="I430" s="3" t="s">
        <v>1266</v>
      </c>
      <c r="J430" s="17" t="str">
        <f>HYPERLINK("http://exon.niaid.nih.gov/transcriptome/T_rubida/S2/links/Sigp/Triru-552-SigP.txt","SIG")</f>
        <v>SIG</v>
      </c>
      <c r="K430" t="s">
        <v>1320</v>
      </c>
      <c r="L430" s="1">
        <v>10.702999999999999</v>
      </c>
      <c r="M430" s="1">
        <v>9.43</v>
      </c>
      <c r="N430" s="1">
        <v>7.9960000000000004</v>
      </c>
      <c r="O430" s="1">
        <v>10.16</v>
      </c>
      <c r="P430" s="1">
        <v>4.0000000000000001E-3</v>
      </c>
      <c r="Q430" s="1">
        <v>1</v>
      </c>
      <c r="R430" s="1">
        <v>1.0999999999999999E-2</v>
      </c>
      <c r="S430" s="17" t="s">
        <v>18</v>
      </c>
      <c r="T430">
        <v>1</v>
      </c>
      <c r="U430" t="s">
        <v>1486</v>
      </c>
      <c r="V430" s="17" t="str">
        <f>HYPERLINK("http://exon.niaid.nih.gov/transcriptome/T_rubida/S2/links/tmhmm/TRIRU-552-tmhmm.txt","3")</f>
        <v>3</v>
      </c>
      <c r="W430">
        <v>65.099999999999994</v>
      </c>
      <c r="X430">
        <v>18.600000000000001</v>
      </c>
      <c r="Y430">
        <v>16.3</v>
      </c>
      <c r="Z430" t="s">
        <v>5</v>
      </c>
      <c r="AA430" t="s">
        <v>5</v>
      </c>
      <c r="AB430" s="17" t="s">
        <v>5</v>
      </c>
      <c r="AC430" t="s">
        <v>5</v>
      </c>
      <c r="AD430" t="s">
        <v>5</v>
      </c>
      <c r="AE430" t="s">
        <v>5</v>
      </c>
      <c r="AF430" s="17" t="s">
        <v>5</v>
      </c>
      <c r="AG430" s="2" t="str">
        <f>HYPERLINK("http://exon.niaid.nih.gov/transcriptome/T_rubida/S2/links/NR/Triru-552-NR.txt","hypothetical protein IMG5_109580")</f>
        <v>hypothetical protein IMG5_109580</v>
      </c>
      <c r="AH430" t="str">
        <f>HYPERLINK("http://www.ncbi.nlm.nih.gov/sutils/blink.cgi?pid=340505069","4E-004")</f>
        <v>4E-004</v>
      </c>
      <c r="AI430" t="str">
        <f>HYPERLINK("http://www.ncbi.nlm.nih.gov/protein/340505069","gi|340505069")</f>
        <v>gi|340505069</v>
      </c>
      <c r="AJ430">
        <v>48.1</v>
      </c>
      <c r="AK430">
        <v>309</v>
      </c>
      <c r="AL430">
        <v>470</v>
      </c>
      <c r="AM430">
        <v>30</v>
      </c>
      <c r="AN430">
        <v>66</v>
      </c>
      <c r="AO430" t="s">
        <v>384</v>
      </c>
      <c r="AP430" s="2" t="str">
        <f>HYPERLINK("http://exon.niaid.nih.gov/transcriptome/T_rubida/S2/links/SWISSP/Triru-552-SWISSP.txt","Uncharacterized membrane protein C17A2.10c")</f>
        <v>Uncharacterized membrane protein C17A2.10c</v>
      </c>
      <c r="AQ430" t="str">
        <f>HYPERLINK("http://www.uniprot.org/uniprot/O13760","0.061")</f>
        <v>0.061</v>
      </c>
      <c r="AR430" t="s">
        <v>337</v>
      </c>
      <c r="AS430">
        <v>36.200000000000003</v>
      </c>
      <c r="AT430">
        <v>78</v>
      </c>
      <c r="AU430">
        <v>230</v>
      </c>
      <c r="AV430">
        <v>29</v>
      </c>
      <c r="AW430">
        <v>34</v>
      </c>
      <c r="AX430">
        <v>58</v>
      </c>
      <c r="AY430">
        <v>3</v>
      </c>
      <c r="AZ430">
        <v>119</v>
      </c>
      <c r="BA430">
        <v>2</v>
      </c>
      <c r="BB430">
        <v>2</v>
      </c>
      <c r="BC430" t="s">
        <v>70</v>
      </c>
      <c r="BD430" s="2" t="s">
        <v>5</v>
      </c>
      <c r="BE430" t="s">
        <v>5</v>
      </c>
      <c r="BF430" t="s">
        <v>5</v>
      </c>
      <c r="BG430" t="s">
        <v>5</v>
      </c>
      <c r="BH430" t="s">
        <v>5</v>
      </c>
      <c r="BI430" s="2" t="s">
        <v>5</v>
      </c>
      <c r="BJ430" t="s">
        <v>5</v>
      </c>
      <c r="BK430" t="s">
        <v>5</v>
      </c>
      <c r="BL430" s="2" t="str">
        <f>HYPERLINK("http://exon.niaid.nih.gov/transcriptome/T_rubida/S2/links/KOG/Triru-552-KOG.txt","Neuronal membrane glycoprotein/Myelin proteolipid protein")</f>
        <v>Neuronal membrane glycoprotein/Myelin proteolipid protein</v>
      </c>
      <c r="BM430" t="str">
        <f>HYPERLINK("http://www.ncbi.nlm.nih.gov/COG/grace/shokog.cgi?KOG4800","0.98")</f>
        <v>0.98</v>
      </c>
      <c r="BN430" t="s">
        <v>264</v>
      </c>
      <c r="BO430" s="2" t="s">
        <v>5</v>
      </c>
      <c r="BP430" t="s">
        <v>5</v>
      </c>
      <c r="BQ430" s="2" t="str">
        <f>HYPERLINK("http://exon.niaid.nih.gov/transcriptome/T_rubida/S2/links/SMART/Triru-552-SMART.txt","ACTIN")</f>
        <v>ACTIN</v>
      </c>
      <c r="BR430" t="str">
        <f>HYPERLINK("http://smart.embl-heidelberg.de/smart/do_annotation.pl?DOMAIN=ACTIN&amp;BLAST=DUMMY","3.7")</f>
        <v>3.7</v>
      </c>
      <c r="BS430" s="17">
        <f t="shared" si="70"/>
        <v>1</v>
      </c>
      <c r="BT430" s="1">
        <f t="shared" si="71"/>
        <v>359</v>
      </c>
      <c r="BU430" s="17">
        <f>HYPERLINK("http://exon.niaid.nih.gov/transcriptome/T_rubida/S2/links/cluster/Triru-pep-ext30-50-Sim-CLU1.txt", 1)</f>
        <v>1</v>
      </c>
      <c r="BV430" s="1">
        <f>HYPERLINK("http://exon.niaid.nih.gov/transcriptome/T_rubida/S2/links/cluster/Triru-pep-ext30-50-Sim-CLTL1.txt", 225)</f>
        <v>225</v>
      </c>
      <c r="BW430" s="17">
        <f>HYPERLINK("http://exon.niaid.nih.gov/transcriptome/T_rubida/S2/links/cluster/Triru-pep-ext35-50-Sim-CLU5.txt", 5)</f>
        <v>5</v>
      </c>
      <c r="BX430" s="1">
        <f>HYPERLINK("http://exon.niaid.nih.gov/transcriptome/T_rubida/S2/links/cluster/Triru-pep-ext35-50-Sim-CLTL5.txt", 5)</f>
        <v>5</v>
      </c>
      <c r="BY430" s="17">
        <f>HYPERLINK("http://exon.niaid.nih.gov/transcriptome/T_rubida/S2/links/cluster/Triru-pep-ext40-50-Sim-CLU9.txt", 9)</f>
        <v>9</v>
      </c>
      <c r="BZ430" s="1">
        <f>HYPERLINK("http://exon.niaid.nih.gov/transcriptome/T_rubida/S2/links/cluster/Triru-pep-ext40-50-Sim-CLTL9.txt", 2)</f>
        <v>2</v>
      </c>
      <c r="CA430" s="17">
        <v>362</v>
      </c>
      <c r="CB430" s="1">
        <v>1</v>
      </c>
      <c r="CC430" s="17">
        <v>375</v>
      </c>
      <c r="CD430" s="1">
        <v>1</v>
      </c>
      <c r="CE430" s="17">
        <v>390</v>
      </c>
      <c r="CF430" s="1">
        <v>1</v>
      </c>
      <c r="CG430" s="17">
        <v>396</v>
      </c>
      <c r="CH430" s="1">
        <v>1</v>
      </c>
      <c r="CI430" s="17">
        <v>408</v>
      </c>
      <c r="CJ430" s="1">
        <v>1</v>
      </c>
      <c r="CK430" s="17">
        <v>414</v>
      </c>
      <c r="CL430" s="1">
        <v>1</v>
      </c>
      <c r="CM430" s="17">
        <v>425</v>
      </c>
      <c r="CN430" s="1">
        <v>1</v>
      </c>
      <c r="CO430" s="17">
        <v>437</v>
      </c>
      <c r="CP430" s="1">
        <v>1</v>
      </c>
      <c r="CQ430" s="17">
        <v>447</v>
      </c>
      <c r="CR430" s="1">
        <v>1</v>
      </c>
      <c r="CS430" s="17">
        <v>460</v>
      </c>
      <c r="CT430" s="1">
        <v>1</v>
      </c>
      <c r="CU430" s="17">
        <v>471</v>
      </c>
      <c r="CV430" s="1">
        <v>1</v>
      </c>
    </row>
    <row r="431" spans="1:100">
      <c r="A431" t="str">
        <f>HYPERLINK("http://exon.niaid.nih.gov/transcriptome/T_rubida/S2/links/pep/Triru-180-pep.txt","Triru-180")</f>
        <v>Triru-180</v>
      </c>
      <c r="B431">
        <v>18</v>
      </c>
      <c r="C431" s="1" t="s">
        <v>8</v>
      </c>
      <c r="D431" s="1" t="s">
        <v>3</v>
      </c>
      <c r="E431" t="str">
        <f>HYPERLINK("http://exon.niaid.nih.gov/transcriptome/T_rubida/S2/links/cds/Triru-180-cds.txt","Triru-180")</f>
        <v>Triru-180</v>
      </c>
      <c r="F431">
        <v>57</v>
      </c>
      <c r="G431" s="2" t="s">
        <v>1737</v>
      </c>
      <c r="H431" s="1">
        <v>1</v>
      </c>
      <c r="I431" s="3" t="s">
        <v>1266</v>
      </c>
      <c r="J431" s="17" t="str">
        <f>HYPERLINK("http://exon.niaid.nih.gov/transcriptome/T_rubida/S2/links/Sigp/Triru-180-SigP.txt","SIG")</f>
        <v>SIG</v>
      </c>
      <c r="K431" t="s">
        <v>1316</v>
      </c>
      <c r="L431" s="1">
        <v>2.2879999999999998</v>
      </c>
      <c r="M431" s="1">
        <v>8.59</v>
      </c>
      <c r="P431" s="1">
        <v>0.24099999999999999</v>
      </c>
      <c r="Q431" s="1">
        <v>0.13300000000000001</v>
      </c>
      <c r="R431" s="1">
        <v>0.56999999999999995</v>
      </c>
      <c r="S431" s="17" t="s">
        <v>1346</v>
      </c>
      <c r="T431">
        <v>4</v>
      </c>
      <c r="U431" t="s">
        <v>1347</v>
      </c>
      <c r="V431" s="17">
        <v>0</v>
      </c>
      <c r="W431" t="s">
        <v>5</v>
      </c>
      <c r="X431" t="s">
        <v>5</v>
      </c>
      <c r="Y431" t="s">
        <v>5</v>
      </c>
      <c r="Z431" t="s">
        <v>5</v>
      </c>
      <c r="AA431" t="s">
        <v>5</v>
      </c>
      <c r="AB431" s="17" t="s">
        <v>5</v>
      </c>
      <c r="AC431" t="s">
        <v>5</v>
      </c>
      <c r="AD431" t="s">
        <v>5</v>
      </c>
      <c r="AE431" t="s">
        <v>5</v>
      </c>
      <c r="AF431" s="17" t="s">
        <v>5</v>
      </c>
      <c r="AG431" s="2" t="str">
        <f>HYPERLINK("http://exon.niaid.nih.gov/transcriptome/T_rubida/S2/links/NR/Triru-180-NR.txt","hypothetical protein")</f>
        <v>hypothetical protein</v>
      </c>
      <c r="AH431" t="str">
        <f>HYPERLINK("http://www.ncbi.nlm.nih.gov/sutils/blink.cgi?pid=70922834","83")</f>
        <v>83</v>
      </c>
      <c r="AI431" t="str">
        <f>HYPERLINK("http://www.ncbi.nlm.nih.gov/protein/70922834","gi|70922834")</f>
        <v>gi|70922834</v>
      </c>
      <c r="AJ431">
        <v>30</v>
      </c>
      <c r="AK431">
        <v>17</v>
      </c>
      <c r="AL431">
        <v>53</v>
      </c>
      <c r="AM431">
        <v>50</v>
      </c>
      <c r="AN431">
        <v>34</v>
      </c>
      <c r="AO431" t="s">
        <v>351</v>
      </c>
      <c r="AP431" s="2" t="str">
        <f>HYPERLINK("http://exon.niaid.nih.gov/transcriptome/T_rubida/S2/links/SWISSP/Triru-180-SWISSP.txt","Uncharacterized protein YGL138C")</f>
        <v>Uncharacterized protein YGL138C</v>
      </c>
      <c r="AQ431" t="str">
        <f>HYPERLINK("http://www.uniprot.org/uniprot/P53122","76")</f>
        <v>76</v>
      </c>
      <c r="AR431" t="s">
        <v>352</v>
      </c>
      <c r="AS431">
        <v>25.4</v>
      </c>
      <c r="AT431">
        <v>13</v>
      </c>
      <c r="AU431">
        <v>345</v>
      </c>
      <c r="AV431">
        <v>71</v>
      </c>
      <c r="AW431">
        <v>4</v>
      </c>
      <c r="AX431">
        <v>4</v>
      </c>
      <c r="AY431">
        <v>0</v>
      </c>
      <c r="AZ431">
        <v>7</v>
      </c>
      <c r="BA431">
        <v>2</v>
      </c>
      <c r="BB431">
        <v>1</v>
      </c>
      <c r="BC431" t="s">
        <v>344</v>
      </c>
      <c r="BD431" s="2" t="s">
        <v>5</v>
      </c>
      <c r="BE431" t="s">
        <v>5</v>
      </c>
      <c r="BF431" t="s">
        <v>5</v>
      </c>
      <c r="BG431" t="s">
        <v>5</v>
      </c>
      <c r="BH431" t="s">
        <v>5</v>
      </c>
      <c r="BI431" s="2" t="s">
        <v>5</v>
      </c>
      <c r="BJ431" t="s">
        <v>5</v>
      </c>
      <c r="BK431" t="s">
        <v>5</v>
      </c>
      <c r="BL431" s="2" t="s">
        <v>5</v>
      </c>
      <c r="BM431" t="s">
        <v>5</v>
      </c>
      <c r="BN431" t="s">
        <v>5</v>
      </c>
      <c r="BO431" s="2" t="s">
        <v>5</v>
      </c>
      <c r="BP431" t="s">
        <v>5</v>
      </c>
      <c r="BQ431" s="2" t="s">
        <v>5</v>
      </c>
      <c r="BR431" t="s">
        <v>5</v>
      </c>
      <c r="BS431" s="17">
        <f t="shared" si="70"/>
        <v>1</v>
      </c>
      <c r="BT431" s="1">
        <f t="shared" si="71"/>
        <v>359</v>
      </c>
      <c r="BU431" s="17">
        <f>HYPERLINK("http://exon.niaid.nih.gov/transcriptome/T_rubida/S2/links/cluster/Triru-pep-ext30-50-Sim-CLU1.txt", 1)</f>
        <v>1</v>
      </c>
      <c r="BV431" s="1">
        <f>HYPERLINK("http://exon.niaid.nih.gov/transcriptome/T_rubida/S2/links/cluster/Triru-pep-ext30-50-Sim-CLTL1.txt", 225)</f>
        <v>225</v>
      </c>
      <c r="BW431" s="17">
        <f>HYPERLINK("http://exon.niaid.nih.gov/transcriptome/T_rubida/S2/links/cluster/Triru-pep-ext35-50-Sim-CLU1.txt", 1)</f>
        <v>1</v>
      </c>
      <c r="BX431" s="1">
        <f>HYPERLINK("http://exon.niaid.nih.gov/transcriptome/T_rubida/S2/links/cluster/Triru-pep-ext35-50-Sim-CLTL1.txt", 75)</f>
        <v>75</v>
      </c>
      <c r="BY431" s="17">
        <f>HYPERLINK("http://exon.niaid.nih.gov/transcriptome/T_rubida/S2/links/cluster/Triru-pep-ext40-50-Sim-CLU2.txt", 2)</f>
        <v>2</v>
      </c>
      <c r="BZ431" s="1">
        <f>HYPERLINK("http://exon.niaid.nih.gov/transcriptome/T_rubida/S2/links/cluster/Triru-pep-ext40-50-Sim-CLTL2.txt", 42)</f>
        <v>42</v>
      </c>
      <c r="CA431" s="17">
        <f>HYPERLINK("http://exon.niaid.nih.gov/transcriptome/T_rubida/S2/links/cluster/Triru-pep-ext45-50-Sim-CLU2.txt", 2)</f>
        <v>2</v>
      </c>
      <c r="CB431" s="1">
        <f>HYPERLINK("http://exon.niaid.nih.gov/transcriptome/T_rubida/S2/links/cluster/Triru-pep-ext45-50-Sim-CLTL2.txt", 33)</f>
        <v>33</v>
      </c>
      <c r="CC431" s="17">
        <f>HYPERLINK("http://exon.niaid.nih.gov/transcriptome/T_rubida/S2/links/cluster/Triru-pep-ext50-50-Sim-CLU3.txt", 3)</f>
        <v>3</v>
      </c>
      <c r="CD431" s="1">
        <f>HYPERLINK("http://exon.niaid.nih.gov/transcriptome/T_rubida/S2/links/cluster/Triru-pep-ext50-50-Sim-CLTL3.txt", 23)</f>
        <v>23</v>
      </c>
      <c r="CE431" s="17">
        <f>HYPERLINK("http://exon.niaid.nih.gov/transcriptome/T_rubida/S2/links/cluster/Triru-pep-ext55-50-Sim-CLU3.txt", 3)</f>
        <v>3</v>
      </c>
      <c r="CF431" s="1">
        <f>HYPERLINK("http://exon.niaid.nih.gov/transcriptome/T_rubida/S2/links/cluster/Triru-pep-ext55-50-Sim-CLTL3.txt", 16)</f>
        <v>16</v>
      </c>
      <c r="CG431" s="17">
        <f>HYPERLINK("http://exon.niaid.nih.gov/transcriptome/T_rubida/S2/links/cluster/Triru-pep-ext60-50-Sim-CLU2.txt", 2)</f>
        <v>2</v>
      </c>
      <c r="CH431" s="1">
        <f>HYPERLINK("http://exon.niaid.nih.gov/transcriptome/T_rubida/S2/links/cluster/Triru-pep-ext60-50-Sim-CLTL2.txt", 13)</f>
        <v>13</v>
      </c>
      <c r="CI431" s="17">
        <f>HYPERLINK("http://exon.niaid.nih.gov/transcriptome/T_rubida/S2/links/cluster/Triru-pep-ext65-50-Sim-CLU12.txt", 12)</f>
        <v>12</v>
      </c>
      <c r="CJ431" s="1">
        <f>HYPERLINK("http://exon.niaid.nih.gov/transcriptome/T_rubida/S2/links/cluster/Triru-pep-ext65-50-Sim-CLTL12.txt", 2)</f>
        <v>2</v>
      </c>
      <c r="CK431" s="17">
        <f>HYPERLINK("http://exon.niaid.nih.gov/transcriptome/T_rubida/S2/links/cluster/Triru-pep-ext70-50-Sim-CLU12.txt", 12)</f>
        <v>12</v>
      </c>
      <c r="CL431" s="1">
        <f>HYPERLINK("http://exon.niaid.nih.gov/transcriptome/T_rubida/S2/links/cluster/Triru-pep-ext70-50-Sim-CLTL12.txt", 2)</f>
        <v>2</v>
      </c>
      <c r="CM431" s="17">
        <f>HYPERLINK("http://exon.niaid.nih.gov/transcriptome/T_rubida/S2/links/cluster/Triru-pep-ext75-50-Sim-CLU13.txt", 13)</f>
        <v>13</v>
      </c>
      <c r="CN431" s="1">
        <f>HYPERLINK("http://exon.niaid.nih.gov/transcriptome/T_rubida/S2/links/cluster/Triru-pep-ext75-50-Sim-CLTL13.txt", 2)</f>
        <v>2</v>
      </c>
      <c r="CO431" s="17">
        <v>135</v>
      </c>
      <c r="CP431" s="1">
        <v>1</v>
      </c>
      <c r="CQ431" s="17">
        <v>145</v>
      </c>
      <c r="CR431" s="1">
        <v>1</v>
      </c>
      <c r="CS431" s="17">
        <v>150</v>
      </c>
      <c r="CT431" s="1">
        <v>1</v>
      </c>
      <c r="CU431" s="17">
        <v>161</v>
      </c>
      <c r="CV431" s="1">
        <v>1</v>
      </c>
    </row>
    <row r="432" spans="1:100">
      <c r="A432" t="str">
        <f>HYPERLINK("http://exon.niaid.nih.gov/transcriptome/T_rubida/S2/links/pep/Triru-174-pep.txt","Triru-174")</f>
        <v>Triru-174</v>
      </c>
      <c r="B432">
        <v>49</v>
      </c>
      <c r="C432" s="1" t="s">
        <v>8</v>
      </c>
      <c r="D432" s="1" t="s">
        <v>3</v>
      </c>
      <c r="E432" t="str">
        <f>HYPERLINK("http://exon.niaid.nih.gov/transcriptome/T_rubida/S2/links/cds/Triru-174-cds.txt","Triru-174")</f>
        <v>Triru-174</v>
      </c>
      <c r="F432">
        <v>150</v>
      </c>
      <c r="G432" s="2" t="s">
        <v>1766</v>
      </c>
      <c r="H432" s="1">
        <v>1</v>
      </c>
      <c r="I432" s="3" t="s">
        <v>1266</v>
      </c>
      <c r="J432" s="17" t="str">
        <f>HYPERLINK("http://exon.niaid.nih.gov/transcriptome/T_rubida/S2/links/Sigp/Triru-174-SigP.txt","SIG")</f>
        <v>SIG</v>
      </c>
      <c r="K432" t="s">
        <v>1321</v>
      </c>
      <c r="L432" s="1">
        <v>5.9980000000000002</v>
      </c>
      <c r="M432" s="1">
        <v>4.57</v>
      </c>
      <c r="N432" s="1">
        <v>2.4260000000000002</v>
      </c>
      <c r="O432" s="1">
        <v>5.45</v>
      </c>
      <c r="P432" s="1">
        <v>0.01</v>
      </c>
      <c r="Q432" s="1">
        <v>0.97899999999999998</v>
      </c>
      <c r="R432" s="1">
        <v>5.3999999999999999E-2</v>
      </c>
      <c r="S432" s="17" t="s">
        <v>18</v>
      </c>
      <c r="T432">
        <v>1</v>
      </c>
      <c r="U432" t="s">
        <v>1500</v>
      </c>
      <c r="V432" s="17" t="str">
        <f>HYPERLINK("http://exon.niaid.nih.gov/transcriptome/T_rubida/S2/links/tmhmm/TRIRU-174-tmhmm.txt","1")</f>
        <v>1</v>
      </c>
      <c r="W432">
        <v>44.9</v>
      </c>
      <c r="X432">
        <v>8.1999999999999993</v>
      </c>
      <c r="Y432">
        <v>46.9</v>
      </c>
      <c r="Z432" t="s">
        <v>5</v>
      </c>
      <c r="AA432">
        <v>23</v>
      </c>
      <c r="AB432" s="17" t="str">
        <f>HYPERLINK("http://exon.niaid.nih.gov/transcriptome/T_rubida/S2/links/netoglyc/TRIRU-174-netoglyc.txt","0")</f>
        <v>0</v>
      </c>
      <c r="AC432">
        <v>10.199999999999999</v>
      </c>
      <c r="AD432" t="s">
        <v>1417</v>
      </c>
      <c r="AE432">
        <v>2</v>
      </c>
      <c r="AF432" s="17" t="s">
        <v>5</v>
      </c>
      <c r="AG432" s="2" t="str">
        <f>HYPERLINK("http://exon.niaid.nih.gov/transcriptome/T_rubida/S2/links/NR/Triru-174-NR.txt","hypothetical protein Os03g40350")</f>
        <v>hypothetical protein Os03g40350</v>
      </c>
      <c r="AH432" t="str">
        <f>HYPERLINK("http://www.ncbi.nlm.nih.gov/sutils/blink.cgi?pid=30017500","8.1")</f>
        <v>8.1</v>
      </c>
      <c r="AI432" t="str">
        <f>HYPERLINK("http://www.ncbi.nlm.nih.gov/protein/30017500","gi|30017500")</f>
        <v>gi|30017500</v>
      </c>
      <c r="AJ432">
        <v>33.9</v>
      </c>
      <c r="AK432">
        <v>32</v>
      </c>
      <c r="AL432">
        <v>138</v>
      </c>
      <c r="AM432">
        <v>48</v>
      </c>
      <c r="AN432">
        <v>24</v>
      </c>
      <c r="AO432" t="s">
        <v>387</v>
      </c>
      <c r="AP432" s="2" t="str">
        <f>HYPERLINK("http://exon.niaid.nih.gov/transcriptome/T_rubida/S2/links/SWISSP/Triru-174-SWISSP.txt","Putative uncharacterized protein YHR130C")</f>
        <v>Putative uncharacterized protein YHR130C</v>
      </c>
      <c r="AQ432" t="str">
        <f>HYPERLINK("http://www.uniprot.org/uniprot/P38834","4.3")</f>
        <v>4.3</v>
      </c>
      <c r="AR432" t="s">
        <v>388</v>
      </c>
      <c r="AS432">
        <v>30</v>
      </c>
      <c r="AT432">
        <v>42</v>
      </c>
      <c r="AU432">
        <v>111</v>
      </c>
      <c r="AV432">
        <v>37</v>
      </c>
      <c r="AW432">
        <v>39</v>
      </c>
      <c r="AX432">
        <v>27</v>
      </c>
      <c r="AY432">
        <v>4</v>
      </c>
      <c r="AZ432">
        <v>18</v>
      </c>
      <c r="BA432">
        <v>1</v>
      </c>
      <c r="BB432">
        <v>1</v>
      </c>
      <c r="BC432" t="s">
        <v>344</v>
      </c>
      <c r="BD432" s="2" t="s">
        <v>5</v>
      </c>
      <c r="BE432" t="s">
        <v>5</v>
      </c>
      <c r="BF432" t="s">
        <v>5</v>
      </c>
      <c r="BG432" t="s">
        <v>5</v>
      </c>
      <c r="BH432" t="s">
        <v>5</v>
      </c>
      <c r="BI432" s="2" t="s">
        <v>5</v>
      </c>
      <c r="BJ432" t="s">
        <v>5</v>
      </c>
      <c r="BK432" t="s">
        <v>5</v>
      </c>
      <c r="BL432" s="2" t="str">
        <f>HYPERLINK("http://exon.niaid.nih.gov/transcriptome/T_rubida/S2/links/KOG/Triru-174-KOG.txt","Membrane coat complex Retromer, subunit VPS35")</f>
        <v>Membrane coat complex Retromer, subunit VPS35</v>
      </c>
      <c r="BM432" t="str">
        <f>HYPERLINK("http://www.ncbi.nlm.nih.gov/COG/grace/shokog.cgi?KOG1107","3.6")</f>
        <v>3.6</v>
      </c>
      <c r="BN432" t="s">
        <v>164</v>
      </c>
      <c r="BO432" s="2" t="str">
        <f>HYPERLINK("http://exon.niaid.nih.gov/transcriptome/T_rubida/S2/links/PFAM/Triru-174-PFAM.txt","Mis6")</f>
        <v>Mis6</v>
      </c>
      <c r="BP432" t="str">
        <f>HYPERLINK("http://pfam.sanger.ac.uk/family?acc=PF07778","5.0")</f>
        <v>5.0</v>
      </c>
      <c r="BQ432" s="2" t="str">
        <f>HYPERLINK("http://exon.niaid.nih.gov/transcriptome/T_rubida/S2/links/SMART/Triru-174-SMART.txt","PLAc")</f>
        <v>PLAc</v>
      </c>
      <c r="BR432" t="str">
        <f>HYPERLINK("http://smart.embl-heidelberg.de/smart/do_annotation.pl?DOMAIN=PLAc&amp;BLAST=DUMMY","2.9")</f>
        <v>2.9</v>
      </c>
      <c r="BS432" s="17">
        <f t="shared" si="70"/>
        <v>1</v>
      </c>
      <c r="BT432" s="1">
        <f t="shared" si="71"/>
        <v>359</v>
      </c>
      <c r="BU432" s="17">
        <f>HYPERLINK("http://exon.niaid.nih.gov/transcriptome/T_rubida/S2/links/cluster/Triru-pep-ext30-50-Sim-CLU1.txt", 1)</f>
        <v>1</v>
      </c>
      <c r="BV432" s="1">
        <f>HYPERLINK("http://exon.niaid.nih.gov/transcriptome/T_rubida/S2/links/cluster/Triru-pep-ext30-50-Sim-CLTL1.txt", 225)</f>
        <v>225</v>
      </c>
      <c r="BW432" s="17">
        <f>HYPERLINK("http://exon.niaid.nih.gov/transcriptome/T_rubida/S2/links/cluster/Triru-pep-ext35-50-Sim-CLU1.txt", 1)</f>
        <v>1</v>
      </c>
      <c r="BX432" s="1">
        <f>HYPERLINK("http://exon.niaid.nih.gov/transcriptome/T_rubida/S2/links/cluster/Triru-pep-ext35-50-Sim-CLTL1.txt", 75)</f>
        <v>75</v>
      </c>
      <c r="BY432" s="17">
        <f>HYPERLINK("http://exon.niaid.nih.gov/transcriptome/T_rubida/S2/links/cluster/Triru-pep-ext40-50-Sim-CLU13.txt", 13)</f>
        <v>13</v>
      </c>
      <c r="BZ432" s="1">
        <f>HYPERLINK("http://exon.niaid.nih.gov/transcriptome/T_rubida/S2/links/cluster/Triru-pep-ext40-50-Sim-CLTL13.txt", 2)</f>
        <v>2</v>
      </c>
      <c r="CA432" s="17">
        <v>107</v>
      </c>
      <c r="CB432" s="1">
        <v>1</v>
      </c>
      <c r="CC432" s="17">
        <v>108</v>
      </c>
      <c r="CD432" s="1">
        <v>1</v>
      </c>
      <c r="CE432" s="17">
        <v>103</v>
      </c>
      <c r="CF432" s="1">
        <v>1</v>
      </c>
      <c r="CG432" s="17">
        <v>104</v>
      </c>
      <c r="CH432" s="1">
        <v>1</v>
      </c>
      <c r="CI432" s="17">
        <v>110</v>
      </c>
      <c r="CJ432" s="1">
        <v>1</v>
      </c>
      <c r="CK432" s="17">
        <v>115</v>
      </c>
      <c r="CL432" s="1">
        <v>1</v>
      </c>
      <c r="CM432" s="17">
        <v>120</v>
      </c>
      <c r="CN432" s="1">
        <v>1</v>
      </c>
      <c r="CO432" s="17">
        <v>129</v>
      </c>
      <c r="CP432" s="1">
        <v>1</v>
      </c>
      <c r="CQ432" s="17">
        <v>139</v>
      </c>
      <c r="CR432" s="1">
        <v>1</v>
      </c>
      <c r="CS432" s="17">
        <v>144</v>
      </c>
      <c r="CT432" s="1">
        <v>1</v>
      </c>
      <c r="CU432" s="17">
        <v>155</v>
      </c>
      <c r="CV432" s="1">
        <v>1</v>
      </c>
    </row>
    <row r="433" spans="1:100">
      <c r="A433" t="str">
        <f>HYPERLINK("http://exon.niaid.nih.gov/transcriptome/T_rubida/S2/links/pep/Triru-359-pep.txt","Triru-359")</f>
        <v>Triru-359</v>
      </c>
      <c r="B433">
        <v>46</v>
      </c>
      <c r="C433" s="1" t="s">
        <v>8</v>
      </c>
      <c r="D433" s="1" t="s">
        <v>5</v>
      </c>
      <c r="E433" t="str">
        <f>HYPERLINK("http://exon.niaid.nih.gov/transcriptome/T_rubida/S2/links/cds/Triru-359-cds.txt","Triru-359")</f>
        <v>Triru-359</v>
      </c>
      <c r="F433">
        <v>135</v>
      </c>
      <c r="G433" s="2" t="s">
        <v>1784</v>
      </c>
      <c r="H433" s="1">
        <v>1</v>
      </c>
      <c r="I433" s="3" t="s">
        <v>1266</v>
      </c>
      <c r="J433" s="17" t="str">
        <f>HYPERLINK("http://exon.niaid.nih.gov/transcriptome/T_rubida/S2/links/Sigp/Triru-359-SigP.txt","SIG")</f>
        <v>SIG</v>
      </c>
      <c r="K433" t="s">
        <v>1319</v>
      </c>
      <c r="L433" s="1">
        <v>5.3730000000000002</v>
      </c>
      <c r="M433" s="1">
        <v>9.23</v>
      </c>
      <c r="N433" s="1">
        <v>3.202</v>
      </c>
      <c r="O433" s="1">
        <v>9.6999999999999993</v>
      </c>
      <c r="P433" s="1">
        <v>3.2000000000000001E-2</v>
      </c>
      <c r="Q433" s="1">
        <v>0.873</v>
      </c>
      <c r="R433" s="1">
        <v>0.23400000000000001</v>
      </c>
      <c r="S433" s="17" t="s">
        <v>18</v>
      </c>
      <c r="T433">
        <v>2</v>
      </c>
      <c r="U433" t="s">
        <v>1510</v>
      </c>
      <c r="V433" s="17" t="str">
        <f>HYPERLINK("http://exon.niaid.nih.gov/transcriptome/T_rubida/S2/links/tmhmm/TRIRU-359-tmhmm.txt","1")</f>
        <v>1</v>
      </c>
      <c r="W433">
        <v>47.8</v>
      </c>
      <c r="X433">
        <v>8.6999999999999993</v>
      </c>
      <c r="Y433">
        <v>43.5</v>
      </c>
      <c r="Z433" t="s">
        <v>5</v>
      </c>
      <c r="AA433">
        <v>20</v>
      </c>
      <c r="AB433" s="17" t="str">
        <f>HYPERLINK("http://exon.niaid.nih.gov/transcriptome/T_rubida/S2/links/netoglyc/TRIRU-359-netoglyc.txt","0")</f>
        <v>0</v>
      </c>
      <c r="AC433">
        <v>6.5</v>
      </c>
      <c r="AD433">
        <v>4.3</v>
      </c>
      <c r="AE433" t="s">
        <v>1394</v>
      </c>
      <c r="AF433" s="17" t="s">
        <v>5</v>
      </c>
      <c r="AG433" s="2" t="str">
        <f>HYPERLINK("http://exon.niaid.nih.gov/transcriptome/T_rubida/S2/links/NR/Triru-359-NR.txt","hypothetical protein PGTG_01892")</f>
        <v>hypothetical protein PGTG_01892</v>
      </c>
      <c r="AH433" t="str">
        <f>HYPERLINK("http://www.ncbi.nlm.nih.gov/sutils/blink.cgi?pid=331214073","39")</f>
        <v>39</v>
      </c>
      <c r="AI433" t="str">
        <f>HYPERLINK("http://www.ncbi.nlm.nih.gov/protein/331214073","gi|331214073")</f>
        <v>gi|331214073</v>
      </c>
      <c r="AJ433">
        <v>31.6</v>
      </c>
      <c r="AK433">
        <v>30</v>
      </c>
      <c r="AL433">
        <v>189</v>
      </c>
      <c r="AM433">
        <v>45</v>
      </c>
      <c r="AN433">
        <v>16</v>
      </c>
      <c r="AO433" t="s">
        <v>333</v>
      </c>
      <c r="AP433" s="2" t="str">
        <f>HYPERLINK("http://exon.niaid.nih.gov/transcriptome/T_rubida/S2/links/SWISSP/Triru-359-SWISSP.txt","Uncharacterized 34.4 kDa protein in LEF3-IAP2 intergenic region")</f>
        <v>Uncharacterized 34.4 kDa protein in LEF3-IAP2 intergenic region</v>
      </c>
      <c r="AQ433" t="str">
        <f>HYPERLINK("http://www.uniprot.org/uniprot/P41470","9.4")</f>
        <v>9.4</v>
      </c>
      <c r="AR433" t="s">
        <v>334</v>
      </c>
      <c r="AS433">
        <v>28.9</v>
      </c>
      <c r="AT433">
        <v>31</v>
      </c>
      <c r="AU433">
        <v>290</v>
      </c>
      <c r="AV433">
        <v>37</v>
      </c>
      <c r="AW433">
        <v>11</v>
      </c>
      <c r="AX433">
        <v>20</v>
      </c>
      <c r="AY433">
        <v>3</v>
      </c>
      <c r="AZ433">
        <v>132</v>
      </c>
      <c r="BA433">
        <v>9</v>
      </c>
      <c r="BB433">
        <v>1</v>
      </c>
      <c r="BC433" t="s">
        <v>335</v>
      </c>
      <c r="BD433" s="2" t="s">
        <v>5</v>
      </c>
      <c r="BE433" t="s">
        <v>5</v>
      </c>
      <c r="BF433" t="s">
        <v>5</v>
      </c>
      <c r="BG433" t="s">
        <v>5</v>
      </c>
      <c r="BH433" t="s">
        <v>5</v>
      </c>
      <c r="BI433" s="2" t="s">
        <v>5</v>
      </c>
      <c r="BJ433" t="s">
        <v>5</v>
      </c>
      <c r="BK433" t="s">
        <v>5</v>
      </c>
      <c r="BL433" s="2" t="str">
        <f>HYPERLINK("http://exon.niaid.nih.gov/transcriptome/T_rubida/S2/links/KOG/Triru-359-KOG.txt","Muscarinic acetylcholine receptor")</f>
        <v>Muscarinic acetylcholine receptor</v>
      </c>
      <c r="BM433" t="str">
        <f>HYPERLINK("http://www.ncbi.nlm.nih.gov/COG/grace/shokog.cgi?KOG4220","2.7")</f>
        <v>2.7</v>
      </c>
      <c r="BN433" t="s">
        <v>179</v>
      </c>
      <c r="BO433" s="2" t="s">
        <v>5</v>
      </c>
      <c r="BP433" t="s">
        <v>5</v>
      </c>
      <c r="BQ433" s="2" t="str">
        <f>HYPERLINK("http://exon.niaid.nih.gov/transcriptome/T_rubida/S2/links/SMART/Triru-359-SMART.txt","TOP4c")</f>
        <v>TOP4c</v>
      </c>
      <c r="BR433" t="str">
        <f>HYPERLINK("http://smart.embl-heidelberg.de/smart/do_annotation.pl?DOMAIN=TOP4c&amp;BLAST=DUMMY","2.3")</f>
        <v>2.3</v>
      </c>
      <c r="BS433" s="17">
        <f t="shared" si="70"/>
        <v>1</v>
      </c>
      <c r="BT433" s="1">
        <f t="shared" si="71"/>
        <v>359</v>
      </c>
      <c r="BU433" s="17">
        <f>HYPERLINK("http://exon.niaid.nih.gov/transcriptome/T_rubida/S2/links/cluster/Triru-pep-ext30-50-Sim-CLU1.txt", 1)</f>
        <v>1</v>
      </c>
      <c r="BV433" s="1">
        <f>HYPERLINK("http://exon.niaid.nih.gov/transcriptome/T_rubida/S2/links/cluster/Triru-pep-ext30-50-Sim-CLTL1.txt", 225)</f>
        <v>225</v>
      </c>
      <c r="BW433" s="17">
        <v>202</v>
      </c>
      <c r="BX433" s="1">
        <v>1</v>
      </c>
      <c r="BY433" s="17">
        <v>217</v>
      </c>
      <c r="BZ433" s="1">
        <v>1</v>
      </c>
      <c r="CA433" s="17">
        <v>224</v>
      </c>
      <c r="CB433" s="1">
        <v>1</v>
      </c>
      <c r="CC433" s="17">
        <v>229</v>
      </c>
      <c r="CD433" s="1">
        <v>1</v>
      </c>
      <c r="CE433" s="17">
        <v>236</v>
      </c>
      <c r="CF433" s="1">
        <v>1</v>
      </c>
      <c r="CG433" s="17">
        <v>238</v>
      </c>
      <c r="CH433" s="1">
        <v>1</v>
      </c>
      <c r="CI433" s="17">
        <v>248</v>
      </c>
      <c r="CJ433" s="1">
        <v>1</v>
      </c>
      <c r="CK433" s="17">
        <v>253</v>
      </c>
      <c r="CL433" s="1">
        <v>1</v>
      </c>
      <c r="CM433" s="17">
        <v>261</v>
      </c>
      <c r="CN433" s="1">
        <v>1</v>
      </c>
      <c r="CO433" s="17">
        <v>272</v>
      </c>
      <c r="CP433" s="1">
        <v>1</v>
      </c>
      <c r="CQ433" s="17">
        <v>282</v>
      </c>
      <c r="CR433" s="1">
        <v>1</v>
      </c>
      <c r="CS433" s="17">
        <v>292</v>
      </c>
      <c r="CT433" s="1">
        <v>1</v>
      </c>
      <c r="CU433" s="17">
        <v>303</v>
      </c>
      <c r="CV433" s="1">
        <v>1</v>
      </c>
    </row>
    <row r="434" spans="1:100">
      <c r="A434" t="str">
        <f>HYPERLINK("http://exon.niaid.nih.gov/transcriptome/T_rubida/S2/links/pep/Triru-319-pep.txt","Triru-319")</f>
        <v>Triru-319</v>
      </c>
      <c r="B434">
        <v>54</v>
      </c>
      <c r="C434" s="1" t="s">
        <v>8</v>
      </c>
      <c r="D434" s="1" t="s">
        <v>3</v>
      </c>
      <c r="E434" t="str">
        <f>HYPERLINK("http://exon.niaid.nih.gov/transcriptome/T_rubida/S2/links/cds/Triru-319-cds.txt","Triru-319")</f>
        <v>Triru-319</v>
      </c>
      <c r="F434">
        <v>165</v>
      </c>
      <c r="G434" s="2" t="s">
        <v>1814</v>
      </c>
      <c r="H434" s="1">
        <v>1</v>
      </c>
      <c r="I434" s="3" t="s">
        <v>1266</v>
      </c>
      <c r="J434" s="17" t="str">
        <f>HYPERLINK("http://exon.niaid.nih.gov/transcriptome/T_rubida/S2/links/Sigp/Triru-319-SigP.txt","SIG")</f>
        <v>SIG</v>
      </c>
      <c r="K434" t="s">
        <v>1324</v>
      </c>
      <c r="L434" s="1">
        <v>6.8550000000000004</v>
      </c>
      <c r="M434" s="1">
        <v>7.92</v>
      </c>
      <c r="N434" s="1">
        <v>4.6509999999999998</v>
      </c>
      <c r="O434" s="1">
        <v>6.13</v>
      </c>
      <c r="P434" s="1">
        <v>0.111</v>
      </c>
      <c r="Q434" s="1">
        <v>0.875</v>
      </c>
      <c r="R434" s="1">
        <v>0.11600000000000001</v>
      </c>
      <c r="S434" s="17" t="s">
        <v>18</v>
      </c>
      <c r="T434">
        <v>2</v>
      </c>
      <c r="U434" t="s">
        <v>1530</v>
      </c>
      <c r="V434" s="17">
        <v>0</v>
      </c>
      <c r="W434" t="s">
        <v>5</v>
      </c>
      <c r="X434" t="s">
        <v>5</v>
      </c>
      <c r="Y434" t="s">
        <v>5</v>
      </c>
      <c r="Z434" t="s">
        <v>5</v>
      </c>
      <c r="AA434" t="s">
        <v>5</v>
      </c>
      <c r="AB434" s="17" t="str">
        <f>HYPERLINK("http://exon.niaid.nih.gov/transcriptome/T_rubida/S2/links/netoglyc/TRIRU-319-netoglyc.txt","0")</f>
        <v>0</v>
      </c>
      <c r="AC434">
        <v>9.3000000000000007</v>
      </c>
      <c r="AD434" t="s">
        <v>1417</v>
      </c>
      <c r="AE434">
        <v>3.7</v>
      </c>
      <c r="AF434" s="17" t="s">
        <v>5</v>
      </c>
      <c r="AG434" s="2" t="str">
        <f>HYPERLINK("http://exon.niaid.nih.gov/transcriptome/T_rubida/S2/links/NR/Triru-319-NR.txt","peptidase, M16 family")</f>
        <v>peptidase, M16 family</v>
      </c>
      <c r="AH434" t="str">
        <f>HYPERLINK("http://www.ncbi.nlm.nih.gov/sutils/blink.cgi?pid=160871550","1.6")</f>
        <v>1.6</v>
      </c>
      <c r="AI434" t="str">
        <f>HYPERLINK("http://www.ncbi.nlm.nih.gov/protein/160871550","gi|160871550")</f>
        <v>gi|160871550</v>
      </c>
      <c r="AJ434">
        <v>36.200000000000003</v>
      </c>
      <c r="AK434">
        <v>43</v>
      </c>
      <c r="AL434">
        <v>439</v>
      </c>
      <c r="AM434">
        <v>38</v>
      </c>
      <c r="AN434">
        <v>10</v>
      </c>
      <c r="AO434" t="s">
        <v>389</v>
      </c>
      <c r="AP434" s="2" t="str">
        <f>HYPERLINK("http://exon.niaid.nih.gov/transcriptome/T_rubida/S2/links/SWISSP/Triru-319-SWISSP.txt","Serine/threonine-protein kinase VPS15")</f>
        <v>Serine/threonine-protein kinase VPS15</v>
      </c>
      <c r="AQ434" t="str">
        <f>HYPERLINK("http://www.uniprot.org/uniprot/P22219","2.5")</f>
        <v>2.5</v>
      </c>
      <c r="AR434" t="s">
        <v>390</v>
      </c>
      <c r="AS434">
        <v>30.8</v>
      </c>
      <c r="AT434">
        <v>24</v>
      </c>
      <c r="AU434">
        <v>1454</v>
      </c>
      <c r="AV434">
        <v>52</v>
      </c>
      <c r="AW434">
        <v>2</v>
      </c>
      <c r="AX434">
        <v>12</v>
      </c>
      <c r="AY434">
        <v>0</v>
      </c>
      <c r="AZ434">
        <v>183</v>
      </c>
      <c r="BA434">
        <v>2</v>
      </c>
      <c r="BB434">
        <v>1</v>
      </c>
      <c r="BC434" t="s">
        <v>344</v>
      </c>
      <c r="BD434" s="2" t="s">
        <v>5</v>
      </c>
      <c r="BE434" t="s">
        <v>5</v>
      </c>
      <c r="BF434" t="s">
        <v>5</v>
      </c>
      <c r="BG434" t="s">
        <v>5</v>
      </c>
      <c r="BH434" t="s">
        <v>5</v>
      </c>
      <c r="BI434" s="2" t="str">
        <f>HYPERLINK("http://exon.niaid.nih.gov/transcriptome/T_rubida/S2/links/CDD/Triru-319-CDD.txt","TraD_Ftype")</f>
        <v>TraD_Ftype</v>
      </c>
      <c r="BJ434" t="str">
        <f>HYPERLINK("http://www.ncbi.nlm.nih.gov/Structure/cdd/cddsrv.cgi?uid=TIGR02759&amp;version=v4.0","8.4")</f>
        <v>8.4</v>
      </c>
      <c r="BK434" t="s">
        <v>391</v>
      </c>
      <c r="BL434" s="2" t="str">
        <f>HYPERLINK("http://exon.niaid.nih.gov/transcriptome/T_rubida/S2/links/KOG/Triru-319-KOG.txt","DNA polymerase alpha, catalytic subunit")</f>
        <v>DNA polymerase alpha, catalytic subunit</v>
      </c>
      <c r="BM434" t="str">
        <f>HYPERLINK("http://www.ncbi.nlm.nih.gov/COG/grace/shokog.cgi?KOG0970","1.2")</f>
        <v>1.2</v>
      </c>
      <c r="BN434" t="s">
        <v>188</v>
      </c>
      <c r="BO434" s="2" t="str">
        <f>HYPERLINK("http://exon.niaid.nih.gov/transcriptome/T_rubida/S2/links/PFAM/Triru-319-PFAM.txt","Herpes_UL74")</f>
        <v>Herpes_UL74</v>
      </c>
      <c r="BP434" t="str">
        <f>HYPERLINK("http://pfam.sanger.ac.uk/family?acc=PF07982","5.8")</f>
        <v>5.8</v>
      </c>
      <c r="BQ434" s="2" t="str">
        <f>HYPERLINK("http://exon.niaid.nih.gov/transcriptome/T_rubida/S2/links/SMART/Triru-319-SMART.txt","WNT1")</f>
        <v>WNT1</v>
      </c>
      <c r="BR434" t="str">
        <f>HYPERLINK("http://smart.embl-heidelberg.de/smart/do_annotation.pl?DOMAIN=WNT1&amp;BLAST=DUMMY","8.1")</f>
        <v>8.1</v>
      </c>
      <c r="BS434" s="17">
        <f t="shared" si="70"/>
        <v>1</v>
      </c>
      <c r="BT434" s="1">
        <f t="shared" si="71"/>
        <v>359</v>
      </c>
      <c r="BU434" s="17">
        <f>HYPERLINK("http://exon.niaid.nih.gov/transcriptome/T_rubida/S2/links/cluster/Triru-pep-ext30-50-Sim-CLU1.txt", 1)</f>
        <v>1</v>
      </c>
      <c r="BV434" s="1">
        <f>HYPERLINK("http://exon.niaid.nih.gov/transcriptome/T_rubida/S2/links/cluster/Triru-pep-ext30-50-Sim-CLTL1.txt", 225)</f>
        <v>225</v>
      </c>
      <c r="BW434" s="17">
        <f>HYPERLINK("http://exon.niaid.nih.gov/transcriptome/T_rubida/S2/links/cluster/Triru-pep-ext35-50-Sim-CLU1.txt", 1)</f>
        <v>1</v>
      </c>
      <c r="BX434" s="1">
        <f>HYPERLINK("http://exon.niaid.nih.gov/transcriptome/T_rubida/S2/links/cluster/Triru-pep-ext35-50-Sim-CLTL1.txt", 75)</f>
        <v>75</v>
      </c>
      <c r="BY434" s="17">
        <v>192</v>
      </c>
      <c r="BZ434" s="1">
        <v>1</v>
      </c>
      <c r="CA434" s="17">
        <v>198</v>
      </c>
      <c r="CB434" s="1">
        <v>1</v>
      </c>
      <c r="CC434" s="17">
        <v>203</v>
      </c>
      <c r="CD434" s="1">
        <v>1</v>
      </c>
      <c r="CE434" s="17">
        <v>209</v>
      </c>
      <c r="CF434" s="1">
        <v>1</v>
      </c>
      <c r="CG434" s="17">
        <v>211</v>
      </c>
      <c r="CH434" s="1">
        <v>1</v>
      </c>
      <c r="CI434" s="17">
        <v>220</v>
      </c>
      <c r="CJ434" s="1">
        <v>1</v>
      </c>
      <c r="CK434" s="17">
        <v>225</v>
      </c>
      <c r="CL434" s="1">
        <v>1</v>
      </c>
      <c r="CM434" s="17">
        <v>232</v>
      </c>
      <c r="CN434" s="1">
        <v>1</v>
      </c>
      <c r="CO434" s="17">
        <v>243</v>
      </c>
      <c r="CP434" s="1">
        <v>1</v>
      </c>
      <c r="CQ434" s="17">
        <v>253</v>
      </c>
      <c r="CR434" s="1">
        <v>1</v>
      </c>
      <c r="CS434" s="17">
        <v>262</v>
      </c>
      <c r="CT434" s="1">
        <v>1</v>
      </c>
      <c r="CU434" s="17">
        <v>273</v>
      </c>
      <c r="CV434" s="1">
        <v>1</v>
      </c>
    </row>
    <row r="435" spans="1:100">
      <c r="A435" t="str">
        <f>HYPERLINK("http://exon.niaid.nih.gov/transcriptome/T_rubida/S2/links/pep/Triru-144-pep.txt","Triru-144")</f>
        <v>Triru-144</v>
      </c>
      <c r="B435">
        <v>48</v>
      </c>
      <c r="C435" s="1" t="s">
        <v>8</v>
      </c>
      <c r="D435" s="1" t="s">
        <v>5</v>
      </c>
      <c r="E435" t="str">
        <f>HYPERLINK("http://exon.niaid.nih.gov/transcriptome/T_rubida/S2/links/cds/Triru-144-cds.txt","Triru-144")</f>
        <v>Triru-144</v>
      </c>
      <c r="F435">
        <v>143</v>
      </c>
      <c r="G435" s="2" t="s">
        <v>1831</v>
      </c>
      <c r="H435" s="1">
        <v>2</v>
      </c>
      <c r="I435" s="3" t="s">
        <v>1266</v>
      </c>
      <c r="J435" s="17" t="str">
        <f>HYPERLINK("http://exon.niaid.nih.gov/transcriptome/T_rubida/S2/links/Sigp/Triru-144-SigP.txt","SIG")</f>
        <v>SIG</v>
      </c>
      <c r="K435" t="s">
        <v>1326</v>
      </c>
      <c r="L435" s="1">
        <v>5.7309999999999999</v>
      </c>
      <c r="M435" s="1">
        <v>5.32</v>
      </c>
      <c r="N435" s="1">
        <v>3.1349999999999998</v>
      </c>
      <c r="O435" s="1">
        <v>5.32</v>
      </c>
      <c r="P435" s="1">
        <v>7.0000000000000001E-3</v>
      </c>
      <c r="Q435" s="1">
        <v>0.99099999999999999</v>
      </c>
      <c r="R435" s="1">
        <v>4.9000000000000002E-2</v>
      </c>
      <c r="S435" s="17" t="s">
        <v>18</v>
      </c>
      <c r="T435">
        <v>1</v>
      </c>
      <c r="U435" t="s">
        <v>1542</v>
      </c>
      <c r="V435" s="17" t="str">
        <f>HYPERLINK("http://exon.niaid.nih.gov/transcriptome/T_rubida/S2/links/tmhmm/TRIRU-144-tmhmm.txt","1")</f>
        <v>1</v>
      </c>
      <c r="W435">
        <v>35.4</v>
      </c>
      <c r="X435">
        <v>60.4</v>
      </c>
      <c r="Y435">
        <v>4.2</v>
      </c>
      <c r="Z435" t="s">
        <v>5</v>
      </c>
      <c r="AA435">
        <v>29</v>
      </c>
      <c r="AB435" s="17" t="str">
        <f>HYPERLINK("http://exon.niaid.nih.gov/transcriptome/T_rubida/S2/links/netoglyc/TRIRU-144-netoglyc.txt","0")</f>
        <v>0</v>
      </c>
      <c r="AC435">
        <v>6.3</v>
      </c>
      <c r="AD435">
        <v>4.2</v>
      </c>
      <c r="AE435">
        <v>2.1</v>
      </c>
      <c r="AF435" s="17" t="s">
        <v>5</v>
      </c>
      <c r="AG435" s="2" t="str">
        <f>HYPERLINK("http://exon.niaid.nih.gov/transcriptome/T_rubida/S2/links/NR/Triru-144-NR.txt","hypothetical protein HMPREF0433_01381")</f>
        <v>hypothetical protein HMPREF0433_01381</v>
      </c>
      <c r="AH435" t="str">
        <f>HYPERLINK("http://www.ncbi.nlm.nih.gov/sutils/blink.cgi?pid=329770227","6.2")</f>
        <v>6.2</v>
      </c>
      <c r="AI435" t="str">
        <f>HYPERLINK("http://www.ncbi.nlm.nih.gov/protein/329770227","gi|329770227")</f>
        <v>gi|329770227</v>
      </c>
      <c r="AJ435">
        <v>34.299999999999997</v>
      </c>
      <c r="AK435">
        <v>34</v>
      </c>
      <c r="AL435">
        <v>426</v>
      </c>
      <c r="AM435">
        <v>48</v>
      </c>
      <c r="AN435">
        <v>8</v>
      </c>
      <c r="AO435" t="s">
        <v>338</v>
      </c>
      <c r="AP435" s="2" t="str">
        <f>HYPERLINK("http://exon.niaid.nih.gov/transcriptome/T_rubida/S2/links/SWISSP/Triru-144-SWISSP.txt","Penicillin-binding protein 1B")</f>
        <v>Penicillin-binding protein 1B</v>
      </c>
      <c r="AQ435" t="str">
        <f>HYPERLINK("http://www.uniprot.org/uniprot/Q89AR2","0.39")</f>
        <v>0.39</v>
      </c>
      <c r="AR435" t="s">
        <v>339</v>
      </c>
      <c r="AS435">
        <v>33.5</v>
      </c>
      <c r="AT435">
        <v>36</v>
      </c>
      <c r="AU435">
        <v>741</v>
      </c>
      <c r="AV435">
        <v>43</v>
      </c>
      <c r="AW435">
        <v>5</v>
      </c>
      <c r="AX435">
        <v>21</v>
      </c>
      <c r="AY435">
        <v>1</v>
      </c>
      <c r="AZ435">
        <v>15</v>
      </c>
      <c r="BA435">
        <v>1</v>
      </c>
      <c r="BB435">
        <v>1</v>
      </c>
      <c r="BC435" t="s">
        <v>340</v>
      </c>
      <c r="BD435" s="2" t="s">
        <v>5</v>
      </c>
      <c r="BE435" t="s">
        <v>5</v>
      </c>
      <c r="BF435" t="s">
        <v>5</v>
      </c>
      <c r="BG435" t="s">
        <v>5</v>
      </c>
      <c r="BH435" t="s">
        <v>5</v>
      </c>
      <c r="BI435" s="2" t="str">
        <f>HYPERLINK("http://exon.niaid.nih.gov/transcriptome/T_rubida/S2/links/CDD/Triru-144-CDD.txt","PRK14850")</f>
        <v>PRK14850</v>
      </c>
      <c r="BJ435" t="str">
        <f>HYPERLINK("http://www.ncbi.nlm.nih.gov/Structure/cdd/cddsrv.cgi?uid=PRK14850&amp;version=v4.0","2.1")</f>
        <v>2.1</v>
      </c>
      <c r="BK435" t="s">
        <v>341</v>
      </c>
      <c r="BL435" s="2" t="str">
        <f>HYPERLINK("http://exon.niaid.nih.gov/transcriptome/T_rubida/S2/links/KOG/Triru-144-KOG.txt","Polycomb-group transcriptional regulator")</f>
        <v>Polycomb-group transcriptional regulator</v>
      </c>
      <c r="BM435" t="str">
        <f>HYPERLINK("http://www.ncbi.nlm.nih.gov/COG/grace/shokog.cgi?KOG4468","0.063")</f>
        <v>0.063</v>
      </c>
      <c r="BN435" t="s">
        <v>251</v>
      </c>
      <c r="BO435" s="2" t="s">
        <v>5</v>
      </c>
      <c r="BP435" t="s">
        <v>5</v>
      </c>
      <c r="BQ435" s="2" t="str">
        <f>HYPERLINK("http://exon.niaid.nih.gov/transcriptome/T_rubida/S2/links/SMART/Triru-144-SMART.txt","AGTRAP")</f>
        <v>AGTRAP</v>
      </c>
      <c r="BR435" t="str">
        <f>HYPERLINK("http://smart.embl-heidelberg.de/smart/do_annotation.pl?DOMAIN=AGTRAP&amp;BLAST=DUMMY","9.8")</f>
        <v>9.8</v>
      </c>
      <c r="BS435" s="17">
        <f t="shared" si="70"/>
        <v>1</v>
      </c>
      <c r="BT435" s="1">
        <f t="shared" si="71"/>
        <v>359</v>
      </c>
      <c r="BU435" s="17">
        <f>HYPERLINK("http://exon.niaid.nih.gov/transcriptome/T_rubida/S2/links/cluster/Triru-pep-ext30-50-Sim-CLU9.txt", 9)</f>
        <v>9</v>
      </c>
      <c r="BV435" s="1">
        <f>HYPERLINK("http://exon.niaid.nih.gov/transcriptome/T_rubida/S2/links/cluster/Triru-pep-ext30-50-Sim-CLTL9.txt", 3)</f>
        <v>3</v>
      </c>
      <c r="BW435" s="17">
        <f>HYPERLINK("http://exon.niaid.nih.gov/transcriptome/T_rubida/S2/links/cluster/Triru-pep-ext35-50-Sim-CLU8.txt", 8)</f>
        <v>8</v>
      </c>
      <c r="BX435" s="1">
        <f>HYPERLINK("http://exon.niaid.nih.gov/transcriptome/T_rubida/S2/links/cluster/Triru-pep-ext35-50-Sim-CLTL8.txt", 3)</f>
        <v>3</v>
      </c>
      <c r="BY435" s="17">
        <v>91</v>
      </c>
      <c r="BZ435" s="1">
        <v>1</v>
      </c>
      <c r="CA435" s="17">
        <v>89</v>
      </c>
      <c r="CB435" s="1">
        <v>1</v>
      </c>
      <c r="CC435" s="17">
        <v>88</v>
      </c>
      <c r="CD435" s="1">
        <v>1</v>
      </c>
      <c r="CE435" s="17">
        <v>82</v>
      </c>
      <c r="CF435" s="1">
        <v>1</v>
      </c>
      <c r="CG435" s="17">
        <v>82</v>
      </c>
      <c r="CH435" s="1">
        <v>1</v>
      </c>
      <c r="CI435" s="17">
        <v>88</v>
      </c>
      <c r="CJ435" s="1">
        <v>1</v>
      </c>
      <c r="CK435" s="17">
        <v>92</v>
      </c>
      <c r="CL435" s="1">
        <v>1</v>
      </c>
      <c r="CM435" s="17">
        <v>97</v>
      </c>
      <c r="CN435" s="1">
        <v>1</v>
      </c>
      <c r="CO435" s="17">
        <v>105</v>
      </c>
      <c r="CP435" s="1">
        <v>1</v>
      </c>
      <c r="CQ435" s="17">
        <v>115</v>
      </c>
      <c r="CR435" s="1">
        <v>1</v>
      </c>
      <c r="CS435" s="17">
        <v>120</v>
      </c>
      <c r="CT435" s="1">
        <v>1</v>
      </c>
      <c r="CU435" s="17">
        <v>131</v>
      </c>
      <c r="CV435" s="1">
        <v>1</v>
      </c>
    </row>
    <row r="436" spans="1:100">
      <c r="A436" t="str">
        <f>HYPERLINK("http://exon.niaid.nih.gov/transcriptome/T_rubida/S2/links/pep/Triru-200-pep.txt","Triru-200")</f>
        <v>Triru-200</v>
      </c>
      <c r="B436">
        <v>59</v>
      </c>
      <c r="C436" s="1" t="s">
        <v>8</v>
      </c>
      <c r="D436" s="1" t="s">
        <v>3</v>
      </c>
      <c r="E436" t="str">
        <f>HYPERLINK("http://exon.niaid.nih.gov/transcriptome/T_rubida/S2/links/cds/Triru-200-cds.txt","Triru-200")</f>
        <v>Triru-200</v>
      </c>
      <c r="F436">
        <v>180</v>
      </c>
      <c r="G436" s="2" t="s">
        <v>1832</v>
      </c>
      <c r="H436" s="1">
        <v>1</v>
      </c>
      <c r="I436" s="3" t="s">
        <v>1266</v>
      </c>
      <c r="J436" s="17" t="str">
        <f>HYPERLINK("http://exon.niaid.nih.gov/transcriptome/T_rubida/S2/links/Sigp/Triru-200-SigP.txt","SIG")</f>
        <v>SIG</v>
      </c>
      <c r="K436" t="s">
        <v>1327</v>
      </c>
      <c r="L436" s="1">
        <v>7.0460000000000003</v>
      </c>
      <c r="M436" s="1">
        <v>10.47</v>
      </c>
      <c r="N436" s="1">
        <v>5.3109999999999999</v>
      </c>
      <c r="O436" s="1">
        <v>10.3</v>
      </c>
      <c r="P436" s="1">
        <v>0.30399999999999999</v>
      </c>
      <c r="Q436" s="1">
        <v>0.29799999999999999</v>
      </c>
      <c r="R436" s="1">
        <v>0.30199999999999999</v>
      </c>
      <c r="S436" s="17" t="s">
        <v>9</v>
      </c>
      <c r="T436">
        <v>5</v>
      </c>
      <c r="U436" t="s">
        <v>1543</v>
      </c>
      <c r="V436" s="17" t="str">
        <f>HYPERLINK("http://exon.niaid.nih.gov/transcriptome/T_rubida/S2/links/tmhmm/TRIRU-200-tmhmm.txt","1")</f>
        <v>1</v>
      </c>
      <c r="W436">
        <v>37.299999999999997</v>
      </c>
      <c r="X436">
        <v>6.8</v>
      </c>
      <c r="Y436">
        <v>55.9</v>
      </c>
      <c r="Z436">
        <v>1</v>
      </c>
      <c r="AA436">
        <v>4</v>
      </c>
      <c r="AB436" s="17" t="str">
        <f>HYPERLINK("http://exon.niaid.nih.gov/transcriptome/T_rubida/S2/links/netoglyc/TRIRU-200-netoglyc.txt","0")</f>
        <v>0</v>
      </c>
      <c r="AC436">
        <v>6.8</v>
      </c>
      <c r="AD436">
        <v>5.0999999999999996</v>
      </c>
      <c r="AE436" t="s">
        <v>1394</v>
      </c>
      <c r="AF436" s="17" t="s">
        <v>5</v>
      </c>
      <c r="AG436" s="2" t="str">
        <f>HYPERLINK("http://exon.niaid.nih.gov/transcriptome/T_rubida/S2/links/NR/Triru-200-NR.txt","similar to pol-like protein")</f>
        <v>similar to pol-like protein</v>
      </c>
      <c r="AH436" t="str">
        <f>HYPERLINK("http://www.ncbi.nlm.nih.gov/sutils/blink.cgi?pid=221115614","39")</f>
        <v>39</v>
      </c>
      <c r="AI436" t="str">
        <f>HYPERLINK("http://www.ncbi.nlm.nih.gov/protein/221115614","gi|221115614")</f>
        <v>gi|221115614</v>
      </c>
      <c r="AJ436">
        <v>31.6</v>
      </c>
      <c r="AK436">
        <v>42</v>
      </c>
      <c r="AL436">
        <v>549</v>
      </c>
      <c r="AM436">
        <v>34</v>
      </c>
      <c r="AN436">
        <v>8</v>
      </c>
      <c r="AO436" t="s">
        <v>223</v>
      </c>
      <c r="AP436" s="2" t="str">
        <f>HYPERLINK("http://exon.niaid.nih.gov/transcriptome/T_rubida/S2/links/SWISSP/Triru-200-SWISSP.txt","Hemerythrin")</f>
        <v>Hemerythrin</v>
      </c>
      <c r="AQ436" t="str">
        <f>HYPERLINK("http://www.uniprot.org/uniprot/P80255","9.4")</f>
        <v>9.4</v>
      </c>
      <c r="AR436" t="s">
        <v>392</v>
      </c>
      <c r="AS436">
        <v>28.9</v>
      </c>
      <c r="AT436">
        <v>42</v>
      </c>
      <c r="AU436">
        <v>120</v>
      </c>
      <c r="AV436">
        <v>32</v>
      </c>
      <c r="AW436">
        <v>36</v>
      </c>
      <c r="AX436">
        <v>29</v>
      </c>
      <c r="AY436">
        <v>0</v>
      </c>
      <c r="AZ436">
        <v>30</v>
      </c>
      <c r="BA436">
        <v>2</v>
      </c>
      <c r="BB436">
        <v>1</v>
      </c>
      <c r="BC436" t="s">
        <v>393</v>
      </c>
      <c r="BD436" s="2" t="s">
        <v>5</v>
      </c>
      <c r="BE436" t="s">
        <v>5</v>
      </c>
      <c r="BF436" t="s">
        <v>5</v>
      </c>
      <c r="BG436" t="s">
        <v>5</v>
      </c>
      <c r="BH436" t="s">
        <v>5</v>
      </c>
      <c r="BI436" s="2" t="str">
        <f>HYPERLINK("http://exon.niaid.nih.gov/transcriptome/T_rubida/S2/links/CDD/Triru-200-CDD.txt","PTZ00327")</f>
        <v>PTZ00327</v>
      </c>
      <c r="BJ436" t="str">
        <f>HYPERLINK("http://www.ncbi.nlm.nih.gov/Structure/cdd/cddsrv.cgi?uid=PTZ00327&amp;version=v4.0","3.2")</f>
        <v>3.2</v>
      </c>
      <c r="BK436" t="s">
        <v>394</v>
      </c>
      <c r="BL436" s="2" t="str">
        <f>HYPERLINK("http://exon.niaid.nih.gov/transcriptome/T_rubida/S2/links/KOG/Triru-200-KOG.txt","Uncharacterized conserved protein")</f>
        <v>Uncharacterized conserved protein</v>
      </c>
      <c r="BM436" t="str">
        <f>HYPERLINK("http://www.ncbi.nlm.nih.gov/COG/grace/shokog.cgi?KOG4839","3.8")</f>
        <v>3.8</v>
      </c>
      <c r="BN436" t="s">
        <v>264</v>
      </c>
      <c r="BO436" s="2" t="str">
        <f>HYPERLINK("http://exon.niaid.nih.gov/transcriptome/T_rubida/S2/links/PFAM/Triru-200-PFAM.txt","AdoHcyase_NAD")</f>
        <v>AdoHcyase_NAD</v>
      </c>
      <c r="BP436" t="str">
        <f>HYPERLINK("http://pfam.sanger.ac.uk/family?acc=PF00670","1.0")</f>
        <v>1.0</v>
      </c>
      <c r="BQ436" s="2" t="str">
        <f>HYPERLINK("http://exon.niaid.nih.gov/transcriptome/T_rubida/S2/links/SMART/Triru-200-SMART.txt","PKS_KS")</f>
        <v>PKS_KS</v>
      </c>
      <c r="BR436" t="str">
        <f>HYPERLINK("http://smart.embl-heidelberg.de/smart/do_annotation.pl?DOMAIN=PKS_KS&amp;BLAST=DUMMY","2.3")</f>
        <v>2.3</v>
      </c>
      <c r="BS436" s="17">
        <f t="shared" si="70"/>
        <v>1</v>
      </c>
      <c r="BT436" s="1">
        <f t="shared" si="71"/>
        <v>359</v>
      </c>
      <c r="BU436" s="17">
        <f>HYPERLINK("http://exon.niaid.nih.gov/transcriptome/T_rubida/S2/links/cluster/Triru-pep-ext30-50-Sim-CLU1.txt", 1)</f>
        <v>1</v>
      </c>
      <c r="BV436" s="1">
        <f>HYPERLINK("http://exon.niaid.nih.gov/transcriptome/T_rubida/S2/links/cluster/Triru-pep-ext30-50-Sim-CLTL1.txt", 225)</f>
        <v>225</v>
      </c>
      <c r="BW436" s="17">
        <f>HYPERLINK("http://exon.niaid.nih.gov/transcriptome/T_rubida/S2/links/cluster/Triru-pep-ext35-50-Sim-CLU5.txt", 5)</f>
        <v>5</v>
      </c>
      <c r="BX436" s="1">
        <f>HYPERLINK("http://exon.niaid.nih.gov/transcriptome/T_rubida/S2/links/cluster/Triru-pep-ext35-50-Sim-CLTL5.txt", 5)</f>
        <v>5</v>
      </c>
      <c r="BY436" s="17">
        <f>HYPERLINK("http://exon.niaid.nih.gov/transcriptome/T_rubida/S2/links/cluster/Triru-pep-ext40-50-Sim-CLU17.txt", 17)</f>
        <v>17</v>
      </c>
      <c r="BZ436" s="1">
        <f>HYPERLINK("http://exon.niaid.nih.gov/transcriptome/T_rubida/S2/links/cluster/Triru-pep-ext40-50-Sim-CLTL17.txt", 2)</f>
        <v>2</v>
      </c>
      <c r="CA436" s="17">
        <v>121</v>
      </c>
      <c r="CB436" s="1">
        <v>1</v>
      </c>
      <c r="CC436" s="17">
        <v>124</v>
      </c>
      <c r="CD436" s="1">
        <v>1</v>
      </c>
      <c r="CE436" s="17">
        <v>121</v>
      </c>
      <c r="CF436" s="1">
        <v>1</v>
      </c>
      <c r="CG436" s="17">
        <v>122</v>
      </c>
      <c r="CH436" s="1">
        <v>1</v>
      </c>
      <c r="CI436" s="17">
        <v>128</v>
      </c>
      <c r="CJ436" s="1">
        <v>1</v>
      </c>
      <c r="CK436" s="17">
        <v>133</v>
      </c>
      <c r="CL436" s="1">
        <v>1</v>
      </c>
      <c r="CM436" s="17">
        <v>139</v>
      </c>
      <c r="CN436" s="1">
        <v>1</v>
      </c>
      <c r="CO436" s="17">
        <v>149</v>
      </c>
      <c r="CP436" s="1">
        <v>1</v>
      </c>
      <c r="CQ436" s="17">
        <v>159</v>
      </c>
      <c r="CR436" s="1">
        <v>1</v>
      </c>
      <c r="CS436" s="17">
        <v>164</v>
      </c>
      <c r="CT436" s="1">
        <v>1</v>
      </c>
      <c r="CU436" s="17">
        <v>175</v>
      </c>
      <c r="CV436" s="1">
        <v>1</v>
      </c>
    </row>
    <row r="437" spans="1:100">
      <c r="A437" t="str">
        <f>HYPERLINK("http://exon.niaid.nih.gov/transcriptome/T_rubida/S2/links/pep/Triru-649-pep.txt","Triru-649")</f>
        <v>Triru-649</v>
      </c>
      <c r="B437">
        <v>29</v>
      </c>
      <c r="C437" s="1" t="s">
        <v>8</v>
      </c>
      <c r="D437" s="1" t="s">
        <v>3</v>
      </c>
      <c r="E437" t="str">
        <f>HYPERLINK("http://exon.niaid.nih.gov/transcriptome/T_rubida/S2/links/cds/Triru-649-cds.txt","Triru-649")</f>
        <v>Triru-649</v>
      </c>
      <c r="F437">
        <v>90</v>
      </c>
      <c r="G437" s="2" t="s">
        <v>1857</v>
      </c>
      <c r="H437" s="1">
        <v>1</v>
      </c>
      <c r="I437" s="3" t="s">
        <v>1266</v>
      </c>
      <c r="J437" s="17" t="str">
        <f>HYPERLINK("http://exon.niaid.nih.gov/transcriptome/T_rubida/S2/links/Sigp/Triru-649-SigP.txt","SIG")</f>
        <v>SIG</v>
      </c>
      <c r="K437" t="s">
        <v>1330</v>
      </c>
      <c r="L437" s="1">
        <v>3.6869999999999998</v>
      </c>
      <c r="M437" s="1">
        <v>6.74</v>
      </c>
      <c r="N437" s="1">
        <v>2.31</v>
      </c>
      <c r="O437" s="1">
        <v>6.74</v>
      </c>
      <c r="P437" s="1">
        <v>0.11899999999999999</v>
      </c>
      <c r="Q437" s="1">
        <v>0.84899999999999998</v>
      </c>
      <c r="R437" s="1">
        <v>6.6000000000000003E-2</v>
      </c>
      <c r="S437" s="17" t="s">
        <v>18</v>
      </c>
      <c r="T437">
        <v>2</v>
      </c>
      <c r="U437" t="s">
        <v>1557</v>
      </c>
      <c r="V437" s="17" t="str">
        <f>HYPERLINK("http://exon.niaid.nih.gov/transcriptome/T_rubida/S2/links/tmhmm/TRIRU-649-tmhmm.txt","1")</f>
        <v>1</v>
      </c>
      <c r="W437">
        <v>75.900000000000006</v>
      </c>
      <c r="X437">
        <v>17.2</v>
      </c>
      <c r="Y437">
        <v>6.9</v>
      </c>
      <c r="Z437" t="s">
        <v>5</v>
      </c>
      <c r="AA437">
        <v>5</v>
      </c>
      <c r="AB437" s="17" t="str">
        <f>HYPERLINK("http://exon.niaid.nih.gov/transcriptome/T_rubida/S2/links/netoglyc/TRIRU-649-netoglyc.txt","0")</f>
        <v>0</v>
      </c>
      <c r="AC437" t="s">
        <v>1417</v>
      </c>
      <c r="AD437">
        <v>6.9</v>
      </c>
      <c r="AE437" t="s">
        <v>1394</v>
      </c>
      <c r="AF437" s="17" t="s">
        <v>5</v>
      </c>
      <c r="AG437" s="2" t="str">
        <f>HYPERLINK("http://exon.niaid.nih.gov/transcriptome/T_rubida/S2/links/NR/Triru-649-NR.txt","large secreted protein")</f>
        <v>large secreted protein</v>
      </c>
      <c r="AH437" t="str">
        <f>HYPERLINK("http://www.ncbi.nlm.nih.gov/sutils/blink.cgi?pid=256784410","1.6")</f>
        <v>1.6</v>
      </c>
      <c r="AI437" t="str">
        <f>HYPERLINK("http://www.ncbi.nlm.nih.gov/protein/256784410","gi|256784410")</f>
        <v>gi|256784410</v>
      </c>
      <c r="AJ437">
        <v>36.200000000000003</v>
      </c>
      <c r="AK437">
        <v>27</v>
      </c>
      <c r="AL437">
        <v>737</v>
      </c>
      <c r="AM437">
        <v>57</v>
      </c>
      <c r="AN437">
        <v>4</v>
      </c>
      <c r="AO437" t="s">
        <v>366</v>
      </c>
      <c r="AP437" s="2" t="str">
        <f>HYPERLINK("http://exon.niaid.nih.gov/transcriptome/T_rubida/S2/links/SWISSP/Triru-649-SWISSP.txt","Putative uncharacterized protein YPL238C")</f>
        <v>Putative uncharacterized protein YPL238C</v>
      </c>
      <c r="AQ437" t="str">
        <f>HYPERLINK("http://www.uniprot.org/uniprot/Q99401","80")</f>
        <v>80</v>
      </c>
      <c r="AR437" t="s">
        <v>367</v>
      </c>
      <c r="AS437">
        <v>25.8</v>
      </c>
      <c r="AT437">
        <v>38</v>
      </c>
      <c r="AU437">
        <v>129</v>
      </c>
      <c r="AV437">
        <v>41</v>
      </c>
      <c r="AW437">
        <v>30</v>
      </c>
      <c r="AX437">
        <v>23</v>
      </c>
      <c r="AY437">
        <v>16</v>
      </c>
      <c r="AZ437">
        <v>37</v>
      </c>
      <c r="BA437">
        <v>1</v>
      </c>
      <c r="BB437">
        <v>1</v>
      </c>
      <c r="BC437" t="s">
        <v>344</v>
      </c>
      <c r="BD437" s="2" t="s">
        <v>5</v>
      </c>
      <c r="BE437" t="s">
        <v>5</v>
      </c>
      <c r="BF437" t="s">
        <v>5</v>
      </c>
      <c r="BG437" t="s">
        <v>5</v>
      </c>
      <c r="BH437" t="s">
        <v>5</v>
      </c>
      <c r="BI437" s="2" t="str">
        <f>HYPERLINK("http://exon.niaid.nih.gov/transcriptome/T_rubida/S2/links/CDD/Triru-649-CDD.txt","PEP_integral")</f>
        <v>PEP_integral</v>
      </c>
      <c r="BJ437" t="str">
        <f>HYPERLINK("http://www.ncbi.nlm.nih.gov/Structure/cdd/cddsrv.cgi?uid=TIGR02921&amp;version=v4.0","2.3")</f>
        <v>2.3</v>
      </c>
      <c r="BK437" t="s">
        <v>368</v>
      </c>
      <c r="BL437" s="2" t="str">
        <f>HYPERLINK("http://exon.niaid.nih.gov/transcriptome/T_rubida/S2/links/KOG/Triru-649-KOG.txt","Peroxisomal biogenesis protein peroxin")</f>
        <v>Peroxisomal biogenesis protein peroxin</v>
      </c>
      <c r="BM437" t="str">
        <f>HYPERLINK("http://www.ncbi.nlm.nih.gov/COG/grace/shokog.cgi?KOG3875","9.8")</f>
        <v>9.8</v>
      </c>
      <c r="BN437" t="s">
        <v>164</v>
      </c>
      <c r="BO437" s="2" t="s">
        <v>5</v>
      </c>
      <c r="BP437" t="s">
        <v>5</v>
      </c>
      <c r="BQ437" s="2" t="str">
        <f>HYPERLINK("http://exon.niaid.nih.gov/transcriptome/T_rubida/S2/links/SMART/Triru-649-SMART.txt","HTH_ASNC")</f>
        <v>HTH_ASNC</v>
      </c>
      <c r="BR437" t="str">
        <f>HYPERLINK("http://smart.embl-heidelberg.de/smart/do_annotation.pl?DOMAIN=HTH_ASNC&amp;BLAST=DUMMY","1.5")</f>
        <v>1.5</v>
      </c>
      <c r="BS437" s="17">
        <f t="shared" si="70"/>
        <v>1</v>
      </c>
      <c r="BT437" s="1">
        <f t="shared" si="71"/>
        <v>359</v>
      </c>
      <c r="BU437" s="17">
        <f>HYPERLINK("http://exon.niaid.nih.gov/transcriptome/T_rubida/S2/links/cluster/Triru-pep-ext30-50-Sim-CLU1.txt", 1)</f>
        <v>1</v>
      </c>
      <c r="BV437" s="1">
        <f>HYPERLINK("http://exon.niaid.nih.gov/transcriptome/T_rubida/S2/links/cluster/Triru-pep-ext30-50-Sim-CLTL1.txt", 225)</f>
        <v>225</v>
      </c>
      <c r="BW437" s="17">
        <f>HYPERLINK("http://exon.niaid.nih.gov/transcriptome/T_rubida/S2/links/cluster/Triru-pep-ext35-50-Sim-CLU1.txt", 1)</f>
        <v>1</v>
      </c>
      <c r="BX437" s="1">
        <f>HYPERLINK("http://exon.niaid.nih.gov/transcriptome/T_rubida/S2/links/cluster/Triru-pep-ext35-50-Sim-CLTL1.txt", 75)</f>
        <v>75</v>
      </c>
      <c r="BY437" s="17">
        <f>HYPERLINK("http://exon.niaid.nih.gov/transcriptome/T_rubida/S2/links/cluster/Triru-pep-ext40-50-Sim-CLU2.txt", 2)</f>
        <v>2</v>
      </c>
      <c r="BZ437" s="1">
        <f>HYPERLINK("http://exon.niaid.nih.gov/transcriptome/T_rubida/S2/links/cluster/Triru-pep-ext40-50-Sim-CLTL2.txt", 42)</f>
        <v>42</v>
      </c>
      <c r="CA437" s="17">
        <f>HYPERLINK("http://exon.niaid.nih.gov/transcriptome/T_rubida/S2/links/cluster/Triru-pep-ext45-50-Sim-CLU2.txt", 2)</f>
        <v>2</v>
      </c>
      <c r="CB437" s="1">
        <f>HYPERLINK("http://exon.niaid.nih.gov/transcriptome/T_rubida/S2/links/cluster/Triru-pep-ext45-50-Sim-CLTL2.txt", 33)</f>
        <v>33</v>
      </c>
      <c r="CC437" s="17">
        <f>HYPERLINK("http://exon.niaid.nih.gov/transcriptome/T_rubida/S2/links/cluster/Triru-pep-ext50-50-Sim-CLU5.txt", 5)</f>
        <v>5</v>
      </c>
      <c r="CD437" s="1">
        <f>HYPERLINK("http://exon.niaid.nih.gov/transcriptome/T_rubida/S2/links/cluster/Triru-pep-ext50-50-Sim-CLTL5.txt", 4)</f>
        <v>4</v>
      </c>
      <c r="CE437" s="17">
        <v>463</v>
      </c>
      <c r="CF437" s="1">
        <v>1</v>
      </c>
      <c r="CG437" s="17">
        <v>472</v>
      </c>
      <c r="CH437" s="1">
        <v>1</v>
      </c>
      <c r="CI437" s="17">
        <v>486</v>
      </c>
      <c r="CJ437" s="1">
        <v>1</v>
      </c>
      <c r="CK437" s="17">
        <v>492</v>
      </c>
      <c r="CL437" s="1">
        <v>1</v>
      </c>
      <c r="CM437" s="17">
        <v>504</v>
      </c>
      <c r="CN437" s="1">
        <v>1</v>
      </c>
      <c r="CO437" s="17">
        <v>516</v>
      </c>
      <c r="CP437" s="1">
        <v>1</v>
      </c>
      <c r="CQ437" s="17">
        <v>526</v>
      </c>
      <c r="CR437" s="1">
        <v>1</v>
      </c>
      <c r="CS437" s="17">
        <v>539</v>
      </c>
      <c r="CT437" s="1">
        <v>1</v>
      </c>
      <c r="CU437" s="17">
        <v>552</v>
      </c>
      <c r="CV437" s="1">
        <v>1</v>
      </c>
    </row>
    <row r="438" spans="1:100">
      <c r="A438" t="str">
        <f>HYPERLINK("http://exon.niaid.nih.gov/transcriptome/T_rubida/S2/links/pep/Triru-217-pep.txt","Triru-217")</f>
        <v>Triru-217</v>
      </c>
      <c r="B438">
        <v>39</v>
      </c>
      <c r="C438" s="1" t="s">
        <v>6</v>
      </c>
      <c r="D438" s="1" t="s">
        <v>5</v>
      </c>
      <c r="E438" t="str">
        <f>HYPERLINK("http://exon.niaid.nih.gov/transcriptome/T_rubida/S2/links/cds/Triru-217-cds.txt","Triru-217")</f>
        <v>Triru-217</v>
      </c>
      <c r="F438">
        <v>116</v>
      </c>
      <c r="G438" s="2" t="s">
        <v>1847</v>
      </c>
      <c r="H438" s="1">
        <v>1</v>
      </c>
      <c r="I438" s="3" t="s">
        <v>1266</v>
      </c>
      <c r="J438" s="17" t="str">
        <f>HYPERLINK("http://exon.niaid.nih.gov/transcriptome/T_rubida/S2/links/Sigp/Triru-217-SigP.txt","SIG")</f>
        <v>SIG</v>
      </c>
      <c r="K438" t="s">
        <v>1328</v>
      </c>
      <c r="L438" s="1">
        <v>4.4989999999999997</v>
      </c>
      <c r="M438" s="1">
        <v>10.02</v>
      </c>
      <c r="N438" s="1">
        <v>1.417</v>
      </c>
      <c r="O438" s="1">
        <v>10.3</v>
      </c>
      <c r="P438" s="1">
        <v>1.4999999999999999E-2</v>
      </c>
      <c r="Q438" s="1">
        <v>0.93700000000000006</v>
      </c>
      <c r="R438" s="1">
        <v>6.9000000000000006E-2</v>
      </c>
      <c r="S438" s="17" t="s">
        <v>18</v>
      </c>
      <c r="T438">
        <v>1</v>
      </c>
      <c r="U438" t="s">
        <v>1548</v>
      </c>
      <c r="V438" s="17" t="str">
        <f>HYPERLINK("http://exon.niaid.nih.gov/transcriptome/T_rubida/S2/links/tmhmm/TRIRU-217-tmhmm.txt","1")</f>
        <v>1</v>
      </c>
      <c r="W438">
        <v>56.4</v>
      </c>
      <c r="X438">
        <v>25.6</v>
      </c>
      <c r="Y438">
        <v>17.899999999999999</v>
      </c>
      <c r="Z438" t="s">
        <v>5</v>
      </c>
      <c r="AA438">
        <v>7</v>
      </c>
      <c r="AB438" s="17" t="str">
        <f>HYPERLINK("http://exon.niaid.nih.gov/transcriptome/T_rubida/S2/links/netoglyc/TRIRU-217-netoglyc.txt","0")</f>
        <v>0</v>
      </c>
      <c r="AC438">
        <v>5.0999999999999996</v>
      </c>
      <c r="AD438">
        <v>5.0999999999999996</v>
      </c>
      <c r="AE438" t="s">
        <v>1394</v>
      </c>
      <c r="AF438" s="17" t="s">
        <v>5</v>
      </c>
      <c r="AG438" s="2" t="str">
        <f>HYPERLINK("http://exon.niaid.nih.gov/transcriptome/T_rubida/S2/links/NR/Triru-217-NR.txt","hypothetical protein TTHERM_01197160")</f>
        <v>hypothetical protein TTHERM_01197160</v>
      </c>
      <c r="AH438" t="str">
        <f>HYPERLINK("http://www.ncbi.nlm.nih.gov/sutils/blink.cgi?pid=118374182","88")</f>
        <v>88</v>
      </c>
      <c r="AI438" t="str">
        <f>HYPERLINK("http://www.ncbi.nlm.nih.gov/protein/118374182","gi|118374182")</f>
        <v>gi|118374182</v>
      </c>
      <c r="AJ438">
        <v>30.4</v>
      </c>
      <c r="AK438">
        <v>24</v>
      </c>
      <c r="AL438">
        <v>396</v>
      </c>
      <c r="AM438">
        <v>52</v>
      </c>
      <c r="AN438">
        <v>6</v>
      </c>
      <c r="AO438" t="s">
        <v>405</v>
      </c>
      <c r="AP438" s="2" t="str">
        <f>HYPERLINK("http://exon.niaid.nih.gov/transcriptome/T_rubida/S2/links/SWISSP/Triru-217-SWISSP.txt","Glycerol-3-phosphate acyltransferase")</f>
        <v>Glycerol-3-phosphate acyltransferase</v>
      </c>
      <c r="AQ438" t="str">
        <f>HYPERLINK("http://www.uniprot.org/uniprot/Q46JD9","13")</f>
        <v>13</v>
      </c>
      <c r="AR438" t="s">
        <v>406</v>
      </c>
      <c r="AS438">
        <v>28.5</v>
      </c>
      <c r="AT438">
        <v>35</v>
      </c>
      <c r="AU438">
        <v>198</v>
      </c>
      <c r="AV438">
        <v>38</v>
      </c>
      <c r="AW438">
        <v>18</v>
      </c>
      <c r="AX438">
        <v>22</v>
      </c>
      <c r="AY438">
        <v>5</v>
      </c>
      <c r="AZ438">
        <v>50</v>
      </c>
      <c r="BA438">
        <v>2</v>
      </c>
      <c r="BB438">
        <v>1</v>
      </c>
      <c r="BC438" t="s">
        <v>407</v>
      </c>
      <c r="BD438" s="2" t="s">
        <v>5</v>
      </c>
      <c r="BE438" t="s">
        <v>5</v>
      </c>
      <c r="BF438" t="s">
        <v>5</v>
      </c>
      <c r="BG438" t="s">
        <v>5</v>
      </c>
      <c r="BH438" t="s">
        <v>5</v>
      </c>
      <c r="BI438" s="2" t="s">
        <v>5</v>
      </c>
      <c r="BJ438" t="s">
        <v>5</v>
      </c>
      <c r="BK438" t="s">
        <v>5</v>
      </c>
      <c r="BL438" s="2" t="s">
        <v>5</v>
      </c>
      <c r="BM438" t="s">
        <v>5</v>
      </c>
      <c r="BN438" t="s">
        <v>5</v>
      </c>
      <c r="BO438" s="2" t="s">
        <v>5</v>
      </c>
      <c r="BP438" t="s">
        <v>5</v>
      </c>
      <c r="BQ438" s="2" t="str">
        <f>HYPERLINK("http://exon.niaid.nih.gov/transcriptome/T_rubida/S2/links/SMART/Triru-217-SMART.txt","Zn_dep_PLPC")</f>
        <v>Zn_dep_PLPC</v>
      </c>
      <c r="BR438" t="str">
        <f>HYPERLINK("http://smart.embl-heidelberg.de/smart/do_annotation.pl?DOMAIN=Zn_dep_PLPC&amp;BLAST=DUMMY","3.3")</f>
        <v>3.3</v>
      </c>
      <c r="BS438" s="17">
        <f t="shared" si="70"/>
        <v>1</v>
      </c>
      <c r="BT438" s="1">
        <f t="shared" si="71"/>
        <v>359</v>
      </c>
      <c r="BU438" s="17">
        <f>HYPERLINK("http://exon.niaid.nih.gov/transcriptome/T_rubida/S2/links/cluster/Triru-pep-ext30-50-Sim-CLU1.txt", 1)</f>
        <v>1</v>
      </c>
      <c r="BV438" s="1">
        <f>HYPERLINK("http://exon.niaid.nih.gov/transcriptome/T_rubida/S2/links/cluster/Triru-pep-ext30-50-Sim-CLTL1.txt", 225)</f>
        <v>225</v>
      </c>
      <c r="BW438" s="17">
        <f>HYPERLINK("http://exon.niaid.nih.gov/transcriptome/T_rubida/S2/links/cluster/Triru-pep-ext35-50-Sim-CLU1.txt", 1)</f>
        <v>1</v>
      </c>
      <c r="BX438" s="1">
        <f>HYPERLINK("http://exon.niaid.nih.gov/transcriptome/T_rubida/S2/links/cluster/Triru-pep-ext35-50-Sim-CLTL1.txt", 75)</f>
        <v>75</v>
      </c>
      <c r="BY438" s="17">
        <v>127</v>
      </c>
      <c r="BZ438" s="1">
        <v>1</v>
      </c>
      <c r="CA438" s="17">
        <v>129</v>
      </c>
      <c r="CB438" s="1">
        <v>1</v>
      </c>
      <c r="CC438" s="17">
        <v>132</v>
      </c>
      <c r="CD438" s="1">
        <v>1</v>
      </c>
      <c r="CE438" s="17">
        <v>131</v>
      </c>
      <c r="CF438" s="1">
        <v>1</v>
      </c>
      <c r="CG438" s="17">
        <v>133</v>
      </c>
      <c r="CH438" s="1">
        <v>1</v>
      </c>
      <c r="CI438" s="17">
        <v>139</v>
      </c>
      <c r="CJ438" s="1">
        <v>1</v>
      </c>
      <c r="CK438" s="17">
        <v>144</v>
      </c>
      <c r="CL438" s="1">
        <v>1</v>
      </c>
      <c r="CM438" s="17">
        <v>150</v>
      </c>
      <c r="CN438" s="1">
        <v>1</v>
      </c>
      <c r="CO438" s="17">
        <v>160</v>
      </c>
      <c r="CP438" s="1">
        <v>1</v>
      </c>
      <c r="CQ438" s="17">
        <v>170</v>
      </c>
      <c r="CR438" s="1">
        <v>1</v>
      </c>
      <c r="CS438" s="17">
        <v>175</v>
      </c>
      <c r="CT438" s="1">
        <v>1</v>
      </c>
      <c r="CU438" s="17">
        <v>186</v>
      </c>
      <c r="CV438" s="1">
        <v>1</v>
      </c>
    </row>
    <row r="439" spans="1:100">
      <c r="A439" t="str">
        <f>HYPERLINK("http://exon.niaid.nih.gov/transcriptome/T_rubida/S2/links/pep/Triru-276-pep.txt","Triru-276")</f>
        <v>Triru-276</v>
      </c>
      <c r="B439">
        <v>37</v>
      </c>
      <c r="C439" s="1" t="s">
        <v>6</v>
      </c>
      <c r="D439" s="1" t="s">
        <v>3</v>
      </c>
      <c r="E439" t="str">
        <f>HYPERLINK("http://exon.niaid.nih.gov/transcriptome/T_rubida/S2/links/cds/Triru-276-cds.txt","Triru-276")</f>
        <v>Triru-276</v>
      </c>
      <c r="F439">
        <v>114</v>
      </c>
      <c r="G439" s="2" t="s">
        <v>1856</v>
      </c>
      <c r="H439" s="1">
        <v>1</v>
      </c>
      <c r="I439" s="3" t="s">
        <v>1266</v>
      </c>
      <c r="J439" s="17" t="str">
        <f>HYPERLINK("http://exon.niaid.nih.gov/transcriptome/T_rubida/S2/links/Sigp/Triru-276-SigP.txt","SIG")</f>
        <v>SIG</v>
      </c>
      <c r="K439" t="s">
        <v>1329</v>
      </c>
      <c r="L439" s="1">
        <v>3.9049999999999998</v>
      </c>
      <c r="M439" s="1">
        <v>9.39</v>
      </c>
      <c r="N439" s="1">
        <v>0.56899999999999995</v>
      </c>
      <c r="O439" s="1">
        <v>8.75</v>
      </c>
      <c r="P439" s="1">
        <v>4.8000000000000001E-2</v>
      </c>
      <c r="Q439" s="1">
        <v>0.89300000000000002</v>
      </c>
      <c r="R439" s="1">
        <v>5.3999999999999999E-2</v>
      </c>
      <c r="S439" s="17" t="s">
        <v>18</v>
      </c>
      <c r="T439">
        <v>1</v>
      </c>
      <c r="U439" t="s">
        <v>1556</v>
      </c>
      <c r="V439" s="17" t="str">
        <f>HYPERLINK("http://exon.niaid.nih.gov/transcriptome/T_rubida/S2/links/tmhmm/TRIRU-276-tmhmm.txt","1")</f>
        <v>1</v>
      </c>
      <c r="W439">
        <v>59.5</v>
      </c>
      <c r="X439">
        <v>21.6</v>
      </c>
      <c r="Y439">
        <v>18.899999999999999</v>
      </c>
      <c r="Z439" t="s">
        <v>5</v>
      </c>
      <c r="AA439">
        <v>8</v>
      </c>
      <c r="AB439" s="17" t="str">
        <f>HYPERLINK("http://exon.niaid.nih.gov/transcriptome/T_rubida/S2/links/netoglyc/TRIRU-276-netoglyc.txt","0")</f>
        <v>0</v>
      </c>
      <c r="AC439" t="s">
        <v>1417</v>
      </c>
      <c r="AD439">
        <v>10.8</v>
      </c>
      <c r="AE439">
        <v>8.1</v>
      </c>
      <c r="AF439" s="17" t="s">
        <v>5</v>
      </c>
      <c r="AG439" s="2" t="str">
        <f>HYPERLINK("http://exon.niaid.nih.gov/transcriptome/T_rubida/S2/links/NR/Triru-276-NR.txt","ATP-binding cassette sub-family G member 5-like")</f>
        <v>ATP-binding cassette sub-family G member 5-like</v>
      </c>
      <c r="AH439" t="str">
        <f>HYPERLINK("http://www.ncbi.nlm.nih.gov/sutils/blink.cgi?pid=328718471","0.56")</f>
        <v>0.56</v>
      </c>
      <c r="AI439" t="str">
        <f>HYPERLINK("http://www.ncbi.nlm.nih.gov/protein/328718471","gi|328718471")</f>
        <v>gi|328718471</v>
      </c>
      <c r="AJ439">
        <v>37.700000000000003</v>
      </c>
      <c r="AK439">
        <v>25</v>
      </c>
      <c r="AL439">
        <v>638</v>
      </c>
      <c r="AM439">
        <v>61</v>
      </c>
      <c r="AN439">
        <v>4</v>
      </c>
      <c r="AO439" t="s">
        <v>89</v>
      </c>
      <c r="AP439" s="2" t="str">
        <f>HYPERLINK("http://exon.niaid.nih.gov/transcriptome/T_rubida/S2/links/SWISSP/Triru-276-SWISSP.txt","Putative ribose/galactose/methyl galactoside import ATP-binding protein")</f>
        <v>Putative ribose/galactose/methyl galactoside import ATP-binding protein</v>
      </c>
      <c r="AQ439" t="str">
        <f>HYPERLINK("http://www.uniprot.org/uniprot/Q4KDI2","62")</f>
        <v>62</v>
      </c>
      <c r="AR439" t="s">
        <v>90</v>
      </c>
      <c r="AS439">
        <v>26.2</v>
      </c>
      <c r="AT439">
        <v>16</v>
      </c>
      <c r="AU439">
        <v>515</v>
      </c>
      <c r="AV439">
        <v>64</v>
      </c>
      <c r="AW439">
        <v>3</v>
      </c>
      <c r="AX439">
        <v>6</v>
      </c>
      <c r="AY439">
        <v>0</v>
      </c>
      <c r="AZ439">
        <v>33</v>
      </c>
      <c r="BA439">
        <v>10</v>
      </c>
      <c r="BB439">
        <v>1</v>
      </c>
      <c r="BC439" t="s">
        <v>91</v>
      </c>
      <c r="BD439" s="2" t="s">
        <v>5</v>
      </c>
      <c r="BE439" t="s">
        <v>5</v>
      </c>
      <c r="BF439" t="s">
        <v>5</v>
      </c>
      <c r="BG439" t="s">
        <v>5</v>
      </c>
      <c r="BH439" t="s">
        <v>5</v>
      </c>
      <c r="BI439" s="2" t="str">
        <f>HYPERLINK("http://exon.niaid.nih.gov/transcriptome/T_rubida/S2/links/CDD/Triru-276-CDD.txt","gatB")</f>
        <v>gatB</v>
      </c>
      <c r="BJ439" t="str">
        <f>HYPERLINK("http://www.ncbi.nlm.nih.gov/Structure/cdd/cddsrv.cgi?uid=TIGR00133&amp;version=v4.0","6.3")</f>
        <v>6.3</v>
      </c>
      <c r="BK439" t="s">
        <v>431</v>
      </c>
      <c r="BL439" s="2" t="s">
        <v>5</v>
      </c>
      <c r="BM439" t="s">
        <v>5</v>
      </c>
      <c r="BN439" t="s">
        <v>5</v>
      </c>
      <c r="BO439" s="2" t="str">
        <f>HYPERLINK("http://exon.niaid.nih.gov/transcriptome/T_rubida/S2/links/PFAM/Triru-276-PFAM.txt","GatB_N")</f>
        <v>GatB_N</v>
      </c>
      <c r="BP439" t="str">
        <f>HYPERLINK("http://pfam.sanger.ac.uk/family?acc=PF02934","7.6")</f>
        <v>7.6</v>
      </c>
      <c r="BQ439" s="2" t="s">
        <v>5</v>
      </c>
      <c r="BR439" t="s">
        <v>5</v>
      </c>
      <c r="BS439" s="17">
        <f t="shared" si="70"/>
        <v>1</v>
      </c>
      <c r="BT439" s="1">
        <f t="shared" si="71"/>
        <v>359</v>
      </c>
      <c r="BU439" s="17">
        <f>HYPERLINK("http://exon.niaid.nih.gov/transcriptome/T_rubida/S2/links/cluster/Triru-pep-ext30-50-Sim-CLU11.txt", 11)</f>
        <v>11</v>
      </c>
      <c r="BV439" s="1">
        <f>HYPERLINK("http://exon.niaid.nih.gov/transcriptome/T_rubida/S2/links/cluster/Triru-pep-ext30-50-Sim-CLTL11.txt", 3)</f>
        <v>3</v>
      </c>
      <c r="BW439" s="17">
        <f>HYPERLINK("http://exon.niaid.nih.gov/transcriptome/T_rubida/S2/links/cluster/Triru-pep-ext35-50-Sim-CLU28.txt", 28)</f>
        <v>28</v>
      </c>
      <c r="BX439" s="1">
        <f>HYPERLINK("http://exon.niaid.nih.gov/transcriptome/T_rubida/S2/links/cluster/Triru-pep-ext35-50-Sim-CLTL28.txt", 2)</f>
        <v>2</v>
      </c>
      <c r="BY439" s="17">
        <f>HYPERLINK("http://exon.niaid.nih.gov/transcriptome/T_rubida/S2/links/cluster/Triru-pep-ext40-50-Sim-CLU25.txt", 25)</f>
        <v>25</v>
      </c>
      <c r="BZ439" s="1">
        <f>HYPERLINK("http://exon.niaid.nih.gov/transcriptome/T_rubida/S2/links/cluster/Triru-pep-ext40-50-Sim-CLTL25.txt", 2)</f>
        <v>2</v>
      </c>
      <c r="CA439" s="17">
        <f>HYPERLINK("http://exon.niaid.nih.gov/transcriptome/T_rubida/S2/links/cluster/Triru-pep-ext45-50-Sim-CLU20.txt", 20)</f>
        <v>20</v>
      </c>
      <c r="CB439" s="1">
        <f>HYPERLINK("http://exon.niaid.nih.gov/transcriptome/T_rubida/S2/links/cluster/Triru-pep-ext45-50-Sim-CLTL20.txt", 2)</f>
        <v>2</v>
      </c>
      <c r="CC439" s="17">
        <f>HYPERLINK("http://exon.niaid.nih.gov/transcriptome/T_rubida/S2/links/cluster/Triru-pep-ext50-50-Sim-CLU19.txt", 19)</f>
        <v>19</v>
      </c>
      <c r="CD439" s="1">
        <f>HYPERLINK("http://exon.niaid.nih.gov/transcriptome/T_rubida/S2/links/cluster/Triru-pep-ext50-50-Sim-CLTL19.txt", 2)</f>
        <v>2</v>
      </c>
      <c r="CE439" s="17">
        <f>HYPERLINK("http://exon.niaid.nih.gov/transcriptome/T_rubida/S2/links/cluster/Triru-pep-ext55-50-Sim-CLU14.txt", 14)</f>
        <v>14</v>
      </c>
      <c r="CF439" s="1">
        <f>HYPERLINK("http://exon.niaid.nih.gov/transcriptome/T_rubida/S2/links/cluster/Triru-pep-ext55-50-Sim-CLTL14.txt", 2)</f>
        <v>2</v>
      </c>
      <c r="CG439" s="17">
        <f>HYPERLINK("http://exon.niaid.nih.gov/transcriptome/T_rubida/S2/links/cluster/Triru-pep-ext60-50-Sim-CLU15.txt", 15)</f>
        <v>15</v>
      </c>
      <c r="CH439" s="1">
        <f>HYPERLINK("http://exon.niaid.nih.gov/transcriptome/T_rubida/S2/links/cluster/Triru-pep-ext60-50-Sim-CLTL15.txt", 2)</f>
        <v>2</v>
      </c>
      <c r="CI439" s="17">
        <f>HYPERLINK("http://exon.niaid.nih.gov/transcriptome/T_rubida/S2/links/cluster/Triru-pep-ext65-50-Sim-CLU15.txt", 15)</f>
        <v>15</v>
      </c>
      <c r="CJ439" s="1">
        <f>HYPERLINK("http://exon.niaid.nih.gov/transcriptome/T_rubida/S2/links/cluster/Triru-pep-ext65-50-Sim-CLTL15.txt", 2)</f>
        <v>2</v>
      </c>
      <c r="CK439" s="17">
        <f>HYPERLINK("http://exon.niaid.nih.gov/transcriptome/T_rubida/S2/links/cluster/Triru-pep-ext70-50-Sim-CLU15.txt", 15)</f>
        <v>15</v>
      </c>
      <c r="CL439" s="1">
        <f>HYPERLINK("http://exon.niaid.nih.gov/transcriptome/T_rubida/S2/links/cluster/Triru-pep-ext70-50-Sim-CLTL15.txt", 2)</f>
        <v>2</v>
      </c>
      <c r="CM439" s="17">
        <f>HYPERLINK("http://exon.niaid.nih.gov/transcriptome/T_rubida/S2/links/cluster/Triru-pep-ext75-50-Sim-CLU16.txt", 16)</f>
        <v>16</v>
      </c>
      <c r="CN439" s="1">
        <f>HYPERLINK("http://exon.niaid.nih.gov/transcriptome/T_rubida/S2/links/cluster/Triru-pep-ext75-50-Sim-CLTL16.txt", 2)</f>
        <v>2</v>
      </c>
      <c r="CO439" s="17">
        <f>HYPERLINK("http://exon.niaid.nih.gov/transcriptome/T_rubida/S2/links/cluster/Triru-pep-ext80-50-Sim-CLU14.txt", 14)</f>
        <v>14</v>
      </c>
      <c r="CP439" s="1">
        <f>HYPERLINK("http://exon.niaid.nih.gov/transcriptome/T_rubida/S2/links/cluster/Triru-pep-ext80-50-Sim-CLTL14.txt", 2)</f>
        <v>2</v>
      </c>
      <c r="CQ439" s="17">
        <f>HYPERLINK("http://exon.niaid.nih.gov/transcriptome/T_rubida/S2/links/cluster/Triru-pep-ext85-50-Sim-CLU12.txt", 12)</f>
        <v>12</v>
      </c>
      <c r="CR439" s="1">
        <f>HYPERLINK("http://exon.niaid.nih.gov/transcriptome/T_rubida/S2/links/cluster/Triru-pep-ext85-50-Sim-CLTL12.txt", 2)</f>
        <v>2</v>
      </c>
      <c r="CS439" s="17">
        <v>222</v>
      </c>
      <c r="CT439" s="1">
        <v>1</v>
      </c>
      <c r="CU439" s="17">
        <v>233</v>
      </c>
      <c r="CV439" s="1">
        <v>1</v>
      </c>
    </row>
    <row r="440" spans="1:100">
      <c r="A440" t="str">
        <f>HYPERLINK("http://exon.niaid.nih.gov/transcriptome/T_rubida/S2/links/pep/Triru-114-pep.txt","Triru-114")</f>
        <v>Triru-114</v>
      </c>
      <c r="B440">
        <v>75</v>
      </c>
      <c r="C440" s="1" t="s">
        <v>15</v>
      </c>
      <c r="D440" s="1" t="s">
        <v>3</v>
      </c>
      <c r="E440" t="str">
        <f>HYPERLINK("http://exon.niaid.nih.gov/transcriptome/T_rubida/S2/links/cds/Triru-114-cds.txt","Triru-114")</f>
        <v>Triru-114</v>
      </c>
      <c r="F440">
        <v>228</v>
      </c>
      <c r="G440" s="2" t="s">
        <v>1778</v>
      </c>
      <c r="H440" s="1">
        <v>4</v>
      </c>
      <c r="I440" s="3" t="s">
        <v>1266</v>
      </c>
      <c r="J440" s="17" t="str">
        <f>HYPERLINK("http://exon.niaid.nih.gov/transcriptome/T_rubida/S2/links/Sigp/Triru-114-SigP.txt","SIG")</f>
        <v>SIG</v>
      </c>
      <c r="K440" t="s">
        <v>1322</v>
      </c>
      <c r="L440" s="1">
        <v>8.8520000000000003</v>
      </c>
      <c r="M440" s="1">
        <v>9.35</v>
      </c>
      <c r="N440" s="1">
        <v>5.8280000000000003</v>
      </c>
      <c r="O440" s="1">
        <v>9.36</v>
      </c>
      <c r="P440" s="1">
        <v>6.0000000000000001E-3</v>
      </c>
      <c r="Q440" s="1">
        <v>0.99299999999999999</v>
      </c>
      <c r="R440" s="1">
        <v>4.9000000000000002E-2</v>
      </c>
      <c r="S440" s="17" t="s">
        <v>18</v>
      </c>
      <c r="T440">
        <v>1</v>
      </c>
      <c r="U440" t="s">
        <v>1508</v>
      </c>
      <c r="V440" s="17" t="str">
        <f>HYPERLINK("http://exon.niaid.nih.gov/transcriptome/T_rubida/S2/links/tmhmm/TRIRU-114-tmhmm.txt","1")</f>
        <v>1</v>
      </c>
      <c r="W440">
        <v>29.3</v>
      </c>
      <c r="X440">
        <v>61.3</v>
      </c>
      <c r="Y440">
        <v>9.3000000000000007</v>
      </c>
      <c r="Z440" t="s">
        <v>5</v>
      </c>
      <c r="AA440">
        <v>46</v>
      </c>
      <c r="AB440" s="17" t="str">
        <f>HYPERLINK("http://exon.niaid.nih.gov/transcriptome/T_rubida/S2/links/netoglyc/TRIRU-114-netoglyc.txt","0")</f>
        <v>0</v>
      </c>
      <c r="AC440">
        <v>8</v>
      </c>
      <c r="AD440" t="s">
        <v>1417</v>
      </c>
      <c r="AE440">
        <v>1.3</v>
      </c>
      <c r="AF440" s="17" t="s">
        <v>5</v>
      </c>
      <c r="AG440" s="2" t="str">
        <f>HYPERLINK("http://exon.niaid.nih.gov/transcriptome/T_rubida/S2/links/NR/Triru-114-NR.txt","NADH dehydrogenase subunit 2")</f>
        <v>NADH dehydrogenase subunit 2</v>
      </c>
      <c r="AH440" t="str">
        <f>HYPERLINK("http://www.ncbi.nlm.nih.gov/sutils/blink.cgi?pid=225622191","10")</f>
        <v>10</v>
      </c>
      <c r="AI440" t="str">
        <f>HYPERLINK("http://www.ncbi.nlm.nih.gov/protein/225622191","gi|225622191")</f>
        <v>gi|225622191</v>
      </c>
      <c r="AJ440">
        <v>33.5</v>
      </c>
      <c r="AK440">
        <v>53</v>
      </c>
      <c r="AL440">
        <v>282</v>
      </c>
      <c r="AM440">
        <v>36</v>
      </c>
      <c r="AN440">
        <v>19</v>
      </c>
      <c r="AO440" t="s">
        <v>789</v>
      </c>
      <c r="AP440" s="2" t="str">
        <f>HYPERLINK("http://exon.niaid.nih.gov/transcriptome/T_rubida/S2/links/SWISSP/Triru-114-SWISSP.txt","UPF0321 protein P20C8.02c")</f>
        <v>UPF0321 protein P20C8.02c</v>
      </c>
      <c r="AQ440" t="str">
        <f>HYPERLINK("http://www.uniprot.org/uniprot/Q9HDT7","1.9")</f>
        <v>1.9</v>
      </c>
      <c r="AR440" t="s">
        <v>790</v>
      </c>
      <c r="AS440">
        <v>31.2</v>
      </c>
      <c r="AT440">
        <v>59</v>
      </c>
      <c r="AU440">
        <v>111</v>
      </c>
      <c r="AV440">
        <v>26</v>
      </c>
      <c r="AW440">
        <v>54</v>
      </c>
      <c r="AX440">
        <v>46</v>
      </c>
      <c r="AY440">
        <v>3</v>
      </c>
      <c r="AZ440">
        <v>2</v>
      </c>
      <c r="BA440">
        <v>3</v>
      </c>
      <c r="BB440">
        <v>1</v>
      </c>
      <c r="BC440" t="s">
        <v>70</v>
      </c>
      <c r="BD440" s="2" t="s">
        <v>5</v>
      </c>
      <c r="BE440" t="s">
        <v>5</v>
      </c>
      <c r="BF440" t="s">
        <v>5</v>
      </c>
      <c r="BG440" t="s">
        <v>5</v>
      </c>
      <c r="BH440" t="s">
        <v>5</v>
      </c>
      <c r="BI440" s="2" t="str">
        <f>HYPERLINK("http://exon.niaid.nih.gov/transcriptome/T_rubida/S2/links/CDD/Triru-114-CDD.txt","PRK09970")</f>
        <v>PRK09970</v>
      </c>
      <c r="BJ440" t="str">
        <f>HYPERLINK("http://www.ncbi.nlm.nih.gov/Structure/cdd/cddsrv.cgi?uid=PRK09970&amp;version=v4.0","4.5")</f>
        <v>4.5</v>
      </c>
      <c r="BK440" t="s">
        <v>791</v>
      </c>
      <c r="BL440" s="2" t="str">
        <f>HYPERLINK("http://exon.niaid.nih.gov/transcriptome/T_rubida/S2/links/KOG/Triru-114-KOG.txt","Histone deacetylase complex, MTA1 component")</f>
        <v>Histone deacetylase complex, MTA1 component</v>
      </c>
      <c r="BM440" t="str">
        <f>HYPERLINK("http://www.ncbi.nlm.nih.gov/COG/grace/shokog.cgi?KOG3554","1.0")</f>
        <v>1.0</v>
      </c>
      <c r="BN440" t="s">
        <v>770</v>
      </c>
      <c r="BO440" s="2" t="str">
        <f>HYPERLINK("http://exon.niaid.nih.gov/transcriptome/T_rubida/S2/links/PFAM/Triru-114-PFAM.txt","Slx4")</f>
        <v>Slx4</v>
      </c>
      <c r="BP440" t="str">
        <f>HYPERLINK("http://pfam.sanger.ac.uk/family?acc=PF09494","2.2")</f>
        <v>2.2</v>
      </c>
      <c r="BQ440" s="2" t="str">
        <f>HYPERLINK("http://exon.niaid.nih.gov/transcriptome/T_rubida/S2/links/SMART/Triru-114-SMART.txt","TOP4c")</f>
        <v>TOP4c</v>
      </c>
      <c r="BR440" t="str">
        <f>HYPERLINK("http://smart.embl-heidelberg.de/smart/do_annotation.pl?DOMAIN=TOP4c&amp;BLAST=DUMMY","1.8")</f>
        <v>1.8</v>
      </c>
      <c r="BS440" s="17">
        <f t="shared" si="70"/>
        <v>1</v>
      </c>
      <c r="BT440" s="1">
        <f t="shared" si="71"/>
        <v>359</v>
      </c>
      <c r="BU440" s="17">
        <f>HYPERLINK("http://exon.niaid.nih.gov/transcriptome/T_rubida/S2/links/cluster/Triru-pep-ext30-50-Sim-CLU1.txt", 1)</f>
        <v>1</v>
      </c>
      <c r="BV440" s="1">
        <f>HYPERLINK("http://exon.niaid.nih.gov/transcriptome/T_rubida/S2/links/cluster/Triru-pep-ext30-50-Sim-CLTL1.txt", 225)</f>
        <v>225</v>
      </c>
      <c r="BW440" s="17">
        <v>67</v>
      </c>
      <c r="BX440" s="1">
        <v>1</v>
      </c>
      <c r="BY440" s="17">
        <v>67</v>
      </c>
      <c r="BZ440" s="1">
        <v>1</v>
      </c>
      <c r="CA440" s="17">
        <v>65</v>
      </c>
      <c r="CB440" s="1">
        <v>1</v>
      </c>
      <c r="CC440" s="17">
        <v>64</v>
      </c>
      <c r="CD440" s="1">
        <v>1</v>
      </c>
      <c r="CE440" s="17">
        <v>57</v>
      </c>
      <c r="CF440" s="1">
        <v>1</v>
      </c>
      <c r="CG440" s="17">
        <v>57</v>
      </c>
      <c r="CH440" s="1">
        <v>1</v>
      </c>
      <c r="CI440" s="17">
        <v>63</v>
      </c>
      <c r="CJ440" s="1">
        <v>1</v>
      </c>
      <c r="CK440" s="17">
        <v>67</v>
      </c>
      <c r="CL440" s="1">
        <v>1</v>
      </c>
      <c r="CM440" s="17">
        <v>71</v>
      </c>
      <c r="CN440" s="1">
        <v>1</v>
      </c>
      <c r="CO440" s="17">
        <v>79</v>
      </c>
      <c r="CP440" s="1">
        <v>1</v>
      </c>
      <c r="CQ440" s="17">
        <v>89</v>
      </c>
      <c r="CR440" s="1">
        <v>1</v>
      </c>
      <c r="CS440" s="17">
        <v>94</v>
      </c>
      <c r="CT440" s="1">
        <v>1</v>
      </c>
      <c r="CU440" s="17">
        <v>105</v>
      </c>
      <c r="CV440" s="1">
        <v>1</v>
      </c>
    </row>
    <row r="441" spans="1:100">
      <c r="A441" t="str">
        <f>HYPERLINK("http://exon.niaid.nih.gov/transcriptome/T_rubida/S2/links/pep/Triru-426-pep.txt","Triru-426")</f>
        <v>Triru-426</v>
      </c>
      <c r="B441">
        <v>75</v>
      </c>
      <c r="C441" s="1" t="s">
        <v>10</v>
      </c>
      <c r="D441" s="1" t="s">
        <v>3</v>
      </c>
      <c r="E441" t="str">
        <f>HYPERLINK("http://exon.niaid.nih.gov/transcriptome/T_rubida/S2/links/cds/Triru-426-cds.txt","Triru-426")</f>
        <v>Triru-426</v>
      </c>
      <c r="F441">
        <v>228</v>
      </c>
      <c r="G441" s="2" t="s">
        <v>1751</v>
      </c>
      <c r="H441" s="1">
        <v>1</v>
      </c>
      <c r="I441" s="3" t="s">
        <v>1266</v>
      </c>
      <c r="J441" s="17" t="str">
        <f>HYPERLINK("http://exon.niaid.nih.gov/transcriptome/T_rubida/S2/links/Sigp/Triru-426-SigP.txt","SIG")</f>
        <v>SIG</v>
      </c>
      <c r="K441" t="s">
        <v>1320</v>
      </c>
      <c r="L441" s="1">
        <v>8.3949999999999996</v>
      </c>
      <c r="M441" s="1">
        <v>9.2200000000000006</v>
      </c>
      <c r="N441" s="1">
        <v>6.21</v>
      </c>
      <c r="O441" s="1">
        <v>8.75</v>
      </c>
      <c r="P441" s="1">
        <v>0.123</v>
      </c>
      <c r="Q441" s="1">
        <v>0.90200000000000002</v>
      </c>
      <c r="R441" s="1">
        <v>4.2999999999999997E-2</v>
      </c>
      <c r="S441" s="17" t="s">
        <v>18</v>
      </c>
      <c r="T441">
        <v>2</v>
      </c>
      <c r="U441" t="s">
        <v>1488</v>
      </c>
      <c r="V441" s="17" t="str">
        <f>HYPERLINK("http://exon.niaid.nih.gov/transcriptome/T_rubida/S2/links/tmhmm/TRIRU-426-tmhmm.txt","1")</f>
        <v>1</v>
      </c>
      <c r="W441">
        <v>29.3</v>
      </c>
      <c r="X441">
        <v>54.7</v>
      </c>
      <c r="Y441">
        <v>16</v>
      </c>
      <c r="Z441" t="s">
        <v>5</v>
      </c>
      <c r="AA441">
        <v>12</v>
      </c>
      <c r="AB441" s="17" t="str">
        <f>HYPERLINK("http://exon.niaid.nih.gov/transcriptome/T_rubida/S2/links/netoglyc/TRIRU-426-netoglyc.txt","0")</f>
        <v>0</v>
      </c>
      <c r="AC441">
        <v>8</v>
      </c>
      <c r="AD441">
        <v>5.3</v>
      </c>
      <c r="AE441">
        <v>4</v>
      </c>
      <c r="AF441" s="17" t="s">
        <v>5</v>
      </c>
      <c r="AG441" s="2" t="str">
        <f>HYPERLINK("http://exon.niaid.nih.gov/transcriptome/T_rubida/S2/links/NR/Triru-426-NR.txt","integral membrane protein TerC")</f>
        <v>integral membrane protein TerC</v>
      </c>
      <c r="AH441" t="str">
        <f>HYPERLINK("http://www.ncbi.nlm.nih.gov/sutils/blink.cgi?pid=339022664","4.7")</f>
        <v>4.7</v>
      </c>
      <c r="AI441" t="str">
        <f>HYPERLINK("http://www.ncbi.nlm.nih.gov/protein/339022664","gi|339022664")</f>
        <v>gi|339022664</v>
      </c>
      <c r="AJ441">
        <v>34.700000000000003</v>
      </c>
      <c r="AK441">
        <v>52</v>
      </c>
      <c r="AL441">
        <v>130</v>
      </c>
      <c r="AM441">
        <v>33</v>
      </c>
      <c r="AN441">
        <v>41</v>
      </c>
      <c r="AO441" t="s">
        <v>959</v>
      </c>
      <c r="AP441" s="2" t="str">
        <f>HYPERLINK("http://exon.niaid.nih.gov/transcriptome/T_rubida/S2/links/SWISSP/Triru-426-SWISSP.txt","Sodium/hydrogen exchanger 7")</f>
        <v>Sodium/hydrogen exchanger 7</v>
      </c>
      <c r="AQ441" t="str">
        <f>HYPERLINK("http://www.uniprot.org/uniprot/Q8BLV3","9.7")</f>
        <v>9.7</v>
      </c>
      <c r="AR441" t="s">
        <v>960</v>
      </c>
      <c r="AS441">
        <v>28.9</v>
      </c>
      <c r="AT441">
        <v>58</v>
      </c>
      <c r="AU441">
        <v>726</v>
      </c>
      <c r="AV441">
        <v>29</v>
      </c>
      <c r="AW441">
        <v>8</v>
      </c>
      <c r="AX441">
        <v>44</v>
      </c>
      <c r="AY441">
        <v>4</v>
      </c>
      <c r="AZ441">
        <v>321</v>
      </c>
      <c r="BA441">
        <v>2</v>
      </c>
      <c r="BB441">
        <v>1</v>
      </c>
      <c r="BC441" t="s">
        <v>75</v>
      </c>
      <c r="BD441" s="2" t="s">
        <v>5</v>
      </c>
      <c r="BE441" t="s">
        <v>5</v>
      </c>
      <c r="BF441" t="s">
        <v>5</v>
      </c>
      <c r="BG441" t="s">
        <v>5</v>
      </c>
      <c r="BH441" t="s">
        <v>5</v>
      </c>
      <c r="BI441" s="2" t="str">
        <f>HYPERLINK("http://exon.niaid.nih.gov/transcriptome/T_rubida/S2/links/CDD/Triru-426-CDD.txt","COG5395")</f>
        <v>COG5395</v>
      </c>
      <c r="BJ441" t="str">
        <f>HYPERLINK("http://www.ncbi.nlm.nih.gov/Structure/cdd/cddsrv.cgi?uid=COG5395&amp;version=v4.0","4.2")</f>
        <v>4.2</v>
      </c>
      <c r="BK441" t="s">
        <v>961</v>
      </c>
      <c r="BL441" s="2" t="str">
        <f>HYPERLINK("http://exon.niaid.nih.gov/transcriptome/T_rubida/S2/links/KOG/Triru-426-KOG.txt","Lysyl hydroxylase")</f>
        <v>Lysyl hydroxylase</v>
      </c>
      <c r="BM441" t="str">
        <f>HYPERLINK("http://www.ncbi.nlm.nih.gov/COG/grace/shokog.cgi?KOG1971","0.69")</f>
        <v>0.69</v>
      </c>
      <c r="BN441" t="s">
        <v>72</v>
      </c>
      <c r="BO441" s="2" t="str">
        <f>HYPERLINK("http://exon.niaid.nih.gov/transcriptome/T_rubida/S2/links/PFAM/Triru-426-PFAM.txt","DUF299")</f>
        <v>DUF299</v>
      </c>
      <c r="BP441" t="str">
        <f>HYPERLINK("http://pfam.sanger.ac.uk/family?acc=PF03618","1.5")</f>
        <v>1.5</v>
      </c>
      <c r="BQ441" s="2" t="str">
        <f>HYPERLINK("http://exon.niaid.nih.gov/transcriptome/T_rubida/S2/links/SMART/Triru-426-SMART.txt","HTH_MARR")</f>
        <v>HTH_MARR</v>
      </c>
      <c r="BR441" t="str">
        <f>HYPERLINK("http://smart.embl-heidelberg.de/smart/do_annotation.pl?DOMAIN=HTH_MARR&amp;BLAST=DUMMY","0.28")</f>
        <v>0.28</v>
      </c>
      <c r="BS441" s="17">
        <v>131</v>
      </c>
      <c r="BT441" s="1">
        <v>1</v>
      </c>
      <c r="BU441" s="17">
        <v>195</v>
      </c>
      <c r="BV441" s="1">
        <v>1</v>
      </c>
      <c r="BW441" s="17">
        <v>244</v>
      </c>
      <c r="BX441" s="1">
        <v>1</v>
      </c>
      <c r="BY441" s="17">
        <v>263</v>
      </c>
      <c r="BZ441" s="1">
        <v>1</v>
      </c>
      <c r="CA441" s="17">
        <v>271</v>
      </c>
      <c r="CB441" s="1">
        <v>1</v>
      </c>
      <c r="CC441" s="17">
        <v>279</v>
      </c>
      <c r="CD441" s="1">
        <v>1</v>
      </c>
      <c r="CE441" s="17">
        <v>289</v>
      </c>
      <c r="CF441" s="1">
        <v>1</v>
      </c>
      <c r="CG441" s="17">
        <v>292</v>
      </c>
      <c r="CH441" s="1">
        <v>1</v>
      </c>
      <c r="CI441" s="17">
        <v>302</v>
      </c>
      <c r="CJ441" s="1">
        <v>1</v>
      </c>
      <c r="CK441" s="17">
        <v>308</v>
      </c>
      <c r="CL441" s="1">
        <v>1</v>
      </c>
      <c r="CM441" s="17">
        <v>316</v>
      </c>
      <c r="CN441" s="1">
        <v>1</v>
      </c>
      <c r="CO441" s="17">
        <v>328</v>
      </c>
      <c r="CP441" s="1">
        <v>1</v>
      </c>
      <c r="CQ441" s="17">
        <v>338</v>
      </c>
      <c r="CR441" s="1">
        <v>1</v>
      </c>
      <c r="CS441" s="17">
        <v>350</v>
      </c>
      <c r="CT441" s="1">
        <v>1</v>
      </c>
      <c r="CU441" s="17">
        <v>361</v>
      </c>
      <c r="CV441" s="1">
        <v>1</v>
      </c>
    </row>
    <row r="442" spans="1:100">
      <c r="A442" t="str">
        <f>HYPERLINK("http://exon.niaid.nih.gov/transcriptome/T_rubida/S2/links/pep/Triru-181-pep.txt","Triru-181")</f>
        <v>Triru-181</v>
      </c>
      <c r="B442">
        <v>40</v>
      </c>
      <c r="C442" s="1" t="s">
        <v>10</v>
      </c>
      <c r="D442" s="1" t="s">
        <v>3</v>
      </c>
      <c r="E442" t="str">
        <f>HYPERLINK("http://exon.niaid.nih.gov/transcriptome/T_rubida/S2/links/cds/Triru-181-cds.txt","Triru-181")</f>
        <v>Triru-181</v>
      </c>
      <c r="F442">
        <v>123</v>
      </c>
      <c r="G442" s="2" t="s">
        <v>1795</v>
      </c>
      <c r="H442" s="1">
        <v>1</v>
      </c>
      <c r="I442" s="3" t="s">
        <v>1266</v>
      </c>
      <c r="J442" s="17" t="str">
        <f>HYPERLINK("http://exon.niaid.nih.gov/transcriptome/T_rubida/S2/links/Sigp/Triru-181-SigP.txt","SIG")</f>
        <v>SIG</v>
      </c>
      <c r="K442" t="s">
        <v>1320</v>
      </c>
      <c r="L442" s="1">
        <v>4.7149999999999999</v>
      </c>
      <c r="M442" s="1">
        <v>5.39</v>
      </c>
      <c r="N442" s="1">
        <v>2.2839999999999998</v>
      </c>
      <c r="O442" s="1">
        <v>5.08</v>
      </c>
      <c r="P442" s="1">
        <v>0.02</v>
      </c>
      <c r="Q442" s="1">
        <v>0.94799999999999995</v>
      </c>
      <c r="R442" s="1">
        <v>6.3E-2</v>
      </c>
      <c r="S442" s="17" t="s">
        <v>18</v>
      </c>
      <c r="T442">
        <v>1</v>
      </c>
      <c r="U442" t="s">
        <v>1520</v>
      </c>
      <c r="V442" s="17">
        <v>0</v>
      </c>
      <c r="W442" t="s">
        <v>5</v>
      </c>
      <c r="X442" t="s">
        <v>5</v>
      </c>
      <c r="Y442" t="s">
        <v>5</v>
      </c>
      <c r="Z442" t="s">
        <v>5</v>
      </c>
      <c r="AA442" t="s">
        <v>5</v>
      </c>
      <c r="AB442" s="17" t="str">
        <f>HYPERLINK("http://exon.niaid.nih.gov/transcriptome/T_rubida/S2/links/netoglyc/TRIRU-181-netoglyc.txt","0")</f>
        <v>0</v>
      </c>
      <c r="AC442">
        <v>7.5</v>
      </c>
      <c r="AD442">
        <v>7.5</v>
      </c>
      <c r="AE442">
        <v>2.5</v>
      </c>
      <c r="AF442" s="17" t="s">
        <v>5</v>
      </c>
      <c r="AG442" s="2" t="str">
        <f>HYPERLINK("http://exon.niaid.nih.gov/transcriptome/T_rubida/S2/links/NR/Triru-181-NR.txt","hypothetical protein AXYL_05978")</f>
        <v>hypothetical protein AXYL_05978</v>
      </c>
      <c r="AH442" t="str">
        <f>HYPERLINK("http://www.ncbi.nlm.nih.gov/sutils/blink.cgi?pid=311109134","40")</f>
        <v>40</v>
      </c>
      <c r="AI442" t="str">
        <f>HYPERLINK("http://www.ncbi.nlm.nih.gov/protein/311109134","gi|311109134")</f>
        <v>gi|311109134</v>
      </c>
      <c r="AJ442">
        <v>31.6</v>
      </c>
      <c r="AK442">
        <v>42</v>
      </c>
      <c r="AL442">
        <v>301</v>
      </c>
      <c r="AM442">
        <v>37</v>
      </c>
      <c r="AN442">
        <v>14</v>
      </c>
      <c r="AO442" t="s">
        <v>925</v>
      </c>
      <c r="AP442" s="2" t="str">
        <f>HYPERLINK("http://exon.niaid.nih.gov/transcriptome/T_rubida/S2/links/SWISSP/Triru-181-SWISSP.txt","Protein SDS23")</f>
        <v>Protein SDS23</v>
      </c>
      <c r="AQ442" t="str">
        <f>HYPERLINK("http://www.uniprot.org/uniprot/Q6C5K4","81")</f>
        <v>81</v>
      </c>
      <c r="AR442" t="s">
        <v>926</v>
      </c>
      <c r="AS442">
        <v>25.8</v>
      </c>
      <c r="AT442">
        <v>32</v>
      </c>
      <c r="AU442">
        <v>505</v>
      </c>
      <c r="AV442">
        <v>45</v>
      </c>
      <c r="AW442">
        <v>7</v>
      </c>
      <c r="AX442">
        <v>18</v>
      </c>
      <c r="AY442">
        <v>0</v>
      </c>
      <c r="AZ442">
        <v>364</v>
      </c>
      <c r="BA442">
        <v>6</v>
      </c>
      <c r="BB442">
        <v>1</v>
      </c>
      <c r="BC442" t="s">
        <v>927</v>
      </c>
      <c r="BD442" s="2" t="s">
        <v>5</v>
      </c>
      <c r="BE442" t="s">
        <v>5</v>
      </c>
      <c r="BF442" t="s">
        <v>5</v>
      </c>
      <c r="BG442" t="s">
        <v>5</v>
      </c>
      <c r="BH442" t="s">
        <v>5</v>
      </c>
      <c r="BI442" s="2" t="str">
        <f>HYPERLINK("http://exon.niaid.nih.gov/transcriptome/T_rubida/S2/links/CDD/Triru-181-CDD.txt","RNA_pol_I_A49")</f>
        <v>RNA_pol_I_A49</v>
      </c>
      <c r="BJ442" t="str">
        <f>HYPERLINK("http://www.ncbi.nlm.nih.gov/Structure/cdd/cddsrv.cgi?uid=pfam06870&amp;version=v4.0","0.55")</f>
        <v>0.55</v>
      </c>
      <c r="BK442" t="s">
        <v>519</v>
      </c>
      <c r="BL442" s="2" t="str">
        <f>HYPERLINK("http://exon.niaid.nih.gov/transcriptome/T_rubida/S2/links/KOG/Triru-181-KOG.txt","Gamma/delta sarcoglycan")</f>
        <v>Gamma/delta sarcoglycan</v>
      </c>
      <c r="BM442" t="str">
        <f>HYPERLINK("http://www.ncbi.nlm.nih.gov/COG/grace/shokog.cgi?KOG3950","5.0")</f>
        <v>5.0</v>
      </c>
      <c r="BN442" t="s">
        <v>147</v>
      </c>
      <c r="BO442" s="2" t="str">
        <f>HYPERLINK("http://exon.niaid.nih.gov/transcriptome/T_rubida/S2/links/PFAM/Triru-181-PFAM.txt","RNA_pol_I_A49")</f>
        <v>RNA_pol_I_A49</v>
      </c>
      <c r="BP442" t="str">
        <f>HYPERLINK("http://pfam.sanger.ac.uk/family?acc=PF06870","0.12")</f>
        <v>0.12</v>
      </c>
      <c r="BQ442" s="2" t="str">
        <f>HYPERLINK("http://exon.niaid.nih.gov/transcriptome/T_rubida/S2/links/SMART/Triru-181-SMART.txt","Asparaginase")</f>
        <v>Asparaginase</v>
      </c>
      <c r="BR442" t="str">
        <f>HYPERLINK("http://smart.embl-heidelberg.de/smart/do_annotation.pl?DOMAIN=Asparaginase&amp;BLAST=DUMMY","2.3")</f>
        <v>2.3</v>
      </c>
      <c r="BS442" s="17">
        <f>HYPERLINK("http://exon.niaid.nih.gov/transcriptome/T_rubida/S2/links/cluster/Triru-pep-ext25-50-Sim-CLU1.txt", 1)</f>
        <v>1</v>
      </c>
      <c r="BT442" s="1">
        <f>HYPERLINK("http://exon.niaid.nih.gov/transcriptome/T_rubida/S2/links/cluster/Triru-pep-ext25-50-Sim-CLTL1.txt", 359)</f>
        <v>359</v>
      </c>
      <c r="BU442" s="17">
        <f>HYPERLINK("http://exon.niaid.nih.gov/transcriptome/T_rubida/S2/links/cluster/Triru-pep-ext30-50-Sim-CLU1.txt", 1)</f>
        <v>1</v>
      </c>
      <c r="BV442" s="1">
        <f>HYPERLINK("http://exon.niaid.nih.gov/transcriptome/T_rubida/S2/links/cluster/Triru-pep-ext30-50-Sim-CLTL1.txt", 225)</f>
        <v>225</v>
      </c>
      <c r="BW442" s="17">
        <f>HYPERLINK("http://exon.niaid.nih.gov/transcriptome/T_rubida/S2/links/cluster/Triru-pep-ext35-50-Sim-CLU1.txt", 1)</f>
        <v>1</v>
      </c>
      <c r="BX442" s="1">
        <f>HYPERLINK("http://exon.niaid.nih.gov/transcriptome/T_rubida/S2/links/cluster/Triru-pep-ext35-50-Sim-CLTL1.txt", 75)</f>
        <v>75</v>
      </c>
      <c r="BY442" s="17">
        <f>HYPERLINK("http://exon.niaid.nih.gov/transcriptome/T_rubida/S2/links/cluster/Triru-pep-ext40-50-Sim-CLU15.txt", 15)</f>
        <v>15</v>
      </c>
      <c r="BZ442" s="1">
        <f>HYPERLINK("http://exon.niaid.nih.gov/transcriptome/T_rubida/S2/links/cluster/Triru-pep-ext40-50-Sim-CLTL15.txt", 2)</f>
        <v>2</v>
      </c>
      <c r="CA442" s="17">
        <f>HYPERLINK("http://exon.niaid.nih.gov/transcriptome/T_rubida/S2/links/cluster/Triru-pep-ext45-50-Sim-CLU12.txt", 12)</f>
        <v>12</v>
      </c>
      <c r="CB442" s="1">
        <f>HYPERLINK("http://exon.niaid.nih.gov/transcriptome/T_rubida/S2/links/cluster/Triru-pep-ext45-50-Sim-CLTL12.txt", 2)</f>
        <v>2</v>
      </c>
      <c r="CC442" s="17">
        <f>HYPERLINK("http://exon.niaid.nih.gov/transcriptome/T_rubida/S2/links/cluster/Triru-pep-ext50-50-Sim-CLU12.txt", 12)</f>
        <v>12</v>
      </c>
      <c r="CD442" s="1">
        <f>HYPERLINK("http://exon.niaid.nih.gov/transcriptome/T_rubida/S2/links/cluster/Triru-pep-ext50-50-Sim-CLTL12.txt", 2)</f>
        <v>2</v>
      </c>
      <c r="CE442" s="17">
        <v>108</v>
      </c>
      <c r="CF442" s="1">
        <v>1</v>
      </c>
      <c r="CG442" s="17">
        <v>109</v>
      </c>
      <c r="CH442" s="1">
        <v>1</v>
      </c>
      <c r="CI442" s="17">
        <v>115</v>
      </c>
      <c r="CJ442" s="1">
        <v>1</v>
      </c>
      <c r="CK442" s="17">
        <v>120</v>
      </c>
      <c r="CL442" s="1">
        <v>1</v>
      </c>
      <c r="CM442" s="17">
        <v>126</v>
      </c>
      <c r="CN442" s="1">
        <v>1</v>
      </c>
      <c r="CO442" s="17">
        <v>136</v>
      </c>
      <c r="CP442" s="1">
        <v>1</v>
      </c>
      <c r="CQ442" s="17">
        <v>146</v>
      </c>
      <c r="CR442" s="1">
        <v>1</v>
      </c>
      <c r="CS442" s="17">
        <v>151</v>
      </c>
      <c r="CT442" s="1">
        <v>1</v>
      </c>
      <c r="CU442" s="17">
        <v>162</v>
      </c>
      <c r="CV442" s="1">
        <v>1</v>
      </c>
    </row>
    <row r="443" spans="1:100">
      <c r="A443" t="str">
        <f>HYPERLINK("http://exon.niaid.nih.gov/transcriptome/T_rubida/S2/links/pep/Triru-332-pep.txt","Triru-332")</f>
        <v>Triru-332</v>
      </c>
      <c r="B443">
        <v>58</v>
      </c>
      <c r="C443" s="1" t="s">
        <v>17</v>
      </c>
      <c r="D443" s="1" t="s">
        <v>3</v>
      </c>
      <c r="E443" t="str">
        <f>HYPERLINK("http://exon.niaid.nih.gov/transcriptome/T_rubida/S2/links/cds/Triru-332-cds.txt","Triru-332")</f>
        <v>Triru-332</v>
      </c>
      <c r="F443">
        <v>177</v>
      </c>
      <c r="G443" s="2" t="s">
        <v>1787</v>
      </c>
      <c r="H443" s="1">
        <v>1</v>
      </c>
      <c r="I443" s="3" t="s">
        <v>1266</v>
      </c>
      <c r="J443" s="17" t="str">
        <f>HYPERLINK("http://exon.niaid.nih.gov/transcriptome/T_rubida/S2/links/Sigp/Triru-332-SigP.txt","SIG")</f>
        <v>SIG</v>
      </c>
      <c r="K443" t="s">
        <v>1318</v>
      </c>
      <c r="L443" s="1">
        <v>6.7759999999999998</v>
      </c>
      <c r="M443" s="1">
        <v>9.81</v>
      </c>
      <c r="N443" s="1">
        <v>4.6879999999999997</v>
      </c>
      <c r="O443" s="1">
        <v>9.75</v>
      </c>
      <c r="P443" s="1">
        <v>3.3000000000000002E-2</v>
      </c>
      <c r="Q443" s="1">
        <v>0.83399999999999996</v>
      </c>
      <c r="R443" s="1">
        <v>0.14099999999999999</v>
      </c>
      <c r="S443" s="17" t="s">
        <v>18</v>
      </c>
      <c r="T443">
        <v>2</v>
      </c>
      <c r="U443" t="s">
        <v>1512</v>
      </c>
      <c r="V443" s="17" t="str">
        <f>HYPERLINK("http://exon.niaid.nih.gov/transcriptome/T_rubida/S2/links/tmhmm/TRIRU-332-tmhmm.txt","1")</f>
        <v>1</v>
      </c>
      <c r="W443">
        <v>37.9</v>
      </c>
      <c r="X443">
        <v>8.6</v>
      </c>
      <c r="Y443">
        <v>53.4</v>
      </c>
      <c r="Z443" t="s">
        <v>5</v>
      </c>
      <c r="AA443">
        <v>31</v>
      </c>
      <c r="AB443" s="17" t="str">
        <f>HYPERLINK("http://exon.niaid.nih.gov/transcriptome/T_rubida/S2/links/netoglyc/TRIRU-332-netoglyc.txt","0")</f>
        <v>0</v>
      </c>
      <c r="AC443">
        <v>17.2</v>
      </c>
      <c r="AD443">
        <v>3.4</v>
      </c>
      <c r="AE443">
        <v>1.7</v>
      </c>
      <c r="AF443" s="17" t="s">
        <v>5</v>
      </c>
      <c r="AG443" s="2" t="str">
        <f>HYPERLINK("http://exon.niaid.nih.gov/transcriptome/T_rubida/S2/links/NR/Triru-332-NR.txt","hypothetical protein ymoll0001_6340")</f>
        <v>hypothetical protein ymoll0001_6340</v>
      </c>
      <c r="AH443" t="str">
        <f>HYPERLINK("http://www.ncbi.nlm.nih.gov/sutils/blink.cgi?pid=238798770","7.8")</f>
        <v>7.8</v>
      </c>
      <c r="AI443" t="str">
        <f>HYPERLINK("http://www.ncbi.nlm.nih.gov/protein/238798770","gi|238798770")</f>
        <v>gi|238798770</v>
      </c>
      <c r="AJ443">
        <v>33.9</v>
      </c>
      <c r="AK443">
        <v>64</v>
      </c>
      <c r="AL443">
        <v>416</v>
      </c>
      <c r="AM443">
        <v>27</v>
      </c>
      <c r="AN443">
        <v>16</v>
      </c>
      <c r="AO443" t="s">
        <v>1066</v>
      </c>
      <c r="AP443" s="2" t="str">
        <f>HYPERLINK("http://exon.niaid.nih.gov/transcriptome/T_rubida/S2/links/SWISSP/Triru-332-SWISSP.txt","Putative chemosensory receptor 36d")</f>
        <v>Putative chemosensory receptor 36d</v>
      </c>
      <c r="AQ443" t="str">
        <f>HYPERLINK("http://www.uniprot.org/uniprot/Q8INZ1","4.2")</f>
        <v>4.2</v>
      </c>
      <c r="AR443" t="s">
        <v>1067</v>
      </c>
      <c r="AS443">
        <v>30</v>
      </c>
      <c r="AT443">
        <v>51</v>
      </c>
      <c r="AU443">
        <v>410</v>
      </c>
      <c r="AV443">
        <v>28</v>
      </c>
      <c r="AW443">
        <v>13</v>
      </c>
      <c r="AX443">
        <v>41</v>
      </c>
      <c r="AY443">
        <v>5</v>
      </c>
      <c r="AZ443">
        <v>66</v>
      </c>
      <c r="BA443">
        <v>1</v>
      </c>
      <c r="BB443">
        <v>1</v>
      </c>
      <c r="BC443" t="s">
        <v>150</v>
      </c>
      <c r="BD443" s="2" t="s">
        <v>5</v>
      </c>
      <c r="BE443" t="s">
        <v>5</v>
      </c>
      <c r="BF443" t="s">
        <v>5</v>
      </c>
      <c r="BG443" t="s">
        <v>5</v>
      </c>
      <c r="BH443" t="s">
        <v>5</v>
      </c>
      <c r="BI443" s="2" t="str">
        <f>HYPERLINK("http://exon.niaid.nih.gov/transcriptome/T_rubida/S2/links/CDD/Triru-332-CDD.txt","SRPBCC_PITPNC1_")</f>
        <v>SRPBCC_PITPNC1_</v>
      </c>
      <c r="BJ443" t="str">
        <f>HYPERLINK("http://www.ncbi.nlm.nih.gov/Structure/cdd/cddsrv.cgi?uid=cd08890&amp;version=v4.0","1.6")</f>
        <v>1.6</v>
      </c>
      <c r="BK443" t="s">
        <v>1068</v>
      </c>
      <c r="BL443" s="2" t="str">
        <f>HYPERLINK("http://exon.niaid.nih.gov/transcriptome/T_rubida/S2/links/KOG/Triru-332-KOG.txt","Endocytosis protein RME-8, contains DnaJ domain")</f>
        <v>Endocytosis protein RME-8, contains DnaJ domain</v>
      </c>
      <c r="BM443" t="str">
        <f>HYPERLINK("http://www.ncbi.nlm.nih.gov/COG/grace/shokog.cgi?KOG1789","2.3")</f>
        <v>2.3</v>
      </c>
      <c r="BN443" t="s">
        <v>1069</v>
      </c>
      <c r="BO443" s="2" t="s">
        <v>5</v>
      </c>
      <c r="BP443" t="s">
        <v>5</v>
      </c>
      <c r="BQ443" s="2" t="str">
        <f>HYPERLINK("http://exon.niaid.nih.gov/transcriptome/T_rubida/S2/links/SMART/Triru-332-SMART.txt","RasGAP")</f>
        <v>RasGAP</v>
      </c>
      <c r="BR443" t="str">
        <f>HYPERLINK("http://smart.embl-heidelberg.de/smart/do_annotation.pl?DOMAIN=RasGAP&amp;BLAST=DUMMY","5.0")</f>
        <v>5.0</v>
      </c>
      <c r="BS443" s="17">
        <f>HYPERLINK("http://exon.niaid.nih.gov/transcriptome/T_rubida/S2/links/cluster/Triru-pep-ext25-50-Sim-CLU1.txt", 1)</f>
        <v>1</v>
      </c>
      <c r="BT443" s="1">
        <f>HYPERLINK("http://exon.niaid.nih.gov/transcriptome/T_rubida/S2/links/cluster/Triru-pep-ext25-50-Sim-CLTL1.txt", 359)</f>
        <v>359</v>
      </c>
      <c r="BU443" s="17">
        <f>HYPERLINK("http://exon.niaid.nih.gov/transcriptome/T_rubida/S2/links/cluster/Triru-pep-ext30-50-Sim-CLU1.txt", 1)</f>
        <v>1</v>
      </c>
      <c r="BV443" s="1">
        <f>HYPERLINK("http://exon.niaid.nih.gov/transcriptome/T_rubida/S2/links/cluster/Triru-pep-ext30-50-Sim-CLTL1.txt", 225)</f>
        <v>225</v>
      </c>
      <c r="BW443" s="17">
        <v>186</v>
      </c>
      <c r="BX443" s="1">
        <v>1</v>
      </c>
      <c r="BY443" s="17">
        <v>198</v>
      </c>
      <c r="BZ443" s="1">
        <v>1</v>
      </c>
      <c r="CA443" s="17">
        <v>204</v>
      </c>
      <c r="CB443" s="1">
        <v>1</v>
      </c>
      <c r="CC443" s="17">
        <v>209</v>
      </c>
      <c r="CD443" s="1">
        <v>1</v>
      </c>
      <c r="CE443" s="17">
        <v>215</v>
      </c>
      <c r="CF443" s="1">
        <v>1</v>
      </c>
      <c r="CG443" s="17">
        <v>217</v>
      </c>
      <c r="CH443" s="1">
        <v>1</v>
      </c>
      <c r="CI443" s="17">
        <v>227</v>
      </c>
      <c r="CJ443" s="1">
        <v>1</v>
      </c>
      <c r="CK443" s="17">
        <v>232</v>
      </c>
      <c r="CL443" s="1">
        <v>1</v>
      </c>
      <c r="CM443" s="17">
        <v>239</v>
      </c>
      <c r="CN443" s="1">
        <v>1</v>
      </c>
      <c r="CO443" s="17">
        <v>250</v>
      </c>
      <c r="CP443" s="1">
        <v>1</v>
      </c>
      <c r="CQ443" s="17">
        <v>260</v>
      </c>
      <c r="CR443" s="1">
        <v>1</v>
      </c>
      <c r="CS443" s="17">
        <v>270</v>
      </c>
      <c r="CT443" s="1">
        <v>1</v>
      </c>
      <c r="CU443" s="17">
        <v>281</v>
      </c>
      <c r="CV443" s="1">
        <v>1</v>
      </c>
    </row>
    <row r="444" spans="1:100" s="6" customFormat="1">
      <c r="A444" s="12" t="s">
        <v>1295</v>
      </c>
      <c r="I444" s="7"/>
      <c r="P444" s="6" t="s">
        <v>5</v>
      </c>
      <c r="Q444" s="6" t="s">
        <v>5</v>
      </c>
      <c r="R444" s="6" t="s">
        <v>5</v>
      </c>
      <c r="S444" s="6" t="s">
        <v>5</v>
      </c>
      <c r="T444" s="6" t="s">
        <v>5</v>
      </c>
      <c r="U444" s="6" t="s">
        <v>5</v>
      </c>
      <c r="V444" s="6" t="s">
        <v>5</v>
      </c>
      <c r="W444" s="6" t="s">
        <v>5</v>
      </c>
      <c r="X444" s="6" t="s">
        <v>5</v>
      </c>
      <c r="Y444" s="6" t="s">
        <v>5</v>
      </c>
      <c r="Z444" s="6" t="s">
        <v>5</v>
      </c>
      <c r="AA444" s="6" t="s">
        <v>5</v>
      </c>
      <c r="AB444" s="6" t="s">
        <v>5</v>
      </c>
      <c r="AC444" s="6" t="s">
        <v>5</v>
      </c>
      <c r="AD444" s="6" t="s">
        <v>5</v>
      </c>
      <c r="AE444" s="6" t="s">
        <v>5</v>
      </c>
      <c r="AF444" s="6" t="s">
        <v>5</v>
      </c>
    </row>
    <row r="445" spans="1:100">
      <c r="A445" t="str">
        <f>HYPERLINK("http://exon.niaid.nih.gov/transcriptome/T_rubida/S2/links/pep/Triru-302-pep.txt","Triru-302")</f>
        <v>Triru-302</v>
      </c>
      <c r="B445">
        <v>89</v>
      </c>
      <c r="C445" s="1" t="s">
        <v>6</v>
      </c>
      <c r="D445" s="1" t="s">
        <v>3</v>
      </c>
      <c r="E445" t="str">
        <f>HYPERLINK("http://exon.niaid.nih.gov/transcriptome/T_rubida/S2/links/cds/Triru-302-cds.txt","Triru-302")</f>
        <v>Triru-302</v>
      </c>
      <c r="F445">
        <v>270</v>
      </c>
      <c r="G445" s="2" t="s">
        <v>1654</v>
      </c>
      <c r="H445" s="1">
        <v>1</v>
      </c>
      <c r="I445" s="3" t="s">
        <v>1271</v>
      </c>
      <c r="J445" s="17" t="str">
        <f>HYPERLINK("http://exon.niaid.nih.gov/transcriptome/T_rubida/S2/links/Sigp/Triru-302-SigP.txt","CYT")</f>
        <v>CYT</v>
      </c>
      <c r="K445" t="s">
        <v>5</v>
      </c>
      <c r="L445" s="1">
        <v>10.147</v>
      </c>
      <c r="M445" s="1">
        <v>9.25</v>
      </c>
      <c r="P445" s="1">
        <v>0.184</v>
      </c>
      <c r="Q445" s="1">
        <v>3.7999999999999999E-2</v>
      </c>
      <c r="R445" s="1">
        <v>0.88100000000000001</v>
      </c>
      <c r="S445" s="17" t="s">
        <v>1346</v>
      </c>
      <c r="T445">
        <v>2</v>
      </c>
      <c r="U445" t="s">
        <v>1348</v>
      </c>
      <c r="V445" s="17">
        <v>0</v>
      </c>
      <c r="W445" t="s">
        <v>5</v>
      </c>
      <c r="X445" t="s">
        <v>5</v>
      </c>
      <c r="Y445" t="s">
        <v>5</v>
      </c>
      <c r="Z445" t="s">
        <v>5</v>
      </c>
      <c r="AA445" t="s">
        <v>5</v>
      </c>
      <c r="AB445" s="17" t="str">
        <f>HYPERLINK("http://exon.niaid.nih.gov/transcriptome/T_rubida/S2/links/netoglyc/TRIRU-302-netoglyc.txt","1")</f>
        <v>1</v>
      </c>
      <c r="AC445">
        <v>12.4</v>
      </c>
      <c r="AD445">
        <v>5.6</v>
      </c>
      <c r="AE445">
        <v>6.7</v>
      </c>
      <c r="AF445" s="17" t="s">
        <v>5</v>
      </c>
      <c r="AG445" s="2" t="str">
        <f>HYPERLINK("http://exon.niaid.nih.gov/transcriptome/T_rubida/S2/links/NR/Triru-302-NR.txt","ribosomal protein S20")</f>
        <v>ribosomal protein S20</v>
      </c>
      <c r="AH445" t="str">
        <f>HYPERLINK("http://www.ncbi.nlm.nih.gov/sutils/blink.cgi?pid=71402828","3E-040")</f>
        <v>3E-040</v>
      </c>
      <c r="AI445" t="str">
        <f>HYPERLINK("http://www.ncbi.nlm.nih.gov/protein/71402828","gi|71402828")</f>
        <v>gi|71402828</v>
      </c>
      <c r="AJ445">
        <v>168</v>
      </c>
      <c r="AK445">
        <v>87</v>
      </c>
      <c r="AL445">
        <v>117</v>
      </c>
      <c r="AM445">
        <v>90</v>
      </c>
      <c r="AN445">
        <v>75</v>
      </c>
      <c r="AO445" t="s">
        <v>176</v>
      </c>
      <c r="AP445" s="2" t="str">
        <f>HYPERLINK("http://exon.niaid.nih.gov/transcriptome/T_rubida/S2/links/SWISSP/Triru-302-SWISSP.txt","40S ribosomal protein S20")</f>
        <v>40S ribosomal protein S20</v>
      </c>
      <c r="AQ445" t="str">
        <f>HYPERLINK("http://www.uniprot.org/uniprot/P55828","2E-022")</f>
        <v>2E-022</v>
      </c>
      <c r="AR445" t="s">
        <v>552</v>
      </c>
      <c r="AS445">
        <v>104</v>
      </c>
      <c r="AT445">
        <v>83</v>
      </c>
      <c r="AU445">
        <v>120</v>
      </c>
      <c r="AV445">
        <v>51</v>
      </c>
      <c r="AW445">
        <v>70</v>
      </c>
      <c r="AX445">
        <v>41</v>
      </c>
      <c r="AY445">
        <v>0</v>
      </c>
      <c r="AZ445">
        <v>35</v>
      </c>
      <c r="BA445">
        <v>2</v>
      </c>
      <c r="BB445">
        <v>1</v>
      </c>
      <c r="BC445" t="s">
        <v>150</v>
      </c>
      <c r="BD445" s="2" t="s">
        <v>553</v>
      </c>
      <c r="BE445">
        <f>HYPERLINK("http://exon.niaid.nih.gov/transcriptome/T_rubida/S2/links/GO/Triru-302-GO.txt",1E-22)</f>
        <v>1E-22</v>
      </c>
      <c r="BF445" t="s">
        <v>138</v>
      </c>
      <c r="BG445" t="s">
        <v>139</v>
      </c>
      <c r="BH445" t="s">
        <v>140</v>
      </c>
      <c r="BI445" s="2" t="str">
        <f>HYPERLINK("http://exon.niaid.nih.gov/transcriptome/T_rubida/S2/links/CDD/Triru-302-CDD.txt","PTZ00039")</f>
        <v>PTZ00039</v>
      </c>
      <c r="BJ445" t="str">
        <f>HYPERLINK("http://www.ncbi.nlm.nih.gov/Structure/cdd/cddsrv.cgi?uid=PTZ00039&amp;version=v4.0","2E-025")</f>
        <v>2E-025</v>
      </c>
      <c r="BK445" t="s">
        <v>554</v>
      </c>
      <c r="BL445" s="2" t="str">
        <f>HYPERLINK("http://exon.niaid.nih.gov/transcriptome/T_rubida/S2/links/KOG/Triru-302-KOG.txt","40S ribosomal protein S20")</f>
        <v>40S ribosomal protein S20</v>
      </c>
      <c r="BM445" t="str">
        <f>HYPERLINK("http://www.ncbi.nlm.nih.gov/COG/grace/shokog.cgi?KOG0900","9E-020")</f>
        <v>9E-020</v>
      </c>
      <c r="BN445" t="s">
        <v>84</v>
      </c>
      <c r="BO445" s="2" t="str">
        <f>HYPERLINK("http://exon.niaid.nih.gov/transcriptome/T_rubida/S2/links/PFAM/Triru-302-PFAM.txt","Ribosomal_S10")</f>
        <v>Ribosomal_S10</v>
      </c>
      <c r="BP445" t="str">
        <f>HYPERLINK("http://pfam.sanger.ac.uk/family?acc=PF00338","2E-016")</f>
        <v>2E-016</v>
      </c>
      <c r="BQ445" s="2" t="str">
        <f>HYPERLINK("http://exon.niaid.nih.gov/transcriptome/T_rubida/S2/links/SMART/Triru-302-SMART.txt","PGA_cap")</f>
        <v>PGA_cap</v>
      </c>
      <c r="BR445" t="str">
        <f>HYPERLINK("http://smart.embl-heidelberg.de/smart/do_annotation.pl?DOMAIN=PGA_cap&amp;BLAST=DUMMY","0.74")</f>
        <v>0.74</v>
      </c>
      <c r="BS445" s="17">
        <f>HYPERLINK("http://exon.niaid.nih.gov/transcriptome/T_rubida/S2/links/cluster/Triru-pep-ext25-50-Sim-CLU22.txt", 22)</f>
        <v>22</v>
      </c>
      <c r="BT445" s="1">
        <f>HYPERLINK("http://exon.niaid.nih.gov/transcriptome/T_rubida/S2/links/cluster/Triru-pep-ext25-50-Sim-CLTL22.txt", 2)</f>
        <v>2</v>
      </c>
      <c r="BU445" s="17">
        <f>HYPERLINK("http://exon.niaid.nih.gov/transcriptome/T_rubida/S2/links/cluster/Triru-pep-ext30-50-Sim-CLU29.txt", 29)</f>
        <v>29</v>
      </c>
      <c r="BV445" s="1">
        <f>HYPERLINK("http://exon.niaid.nih.gov/transcriptome/T_rubida/S2/links/cluster/Triru-pep-ext30-50-Sim-CLTL29.txt", 2)</f>
        <v>2</v>
      </c>
      <c r="BW445" s="17">
        <f>HYPERLINK("http://exon.niaid.nih.gov/transcriptome/T_rubida/S2/links/cluster/Triru-pep-ext35-50-Sim-CLU31.txt", 31)</f>
        <v>31</v>
      </c>
      <c r="BX445" s="1">
        <f>HYPERLINK("http://exon.niaid.nih.gov/transcriptome/T_rubida/S2/links/cluster/Triru-pep-ext35-50-Sim-CLTL31.txt", 2)</f>
        <v>2</v>
      </c>
      <c r="BY445" s="17">
        <f>HYPERLINK("http://exon.niaid.nih.gov/transcriptome/T_rubida/S2/links/cluster/Triru-pep-ext40-50-Sim-CLU28.txt", 28)</f>
        <v>28</v>
      </c>
      <c r="BZ445" s="1">
        <f>HYPERLINK("http://exon.niaid.nih.gov/transcriptome/T_rubida/S2/links/cluster/Triru-pep-ext40-50-Sim-CLTL28.txt", 2)</f>
        <v>2</v>
      </c>
      <c r="CA445" s="17">
        <f>HYPERLINK("http://exon.niaid.nih.gov/transcriptome/T_rubida/S2/links/cluster/Triru-pep-ext45-50-Sim-CLU23.txt", 23)</f>
        <v>23</v>
      </c>
      <c r="CB445" s="1">
        <f>HYPERLINK("http://exon.niaid.nih.gov/transcriptome/T_rubida/S2/links/cluster/Triru-pep-ext45-50-Sim-CLTL23.txt", 2)</f>
        <v>2</v>
      </c>
      <c r="CC445" s="17">
        <f>HYPERLINK("http://exon.niaid.nih.gov/transcriptome/T_rubida/S2/links/cluster/Triru-pep-ext50-50-Sim-CLU22.txt", 22)</f>
        <v>22</v>
      </c>
      <c r="CD445" s="1">
        <f>HYPERLINK("http://exon.niaid.nih.gov/transcriptome/T_rubida/S2/links/cluster/Triru-pep-ext50-50-Sim-CLTL22.txt", 2)</f>
        <v>2</v>
      </c>
      <c r="CE445" s="17">
        <f>HYPERLINK("http://exon.niaid.nih.gov/transcriptome/T_rubida/S2/links/cluster/Triru-pep-ext55-50-Sim-CLU17.txt", 17)</f>
        <v>17</v>
      </c>
      <c r="CF445" s="1">
        <f>HYPERLINK("http://exon.niaid.nih.gov/transcriptome/T_rubida/S2/links/cluster/Triru-pep-ext55-50-Sim-CLTL17.txt", 2)</f>
        <v>2</v>
      </c>
      <c r="CG445" s="17">
        <f>HYPERLINK("http://exon.niaid.nih.gov/transcriptome/T_rubida/S2/links/cluster/Triru-pep-ext60-50-Sim-CLU18.txt", 18)</f>
        <v>18</v>
      </c>
      <c r="CH445" s="1">
        <f>HYPERLINK("http://exon.niaid.nih.gov/transcriptome/T_rubida/S2/links/cluster/Triru-pep-ext60-50-Sim-CLTL18.txt", 2)</f>
        <v>2</v>
      </c>
      <c r="CI445" s="17">
        <v>205</v>
      </c>
      <c r="CJ445" s="1">
        <v>1</v>
      </c>
      <c r="CK445" s="17">
        <v>210</v>
      </c>
      <c r="CL445" s="1">
        <v>1</v>
      </c>
      <c r="CM445" s="17">
        <v>216</v>
      </c>
      <c r="CN445" s="1">
        <v>1</v>
      </c>
      <c r="CO445" s="17">
        <v>227</v>
      </c>
      <c r="CP445" s="1">
        <v>1</v>
      </c>
      <c r="CQ445" s="17">
        <v>237</v>
      </c>
      <c r="CR445" s="1">
        <v>1</v>
      </c>
      <c r="CS445" s="17">
        <v>246</v>
      </c>
      <c r="CT445" s="1">
        <v>1</v>
      </c>
      <c r="CU445" s="17">
        <v>257</v>
      </c>
      <c r="CV445" s="1">
        <v>1</v>
      </c>
    </row>
    <row r="446" spans="1:100">
      <c r="A446" t="str">
        <f>HYPERLINK("http://exon.niaid.nih.gov/transcriptome/T_rubida/S2/links/pep/Triru-577-pep.txt","Triru-577")</f>
        <v>Triru-577</v>
      </c>
      <c r="B446">
        <v>115</v>
      </c>
      <c r="C446" s="1" t="s">
        <v>4</v>
      </c>
      <c r="D446" s="1" t="s">
        <v>3</v>
      </c>
      <c r="E446" t="str">
        <f>HYPERLINK("http://exon.niaid.nih.gov/transcriptome/T_rubida/S2/links/cds/Triru-577-cds.txt","Triru-577")</f>
        <v>Triru-577</v>
      </c>
      <c r="F446">
        <v>348</v>
      </c>
      <c r="G446" s="2" t="s">
        <v>1880</v>
      </c>
      <c r="H446" s="1">
        <v>1</v>
      </c>
      <c r="I446" s="3" t="s">
        <v>1271</v>
      </c>
      <c r="J446" s="17" t="str">
        <f>HYPERLINK("http://exon.niaid.nih.gov/transcriptome/T_rubida/S2/links/Sigp/Triru-577-SigP.txt","CYT")</f>
        <v>CYT</v>
      </c>
      <c r="K446" t="s">
        <v>5</v>
      </c>
      <c r="L446" s="1">
        <v>12.275</v>
      </c>
      <c r="M446" s="1">
        <v>4.4400000000000004</v>
      </c>
      <c r="P446" s="1">
        <v>7.8E-2</v>
      </c>
      <c r="Q446" s="1">
        <v>8.4000000000000005E-2</v>
      </c>
      <c r="R446" s="1">
        <v>0.90900000000000003</v>
      </c>
      <c r="S446" s="17" t="s">
        <v>1346</v>
      </c>
      <c r="T446">
        <v>1</v>
      </c>
      <c r="U446" t="s">
        <v>1348</v>
      </c>
      <c r="V446" s="17">
        <v>0</v>
      </c>
      <c r="W446" t="s">
        <v>5</v>
      </c>
      <c r="X446" t="s">
        <v>5</v>
      </c>
      <c r="Y446" t="s">
        <v>5</v>
      </c>
      <c r="Z446" t="s">
        <v>5</v>
      </c>
      <c r="AA446" t="s">
        <v>5</v>
      </c>
      <c r="AB446" s="17" t="str">
        <f>HYPERLINK("http://exon.niaid.nih.gov/transcriptome/T_rubida/S2/links/netoglyc/TRIRU-577-netoglyc.txt","1")</f>
        <v>1</v>
      </c>
      <c r="AC446">
        <v>13</v>
      </c>
      <c r="AD446">
        <v>5.2</v>
      </c>
      <c r="AE446">
        <v>6.1</v>
      </c>
      <c r="AF446" s="17" t="s">
        <v>5</v>
      </c>
      <c r="AG446" s="2" t="str">
        <f>HYPERLINK("http://exon.niaid.nih.gov/transcriptome/T_rubida/S2/links/NR/Triru-577-NR.txt","eukaryotic initiation factor 5a")</f>
        <v>eukaryotic initiation factor 5a</v>
      </c>
      <c r="AH446" t="str">
        <f>HYPERLINK("http://www.ncbi.nlm.nih.gov/sutils/blink.cgi?pid=71659667","4E-053")</f>
        <v>4E-053</v>
      </c>
      <c r="AI446" t="str">
        <f>HYPERLINK("http://www.ncbi.nlm.nih.gov/protein/71659667","gi|71659667")</f>
        <v>gi|71659667</v>
      </c>
      <c r="AJ446">
        <v>211</v>
      </c>
      <c r="AK446">
        <v>113</v>
      </c>
      <c r="AL446">
        <v>167</v>
      </c>
      <c r="AM446">
        <v>89</v>
      </c>
      <c r="AN446">
        <v>68</v>
      </c>
      <c r="AO446" t="s">
        <v>176</v>
      </c>
      <c r="AP446" s="2" t="str">
        <f>HYPERLINK("http://exon.niaid.nih.gov/transcriptome/T_rubida/S2/links/SWISSP/Triru-577-SWISSP.txt","Eukaryotic translation initiation factor 5A-4")</f>
        <v>Eukaryotic translation initiation factor 5A-4</v>
      </c>
      <c r="AQ446" t="str">
        <f>HYPERLINK("http://www.uniprot.org/uniprot/P56336","2E-023")</f>
        <v>2E-023</v>
      </c>
      <c r="AR446" t="s">
        <v>213</v>
      </c>
      <c r="AS446">
        <v>107</v>
      </c>
      <c r="AT446">
        <v>104</v>
      </c>
      <c r="AU446">
        <v>159</v>
      </c>
      <c r="AV446">
        <v>46</v>
      </c>
      <c r="AW446">
        <v>66</v>
      </c>
      <c r="AX446">
        <v>60</v>
      </c>
      <c r="AY446">
        <v>7</v>
      </c>
      <c r="AZ446">
        <v>27</v>
      </c>
      <c r="BA446">
        <v>2</v>
      </c>
      <c r="BB446">
        <v>1</v>
      </c>
      <c r="BC446" t="s">
        <v>214</v>
      </c>
      <c r="BD446" s="2" t="s">
        <v>215</v>
      </c>
      <c r="BE446">
        <f>HYPERLINK("http://exon.niaid.nih.gov/transcriptome/T_rubida/S2/links/GO/Triru-577-GO.txt",2E-23)</f>
        <v>1.9999999999999999E-23</v>
      </c>
      <c r="BF446" t="s">
        <v>1945</v>
      </c>
      <c r="BG446" t="s">
        <v>216</v>
      </c>
      <c r="BH446" t="s">
        <v>1946</v>
      </c>
      <c r="BI446" s="2" t="str">
        <f>HYPERLINK("http://exon.niaid.nih.gov/transcriptome/T_rubida/S2/links/CDD/Triru-577-CDD.txt","PTZ00328")</f>
        <v>PTZ00328</v>
      </c>
      <c r="BJ446" t="str">
        <f>HYPERLINK("http://www.ncbi.nlm.nih.gov/Structure/cdd/cddsrv.cgi?uid=PTZ00328&amp;version=v4.0","4E-054")</f>
        <v>4E-054</v>
      </c>
      <c r="BK446" t="s">
        <v>217</v>
      </c>
      <c r="BL446" s="2" t="str">
        <f>HYPERLINK("http://exon.niaid.nih.gov/transcriptome/T_rubida/S2/links/KOG/Triru-577-KOG.txt","Translation initiation factor 5A (eIF-5A)")</f>
        <v>Translation initiation factor 5A (eIF-5A)</v>
      </c>
      <c r="BM446" t="str">
        <f>HYPERLINK("http://www.ncbi.nlm.nih.gov/COG/grace/shokog.cgi?KOG3271","9E-025")</f>
        <v>9E-025</v>
      </c>
      <c r="BN446" t="s">
        <v>84</v>
      </c>
      <c r="BO446" s="2" t="str">
        <f>HYPERLINK("http://exon.niaid.nih.gov/transcriptome/T_rubida/S2/links/PFAM/Triru-577-PFAM.txt","eIF-5a")</f>
        <v>eIF-5a</v>
      </c>
      <c r="BP446" t="str">
        <f>HYPERLINK("http://pfam.sanger.ac.uk/family?acc=PF01287","2E-009")</f>
        <v>2E-009</v>
      </c>
      <c r="BQ446" s="2" t="str">
        <f>HYPERLINK("http://exon.niaid.nih.gov/transcriptome/T_rubida/S2/links/SMART/Triru-577-SMART.txt","PXA")</f>
        <v>PXA</v>
      </c>
      <c r="BR446" t="str">
        <f>HYPERLINK("http://smart.embl-heidelberg.de/smart/do_annotation.pl?DOMAIN=PXA&amp;BLAST=DUMMY","0.87")</f>
        <v>0.87</v>
      </c>
      <c r="BS446" s="17">
        <f>HYPERLINK("http://exon.niaid.nih.gov/transcriptome/T_rubida/S2/links/cluster/Triru-pep-ext25-50-Sim-CLU1.txt", 1)</f>
        <v>1</v>
      </c>
      <c r="BT446" s="1">
        <f>HYPERLINK("http://exon.niaid.nih.gov/transcriptome/T_rubida/S2/links/cluster/Triru-pep-ext25-50-Sim-CLTL1.txt", 359)</f>
        <v>359</v>
      </c>
      <c r="BU446" s="17">
        <v>262</v>
      </c>
      <c r="BV446" s="1">
        <v>1</v>
      </c>
      <c r="BW446" s="17">
        <v>335</v>
      </c>
      <c r="BX446" s="1">
        <v>1</v>
      </c>
      <c r="BY446" s="17">
        <v>368</v>
      </c>
      <c r="BZ446" s="1">
        <v>1</v>
      </c>
      <c r="CA446" s="17">
        <v>383</v>
      </c>
      <c r="CB446" s="1">
        <v>1</v>
      </c>
      <c r="CC446" s="17">
        <v>397</v>
      </c>
      <c r="CD446" s="1">
        <v>1</v>
      </c>
      <c r="CE446" s="17">
        <v>412</v>
      </c>
      <c r="CF446" s="1">
        <v>1</v>
      </c>
      <c r="CG446" s="17">
        <v>418</v>
      </c>
      <c r="CH446" s="1">
        <v>1</v>
      </c>
      <c r="CI446" s="17">
        <v>430</v>
      </c>
      <c r="CJ446" s="1">
        <v>1</v>
      </c>
      <c r="CK446" s="17">
        <v>436</v>
      </c>
      <c r="CL446" s="1">
        <v>1</v>
      </c>
      <c r="CM446" s="17">
        <v>447</v>
      </c>
      <c r="CN446" s="1">
        <v>1</v>
      </c>
      <c r="CO446" s="17">
        <v>459</v>
      </c>
      <c r="CP446" s="1">
        <v>1</v>
      </c>
      <c r="CQ446" s="17">
        <v>469</v>
      </c>
      <c r="CR446" s="1">
        <v>1</v>
      </c>
      <c r="CS446" s="17">
        <v>482</v>
      </c>
      <c r="CT446" s="1">
        <v>1</v>
      </c>
      <c r="CU446" s="17">
        <v>494</v>
      </c>
      <c r="CV446" s="1">
        <v>1</v>
      </c>
    </row>
    <row r="447" spans="1:100">
      <c r="A447" t="str">
        <f>HYPERLINK("http://exon.niaid.nih.gov/transcriptome/T_rubida/S2/links/pep/Triru-360-pep.txt","Triru-360")</f>
        <v>Triru-360</v>
      </c>
      <c r="B447">
        <v>131</v>
      </c>
      <c r="C447" s="1" t="s">
        <v>17</v>
      </c>
      <c r="D447" s="1" t="s">
        <v>3</v>
      </c>
      <c r="E447" t="str">
        <f>HYPERLINK("http://exon.niaid.nih.gov/transcriptome/T_rubida/S2/links/cds/Triru-360-cds.txt","Triru-360")</f>
        <v>Triru-360</v>
      </c>
      <c r="F447">
        <v>396</v>
      </c>
      <c r="G447" s="2" t="s">
        <v>1881</v>
      </c>
      <c r="H447" s="1">
        <v>1</v>
      </c>
      <c r="I447" s="3" t="s">
        <v>1271</v>
      </c>
      <c r="J447" s="17" t="str">
        <f>HYPERLINK("http://exon.niaid.nih.gov/transcriptome/T_rubida/S2/links/Sigp/Triru-360-SigP.txt","CYT")</f>
        <v>CYT</v>
      </c>
      <c r="K447" t="s">
        <v>5</v>
      </c>
      <c r="L447" s="1">
        <v>14.648999999999999</v>
      </c>
      <c r="M447" s="1">
        <v>4.04</v>
      </c>
      <c r="P447" s="1">
        <v>3.7999999999999999E-2</v>
      </c>
      <c r="Q447" s="1">
        <v>5.1999999999999998E-2</v>
      </c>
      <c r="R447" s="1">
        <v>0.97499999999999998</v>
      </c>
      <c r="S447" s="17" t="s">
        <v>1346</v>
      </c>
      <c r="T447">
        <v>1</v>
      </c>
      <c r="U447" t="s">
        <v>1567</v>
      </c>
      <c r="V447" s="17">
        <v>0</v>
      </c>
      <c r="W447" t="s">
        <v>5</v>
      </c>
      <c r="X447" t="s">
        <v>5</v>
      </c>
      <c r="Y447" t="s">
        <v>5</v>
      </c>
      <c r="Z447" t="s">
        <v>5</v>
      </c>
      <c r="AA447" t="s">
        <v>5</v>
      </c>
      <c r="AB447" s="17" t="str">
        <f>HYPERLINK("http://exon.niaid.nih.gov/transcriptome/T_rubida/S2/links/netoglyc/TRIRU-360-netoglyc.txt","2")</f>
        <v>2</v>
      </c>
      <c r="AC447">
        <v>10.7</v>
      </c>
      <c r="AD447">
        <v>6.9</v>
      </c>
      <c r="AE447">
        <v>2.2999999999999998</v>
      </c>
      <c r="AF447" s="17" t="s">
        <v>5</v>
      </c>
      <c r="AG447" s="2" t="str">
        <f>HYPERLINK("http://exon.niaid.nih.gov/transcriptome/T_rubida/S2/links/NR/Triru-360-NR.txt","hypothetical protein")</f>
        <v>hypothetical protein</v>
      </c>
      <c r="AH447" t="str">
        <f>HYPERLINK("http://www.ncbi.nlm.nih.gov/sutils/blink.cgi?pid=71656952","7E-039")</f>
        <v>7E-039</v>
      </c>
      <c r="AI447" t="str">
        <f>HYPERLINK("http://www.ncbi.nlm.nih.gov/protein/71656952","gi|71656952")</f>
        <v>gi|71656952</v>
      </c>
      <c r="AJ447">
        <v>163</v>
      </c>
      <c r="AK447">
        <v>124</v>
      </c>
      <c r="AL447">
        <v>217</v>
      </c>
      <c r="AM447">
        <v>68</v>
      </c>
      <c r="AN447">
        <v>58</v>
      </c>
      <c r="AO447" t="s">
        <v>176</v>
      </c>
      <c r="AP447" s="2" t="str">
        <f>HYPERLINK("http://exon.niaid.nih.gov/transcriptome/T_rubida/S2/links/SWISSP/Triru-360-SWISSP.txt","Midasin")</f>
        <v>Midasin</v>
      </c>
      <c r="AQ447" t="str">
        <f>HYPERLINK("http://www.uniprot.org/uniprot/Q12019","0.10")</f>
        <v>0.10</v>
      </c>
      <c r="AR447" t="s">
        <v>1147</v>
      </c>
      <c r="AS447">
        <v>35.4</v>
      </c>
      <c r="AT447">
        <v>75</v>
      </c>
      <c r="AU447">
        <v>4910</v>
      </c>
      <c r="AV447">
        <v>32</v>
      </c>
      <c r="AW447">
        <v>2</v>
      </c>
      <c r="AX447">
        <v>54</v>
      </c>
      <c r="AY447">
        <v>5</v>
      </c>
      <c r="AZ447">
        <v>4497</v>
      </c>
      <c r="BA447">
        <v>51</v>
      </c>
      <c r="BB447">
        <v>1</v>
      </c>
      <c r="BC447" t="s">
        <v>344</v>
      </c>
      <c r="BD447" s="2" t="s">
        <v>5</v>
      </c>
      <c r="BE447" t="s">
        <v>5</v>
      </c>
      <c r="BF447" t="s">
        <v>5</v>
      </c>
      <c r="BG447" t="s">
        <v>5</v>
      </c>
      <c r="BH447" t="s">
        <v>5</v>
      </c>
      <c r="BI447" s="2" t="str">
        <f>HYPERLINK("http://exon.niaid.nih.gov/transcriptome/T_rubida/S2/links/CDD/Triru-360-CDD.txt","PRK04517")</f>
        <v>PRK04517</v>
      </c>
      <c r="BJ447" t="str">
        <f>HYPERLINK("http://www.ncbi.nlm.nih.gov/Structure/cdd/cddsrv.cgi?uid=PRK04517&amp;version=v4.0","1.4")</f>
        <v>1.4</v>
      </c>
      <c r="BK447" t="s">
        <v>1148</v>
      </c>
      <c r="BL447" s="2" t="str">
        <f>HYPERLINK("http://exon.niaid.nih.gov/transcriptome/T_rubida/S2/links/KOG/Triru-360-KOG.txt","Uncharacterized conserved protein, contains RCC1 domain")</f>
        <v>Uncharacterized conserved protein, contains RCC1 domain</v>
      </c>
      <c r="BM447" t="str">
        <f>HYPERLINK("http://www.ncbi.nlm.nih.gov/COG/grace/shokog.cgi?KOG1427","0.94")</f>
        <v>0.94</v>
      </c>
      <c r="BN447" t="s">
        <v>264</v>
      </c>
      <c r="BO447" s="2" t="str">
        <f>HYPERLINK("http://exon.niaid.nih.gov/transcriptome/T_rubida/S2/links/PFAM/Triru-360-PFAM.txt","DUF1517")</f>
        <v>DUF1517</v>
      </c>
      <c r="BP447" t="str">
        <f>HYPERLINK("http://pfam.sanger.ac.uk/family?acc=PF07466","0.80")</f>
        <v>0.80</v>
      </c>
      <c r="BQ447" s="2" t="str">
        <f>HYPERLINK("http://exon.niaid.nih.gov/transcriptome/T_rubida/S2/links/SMART/Triru-360-SMART.txt","Tubulin")</f>
        <v>Tubulin</v>
      </c>
      <c r="BR447" t="str">
        <f>HYPERLINK("http://smart.embl-heidelberg.de/smart/do_annotation.pl?DOMAIN=Tubulin&amp;BLAST=DUMMY","0.20")</f>
        <v>0.20</v>
      </c>
      <c r="BS447" s="17">
        <f>HYPERLINK("http://exon.niaid.nih.gov/transcriptome/T_rubida/S2/links/cluster/Triru-pep-ext25-50-Sim-CLU1.txt", 1)</f>
        <v>1</v>
      </c>
      <c r="BT447" s="1">
        <f>HYPERLINK("http://exon.niaid.nih.gov/transcriptome/T_rubida/S2/links/cluster/Triru-pep-ext25-50-Sim-CLTL1.txt", 359)</f>
        <v>359</v>
      </c>
      <c r="BU447" s="17">
        <f>HYPERLINK("http://exon.niaid.nih.gov/transcriptome/T_rubida/S2/links/cluster/Triru-pep-ext30-50-Sim-CLU34.txt", 34)</f>
        <v>34</v>
      </c>
      <c r="BV447" s="1">
        <f>HYPERLINK("http://exon.niaid.nih.gov/transcriptome/T_rubida/S2/links/cluster/Triru-pep-ext30-50-Sim-CLTL34.txt", 2)</f>
        <v>2</v>
      </c>
      <c r="BW447" s="17">
        <v>203</v>
      </c>
      <c r="BX447" s="1">
        <v>1</v>
      </c>
      <c r="BY447" s="17">
        <v>218</v>
      </c>
      <c r="BZ447" s="1">
        <v>1</v>
      </c>
      <c r="CA447" s="17">
        <v>225</v>
      </c>
      <c r="CB447" s="1">
        <v>1</v>
      </c>
      <c r="CC447" s="17">
        <v>230</v>
      </c>
      <c r="CD447" s="1">
        <v>1</v>
      </c>
      <c r="CE447" s="17">
        <v>237</v>
      </c>
      <c r="CF447" s="1">
        <v>1</v>
      </c>
      <c r="CG447" s="17">
        <v>239</v>
      </c>
      <c r="CH447" s="1">
        <v>1</v>
      </c>
      <c r="CI447" s="17">
        <v>249</v>
      </c>
      <c r="CJ447" s="1">
        <v>1</v>
      </c>
      <c r="CK447" s="17">
        <v>254</v>
      </c>
      <c r="CL447" s="1">
        <v>1</v>
      </c>
      <c r="CM447" s="17">
        <v>262</v>
      </c>
      <c r="CN447" s="1">
        <v>1</v>
      </c>
      <c r="CO447" s="17">
        <v>273</v>
      </c>
      <c r="CP447" s="1">
        <v>1</v>
      </c>
      <c r="CQ447" s="17">
        <v>283</v>
      </c>
      <c r="CR447" s="1">
        <v>1</v>
      </c>
      <c r="CS447" s="17">
        <v>293</v>
      </c>
      <c r="CT447" s="1">
        <v>1</v>
      </c>
      <c r="CU447" s="17">
        <v>304</v>
      </c>
      <c r="CV447" s="1">
        <v>1</v>
      </c>
    </row>
    <row r="448" spans="1:100">
      <c r="A448" t="str">
        <f>HYPERLINK("http://exon.niaid.nih.gov/transcriptome/T_rubida/S2/links/pep/Triru-369-pep.txt","Triru-369")</f>
        <v>Triru-369</v>
      </c>
      <c r="B448">
        <v>161</v>
      </c>
      <c r="C448" s="1" t="s">
        <v>6</v>
      </c>
      <c r="D448" s="1" t="s">
        <v>3</v>
      </c>
      <c r="E448" t="str">
        <f>HYPERLINK("http://exon.niaid.nih.gov/transcriptome/T_rubida/S2/links/cds/Triru-369-cds.txt","Triru-369")</f>
        <v>Triru-369</v>
      </c>
      <c r="F448">
        <v>486</v>
      </c>
      <c r="G448" s="2" t="s">
        <v>1882</v>
      </c>
      <c r="H448" s="1">
        <v>1</v>
      </c>
      <c r="I448" s="3" t="s">
        <v>1271</v>
      </c>
      <c r="J448" s="17" t="str">
        <f>HYPERLINK("http://exon.niaid.nih.gov/transcriptome/T_rubida/S2/links/Sigp/Triru-369-SigP.txt","CYT")</f>
        <v>CYT</v>
      </c>
      <c r="K448" t="s">
        <v>5</v>
      </c>
      <c r="L448" s="1">
        <v>17.338999999999999</v>
      </c>
      <c r="M448" s="1">
        <v>6.59</v>
      </c>
      <c r="P448" s="1">
        <v>0.60399999999999998</v>
      </c>
      <c r="Q448" s="1">
        <v>1.7999999999999999E-2</v>
      </c>
      <c r="R448" s="1">
        <v>0.55100000000000005</v>
      </c>
      <c r="S448" s="17" t="s">
        <v>9</v>
      </c>
      <c r="T448">
        <v>5</v>
      </c>
      <c r="U448" t="s">
        <v>1350</v>
      </c>
      <c r="V448" s="17">
        <v>0</v>
      </c>
      <c r="W448" t="s">
        <v>5</v>
      </c>
      <c r="X448" t="s">
        <v>5</v>
      </c>
      <c r="Y448" t="s">
        <v>5</v>
      </c>
      <c r="Z448" t="s">
        <v>5</v>
      </c>
      <c r="AA448" t="s">
        <v>5</v>
      </c>
      <c r="AB448" s="17" t="str">
        <f>HYPERLINK("http://exon.niaid.nih.gov/transcriptome/T_rubida/S2/links/netoglyc/TRIRU-369-netoglyc.txt","2")</f>
        <v>2</v>
      </c>
      <c r="AC448">
        <v>6.8</v>
      </c>
      <c r="AD448">
        <v>7.5</v>
      </c>
      <c r="AE448">
        <v>3.7</v>
      </c>
      <c r="AF448" s="17" t="s">
        <v>5</v>
      </c>
      <c r="AG448" s="2" t="str">
        <f>HYPERLINK("http://exon.niaid.nih.gov/transcriptome/T_rubida/S2/links/NR/Triru-369-NR.txt","hypothetical protein")</f>
        <v>hypothetical protein</v>
      </c>
      <c r="AH448" t="str">
        <f>HYPERLINK("http://www.ncbi.nlm.nih.gov/sutils/blink.cgi?pid=71657910","1E-047")</f>
        <v>1E-047</v>
      </c>
      <c r="AI448" t="str">
        <f>HYPERLINK("http://www.ncbi.nlm.nih.gov/protein/71657910","gi|71657910")</f>
        <v>gi|71657910</v>
      </c>
      <c r="AJ448">
        <v>192</v>
      </c>
      <c r="AK448">
        <v>158</v>
      </c>
      <c r="AL448">
        <v>282</v>
      </c>
      <c r="AM448">
        <v>67</v>
      </c>
      <c r="AN448">
        <v>56</v>
      </c>
      <c r="AO448" t="s">
        <v>176</v>
      </c>
      <c r="AP448" s="2" t="str">
        <f>HYPERLINK("http://exon.niaid.nih.gov/transcriptome/T_rubida/S2/links/SWISSP/Triru-369-SWISSP.txt","Translation initiation factor IF-2")</f>
        <v>Translation initiation factor IF-2</v>
      </c>
      <c r="AQ448" t="str">
        <f>HYPERLINK("http://www.uniprot.org/uniprot/Q2RMS0","0.030")</f>
        <v>0.030</v>
      </c>
      <c r="AR448" t="s">
        <v>664</v>
      </c>
      <c r="AS448">
        <v>37.700000000000003</v>
      </c>
      <c r="AT448">
        <v>133</v>
      </c>
      <c r="AU448">
        <v>866</v>
      </c>
      <c r="AV448">
        <v>29</v>
      </c>
      <c r="AW448">
        <v>15</v>
      </c>
      <c r="AX448">
        <v>96</v>
      </c>
      <c r="AY448">
        <v>17</v>
      </c>
      <c r="AZ448">
        <v>85</v>
      </c>
      <c r="BA448">
        <v>13</v>
      </c>
      <c r="BB448">
        <v>1</v>
      </c>
      <c r="BC448" t="s">
        <v>665</v>
      </c>
      <c r="BD448" s="2" t="s">
        <v>5</v>
      </c>
      <c r="BE448" t="s">
        <v>5</v>
      </c>
      <c r="BF448" t="s">
        <v>5</v>
      </c>
      <c r="BG448" t="s">
        <v>5</v>
      </c>
      <c r="BH448" t="s">
        <v>5</v>
      </c>
      <c r="BI448" s="2" t="str">
        <f>HYPERLINK("http://exon.niaid.nih.gov/transcriptome/T_rubida/S2/links/CDD/Triru-369-CDD.txt","PTZ00491")</f>
        <v>PTZ00491</v>
      </c>
      <c r="BJ448" t="str">
        <f>HYPERLINK("http://www.ncbi.nlm.nih.gov/Structure/cdd/cddsrv.cgi?uid=PTZ00491&amp;version=v4.0","0.018")</f>
        <v>0.018</v>
      </c>
      <c r="BK448" t="s">
        <v>666</v>
      </c>
      <c r="BL448" s="2" t="str">
        <f>HYPERLINK("http://exon.niaid.nih.gov/transcriptome/T_rubida/S2/links/KOG/Triru-369-KOG.txt","Thyroid hormone receptor-associated protein complex, subunit TRAP230")</f>
        <v>Thyroid hormone receptor-associated protein complex, subunit TRAP230</v>
      </c>
      <c r="BM448" t="str">
        <f>HYPERLINK("http://www.ncbi.nlm.nih.gov/COG/grace/shokog.cgi?KOG3598","0.42")</f>
        <v>0.42</v>
      </c>
      <c r="BN448" t="s">
        <v>251</v>
      </c>
      <c r="BO448" s="2" t="str">
        <f>HYPERLINK("http://exon.niaid.nih.gov/transcriptome/T_rubida/S2/links/PFAM/Triru-369-PFAM.txt","DUF2092")</f>
        <v>DUF2092</v>
      </c>
      <c r="BP448" t="str">
        <f>HYPERLINK("http://pfam.sanger.ac.uk/family?acc=PF09865","0.48")</f>
        <v>0.48</v>
      </c>
      <c r="BQ448" s="2" t="str">
        <f>HYPERLINK("http://exon.niaid.nih.gov/transcriptome/T_rubida/S2/links/SMART/Triru-369-SMART.txt","NPCBM")</f>
        <v>NPCBM</v>
      </c>
      <c r="BR448" t="str">
        <f>HYPERLINK("http://smart.embl-heidelberg.de/smart/do_annotation.pl?DOMAIN=NPCBM&amp;BLAST=DUMMY","1.5")</f>
        <v>1.5</v>
      </c>
      <c r="BS448" s="17">
        <v>109</v>
      </c>
      <c r="BT448" s="1">
        <v>1</v>
      </c>
      <c r="BU448" s="17">
        <v>168</v>
      </c>
      <c r="BV448" s="1">
        <v>1</v>
      </c>
      <c r="BW448" s="17">
        <v>206</v>
      </c>
      <c r="BX448" s="1">
        <v>1</v>
      </c>
      <c r="BY448" s="17">
        <v>221</v>
      </c>
      <c r="BZ448" s="1">
        <v>1</v>
      </c>
      <c r="CA448" s="17">
        <v>228</v>
      </c>
      <c r="CB448" s="1">
        <v>1</v>
      </c>
      <c r="CC448" s="17">
        <v>233</v>
      </c>
      <c r="CD448" s="1">
        <v>1</v>
      </c>
      <c r="CE448" s="17">
        <v>240</v>
      </c>
      <c r="CF448" s="1">
        <v>1</v>
      </c>
      <c r="CG448" s="17">
        <v>242</v>
      </c>
      <c r="CH448" s="1">
        <v>1</v>
      </c>
      <c r="CI448" s="17">
        <v>252</v>
      </c>
      <c r="CJ448" s="1">
        <v>1</v>
      </c>
      <c r="CK448" s="17">
        <v>257</v>
      </c>
      <c r="CL448" s="1">
        <v>1</v>
      </c>
      <c r="CM448" s="17">
        <v>265</v>
      </c>
      <c r="CN448" s="1">
        <v>1</v>
      </c>
      <c r="CO448" s="17">
        <v>277</v>
      </c>
      <c r="CP448" s="1">
        <v>1</v>
      </c>
      <c r="CQ448" s="17">
        <v>287</v>
      </c>
      <c r="CR448" s="1">
        <v>1</v>
      </c>
      <c r="CS448" s="17">
        <v>299</v>
      </c>
      <c r="CT448" s="1">
        <v>1</v>
      </c>
      <c r="CU448" s="17">
        <v>310</v>
      </c>
      <c r="CV448" s="1">
        <v>1</v>
      </c>
    </row>
    <row r="449" spans="1:100">
      <c r="A449" t="str">
        <f>HYPERLINK("http://exon.niaid.nih.gov/transcriptome/T_rubida/S2/links/pep/Triru-563-pep.txt","Triru-563")</f>
        <v>Triru-563</v>
      </c>
      <c r="B449">
        <v>106</v>
      </c>
      <c r="C449" s="1" t="s">
        <v>10</v>
      </c>
      <c r="D449" s="1" t="s">
        <v>3</v>
      </c>
      <c r="E449" t="str">
        <f>HYPERLINK("http://exon.niaid.nih.gov/transcriptome/T_rubida/S2/links/cds/Triru-563-cds.txt","Triru-563")</f>
        <v>Triru-563</v>
      </c>
      <c r="F449">
        <v>321</v>
      </c>
      <c r="G449" s="2" t="s">
        <v>1883</v>
      </c>
      <c r="H449" s="1">
        <v>1</v>
      </c>
      <c r="I449" s="3" t="s">
        <v>1271</v>
      </c>
      <c r="J449" s="17" t="str">
        <f>HYPERLINK("http://exon.niaid.nih.gov/transcriptome/T_rubida/S2/links/Sigp/Triru-563-SigP.txt","CYT")</f>
        <v>CYT</v>
      </c>
      <c r="K449" t="s">
        <v>5</v>
      </c>
      <c r="L449" s="1">
        <v>11.843</v>
      </c>
      <c r="M449" s="1">
        <v>9.19</v>
      </c>
      <c r="P449" s="1">
        <v>0.51</v>
      </c>
      <c r="Q449" s="1">
        <v>5.0999999999999997E-2</v>
      </c>
      <c r="R449" s="1">
        <v>0.48099999999999998</v>
      </c>
      <c r="S449" s="17" t="s">
        <v>9</v>
      </c>
      <c r="T449">
        <v>5</v>
      </c>
      <c r="U449" t="s">
        <v>1568</v>
      </c>
      <c r="V449" s="17">
        <v>0</v>
      </c>
      <c r="W449" t="s">
        <v>5</v>
      </c>
      <c r="X449" t="s">
        <v>5</v>
      </c>
      <c r="Y449" t="s">
        <v>5</v>
      </c>
      <c r="Z449" t="s">
        <v>5</v>
      </c>
      <c r="AA449" t="s">
        <v>5</v>
      </c>
      <c r="AB449" s="17" t="str">
        <f>HYPERLINK("http://exon.niaid.nih.gov/transcriptome/T_rubida/S2/links/netoglyc/TRIRU-563-netoglyc.txt","0")</f>
        <v>0</v>
      </c>
      <c r="AC449">
        <v>7.5</v>
      </c>
      <c r="AD449">
        <v>4.7</v>
      </c>
      <c r="AE449">
        <v>3.8</v>
      </c>
      <c r="AF449" s="17" t="s">
        <v>5</v>
      </c>
      <c r="AG449" s="2" t="str">
        <f>HYPERLINK("http://exon.niaid.nih.gov/transcriptome/T_rubida/S2/links/NR/Triru-563-NR.txt","hypothetical protein")</f>
        <v>hypothetical protein</v>
      </c>
      <c r="AH449" t="str">
        <f>HYPERLINK("http://www.ncbi.nlm.nih.gov/sutils/blink.cgi?pid=71404493","2E-023")</f>
        <v>2E-023</v>
      </c>
      <c r="AI449" t="str">
        <f>HYPERLINK("http://www.ncbi.nlm.nih.gov/protein/71404493","gi|71404493")</f>
        <v>gi|71404493</v>
      </c>
      <c r="AJ449">
        <v>112</v>
      </c>
      <c r="AK449">
        <v>97</v>
      </c>
      <c r="AL449">
        <v>208</v>
      </c>
      <c r="AM449">
        <v>58</v>
      </c>
      <c r="AN449">
        <v>47</v>
      </c>
      <c r="AO449" t="s">
        <v>176</v>
      </c>
      <c r="AP449" s="2" t="str">
        <f>HYPERLINK("http://exon.niaid.nih.gov/transcriptome/T_rubida/S2/links/SWISSP/Triru-563-SWISSP.txt","Peptidyl-prolyl cis-trans isomerase D")</f>
        <v>Peptidyl-prolyl cis-trans isomerase D</v>
      </c>
      <c r="AQ449" t="str">
        <f>HYPERLINK("http://www.uniprot.org/uniprot/Q2U0E0","0.38")</f>
        <v>0.38</v>
      </c>
      <c r="AR449" t="s">
        <v>985</v>
      </c>
      <c r="AS449">
        <v>33.5</v>
      </c>
      <c r="AT449">
        <v>97</v>
      </c>
      <c r="AU449">
        <v>371</v>
      </c>
      <c r="AV449">
        <v>28</v>
      </c>
      <c r="AW449">
        <v>26</v>
      </c>
      <c r="AX449">
        <v>71</v>
      </c>
      <c r="AY449">
        <v>2</v>
      </c>
      <c r="AZ449">
        <v>274</v>
      </c>
      <c r="BA449">
        <v>3</v>
      </c>
      <c r="BB449">
        <v>1</v>
      </c>
      <c r="BC449" t="s">
        <v>986</v>
      </c>
      <c r="BD449" s="2" t="s">
        <v>5</v>
      </c>
      <c r="BE449" t="s">
        <v>5</v>
      </c>
      <c r="BF449" t="s">
        <v>5</v>
      </c>
      <c r="BG449" t="s">
        <v>5</v>
      </c>
      <c r="BH449" t="s">
        <v>5</v>
      </c>
      <c r="BI449" s="2" t="str">
        <f>HYPERLINK("http://exon.niaid.nih.gov/transcriptome/T_rubida/S2/links/CDD/Triru-563-CDD.txt","cysS")</f>
        <v>cysS</v>
      </c>
      <c r="BJ449" t="str">
        <f>HYPERLINK("http://www.ncbi.nlm.nih.gov/Structure/cdd/cddsrv.cgi?uid=PRK14536&amp;version=v4.0","0.20")</f>
        <v>0.20</v>
      </c>
      <c r="BK449" t="s">
        <v>987</v>
      </c>
      <c r="BL449" s="2" t="str">
        <f>HYPERLINK("http://exon.niaid.nih.gov/transcriptome/T_rubida/S2/links/KOG/Triru-563-KOG.txt","Predicted DNA-binding transcription factor, interacts with stathmin")</f>
        <v>Predicted DNA-binding transcription factor, interacts with stathmin</v>
      </c>
      <c r="BM449" t="str">
        <f>HYPERLINK("http://www.ncbi.nlm.nih.gov/COG/grace/shokog.cgi?KOG4572","0.004")</f>
        <v>0.004</v>
      </c>
      <c r="BN449" t="s">
        <v>988</v>
      </c>
      <c r="BO449" s="2" t="str">
        <f>HYPERLINK("http://exon.niaid.nih.gov/transcriptome/T_rubida/S2/links/PFAM/Triru-563-PFAM.txt","W2")</f>
        <v>W2</v>
      </c>
      <c r="BP449" t="str">
        <f>HYPERLINK("http://pfam.sanger.ac.uk/family?acc=PF02020","1.8")</f>
        <v>1.8</v>
      </c>
      <c r="BQ449" s="2" t="str">
        <f>HYPERLINK("http://exon.niaid.nih.gov/transcriptome/T_rubida/S2/links/SMART/Triru-563-SMART.txt","PLAc")</f>
        <v>PLAc</v>
      </c>
      <c r="BR449" t="str">
        <f>HYPERLINK("http://smart.embl-heidelberg.de/smart/do_annotation.pl?DOMAIN=PLAc&amp;BLAST=DUMMY","1.5")</f>
        <v>1.5</v>
      </c>
      <c r="BS449" s="17">
        <v>169</v>
      </c>
      <c r="BT449" s="1">
        <v>1</v>
      </c>
      <c r="BU449" s="17">
        <v>254</v>
      </c>
      <c r="BV449" s="1">
        <v>1</v>
      </c>
      <c r="BW449" s="17">
        <v>324</v>
      </c>
      <c r="BX449" s="1">
        <v>1</v>
      </c>
      <c r="BY449" s="17">
        <v>356</v>
      </c>
      <c r="BZ449" s="1">
        <v>1</v>
      </c>
      <c r="CA449" s="17">
        <v>370</v>
      </c>
      <c r="CB449" s="1">
        <v>1</v>
      </c>
      <c r="CC449" s="17">
        <v>383</v>
      </c>
      <c r="CD449" s="1">
        <v>1</v>
      </c>
      <c r="CE449" s="17">
        <v>398</v>
      </c>
      <c r="CF449" s="1">
        <v>1</v>
      </c>
      <c r="CG449" s="17">
        <v>404</v>
      </c>
      <c r="CH449" s="1">
        <v>1</v>
      </c>
      <c r="CI449" s="17">
        <v>416</v>
      </c>
      <c r="CJ449" s="1">
        <v>1</v>
      </c>
      <c r="CK449" s="17">
        <v>422</v>
      </c>
      <c r="CL449" s="1">
        <v>1</v>
      </c>
      <c r="CM449" s="17">
        <v>433</v>
      </c>
      <c r="CN449" s="1">
        <v>1</v>
      </c>
      <c r="CO449" s="17">
        <v>445</v>
      </c>
      <c r="CP449" s="1">
        <v>1</v>
      </c>
      <c r="CQ449" s="17">
        <v>455</v>
      </c>
      <c r="CR449" s="1">
        <v>1</v>
      </c>
      <c r="CS449" s="17">
        <v>468</v>
      </c>
      <c r="CT449" s="1">
        <v>1</v>
      </c>
      <c r="CU449" s="17">
        <v>480</v>
      </c>
      <c r="CV449" s="1">
        <v>1</v>
      </c>
    </row>
    <row r="450" spans="1:100">
      <c r="A450" t="str">
        <f>HYPERLINK("http://exon.niaid.nih.gov/transcriptome/T_rubida/S2/links/pep/Triru-133-pep.txt","Triru-133")</f>
        <v>Triru-133</v>
      </c>
      <c r="B450">
        <v>151</v>
      </c>
      <c r="C450" s="1" t="s">
        <v>6</v>
      </c>
      <c r="D450" s="1" t="s">
        <v>3</v>
      </c>
      <c r="E450" t="str">
        <f>HYPERLINK("http://exon.niaid.nih.gov/transcriptome/T_rubida/S2/links/cds/Triru-133-cds.txt","Triru-133")</f>
        <v>Triru-133</v>
      </c>
      <c r="F450">
        <v>456</v>
      </c>
      <c r="G450" s="2" t="s">
        <v>1884</v>
      </c>
      <c r="H450" s="1">
        <v>2</v>
      </c>
      <c r="I450" s="3" t="s">
        <v>1271</v>
      </c>
      <c r="J450" s="17" t="str">
        <f>HYPERLINK("http://exon.niaid.nih.gov/transcriptome/T_rubida/S2/links/Sigp/Triru-133-SigP.txt","CYT")</f>
        <v>CYT</v>
      </c>
      <c r="K450" t="s">
        <v>5</v>
      </c>
      <c r="L450" s="1">
        <v>17.148</v>
      </c>
      <c r="M450" s="1">
        <v>9.4600000000000009</v>
      </c>
      <c r="P450" s="1">
        <v>0.61799999999999999</v>
      </c>
      <c r="Q450" s="1">
        <v>2.5000000000000001E-2</v>
      </c>
      <c r="R450" s="1">
        <v>0.315</v>
      </c>
      <c r="S450" s="17" t="s">
        <v>9</v>
      </c>
      <c r="T450">
        <v>4</v>
      </c>
      <c r="U450" t="s">
        <v>1569</v>
      </c>
      <c r="V450" s="17">
        <v>0</v>
      </c>
      <c r="W450" t="s">
        <v>5</v>
      </c>
      <c r="X450" t="s">
        <v>5</v>
      </c>
      <c r="Y450" t="s">
        <v>5</v>
      </c>
      <c r="Z450" t="s">
        <v>5</v>
      </c>
      <c r="AA450" t="s">
        <v>5</v>
      </c>
      <c r="AB450" s="17" t="str">
        <f>HYPERLINK("http://exon.niaid.nih.gov/transcriptome/T_rubida/S2/links/netoglyc/TRIRU-133-netoglyc.txt","0")</f>
        <v>0</v>
      </c>
      <c r="AC450">
        <v>8.6</v>
      </c>
      <c r="AD450">
        <v>9.3000000000000007</v>
      </c>
      <c r="AE450">
        <v>3.3</v>
      </c>
      <c r="AF450" s="17" t="s">
        <v>5</v>
      </c>
      <c r="AG450" s="2" t="str">
        <f>HYPERLINK("http://exon.niaid.nih.gov/transcriptome/T_rubida/S2/links/NR/Triru-133-NR.txt","GTPase activating protein of Rab-like GTPase, putative")</f>
        <v>GTPase activating protein of Rab-like GTPase, putative</v>
      </c>
      <c r="AH450" t="str">
        <f>HYPERLINK("http://www.ncbi.nlm.nih.gov/sutils/blink.cgi?pid=322823295","2E-013")</f>
        <v>2E-013</v>
      </c>
      <c r="AI450" t="str">
        <f>HYPERLINK("http://www.ncbi.nlm.nih.gov/protein/322823295","gi|322823295")</f>
        <v>gi|322823295</v>
      </c>
      <c r="AJ450">
        <v>79</v>
      </c>
      <c r="AK450">
        <v>148</v>
      </c>
      <c r="AL450">
        <v>395</v>
      </c>
      <c r="AM450">
        <v>39</v>
      </c>
      <c r="AN450">
        <v>38</v>
      </c>
      <c r="AO450" t="s">
        <v>176</v>
      </c>
      <c r="AP450" s="2" t="str">
        <f>HYPERLINK("http://exon.niaid.nih.gov/transcriptome/T_rubida/S2/links/SWISSP/Triru-133-SWISSP.txt","N-methyl-L-tryptophan oxidase")</f>
        <v>N-methyl-L-tryptophan oxidase</v>
      </c>
      <c r="AQ450" t="str">
        <f>HYPERLINK("http://www.uniprot.org/uniprot/P58525","6.9")</f>
        <v>6.9</v>
      </c>
      <c r="AR450" t="s">
        <v>652</v>
      </c>
      <c r="AS450">
        <v>29.6</v>
      </c>
      <c r="AT450">
        <v>64</v>
      </c>
      <c r="AU450">
        <v>372</v>
      </c>
      <c r="AV450">
        <v>35</v>
      </c>
      <c r="AW450">
        <v>17</v>
      </c>
      <c r="AX450">
        <v>43</v>
      </c>
      <c r="AY450">
        <v>4</v>
      </c>
      <c r="AZ450">
        <v>136</v>
      </c>
      <c r="BA450">
        <v>23</v>
      </c>
      <c r="BB450">
        <v>1</v>
      </c>
      <c r="BC450" t="s">
        <v>304</v>
      </c>
      <c r="BD450" s="2" t="s">
        <v>5</v>
      </c>
      <c r="BE450" t="s">
        <v>5</v>
      </c>
      <c r="BF450" t="s">
        <v>5</v>
      </c>
      <c r="BG450" t="s">
        <v>5</v>
      </c>
      <c r="BH450" t="s">
        <v>5</v>
      </c>
      <c r="BI450" s="2" t="str">
        <f>HYPERLINK("http://exon.niaid.nih.gov/transcriptome/T_rubida/S2/links/CDD/Triru-133-CDD.txt","PRK11260")</f>
        <v>PRK11260</v>
      </c>
      <c r="BJ450" t="str">
        <f>HYPERLINK("http://www.ncbi.nlm.nih.gov/Structure/cdd/cddsrv.cgi?uid=PRK11260&amp;version=v4.0","1.1")</f>
        <v>1.1</v>
      </c>
      <c r="BK450" t="s">
        <v>653</v>
      </c>
      <c r="BL450" s="2" t="str">
        <f>HYPERLINK("http://exon.niaid.nih.gov/transcriptome/T_rubida/S2/links/KOG/Triru-133-KOG.txt","Dopamine beta-monooxygenase")</f>
        <v>Dopamine beta-monooxygenase</v>
      </c>
      <c r="BM450" t="str">
        <f>HYPERLINK("http://www.ncbi.nlm.nih.gov/COG/grace/shokog.cgi?KOG3568","0.41")</f>
        <v>0.41</v>
      </c>
      <c r="BN450" t="s">
        <v>418</v>
      </c>
      <c r="BO450" s="2" t="str">
        <f>HYPERLINK("http://exon.niaid.nih.gov/transcriptome/T_rubida/S2/links/PFAM/Triru-133-PFAM.txt","SURF4")</f>
        <v>SURF4</v>
      </c>
      <c r="BP450" t="str">
        <f>HYPERLINK("http://pfam.sanger.ac.uk/family?acc=PF02077","0.36")</f>
        <v>0.36</v>
      </c>
      <c r="BQ450" s="2" t="str">
        <f>HYPERLINK("http://exon.niaid.nih.gov/transcriptome/T_rubida/S2/links/SMART/Triru-133-SMART.txt","LH2")</f>
        <v>LH2</v>
      </c>
      <c r="BR450" t="str">
        <f>HYPERLINK("http://smart.embl-heidelberg.de/smart/do_annotation.pl?DOMAIN=LH2&amp;BLAST=DUMMY","0.18")</f>
        <v>0.18</v>
      </c>
      <c r="BS450" s="17">
        <v>56</v>
      </c>
      <c r="BT450" s="1">
        <v>1</v>
      </c>
      <c r="BU450" s="17">
        <v>78</v>
      </c>
      <c r="BV450" s="1">
        <v>1</v>
      </c>
      <c r="BW450" s="17">
        <v>84</v>
      </c>
      <c r="BX450" s="1">
        <v>1</v>
      </c>
      <c r="BY450" s="17">
        <v>84</v>
      </c>
      <c r="BZ450" s="1">
        <v>1</v>
      </c>
      <c r="CA450" s="17">
        <v>82</v>
      </c>
      <c r="CB450" s="1">
        <v>1</v>
      </c>
      <c r="CC450" s="17">
        <v>81</v>
      </c>
      <c r="CD450" s="1">
        <v>1</v>
      </c>
      <c r="CE450" s="17">
        <v>75</v>
      </c>
      <c r="CF450" s="1">
        <v>1</v>
      </c>
      <c r="CG450" s="17">
        <v>75</v>
      </c>
      <c r="CH450" s="1">
        <v>1</v>
      </c>
      <c r="CI450" s="17">
        <v>81</v>
      </c>
      <c r="CJ450" s="1">
        <v>1</v>
      </c>
      <c r="CK450" s="17">
        <v>85</v>
      </c>
      <c r="CL450" s="1">
        <v>1</v>
      </c>
      <c r="CM450" s="17">
        <v>89</v>
      </c>
      <c r="CN450" s="1">
        <v>1</v>
      </c>
      <c r="CO450" s="17">
        <v>97</v>
      </c>
      <c r="CP450" s="1">
        <v>1</v>
      </c>
      <c r="CQ450" s="17">
        <v>107</v>
      </c>
      <c r="CR450" s="1">
        <v>1</v>
      </c>
      <c r="CS450" s="17">
        <v>112</v>
      </c>
      <c r="CT450" s="1">
        <v>1</v>
      </c>
      <c r="CU450" s="17">
        <v>123</v>
      </c>
      <c r="CV450" s="1">
        <v>1</v>
      </c>
    </row>
    <row r="451" spans="1:100">
      <c r="A451" t="str">
        <f>HYPERLINK("http://exon.niaid.nih.gov/transcriptome/T_rubida/S2/links/pep/Triru-419-pep.txt","Triru-419")</f>
        <v>Triru-419</v>
      </c>
      <c r="B451">
        <v>99</v>
      </c>
      <c r="C451" s="1" t="s">
        <v>6</v>
      </c>
      <c r="D451" s="1" t="s">
        <v>3</v>
      </c>
      <c r="E451" t="str">
        <f>HYPERLINK("http://exon.niaid.nih.gov/transcriptome/T_rubida/S2/links/cds/Triru-419-cds.txt","Triru-419")</f>
        <v>Triru-419</v>
      </c>
      <c r="F451">
        <v>300</v>
      </c>
      <c r="G451" s="2" t="s">
        <v>1885</v>
      </c>
      <c r="H451" s="1">
        <v>1</v>
      </c>
      <c r="I451" s="3" t="s">
        <v>1271</v>
      </c>
      <c r="J451" s="17" t="str">
        <f>HYPERLINK("http://exon.niaid.nih.gov/transcriptome/T_rubida/S2/links/Sigp/Triru-419-SigP.txt","CYT")</f>
        <v>CYT</v>
      </c>
      <c r="K451" t="s">
        <v>5</v>
      </c>
      <c r="L451" s="1">
        <v>10.984999999999999</v>
      </c>
      <c r="M451" s="1">
        <v>10.11</v>
      </c>
      <c r="P451" s="1">
        <v>0.80900000000000005</v>
      </c>
      <c r="Q451" s="1">
        <v>8.6999999999999994E-2</v>
      </c>
      <c r="R451" s="1">
        <v>0.125</v>
      </c>
      <c r="S451" s="17" t="s">
        <v>9</v>
      </c>
      <c r="T451">
        <v>2</v>
      </c>
      <c r="U451" t="s">
        <v>1351</v>
      </c>
      <c r="V451" s="17">
        <v>0</v>
      </c>
      <c r="W451" t="s">
        <v>5</v>
      </c>
      <c r="X451" t="s">
        <v>5</v>
      </c>
      <c r="Y451" t="s">
        <v>5</v>
      </c>
      <c r="Z451" t="s">
        <v>5</v>
      </c>
      <c r="AA451" t="s">
        <v>5</v>
      </c>
      <c r="AB451" s="17" t="str">
        <f>HYPERLINK("http://exon.niaid.nih.gov/transcriptome/T_rubida/S2/links/netoglyc/TRIRU-419-netoglyc.txt","0")</f>
        <v>0</v>
      </c>
      <c r="AC451">
        <v>11.1</v>
      </c>
      <c r="AD451">
        <v>6.1</v>
      </c>
      <c r="AE451">
        <v>2</v>
      </c>
      <c r="AF451" s="17" t="s">
        <v>1570</v>
      </c>
      <c r="AG451" s="2" t="str">
        <f>HYPERLINK("http://exon.niaid.nih.gov/transcriptome/T_rubida/S2/links/NR/Triru-419-NR.txt","glucosamine-6-phosphate isomerase, putative")</f>
        <v>glucosamine-6-phosphate isomerase, putative</v>
      </c>
      <c r="AH451" t="str">
        <f>HYPERLINK("http://www.ncbi.nlm.nih.gov/sutils/blink.cgi?pid=322822192","6E-030")</f>
        <v>6E-030</v>
      </c>
      <c r="AI451" t="str">
        <f>HYPERLINK("http://www.ncbi.nlm.nih.gov/protein/322822192","gi|322822192")</f>
        <v>gi|322822192</v>
      </c>
      <c r="AJ451">
        <v>134</v>
      </c>
      <c r="AK451">
        <v>88</v>
      </c>
      <c r="AL451">
        <v>279</v>
      </c>
      <c r="AM451">
        <v>76</v>
      </c>
      <c r="AN451">
        <v>32</v>
      </c>
      <c r="AO451" t="s">
        <v>176</v>
      </c>
      <c r="AP451" s="2" t="str">
        <f>HYPERLINK("http://exon.niaid.nih.gov/transcriptome/T_rubida/S2/links/SWISSP/Triru-419-SWISSP.txt","Glucosamine-6-phosphate deaminase")</f>
        <v>Glucosamine-6-phosphate deaminase</v>
      </c>
      <c r="AQ451" t="str">
        <f>HYPERLINK("http://www.uniprot.org/uniprot/C6C0A2","4E-012")</f>
        <v>4E-012</v>
      </c>
      <c r="AR451" t="s">
        <v>584</v>
      </c>
      <c r="AS451">
        <v>70.099999999999994</v>
      </c>
      <c r="AT451">
        <v>64</v>
      </c>
      <c r="AU451">
        <v>265</v>
      </c>
      <c r="AV451">
        <v>50</v>
      </c>
      <c r="AW451">
        <v>25</v>
      </c>
      <c r="AX451">
        <v>32</v>
      </c>
      <c r="AY451">
        <v>0</v>
      </c>
      <c r="AZ451">
        <v>190</v>
      </c>
      <c r="BA451">
        <v>12</v>
      </c>
      <c r="BB451">
        <v>1</v>
      </c>
      <c r="BC451" t="s">
        <v>585</v>
      </c>
      <c r="BD451" s="2" t="s">
        <v>586</v>
      </c>
      <c r="BE451">
        <f>HYPERLINK("http://exon.niaid.nih.gov/transcriptome/T_rubida/S2/links/GO/Triru-419-GO.txt",0.000000000003)</f>
        <v>3.0000000000000001E-12</v>
      </c>
      <c r="BF451" t="s">
        <v>1947</v>
      </c>
      <c r="BG451" t="s">
        <v>77</v>
      </c>
      <c r="BH451" t="s">
        <v>78</v>
      </c>
      <c r="BI451" s="2" t="str">
        <f>HYPERLINK("http://exon.niaid.nih.gov/transcriptome/T_rubida/S2/links/CDD/Triru-419-CDD.txt","PTZ00285")</f>
        <v>PTZ00285</v>
      </c>
      <c r="BJ451" t="str">
        <f>HYPERLINK("http://www.ncbi.nlm.nih.gov/Structure/cdd/cddsrv.cgi?uid=PTZ00285&amp;version=v4.0","6E-020")</f>
        <v>6E-020</v>
      </c>
      <c r="BK451" t="s">
        <v>587</v>
      </c>
      <c r="BL451" s="2" t="str">
        <f>HYPERLINK("http://exon.niaid.nih.gov/transcriptome/T_rubida/S2/links/KOG/Triru-419-KOG.txt","Glucosamine-6-phosphate isomerase")</f>
        <v>Glucosamine-6-phosphate isomerase</v>
      </c>
      <c r="BM451" t="str">
        <f>HYPERLINK("http://www.ncbi.nlm.nih.gov/COG/grace/shokog.cgi?KOG3148","2E-014")</f>
        <v>2E-014</v>
      </c>
      <c r="BN451" t="s">
        <v>383</v>
      </c>
      <c r="BO451" s="2" t="str">
        <f>HYPERLINK("http://exon.niaid.nih.gov/transcriptome/T_rubida/S2/links/PFAM/Triru-419-PFAM.txt","DUF1387")</f>
        <v>DUF1387</v>
      </c>
      <c r="BP451" t="str">
        <f>HYPERLINK("http://pfam.sanger.ac.uk/family?acc=PF07139","1.6")</f>
        <v>1.6</v>
      </c>
      <c r="BQ451" s="2" t="str">
        <f>HYPERLINK("http://exon.niaid.nih.gov/transcriptome/T_rubida/S2/links/SMART/Triru-419-SMART.txt","XPGN")</f>
        <v>XPGN</v>
      </c>
      <c r="BR451" t="str">
        <f>HYPERLINK("http://smart.embl-heidelberg.de/smart/do_annotation.pl?DOMAIN=XPGN&amp;BLAST=DUMMY","0.36")</f>
        <v>0.36</v>
      </c>
      <c r="BS451" s="17">
        <v>127</v>
      </c>
      <c r="BT451" s="1">
        <v>1</v>
      </c>
      <c r="BU451" s="17">
        <v>191</v>
      </c>
      <c r="BV451" s="1">
        <v>1</v>
      </c>
      <c r="BW451" s="17">
        <v>239</v>
      </c>
      <c r="BX451" s="1">
        <v>1</v>
      </c>
      <c r="BY451" s="17">
        <v>258</v>
      </c>
      <c r="BZ451" s="1">
        <v>1</v>
      </c>
      <c r="CA451" s="17">
        <v>266</v>
      </c>
      <c r="CB451" s="1">
        <v>1</v>
      </c>
      <c r="CC451" s="17">
        <v>273</v>
      </c>
      <c r="CD451" s="1">
        <v>1</v>
      </c>
      <c r="CE451" s="17">
        <v>282</v>
      </c>
      <c r="CF451" s="1">
        <v>1</v>
      </c>
      <c r="CG451" s="17">
        <v>285</v>
      </c>
      <c r="CH451" s="1">
        <v>1</v>
      </c>
      <c r="CI451" s="17">
        <v>295</v>
      </c>
      <c r="CJ451" s="1">
        <v>1</v>
      </c>
      <c r="CK451" s="17">
        <v>301</v>
      </c>
      <c r="CL451" s="1">
        <v>1</v>
      </c>
      <c r="CM451" s="17">
        <v>309</v>
      </c>
      <c r="CN451" s="1">
        <v>1</v>
      </c>
      <c r="CO451" s="17">
        <v>321</v>
      </c>
      <c r="CP451" s="1">
        <v>1</v>
      </c>
      <c r="CQ451" s="17">
        <v>331</v>
      </c>
      <c r="CR451" s="1">
        <v>1</v>
      </c>
      <c r="CS451" s="17">
        <v>343</v>
      </c>
      <c r="CT451" s="1">
        <v>1</v>
      </c>
      <c r="CU451" s="17">
        <v>354</v>
      </c>
      <c r="CV451" s="1">
        <v>1</v>
      </c>
    </row>
    <row r="452" spans="1:100">
      <c r="A452" t="str">
        <f>HYPERLINK("http://exon.niaid.nih.gov/transcriptome/T_rubida/S2/links/pep/Triru-380-pep.txt","Triru-380")</f>
        <v>Triru-380</v>
      </c>
      <c r="B452">
        <v>132</v>
      </c>
      <c r="C452" s="1" t="s">
        <v>6</v>
      </c>
      <c r="D452" s="1" t="s">
        <v>3</v>
      </c>
      <c r="E452" t="str">
        <f>HYPERLINK("http://exon.niaid.nih.gov/transcriptome/T_rubida/S2/links/cds/Triru-380-cds.txt","Triru-380")</f>
        <v>Triru-380</v>
      </c>
      <c r="F452">
        <v>399</v>
      </c>
      <c r="G452" s="2" t="s">
        <v>1886</v>
      </c>
      <c r="H452" s="1">
        <v>1</v>
      </c>
      <c r="I452" s="3" t="s">
        <v>1271</v>
      </c>
      <c r="J452" s="17" t="str">
        <f>HYPERLINK("http://exon.niaid.nih.gov/transcriptome/T_rubida/S2/links/Sigp/Triru-380-SigP.txt","CYT")</f>
        <v>CYT</v>
      </c>
      <c r="K452" t="s">
        <v>5</v>
      </c>
      <c r="L452" s="1">
        <v>14.728999999999999</v>
      </c>
      <c r="M452" s="1">
        <v>6.47</v>
      </c>
      <c r="P452" s="1">
        <v>0.46500000000000002</v>
      </c>
      <c r="Q452" s="1">
        <v>0.13300000000000001</v>
      </c>
      <c r="R452" s="1">
        <v>0.432</v>
      </c>
      <c r="S452" s="17" t="s">
        <v>9</v>
      </c>
      <c r="T452">
        <v>5</v>
      </c>
      <c r="U452" t="s">
        <v>1571</v>
      </c>
      <c r="V452" s="17">
        <v>0</v>
      </c>
      <c r="W452" t="s">
        <v>5</v>
      </c>
      <c r="X452" t="s">
        <v>5</v>
      </c>
      <c r="Y452" t="s">
        <v>5</v>
      </c>
      <c r="Z452" t="s">
        <v>5</v>
      </c>
      <c r="AA452" t="s">
        <v>5</v>
      </c>
      <c r="AB452" s="17" t="str">
        <f>HYPERLINK("http://exon.niaid.nih.gov/transcriptome/T_rubida/S2/links/netoglyc/TRIRU-380-netoglyc.txt","0")</f>
        <v>0</v>
      </c>
      <c r="AC452">
        <v>3</v>
      </c>
      <c r="AD452">
        <v>6.8</v>
      </c>
      <c r="AE452">
        <v>10.6</v>
      </c>
      <c r="AF452" s="17" t="s">
        <v>5</v>
      </c>
      <c r="AG452" s="2" t="str">
        <f>HYPERLINK("http://exon.niaid.nih.gov/transcriptome/T_rubida/S2/links/NR/Triru-380-NR.txt","hypothetical protein TCSYLVIO_3558")</f>
        <v>hypothetical protein TCSYLVIO_3558</v>
      </c>
      <c r="AH452" t="str">
        <f>HYPERLINK("http://www.ncbi.nlm.nih.gov/sutils/blink.cgi?pid=322824896","1E-047")</f>
        <v>1E-047</v>
      </c>
      <c r="AI452" t="str">
        <f>HYPERLINK("http://www.ncbi.nlm.nih.gov/protein/322824896","gi|322824896")</f>
        <v>gi|322824896</v>
      </c>
      <c r="AJ452">
        <v>192</v>
      </c>
      <c r="AK452">
        <v>120</v>
      </c>
      <c r="AL452">
        <v>472</v>
      </c>
      <c r="AM452">
        <v>74</v>
      </c>
      <c r="AN452">
        <v>26</v>
      </c>
      <c r="AO452" t="s">
        <v>176</v>
      </c>
      <c r="AP452" s="2" t="str">
        <f>HYPERLINK("http://exon.niaid.nih.gov/transcriptome/T_rubida/S2/links/SWISSP/Triru-380-SWISSP.txt","JmjC domain-containing protein E")</f>
        <v>JmjC domain-containing protein E</v>
      </c>
      <c r="AQ452" t="str">
        <f>HYPERLINK("http://www.uniprot.org/uniprot/Q54CS7","3E-006")</f>
        <v>3E-006</v>
      </c>
      <c r="AR452" t="s">
        <v>637</v>
      </c>
      <c r="AS452">
        <v>50.4</v>
      </c>
      <c r="AT452">
        <v>74</v>
      </c>
      <c r="AU452">
        <v>353</v>
      </c>
      <c r="AV452">
        <v>29</v>
      </c>
      <c r="AW452">
        <v>21</v>
      </c>
      <c r="AX452">
        <v>66</v>
      </c>
      <c r="AY452">
        <v>19</v>
      </c>
      <c r="AZ452">
        <v>253</v>
      </c>
      <c r="BA452">
        <v>24</v>
      </c>
      <c r="BB452">
        <v>1</v>
      </c>
      <c r="BC452" t="s">
        <v>99</v>
      </c>
      <c r="BD452" s="2" t="s">
        <v>638</v>
      </c>
      <c r="BE452">
        <f>HYPERLINK("http://exon.niaid.nih.gov/transcriptome/T_rubida/S2/links/GO/Triru-380-GO.txt",0.000002)</f>
        <v>1.9999999999999999E-6</v>
      </c>
      <c r="BF452" t="s">
        <v>105</v>
      </c>
      <c r="BG452" t="s">
        <v>105</v>
      </c>
      <c r="BI452" s="2" t="str">
        <f>HYPERLINK("http://exon.niaid.nih.gov/transcriptome/T_rubida/S2/links/CDD/Triru-380-CDD.txt","PRK15315")</f>
        <v>PRK15315</v>
      </c>
      <c r="BJ452" t="str">
        <f>HYPERLINK("http://www.ncbi.nlm.nih.gov/Structure/cdd/cddsrv.cgi?uid=PRK15315&amp;version=v4.0","0.66")</f>
        <v>0.66</v>
      </c>
      <c r="BK452" t="s">
        <v>639</v>
      </c>
      <c r="BL452" s="2" t="str">
        <f>HYPERLINK("http://exon.niaid.nih.gov/transcriptome/T_rubida/S2/links/KOG/Triru-380-KOG.txt","Predicted phospholipase")</f>
        <v>Predicted phospholipase</v>
      </c>
      <c r="BM452" t="str">
        <f>HYPERLINK("http://www.ncbi.nlm.nih.gov/COG/grace/shokog.cgi?KOG2508","0.004")</f>
        <v>0.004</v>
      </c>
      <c r="BN452" t="s">
        <v>88</v>
      </c>
      <c r="BO452" s="2" t="str">
        <f>HYPERLINK("http://exon.niaid.nih.gov/transcriptome/T_rubida/S2/links/PFAM/Triru-380-PFAM.txt","VP4")</f>
        <v>VP4</v>
      </c>
      <c r="BP452" t="str">
        <f>HYPERLINK("http://pfam.sanger.ac.uk/family?acc=PF00426","2.0")</f>
        <v>2.0</v>
      </c>
      <c r="BQ452" s="2" t="str">
        <f>HYPERLINK("http://exon.niaid.nih.gov/transcriptome/T_rubida/S2/links/SMART/Triru-380-SMART.txt","RPOL4c")</f>
        <v>RPOL4c</v>
      </c>
      <c r="BR452" t="str">
        <f>HYPERLINK("http://smart.embl-heidelberg.de/smart/do_annotation.pl?DOMAIN=RPOL4c&amp;BLAST=DUMMY","0.40")</f>
        <v>0.40</v>
      </c>
      <c r="BS452" s="17">
        <v>115</v>
      </c>
      <c r="BT452" s="1">
        <v>1</v>
      </c>
      <c r="BU452" s="17">
        <v>174</v>
      </c>
      <c r="BV452" s="1">
        <v>1</v>
      </c>
      <c r="BW452" s="17">
        <v>215</v>
      </c>
      <c r="BX452" s="1">
        <v>1</v>
      </c>
      <c r="BY452" s="17">
        <v>231</v>
      </c>
      <c r="BZ452" s="1">
        <v>1</v>
      </c>
      <c r="CA452" s="17">
        <v>238</v>
      </c>
      <c r="CB452" s="1">
        <v>1</v>
      </c>
      <c r="CC452" s="17">
        <v>243</v>
      </c>
      <c r="CD452" s="1">
        <v>1</v>
      </c>
      <c r="CE452" s="17">
        <v>250</v>
      </c>
      <c r="CF452" s="1">
        <v>1</v>
      </c>
      <c r="CG452" s="17">
        <v>252</v>
      </c>
      <c r="CH452" s="1">
        <v>1</v>
      </c>
      <c r="CI452" s="17">
        <v>262</v>
      </c>
      <c r="CJ452" s="1">
        <v>1</v>
      </c>
      <c r="CK452" s="17">
        <v>267</v>
      </c>
      <c r="CL452" s="1">
        <v>1</v>
      </c>
      <c r="CM452" s="17">
        <v>275</v>
      </c>
      <c r="CN452" s="1">
        <v>1</v>
      </c>
      <c r="CO452" s="17">
        <v>287</v>
      </c>
      <c r="CP452" s="1">
        <v>1</v>
      </c>
      <c r="CQ452" s="17">
        <v>297</v>
      </c>
      <c r="CR452" s="1">
        <v>1</v>
      </c>
      <c r="CS452" s="17">
        <v>309</v>
      </c>
      <c r="CT452" s="1">
        <v>1</v>
      </c>
      <c r="CU452" s="17">
        <v>320</v>
      </c>
      <c r="CV452" s="1">
        <v>1</v>
      </c>
    </row>
    <row r="453" spans="1:100">
      <c r="A453" t="str">
        <f>HYPERLINK("http://exon.niaid.nih.gov/transcriptome/T_rubida/S2/links/pep/Triru-576-pep.txt","Triru-576")</f>
        <v>Triru-576</v>
      </c>
      <c r="B453">
        <v>136</v>
      </c>
      <c r="C453" s="1" t="s">
        <v>8</v>
      </c>
      <c r="D453" s="1" t="s">
        <v>3</v>
      </c>
      <c r="E453" t="str">
        <f>HYPERLINK("http://exon.niaid.nih.gov/transcriptome/T_rubida/S2/links/cds/Triru-576-cds.txt","Triru-576")</f>
        <v>Triru-576</v>
      </c>
      <c r="F453">
        <v>411</v>
      </c>
      <c r="G453" s="2" t="s">
        <v>1665</v>
      </c>
      <c r="H453" s="1">
        <v>1</v>
      </c>
      <c r="I453" s="3" t="s">
        <v>1271</v>
      </c>
      <c r="J453" s="17" t="str">
        <f>HYPERLINK("http://exon.niaid.nih.gov/transcriptome/T_rubida/S2/links/Sigp/Triru-576-SigP.txt","CYT")</f>
        <v>CYT</v>
      </c>
      <c r="K453" t="s">
        <v>5</v>
      </c>
      <c r="L453" s="1">
        <v>15.238</v>
      </c>
      <c r="M453" s="1">
        <v>11.07</v>
      </c>
      <c r="P453" s="1">
        <v>0.24399999999999999</v>
      </c>
      <c r="Q453" s="1">
        <v>8.6999999999999994E-2</v>
      </c>
      <c r="R453" s="1">
        <v>0.67500000000000004</v>
      </c>
      <c r="S453" s="17" t="s">
        <v>1346</v>
      </c>
      <c r="T453">
        <v>3</v>
      </c>
      <c r="U453" t="s">
        <v>1572</v>
      </c>
      <c r="V453" s="17">
        <v>0</v>
      </c>
      <c r="W453" t="s">
        <v>5</v>
      </c>
      <c r="X453" t="s">
        <v>5</v>
      </c>
      <c r="Y453" t="s">
        <v>5</v>
      </c>
      <c r="Z453" t="s">
        <v>5</v>
      </c>
      <c r="AA453" t="s">
        <v>5</v>
      </c>
      <c r="AB453" s="17" t="str">
        <f>HYPERLINK("http://exon.niaid.nih.gov/transcriptome/T_rubida/S2/links/netoglyc/TRIRU-576-netoglyc.txt","1")</f>
        <v>1</v>
      </c>
      <c r="AC453">
        <v>13.2</v>
      </c>
      <c r="AD453">
        <v>10.3</v>
      </c>
      <c r="AE453">
        <v>3.7</v>
      </c>
      <c r="AF453" s="17" t="s">
        <v>1573</v>
      </c>
      <c r="AG453" s="2" t="str">
        <f>HYPERLINK("http://exon.niaid.nih.gov/transcriptome/T_rubida/S2/links/NR/Triru-576-NR.txt","ribosomal protein L3, putative")</f>
        <v>ribosomal protein L3, putative</v>
      </c>
      <c r="AH453" t="str">
        <f>HYPERLINK("http://www.ncbi.nlm.nih.gov/sutils/blink.cgi?pid=261327490","3E-059")</f>
        <v>3E-059</v>
      </c>
      <c r="AI453" t="str">
        <f>HYPERLINK("http://www.ncbi.nlm.nih.gov/protein/261327490","gi|261327490")</f>
        <v>gi|261327490</v>
      </c>
      <c r="AJ453">
        <v>231</v>
      </c>
      <c r="AK453">
        <v>124</v>
      </c>
      <c r="AL453">
        <v>480</v>
      </c>
      <c r="AM453">
        <v>92</v>
      </c>
      <c r="AN453">
        <v>26</v>
      </c>
      <c r="AO453" t="s">
        <v>97</v>
      </c>
      <c r="AP453" s="2" t="str">
        <f>HYPERLINK("http://exon.niaid.nih.gov/transcriptome/T_rubida/S2/links/SWISSP/Triru-576-SWISSP.txt","60S ribosomal protein L3")</f>
        <v>60S ribosomal protein L3</v>
      </c>
      <c r="AQ453" t="str">
        <f>HYPERLINK("http://www.uniprot.org/uniprot/Q4R5Q0","3E-029")</f>
        <v>3E-029</v>
      </c>
      <c r="AR453" t="s">
        <v>401</v>
      </c>
      <c r="AS453">
        <v>126</v>
      </c>
      <c r="AT453">
        <v>94</v>
      </c>
      <c r="AU453">
        <v>403</v>
      </c>
      <c r="AV453">
        <v>63</v>
      </c>
      <c r="AW453">
        <v>24</v>
      </c>
      <c r="AX453">
        <v>35</v>
      </c>
      <c r="AY453">
        <v>0</v>
      </c>
      <c r="AZ453">
        <v>307</v>
      </c>
      <c r="BA453">
        <v>11</v>
      </c>
      <c r="BB453">
        <v>1</v>
      </c>
      <c r="BC453" t="s">
        <v>402</v>
      </c>
      <c r="BD453" s="2" t="s">
        <v>403</v>
      </c>
      <c r="BE453">
        <f>HYPERLINK("http://exon.niaid.nih.gov/transcriptome/T_rubida/S2/links/GO/Triru-576-GO.txt",2E-29)</f>
        <v>1.9999999999999999E-29</v>
      </c>
      <c r="BF453" t="s">
        <v>138</v>
      </c>
      <c r="BG453" t="s">
        <v>139</v>
      </c>
      <c r="BH453" t="s">
        <v>140</v>
      </c>
      <c r="BI453" s="2" t="str">
        <f>HYPERLINK("http://exon.niaid.nih.gov/transcriptome/T_rubida/S2/links/CDD/Triru-576-CDD.txt","PTZ00103")</f>
        <v>PTZ00103</v>
      </c>
      <c r="BJ453" t="str">
        <f>HYPERLINK("http://www.ncbi.nlm.nih.gov/Structure/cdd/cddsrv.cgi?uid=PTZ00103&amp;version=v4.0","4E-042")</f>
        <v>4E-042</v>
      </c>
      <c r="BK453" t="s">
        <v>404</v>
      </c>
      <c r="BL453" s="2" t="str">
        <f>HYPERLINK("http://exon.niaid.nih.gov/transcriptome/T_rubida/S2/links/KOG/Triru-576-KOG.txt","60S ribosomal protein L3 and related proteins")</f>
        <v>60S ribosomal protein L3 and related proteins</v>
      </c>
      <c r="BM453" t="str">
        <f>HYPERLINK("http://www.ncbi.nlm.nih.gov/COG/grace/shokog.cgi?KOG0746","2E-027")</f>
        <v>2E-027</v>
      </c>
      <c r="BN453" t="s">
        <v>84</v>
      </c>
      <c r="BO453" s="2" t="str">
        <f>HYPERLINK("http://exon.niaid.nih.gov/transcriptome/T_rubida/S2/links/PFAM/Triru-576-PFAM.txt","Ribosomal_L3")</f>
        <v>Ribosomal_L3</v>
      </c>
      <c r="BP453" t="str">
        <f>HYPERLINK("http://pfam.sanger.ac.uk/family?acc=PF00297","0.006")</f>
        <v>0.006</v>
      </c>
      <c r="BQ453" s="2" t="str">
        <f>HYPERLINK("http://exon.niaid.nih.gov/transcriptome/T_rubida/S2/links/SMART/Triru-576-SMART.txt","MUTSd")</f>
        <v>MUTSd</v>
      </c>
      <c r="BR453" t="str">
        <f>HYPERLINK("http://smart.embl-heidelberg.de/smart/do_annotation.pl?DOMAIN=MUTSd&amp;BLAST=DUMMY","0.23")</f>
        <v>0.23</v>
      </c>
      <c r="BS453" s="17">
        <f>HYPERLINK("http://exon.niaid.nih.gov/transcriptome/T_rubida/S2/links/cluster/Triru-pep-ext25-50-Sim-CLU14.txt", 14)</f>
        <v>14</v>
      </c>
      <c r="BT453" s="1">
        <f>HYPERLINK("http://exon.niaid.nih.gov/transcriptome/T_rubida/S2/links/cluster/Triru-pep-ext25-50-Sim-CLTL14.txt", 2)</f>
        <v>2</v>
      </c>
      <c r="BU453" s="17">
        <v>261</v>
      </c>
      <c r="BV453" s="1">
        <v>1</v>
      </c>
      <c r="BW453" s="17">
        <v>334</v>
      </c>
      <c r="BX453" s="1">
        <v>1</v>
      </c>
      <c r="BY453" s="17">
        <v>367</v>
      </c>
      <c r="BZ453" s="1">
        <v>1</v>
      </c>
      <c r="CA453" s="17">
        <v>382</v>
      </c>
      <c r="CB453" s="1">
        <v>1</v>
      </c>
      <c r="CC453" s="17">
        <v>396</v>
      </c>
      <c r="CD453" s="1">
        <v>1</v>
      </c>
      <c r="CE453" s="17">
        <v>411</v>
      </c>
      <c r="CF453" s="1">
        <v>1</v>
      </c>
      <c r="CG453" s="17">
        <v>417</v>
      </c>
      <c r="CH453" s="1">
        <v>1</v>
      </c>
      <c r="CI453" s="17">
        <v>429</v>
      </c>
      <c r="CJ453" s="1">
        <v>1</v>
      </c>
      <c r="CK453" s="17">
        <v>435</v>
      </c>
      <c r="CL453" s="1">
        <v>1</v>
      </c>
      <c r="CM453" s="17">
        <v>446</v>
      </c>
      <c r="CN453" s="1">
        <v>1</v>
      </c>
      <c r="CO453" s="17">
        <v>458</v>
      </c>
      <c r="CP453" s="1">
        <v>1</v>
      </c>
      <c r="CQ453" s="17">
        <v>468</v>
      </c>
      <c r="CR453" s="1">
        <v>1</v>
      </c>
      <c r="CS453" s="17">
        <v>481</v>
      </c>
      <c r="CT453" s="1">
        <v>1</v>
      </c>
      <c r="CU453" s="17">
        <v>493</v>
      </c>
      <c r="CV453" s="1">
        <v>1</v>
      </c>
    </row>
    <row r="454" spans="1:100">
      <c r="A454" t="str">
        <f>HYPERLINK("http://exon.niaid.nih.gov/transcriptome/T_rubida/S2/links/pep/Triru-543-pep.txt","Triru-543")</f>
        <v>Triru-543</v>
      </c>
      <c r="B454">
        <v>135</v>
      </c>
      <c r="C454" s="1" t="s">
        <v>4</v>
      </c>
      <c r="D454" s="1" t="s">
        <v>3</v>
      </c>
      <c r="E454" t="str">
        <f>HYPERLINK("http://exon.niaid.nih.gov/transcriptome/T_rubida/S2/links/cds/Triru-543-cds.txt","Triru-543")</f>
        <v>Triru-543</v>
      </c>
      <c r="F454">
        <v>408</v>
      </c>
      <c r="G454" s="2" t="s">
        <v>1887</v>
      </c>
      <c r="H454" s="1">
        <v>1</v>
      </c>
      <c r="I454" s="3" t="s">
        <v>1271</v>
      </c>
      <c r="J454" s="17" t="str">
        <f>HYPERLINK("http://exon.niaid.nih.gov/transcriptome/T_rubida/S2/links/Sigp/Triru-543-SigP.txt","CYT")</f>
        <v>CYT</v>
      </c>
      <c r="K454" t="s">
        <v>5</v>
      </c>
      <c r="L454" s="1">
        <v>14.488</v>
      </c>
      <c r="M454" s="1">
        <v>5.47</v>
      </c>
      <c r="P454" s="1">
        <v>5.1999999999999998E-2</v>
      </c>
      <c r="Q454" s="1">
        <v>0.29099999999999998</v>
      </c>
      <c r="R454" s="1">
        <v>0.65300000000000002</v>
      </c>
      <c r="S454" s="17" t="s">
        <v>1346</v>
      </c>
      <c r="T454">
        <v>4</v>
      </c>
      <c r="U454" t="s">
        <v>1574</v>
      </c>
      <c r="V454" s="17">
        <v>0</v>
      </c>
      <c r="W454" t="s">
        <v>5</v>
      </c>
      <c r="X454" t="s">
        <v>5</v>
      </c>
      <c r="Y454" t="s">
        <v>5</v>
      </c>
      <c r="Z454" t="s">
        <v>5</v>
      </c>
      <c r="AA454" t="s">
        <v>5</v>
      </c>
      <c r="AB454" s="17" t="str">
        <f>HYPERLINK("http://exon.niaid.nih.gov/transcriptome/T_rubida/S2/links/netoglyc/TRIRU-543-netoglyc.txt","0")</f>
        <v>0</v>
      </c>
      <c r="AC454">
        <v>17</v>
      </c>
      <c r="AD454">
        <v>1.5</v>
      </c>
      <c r="AE454">
        <v>0.7</v>
      </c>
      <c r="AF454" s="17" t="s">
        <v>5</v>
      </c>
      <c r="AG454" s="2" t="str">
        <f>HYPERLINK("http://exon.niaid.nih.gov/transcriptome/T_rubida/S2/links/NR/Triru-543-NR.txt","hypothetical protein TCSYLVIO_6485")</f>
        <v>hypothetical protein TCSYLVIO_6485</v>
      </c>
      <c r="AH454" t="str">
        <f>HYPERLINK("http://www.ncbi.nlm.nih.gov/sutils/blink.cgi?pid=322820798","4E-039")</f>
        <v>4E-039</v>
      </c>
      <c r="AI454" t="str">
        <f>HYPERLINK("http://www.ncbi.nlm.nih.gov/protein/322820798","gi|322820798")</f>
        <v>gi|322820798</v>
      </c>
      <c r="AJ454">
        <v>164</v>
      </c>
      <c r="AK454">
        <v>132</v>
      </c>
      <c r="AL454">
        <v>927</v>
      </c>
      <c r="AM454">
        <v>65</v>
      </c>
      <c r="AN454">
        <v>14</v>
      </c>
      <c r="AO454" t="s">
        <v>176</v>
      </c>
      <c r="AP454" s="2" t="str">
        <f>HYPERLINK("http://exon.niaid.nih.gov/transcriptome/T_rubida/S2/links/SWISSP/Triru-543-SWISSP.txt","Probable kinetochore protein nuf-2")</f>
        <v>Probable kinetochore protein nuf-2</v>
      </c>
      <c r="AQ454" t="str">
        <f>HYPERLINK("http://www.uniprot.org/uniprot/Q7S9H0","1.5")</f>
        <v>1.5</v>
      </c>
      <c r="AR454" t="s">
        <v>244</v>
      </c>
      <c r="AS454">
        <v>31.6</v>
      </c>
      <c r="AT454">
        <v>87</v>
      </c>
      <c r="AU454">
        <v>464</v>
      </c>
      <c r="AV454">
        <v>24</v>
      </c>
      <c r="AW454">
        <v>19</v>
      </c>
      <c r="AX454">
        <v>74</v>
      </c>
      <c r="AY454">
        <v>10</v>
      </c>
      <c r="AZ454">
        <v>309</v>
      </c>
      <c r="BA454">
        <v>19</v>
      </c>
      <c r="BB454">
        <v>1</v>
      </c>
      <c r="BC454" t="s">
        <v>245</v>
      </c>
      <c r="BD454" s="2" t="s">
        <v>5</v>
      </c>
      <c r="BE454" t="s">
        <v>5</v>
      </c>
      <c r="BF454" t="s">
        <v>5</v>
      </c>
      <c r="BG454" t="s">
        <v>5</v>
      </c>
      <c r="BH454" t="s">
        <v>5</v>
      </c>
      <c r="BI454" s="2" t="str">
        <f>HYPERLINK("http://exon.niaid.nih.gov/transcriptome/T_rubida/S2/links/CDD/Triru-543-CDD.txt","BADH")</f>
        <v>BADH</v>
      </c>
      <c r="BJ454" t="str">
        <f>HYPERLINK("http://www.ncbi.nlm.nih.gov/Structure/cdd/cddsrv.cgi?uid=TIGR01804&amp;version=v4.0","0.019")</f>
        <v>0.019</v>
      </c>
      <c r="BK454" t="s">
        <v>246</v>
      </c>
      <c r="BL454" s="2" t="str">
        <f>HYPERLINK("http://exon.niaid.nih.gov/transcriptome/T_rubida/S2/links/KOG/Triru-543-KOG.txt","Uncharacterized conserved protein")</f>
        <v>Uncharacterized conserved protein</v>
      </c>
      <c r="BM454" t="str">
        <f>HYPERLINK("http://www.ncbi.nlm.nih.gov/COG/grace/shokog.cgi?KOG0798","1.4")</f>
        <v>1.4</v>
      </c>
      <c r="BN454" t="s">
        <v>124</v>
      </c>
      <c r="BO454" s="2" t="str">
        <f>HYPERLINK("http://exon.niaid.nih.gov/transcriptome/T_rubida/S2/links/PFAM/Triru-543-PFAM.txt","SKIP_SNW")</f>
        <v>SKIP_SNW</v>
      </c>
      <c r="BP454" t="str">
        <f>HYPERLINK("http://pfam.sanger.ac.uk/family?acc=PF02731","0.50")</f>
        <v>0.50</v>
      </c>
      <c r="BQ454" s="2" t="str">
        <f>HYPERLINK("http://exon.niaid.nih.gov/transcriptome/T_rubida/S2/links/SMART/Triru-543-SMART.txt","HTH_CRP")</f>
        <v>HTH_CRP</v>
      </c>
      <c r="BR454" t="str">
        <f>HYPERLINK("http://smart.embl-heidelberg.de/smart/do_annotation.pl?DOMAIN=HTH_CRP&amp;BLAST=DUMMY","0.58")</f>
        <v>0.58</v>
      </c>
      <c r="BS454" s="17">
        <f>HYPERLINK("http://exon.niaid.nih.gov/transcriptome/T_rubida/S2/links/cluster/Triru-pep-ext25-50-Sim-CLU32.txt", 32)</f>
        <v>32</v>
      </c>
      <c r="BT454" s="1">
        <f>HYPERLINK("http://exon.niaid.nih.gov/transcriptome/T_rubida/S2/links/cluster/Triru-pep-ext25-50-Sim-CLTL32.txt", 2)</f>
        <v>2</v>
      </c>
      <c r="BU454" s="17">
        <f>HYPERLINK("http://exon.niaid.nih.gov/transcriptome/T_rubida/S2/links/cluster/Triru-pep-ext30-50-Sim-CLU44.txt", 44)</f>
        <v>44</v>
      </c>
      <c r="BV454" s="1">
        <f>HYPERLINK("http://exon.niaid.nih.gov/transcriptome/T_rubida/S2/links/cluster/Triru-pep-ext30-50-Sim-CLTL44.txt", 2)</f>
        <v>2</v>
      </c>
      <c r="BW454" s="17">
        <f>HYPERLINK("http://exon.niaid.nih.gov/transcriptome/T_rubida/S2/links/cluster/Triru-pep-ext35-50-Sim-CLU43.txt", 43)</f>
        <v>43</v>
      </c>
      <c r="BX454" s="1">
        <f>HYPERLINK("http://exon.niaid.nih.gov/transcriptome/T_rubida/S2/links/cluster/Triru-pep-ext35-50-Sim-CLTL43.txt", 2)</f>
        <v>2</v>
      </c>
      <c r="BY454" s="17">
        <f>HYPERLINK("http://exon.niaid.nih.gov/transcriptome/T_rubida/S2/links/cluster/Triru-pep-ext40-50-Sim-CLU39.txt", 39)</f>
        <v>39</v>
      </c>
      <c r="BZ454" s="1">
        <f>HYPERLINK("http://exon.niaid.nih.gov/transcriptome/T_rubida/S2/links/cluster/Triru-pep-ext40-50-Sim-CLTL39.txt", 2)</f>
        <v>2</v>
      </c>
      <c r="CA454" s="17">
        <f>HYPERLINK("http://exon.niaid.nih.gov/transcriptome/T_rubida/S2/links/cluster/Triru-pep-ext45-50-Sim-CLU34.txt", 34)</f>
        <v>34</v>
      </c>
      <c r="CB454" s="1">
        <f>HYPERLINK("http://exon.niaid.nih.gov/transcriptome/T_rubida/S2/links/cluster/Triru-pep-ext45-50-Sim-CLTL34.txt", 2)</f>
        <v>2</v>
      </c>
      <c r="CC454" s="17">
        <f>HYPERLINK("http://exon.niaid.nih.gov/transcriptome/T_rubida/S2/links/cluster/Triru-pep-ext50-50-Sim-CLU33.txt", 33)</f>
        <v>33</v>
      </c>
      <c r="CD454" s="1">
        <f>HYPERLINK("http://exon.niaid.nih.gov/transcriptome/T_rubida/S2/links/cluster/Triru-pep-ext50-50-Sim-CLTL33.txt", 2)</f>
        <v>2</v>
      </c>
      <c r="CE454" s="17">
        <f>HYPERLINK("http://exon.niaid.nih.gov/transcriptome/T_rubida/S2/links/cluster/Triru-pep-ext55-50-Sim-CLU26.txt", 26)</f>
        <v>26</v>
      </c>
      <c r="CF454" s="1">
        <f>HYPERLINK("http://exon.niaid.nih.gov/transcriptome/T_rubida/S2/links/cluster/Triru-pep-ext55-50-Sim-CLTL26.txt", 2)</f>
        <v>2</v>
      </c>
      <c r="CG454" s="17">
        <f>HYPERLINK("http://exon.niaid.nih.gov/transcriptome/T_rubida/S2/links/cluster/Triru-pep-ext60-50-Sim-CLU25.txt", 25)</f>
        <v>25</v>
      </c>
      <c r="CH454" s="1">
        <f>HYPERLINK("http://exon.niaid.nih.gov/transcriptome/T_rubida/S2/links/cluster/Triru-pep-ext60-50-Sim-CLTL25.txt", 2)</f>
        <v>2</v>
      </c>
      <c r="CI454" s="17">
        <f>HYPERLINK("http://exon.niaid.nih.gov/transcriptome/T_rubida/S2/links/cluster/Triru-pep-ext65-50-Sim-CLU23.txt", 23)</f>
        <v>23</v>
      </c>
      <c r="CJ454" s="1">
        <f>HYPERLINK("http://exon.niaid.nih.gov/transcriptome/T_rubida/S2/links/cluster/Triru-pep-ext65-50-Sim-CLTL23.txt", 2)</f>
        <v>2</v>
      </c>
      <c r="CK454" s="17">
        <f>HYPERLINK("http://exon.niaid.nih.gov/transcriptome/T_rubida/S2/links/cluster/Triru-pep-ext70-50-Sim-CLU23.txt", 23)</f>
        <v>23</v>
      </c>
      <c r="CL454" s="1">
        <f>HYPERLINK("http://exon.niaid.nih.gov/transcriptome/T_rubida/S2/links/cluster/Triru-pep-ext70-50-Sim-CLTL23.txt", 2)</f>
        <v>2</v>
      </c>
      <c r="CM454" s="17">
        <f>HYPERLINK("http://exon.niaid.nih.gov/transcriptome/T_rubida/S2/links/cluster/Triru-pep-ext75-50-Sim-CLU23.txt", 23)</f>
        <v>23</v>
      </c>
      <c r="CN454" s="1">
        <f>HYPERLINK("http://exon.niaid.nih.gov/transcriptome/T_rubida/S2/links/cluster/Triru-pep-ext75-50-Sim-CLTL23.txt", 2)</f>
        <v>2</v>
      </c>
      <c r="CO454" s="17">
        <f>HYPERLINK("http://exon.niaid.nih.gov/transcriptome/T_rubida/S2/links/cluster/Triru-pep-ext80-50-Sim-CLU20.txt", 20)</f>
        <v>20</v>
      </c>
      <c r="CP454" s="1">
        <f>HYPERLINK("http://exon.niaid.nih.gov/transcriptome/T_rubida/S2/links/cluster/Triru-pep-ext80-50-Sim-CLTL20.txt", 2)</f>
        <v>2</v>
      </c>
      <c r="CQ454" s="17">
        <f>HYPERLINK("http://exon.niaid.nih.gov/transcriptome/T_rubida/S2/links/cluster/Triru-pep-ext85-50-Sim-CLU18.txt", 18)</f>
        <v>18</v>
      </c>
      <c r="CR454" s="1">
        <f>HYPERLINK("http://exon.niaid.nih.gov/transcriptome/T_rubida/S2/links/cluster/Triru-pep-ext85-50-Sim-CLTL18.txt", 2)</f>
        <v>2</v>
      </c>
      <c r="CS454" s="17">
        <f>HYPERLINK("http://exon.niaid.nih.gov/transcriptome/T_rubida/S2/links/cluster/Triru-pep-ext90-50-Sim-CLU15.txt", 15)</f>
        <v>15</v>
      </c>
      <c r="CT454" s="1">
        <f>HYPERLINK("http://exon.niaid.nih.gov/transcriptome/T_rubida/S2/links/cluster/Triru-pep-ext90-50-Sim-CLTL15.txt", 2)</f>
        <v>2</v>
      </c>
      <c r="CU454" s="17">
        <f>HYPERLINK("http://exon.niaid.nih.gov/transcriptome/T_rubida/S2/links/cluster/Triru-pep-ext95-50-Sim-CLU12.txt", 12)</f>
        <v>12</v>
      </c>
      <c r="CV454" s="1">
        <f>HYPERLINK("http://exon.niaid.nih.gov/transcriptome/T_rubida/S2/links/cluster/Triru-pep-ext95-50-Sim-CLTL12.txt", 2)</f>
        <v>2</v>
      </c>
    </row>
    <row r="455" spans="1:100">
      <c r="A455" t="str">
        <f>HYPERLINK("http://exon.niaid.nih.gov/transcriptome/T_rubida/S2/links/pep/Triru-545-pep.txt","Triru-545")</f>
        <v>Triru-545</v>
      </c>
      <c r="B455">
        <v>134</v>
      </c>
      <c r="C455" s="1" t="s">
        <v>17</v>
      </c>
      <c r="D455" s="1" t="s">
        <v>3</v>
      </c>
      <c r="E455" t="str">
        <f>HYPERLINK("http://exon.niaid.nih.gov/transcriptome/T_rubida/S2/links/cds/Triru-545-cds.txt","Triru-545")</f>
        <v>Triru-545</v>
      </c>
      <c r="F455">
        <v>405</v>
      </c>
      <c r="G455" s="2" t="s">
        <v>1888</v>
      </c>
      <c r="H455" s="1">
        <v>1</v>
      </c>
      <c r="I455" s="3" t="s">
        <v>1271</v>
      </c>
      <c r="J455" s="17" t="str">
        <f>HYPERLINK("http://exon.niaid.nih.gov/transcriptome/T_rubida/S2/links/Sigp/Triru-545-SigP.txt","CYT")</f>
        <v>CYT</v>
      </c>
      <c r="K455" t="s">
        <v>5</v>
      </c>
      <c r="L455" s="1">
        <v>14.459</v>
      </c>
      <c r="M455" s="1">
        <v>5.9</v>
      </c>
      <c r="P455" s="1">
        <v>6.9000000000000006E-2</v>
      </c>
      <c r="Q455" s="1">
        <v>0.45100000000000001</v>
      </c>
      <c r="R455" s="1">
        <v>0.371</v>
      </c>
      <c r="S455" s="17" t="s">
        <v>18</v>
      </c>
      <c r="T455">
        <v>5</v>
      </c>
      <c r="U455" t="s">
        <v>1575</v>
      </c>
      <c r="V455" s="17">
        <v>0</v>
      </c>
      <c r="W455" t="s">
        <v>5</v>
      </c>
      <c r="X455" t="s">
        <v>5</v>
      </c>
      <c r="Y455" t="s">
        <v>5</v>
      </c>
      <c r="Z455" t="s">
        <v>5</v>
      </c>
      <c r="AA455" t="s">
        <v>5</v>
      </c>
      <c r="AB455" s="17" t="str">
        <f>HYPERLINK("http://exon.niaid.nih.gov/transcriptome/T_rubida/S2/links/netoglyc/TRIRU-545-netoglyc.txt","0")</f>
        <v>0</v>
      </c>
      <c r="AC455">
        <v>17.2</v>
      </c>
      <c r="AD455">
        <v>2.2000000000000002</v>
      </c>
      <c r="AE455">
        <v>0.7</v>
      </c>
      <c r="AF455" s="17" t="s">
        <v>5</v>
      </c>
      <c r="AG455" s="2" t="str">
        <f>HYPERLINK("http://exon.niaid.nih.gov/transcriptome/T_rubida/S2/links/NR/Triru-545-NR.txt","hypothetical protein TCSYLVIO_6485")</f>
        <v>hypothetical protein TCSYLVIO_6485</v>
      </c>
      <c r="AH455" t="str">
        <f>HYPERLINK("http://www.ncbi.nlm.nih.gov/sutils/blink.cgi?pid=322820798","1E-038")</f>
        <v>1E-038</v>
      </c>
      <c r="AI455" t="str">
        <f>HYPERLINK("http://www.ncbi.nlm.nih.gov/protein/322820798","gi|322820798")</f>
        <v>gi|322820798</v>
      </c>
      <c r="AJ455">
        <v>162</v>
      </c>
      <c r="AK455">
        <v>130</v>
      </c>
      <c r="AL455">
        <v>927</v>
      </c>
      <c r="AM455">
        <v>65</v>
      </c>
      <c r="AN455">
        <v>14</v>
      </c>
      <c r="AO455" t="s">
        <v>176</v>
      </c>
      <c r="AP455" s="2" t="str">
        <f>HYPERLINK("http://exon.niaid.nih.gov/transcriptome/T_rubida/S2/links/SWISSP/Triru-545-SWISSP.txt","Probable kinetochore protein nuf-2")</f>
        <v>Probable kinetochore protein nuf-2</v>
      </c>
      <c r="AQ455" t="str">
        <f>HYPERLINK("http://www.uniprot.org/uniprot/Q7S9H0","1.4")</f>
        <v>1.4</v>
      </c>
      <c r="AR455" t="s">
        <v>244</v>
      </c>
      <c r="AS455">
        <v>31.6</v>
      </c>
      <c r="AT455">
        <v>87</v>
      </c>
      <c r="AU455">
        <v>464</v>
      </c>
      <c r="AV455">
        <v>24</v>
      </c>
      <c r="AW455">
        <v>19</v>
      </c>
      <c r="AX455">
        <v>74</v>
      </c>
      <c r="AY455">
        <v>10</v>
      </c>
      <c r="AZ455">
        <v>309</v>
      </c>
      <c r="BA455">
        <v>18</v>
      </c>
      <c r="BB455">
        <v>1</v>
      </c>
      <c r="BC455" t="s">
        <v>245</v>
      </c>
      <c r="BD455" s="2" t="s">
        <v>5</v>
      </c>
      <c r="BE455" t="s">
        <v>5</v>
      </c>
      <c r="BF455" t="s">
        <v>5</v>
      </c>
      <c r="BG455" t="s">
        <v>5</v>
      </c>
      <c r="BH455" t="s">
        <v>5</v>
      </c>
      <c r="BI455" s="2" t="str">
        <f>HYPERLINK("http://exon.niaid.nih.gov/transcriptome/T_rubida/S2/links/CDD/Triru-545-CDD.txt","BADH")</f>
        <v>BADH</v>
      </c>
      <c r="BJ455" t="str">
        <f>HYPERLINK("http://www.ncbi.nlm.nih.gov/Structure/cdd/cddsrv.cgi?uid=TIGR01804&amp;version=v4.0","0.016")</f>
        <v>0.016</v>
      </c>
      <c r="BK455" t="s">
        <v>1149</v>
      </c>
      <c r="BL455" s="2" t="str">
        <f>HYPERLINK("http://exon.niaid.nih.gov/transcriptome/T_rubida/S2/links/KOG/Triru-545-KOG.txt","Uncharacterized conserved protein")</f>
        <v>Uncharacterized conserved protein</v>
      </c>
      <c r="BM455" t="str">
        <f>HYPERLINK("http://www.ncbi.nlm.nih.gov/COG/grace/shokog.cgi?KOG0798","1.5")</f>
        <v>1.5</v>
      </c>
      <c r="BN455" t="s">
        <v>124</v>
      </c>
      <c r="BO455" s="2" t="str">
        <f>HYPERLINK("http://exon.niaid.nih.gov/transcriptome/T_rubida/S2/links/PFAM/Triru-545-PFAM.txt","SKIP_SNW")</f>
        <v>SKIP_SNW</v>
      </c>
      <c r="BP455" t="str">
        <f>HYPERLINK("http://pfam.sanger.ac.uk/family?acc=PF02731","0.50")</f>
        <v>0.50</v>
      </c>
      <c r="BQ455" s="2" t="str">
        <f>HYPERLINK("http://exon.niaid.nih.gov/transcriptome/T_rubida/S2/links/SMART/Triru-545-SMART.txt","HTH_CRP")</f>
        <v>HTH_CRP</v>
      </c>
      <c r="BR455" t="str">
        <f>HYPERLINK("http://smart.embl-heidelberg.de/smart/do_annotation.pl?DOMAIN=HTH_CRP&amp;BLAST=DUMMY","0.64")</f>
        <v>0.64</v>
      </c>
      <c r="BS455" s="17">
        <f>HYPERLINK("http://exon.niaid.nih.gov/transcriptome/T_rubida/S2/links/cluster/Triru-pep-ext25-50-Sim-CLU32.txt", 32)</f>
        <v>32</v>
      </c>
      <c r="BT455" s="1">
        <f>HYPERLINK("http://exon.niaid.nih.gov/transcriptome/T_rubida/S2/links/cluster/Triru-pep-ext25-50-Sim-CLTL32.txt", 2)</f>
        <v>2</v>
      </c>
      <c r="BU455" s="17">
        <f>HYPERLINK("http://exon.niaid.nih.gov/transcriptome/T_rubida/S2/links/cluster/Triru-pep-ext30-50-Sim-CLU44.txt", 44)</f>
        <v>44</v>
      </c>
      <c r="BV455" s="1">
        <f>HYPERLINK("http://exon.niaid.nih.gov/transcriptome/T_rubida/S2/links/cluster/Triru-pep-ext30-50-Sim-CLTL44.txt", 2)</f>
        <v>2</v>
      </c>
      <c r="BW455" s="17">
        <f>HYPERLINK("http://exon.niaid.nih.gov/transcriptome/T_rubida/S2/links/cluster/Triru-pep-ext35-50-Sim-CLU43.txt", 43)</f>
        <v>43</v>
      </c>
      <c r="BX455" s="1">
        <f>HYPERLINK("http://exon.niaid.nih.gov/transcriptome/T_rubida/S2/links/cluster/Triru-pep-ext35-50-Sim-CLTL43.txt", 2)</f>
        <v>2</v>
      </c>
      <c r="BY455" s="17">
        <f>HYPERLINK("http://exon.niaid.nih.gov/transcriptome/T_rubida/S2/links/cluster/Triru-pep-ext40-50-Sim-CLU39.txt", 39)</f>
        <v>39</v>
      </c>
      <c r="BZ455" s="1">
        <f>HYPERLINK("http://exon.niaid.nih.gov/transcriptome/T_rubida/S2/links/cluster/Triru-pep-ext40-50-Sim-CLTL39.txt", 2)</f>
        <v>2</v>
      </c>
      <c r="CA455" s="17">
        <f>HYPERLINK("http://exon.niaid.nih.gov/transcriptome/T_rubida/S2/links/cluster/Triru-pep-ext45-50-Sim-CLU34.txt", 34)</f>
        <v>34</v>
      </c>
      <c r="CB455" s="1">
        <f>HYPERLINK("http://exon.niaid.nih.gov/transcriptome/T_rubida/S2/links/cluster/Triru-pep-ext45-50-Sim-CLTL34.txt", 2)</f>
        <v>2</v>
      </c>
      <c r="CC455" s="17">
        <f>HYPERLINK("http://exon.niaid.nih.gov/transcriptome/T_rubida/S2/links/cluster/Triru-pep-ext50-50-Sim-CLU33.txt", 33)</f>
        <v>33</v>
      </c>
      <c r="CD455" s="1">
        <f>HYPERLINK("http://exon.niaid.nih.gov/transcriptome/T_rubida/S2/links/cluster/Triru-pep-ext50-50-Sim-CLTL33.txt", 2)</f>
        <v>2</v>
      </c>
      <c r="CE455" s="17">
        <f>HYPERLINK("http://exon.niaid.nih.gov/transcriptome/T_rubida/S2/links/cluster/Triru-pep-ext55-50-Sim-CLU26.txt", 26)</f>
        <v>26</v>
      </c>
      <c r="CF455" s="1">
        <f>HYPERLINK("http://exon.niaid.nih.gov/transcriptome/T_rubida/S2/links/cluster/Triru-pep-ext55-50-Sim-CLTL26.txt", 2)</f>
        <v>2</v>
      </c>
      <c r="CG455" s="17">
        <f>HYPERLINK("http://exon.niaid.nih.gov/transcriptome/T_rubida/S2/links/cluster/Triru-pep-ext60-50-Sim-CLU25.txt", 25)</f>
        <v>25</v>
      </c>
      <c r="CH455" s="1">
        <f>HYPERLINK("http://exon.niaid.nih.gov/transcriptome/T_rubida/S2/links/cluster/Triru-pep-ext60-50-Sim-CLTL25.txt", 2)</f>
        <v>2</v>
      </c>
      <c r="CI455" s="17">
        <f>HYPERLINK("http://exon.niaid.nih.gov/transcriptome/T_rubida/S2/links/cluster/Triru-pep-ext65-50-Sim-CLU23.txt", 23)</f>
        <v>23</v>
      </c>
      <c r="CJ455" s="1">
        <f>HYPERLINK("http://exon.niaid.nih.gov/transcriptome/T_rubida/S2/links/cluster/Triru-pep-ext65-50-Sim-CLTL23.txt", 2)</f>
        <v>2</v>
      </c>
      <c r="CK455" s="17">
        <f>HYPERLINK("http://exon.niaid.nih.gov/transcriptome/T_rubida/S2/links/cluster/Triru-pep-ext70-50-Sim-CLU23.txt", 23)</f>
        <v>23</v>
      </c>
      <c r="CL455" s="1">
        <f>HYPERLINK("http://exon.niaid.nih.gov/transcriptome/T_rubida/S2/links/cluster/Triru-pep-ext70-50-Sim-CLTL23.txt", 2)</f>
        <v>2</v>
      </c>
      <c r="CM455" s="17">
        <f>HYPERLINK("http://exon.niaid.nih.gov/transcriptome/T_rubida/S2/links/cluster/Triru-pep-ext75-50-Sim-CLU23.txt", 23)</f>
        <v>23</v>
      </c>
      <c r="CN455" s="1">
        <f>HYPERLINK("http://exon.niaid.nih.gov/transcriptome/T_rubida/S2/links/cluster/Triru-pep-ext75-50-Sim-CLTL23.txt", 2)</f>
        <v>2</v>
      </c>
      <c r="CO455" s="17">
        <f>HYPERLINK("http://exon.niaid.nih.gov/transcriptome/T_rubida/S2/links/cluster/Triru-pep-ext80-50-Sim-CLU20.txt", 20)</f>
        <v>20</v>
      </c>
      <c r="CP455" s="1">
        <f>HYPERLINK("http://exon.niaid.nih.gov/transcriptome/T_rubida/S2/links/cluster/Triru-pep-ext80-50-Sim-CLTL20.txt", 2)</f>
        <v>2</v>
      </c>
      <c r="CQ455" s="17">
        <f>HYPERLINK("http://exon.niaid.nih.gov/transcriptome/T_rubida/S2/links/cluster/Triru-pep-ext85-50-Sim-CLU18.txt", 18)</f>
        <v>18</v>
      </c>
      <c r="CR455" s="1">
        <f>HYPERLINK("http://exon.niaid.nih.gov/transcriptome/T_rubida/S2/links/cluster/Triru-pep-ext85-50-Sim-CLTL18.txt", 2)</f>
        <v>2</v>
      </c>
      <c r="CS455" s="17">
        <f>HYPERLINK("http://exon.niaid.nih.gov/transcriptome/T_rubida/S2/links/cluster/Triru-pep-ext90-50-Sim-CLU15.txt", 15)</f>
        <v>15</v>
      </c>
      <c r="CT455" s="1">
        <f>HYPERLINK("http://exon.niaid.nih.gov/transcriptome/T_rubida/S2/links/cluster/Triru-pep-ext90-50-Sim-CLTL15.txt", 2)</f>
        <v>2</v>
      </c>
      <c r="CU455" s="17">
        <f>HYPERLINK("http://exon.niaid.nih.gov/transcriptome/T_rubida/S2/links/cluster/Triru-pep-ext95-50-Sim-CLU12.txt", 12)</f>
        <v>12</v>
      </c>
      <c r="CV455" s="1">
        <f>HYPERLINK("http://exon.niaid.nih.gov/transcriptome/T_rubida/S2/links/cluster/Triru-pep-ext95-50-Sim-CLTL12.txt", 2)</f>
        <v>2</v>
      </c>
    </row>
    <row r="456" spans="1:100">
      <c r="A456" t="str">
        <f>HYPERLINK("http://exon.niaid.nih.gov/transcriptome/T_rubida/S2/links/pep/Triru-608-pep.txt","Triru-608")</f>
        <v>Triru-608</v>
      </c>
      <c r="B456">
        <v>88</v>
      </c>
      <c r="C456" s="1" t="s">
        <v>4</v>
      </c>
      <c r="D456" s="1" t="s">
        <v>3</v>
      </c>
      <c r="E456" t="str">
        <f>HYPERLINK("http://exon.niaid.nih.gov/transcriptome/T_rubida/S2/links/cds/Triru-608-cds.txt","Triru-608")</f>
        <v>Triru-608</v>
      </c>
      <c r="F456">
        <v>267</v>
      </c>
      <c r="G456" s="2" t="s">
        <v>1889</v>
      </c>
      <c r="H456" s="1">
        <v>1</v>
      </c>
      <c r="I456" s="3" t="s">
        <v>1271</v>
      </c>
      <c r="J456" s="17" t="str">
        <f>HYPERLINK("http://exon.niaid.nih.gov/transcriptome/T_rubida/S2/links/Sigp/Triru-608-SigP.txt","CYT")</f>
        <v>CYT</v>
      </c>
      <c r="K456" t="s">
        <v>5</v>
      </c>
      <c r="L456" s="1">
        <v>9.6989999999999998</v>
      </c>
      <c r="M456" s="1">
        <v>10.68</v>
      </c>
      <c r="P456" s="1">
        <v>8.6999999999999994E-2</v>
      </c>
      <c r="Q456" s="1">
        <v>0.59899999999999998</v>
      </c>
      <c r="R456" s="1">
        <v>0.30199999999999999</v>
      </c>
      <c r="S456" s="17" t="s">
        <v>18</v>
      </c>
      <c r="T456">
        <v>4</v>
      </c>
      <c r="U456" t="s">
        <v>1552</v>
      </c>
      <c r="V456" s="17">
        <v>0</v>
      </c>
      <c r="W456" t="s">
        <v>5</v>
      </c>
      <c r="X456" t="s">
        <v>5</v>
      </c>
      <c r="Y456" t="s">
        <v>5</v>
      </c>
      <c r="Z456" t="s">
        <v>5</v>
      </c>
      <c r="AA456" t="s">
        <v>5</v>
      </c>
      <c r="AB456" s="17" t="str">
        <f>HYPERLINK("http://exon.niaid.nih.gov/transcriptome/T_rubida/S2/links/netoglyc/TRIRU-608-netoglyc.txt","11")</f>
        <v>11</v>
      </c>
      <c r="AC456">
        <v>20.5</v>
      </c>
      <c r="AD456">
        <v>2.2999999999999998</v>
      </c>
      <c r="AE456">
        <v>11.4</v>
      </c>
      <c r="AF456" s="17" t="s">
        <v>5</v>
      </c>
      <c r="AG456" s="2" t="str">
        <f>HYPERLINK("http://exon.niaid.nih.gov/transcriptome/T_rubida/S2/links/NR/Triru-608-NR.txt","hypothetical protein TCSYLVIO_3291")</f>
        <v>hypothetical protein TCSYLVIO_3291</v>
      </c>
      <c r="AH456" t="str">
        <f>HYPERLINK("http://www.ncbi.nlm.nih.gov/sutils/blink.cgi?pid=322825469","5E-029")</f>
        <v>5E-029</v>
      </c>
      <c r="AI456" t="str">
        <f>HYPERLINK("http://www.ncbi.nlm.nih.gov/protein/322825469","gi|322825469")</f>
        <v>gi|322825469</v>
      </c>
      <c r="AJ456">
        <v>130</v>
      </c>
      <c r="AK456">
        <v>83</v>
      </c>
      <c r="AL456">
        <v>641</v>
      </c>
      <c r="AM456">
        <v>77</v>
      </c>
      <c r="AN456">
        <v>13</v>
      </c>
      <c r="AO456" t="s">
        <v>176</v>
      </c>
      <c r="AP456" s="2" t="str">
        <f>HYPERLINK("http://exon.niaid.nih.gov/transcriptome/T_rubida/S2/links/SWISSP/Triru-608-SWISSP.txt","Protein ALWAYS EARLY 2")</f>
        <v>Protein ALWAYS EARLY 2</v>
      </c>
      <c r="AQ456" t="str">
        <f>HYPERLINK("http://www.uniprot.org/uniprot/Q6A333","7.4")</f>
        <v>7.4</v>
      </c>
      <c r="AR456" t="s">
        <v>177</v>
      </c>
      <c r="AS456">
        <v>29.3</v>
      </c>
      <c r="AT456">
        <v>43</v>
      </c>
      <c r="AU456">
        <v>1051</v>
      </c>
      <c r="AV456">
        <v>31</v>
      </c>
      <c r="AW456">
        <v>4</v>
      </c>
      <c r="AX456">
        <v>30</v>
      </c>
      <c r="AY456">
        <v>0</v>
      </c>
      <c r="AZ456">
        <v>548</v>
      </c>
      <c r="BA456">
        <v>41</v>
      </c>
      <c r="BB456">
        <v>1</v>
      </c>
      <c r="BC456" t="s">
        <v>71</v>
      </c>
      <c r="BD456" s="2" t="s">
        <v>5</v>
      </c>
      <c r="BE456" t="s">
        <v>5</v>
      </c>
      <c r="BF456" t="s">
        <v>5</v>
      </c>
      <c r="BG456" t="s">
        <v>5</v>
      </c>
      <c r="BH456" t="s">
        <v>5</v>
      </c>
      <c r="BI456" s="2" t="str">
        <f>HYPERLINK("http://exon.niaid.nih.gov/transcriptome/T_rubida/S2/links/CDD/Triru-608-CDD.txt","Cytochrom_B558a")</f>
        <v>Cytochrom_B558a</v>
      </c>
      <c r="BJ456" t="str">
        <f>HYPERLINK("http://www.ncbi.nlm.nih.gov/Structure/cdd/cddsrv.cgi?uid=pfam05038&amp;version=v4.0","9.8")</f>
        <v>9.8</v>
      </c>
      <c r="BK456" t="s">
        <v>178</v>
      </c>
      <c r="BL456" s="2" t="str">
        <f>HYPERLINK("http://exon.niaid.nih.gov/transcriptome/T_rubida/S2/links/KOG/Triru-608-KOG.txt","Membrane protein Patched/PTCH")</f>
        <v>Membrane protein Patched/PTCH</v>
      </c>
      <c r="BM456" t="str">
        <f>HYPERLINK("http://www.ncbi.nlm.nih.gov/COG/grace/shokog.cgi?KOG1935","0.64")</f>
        <v>0.64</v>
      </c>
      <c r="BN456" t="s">
        <v>179</v>
      </c>
      <c r="BO456" s="2" t="str">
        <f>HYPERLINK("http://exon.niaid.nih.gov/transcriptome/T_rubida/S2/links/PFAM/Triru-608-PFAM.txt","Cytochrom_B558a")</f>
        <v>Cytochrom_B558a</v>
      </c>
      <c r="BP456" t="str">
        <f>HYPERLINK("http://pfam.sanger.ac.uk/family?acc=PF05038","2.1")</f>
        <v>2.1</v>
      </c>
      <c r="BQ456" s="2" t="str">
        <f>HYPERLINK("http://exon.niaid.nih.gov/transcriptome/T_rubida/S2/links/SMART/Triru-608-SMART.txt","BATS")</f>
        <v>BATS</v>
      </c>
      <c r="BR456" t="str">
        <f>HYPERLINK("http://smart.embl-heidelberg.de/smart/do_annotation.pl?DOMAIN=BATS&amp;BLAST=DUMMY","1.0")</f>
        <v>1.0</v>
      </c>
      <c r="BS456" s="17">
        <v>179</v>
      </c>
      <c r="BT456" s="1">
        <v>1</v>
      </c>
      <c r="BU456" s="17">
        <v>275</v>
      </c>
      <c r="BV456" s="1">
        <v>1</v>
      </c>
      <c r="BW456" s="17">
        <v>354</v>
      </c>
      <c r="BX456" s="1">
        <v>1</v>
      </c>
      <c r="BY456" s="17">
        <v>389</v>
      </c>
      <c r="BZ456" s="1">
        <v>1</v>
      </c>
      <c r="CA456" s="17">
        <v>404</v>
      </c>
      <c r="CB456" s="1">
        <v>1</v>
      </c>
      <c r="CC456" s="17">
        <v>419</v>
      </c>
      <c r="CD456" s="1">
        <v>1</v>
      </c>
      <c r="CE456" s="17">
        <v>434</v>
      </c>
      <c r="CF456" s="1">
        <v>1</v>
      </c>
      <c r="CG456" s="17">
        <v>441</v>
      </c>
      <c r="CH456" s="1">
        <v>1</v>
      </c>
      <c r="CI456" s="17">
        <v>455</v>
      </c>
      <c r="CJ456" s="1">
        <v>1</v>
      </c>
      <c r="CK456" s="17">
        <v>461</v>
      </c>
      <c r="CL456" s="1">
        <v>1</v>
      </c>
      <c r="CM456" s="17">
        <v>473</v>
      </c>
      <c r="CN456" s="1">
        <v>1</v>
      </c>
      <c r="CO456" s="17">
        <v>485</v>
      </c>
      <c r="CP456" s="1">
        <v>1</v>
      </c>
      <c r="CQ456" s="17">
        <v>495</v>
      </c>
      <c r="CR456" s="1">
        <v>1</v>
      </c>
      <c r="CS456" s="17">
        <v>508</v>
      </c>
      <c r="CT456" s="1">
        <v>1</v>
      </c>
      <c r="CU456" s="17">
        <v>520</v>
      </c>
      <c r="CV456" s="1">
        <v>1</v>
      </c>
    </row>
    <row r="457" spans="1:100" s="6" customFormat="1">
      <c r="A457" s="12" t="s">
        <v>1908</v>
      </c>
      <c r="I457" s="7"/>
      <c r="P457" s="6" t="s">
        <v>5</v>
      </c>
      <c r="Q457" s="6" t="s">
        <v>5</v>
      </c>
      <c r="R457" s="6" t="s">
        <v>5</v>
      </c>
      <c r="S457" s="6" t="s">
        <v>5</v>
      </c>
      <c r="T457" s="6" t="s">
        <v>5</v>
      </c>
      <c r="U457" s="6" t="s">
        <v>5</v>
      </c>
      <c r="V457" s="6" t="s">
        <v>5</v>
      </c>
      <c r="W457" s="6" t="s">
        <v>5</v>
      </c>
      <c r="X457" s="6" t="s">
        <v>5</v>
      </c>
      <c r="Y457" s="6" t="s">
        <v>5</v>
      </c>
      <c r="Z457" s="6" t="s">
        <v>5</v>
      </c>
      <c r="AA457" s="6" t="s">
        <v>5</v>
      </c>
      <c r="AB457" s="6" t="s">
        <v>5</v>
      </c>
      <c r="AC457" s="6" t="s">
        <v>5</v>
      </c>
      <c r="AD457" s="6" t="s">
        <v>5</v>
      </c>
      <c r="AE457" s="6" t="s">
        <v>5</v>
      </c>
      <c r="AF457" s="6" t="s">
        <v>5</v>
      </c>
    </row>
    <row r="458" spans="1:100">
      <c r="A458" t="str">
        <f>HYPERLINK("http://exon.niaid.nih.gov/transcriptome/T_rubida/S2/links/pep/Triru-307-pep.txt","Triru-307")</f>
        <v>Triru-307</v>
      </c>
      <c r="B458">
        <v>101</v>
      </c>
      <c r="C458" s="1" t="s">
        <v>9</v>
      </c>
      <c r="D458" s="1" t="s">
        <v>3</v>
      </c>
      <c r="E458" t="str">
        <f>HYPERLINK("http://exon.niaid.nih.gov/transcriptome/T_rubida/S2/links/cds/Triru-307-cds.txt","Triru-307")</f>
        <v>Triru-307</v>
      </c>
      <c r="F458">
        <v>306</v>
      </c>
      <c r="G458" s="2" t="s">
        <v>1716</v>
      </c>
      <c r="H458" s="1">
        <v>1</v>
      </c>
      <c r="I458" s="3" t="s">
        <v>1290</v>
      </c>
      <c r="J458" s="17" t="str">
        <f>HYPERLINK("http://exon.niaid.nih.gov/transcriptome/T_rubida/S2/links/Sigp/Triru-307-SigP.txt","BL")</f>
        <v>BL</v>
      </c>
      <c r="K458" t="s">
        <v>1320</v>
      </c>
      <c r="L458" s="1">
        <v>11.435</v>
      </c>
      <c r="M458" s="1">
        <v>10.28</v>
      </c>
      <c r="N458" s="1">
        <v>8.8089999999999993</v>
      </c>
      <c r="O458" s="1">
        <v>9.9</v>
      </c>
      <c r="P458" s="1">
        <v>0.28000000000000003</v>
      </c>
      <c r="Q458" s="1">
        <v>0.71199999999999997</v>
      </c>
      <c r="R458" s="1">
        <v>3.5000000000000003E-2</v>
      </c>
      <c r="S458" s="17" t="s">
        <v>18</v>
      </c>
      <c r="T458">
        <v>3</v>
      </c>
      <c r="U458" t="s">
        <v>1469</v>
      </c>
      <c r="V458" s="17">
        <v>0</v>
      </c>
      <c r="W458" t="s">
        <v>5</v>
      </c>
      <c r="X458" t="s">
        <v>5</v>
      </c>
      <c r="Y458" t="s">
        <v>5</v>
      </c>
      <c r="Z458" t="s">
        <v>5</v>
      </c>
      <c r="AA458" t="s">
        <v>5</v>
      </c>
      <c r="AB458" s="17" t="str">
        <f>HYPERLINK("http://exon.niaid.nih.gov/transcriptome/T_rubida/S2/links/netoglyc/TRIRU-307-netoglyc.txt","1")</f>
        <v>1</v>
      </c>
      <c r="AC458">
        <v>12.9</v>
      </c>
      <c r="AD458">
        <v>5.9</v>
      </c>
      <c r="AE458">
        <v>4</v>
      </c>
      <c r="AF458" s="17" t="s">
        <v>5</v>
      </c>
      <c r="AG458" s="2" t="str">
        <f>HYPERLINK("http://exon.niaid.nih.gov/transcriptome/T_rubida/S2/links/NR/Triru-307-NR.txt","Lian-Aa1 retrotransposon protein")</f>
        <v>Lian-Aa1 retrotransposon protein</v>
      </c>
      <c r="AH458" t="str">
        <f>HYPERLINK("http://www.ncbi.nlm.nih.gov/sutils/blink.cgi?pid=2290213","3E-007")</f>
        <v>3E-007</v>
      </c>
      <c r="AI458" t="str">
        <f>HYPERLINK("http://www.ncbi.nlm.nih.gov/protein/2290213","gi|2290213")</f>
        <v>gi|2290213</v>
      </c>
      <c r="AJ458">
        <v>58.5</v>
      </c>
      <c r="AK458">
        <v>69</v>
      </c>
      <c r="AL458">
        <v>1189</v>
      </c>
      <c r="AM458">
        <v>48</v>
      </c>
      <c r="AN458">
        <v>6</v>
      </c>
      <c r="AO458" t="s">
        <v>191</v>
      </c>
      <c r="AP458" s="2" t="str">
        <f>HYPERLINK("http://exon.niaid.nih.gov/transcriptome/T_rubida/S2/links/SWISSP/Triru-307-SWISSP.txt","Gag-Pol polyprotein")</f>
        <v>Gag-Pol polyprotein</v>
      </c>
      <c r="AQ458" t="str">
        <f>HYPERLINK("http://www.uniprot.org/uniprot/Q77373","0.001")</f>
        <v>0.001</v>
      </c>
      <c r="AR458" t="s">
        <v>819</v>
      </c>
      <c r="AS458">
        <v>41.6</v>
      </c>
      <c r="AT458">
        <v>53</v>
      </c>
      <c r="AU458">
        <v>1435</v>
      </c>
      <c r="AV458">
        <v>44</v>
      </c>
      <c r="AW458">
        <v>4</v>
      </c>
      <c r="AX458">
        <v>30</v>
      </c>
      <c r="AY458">
        <v>2</v>
      </c>
      <c r="AZ458">
        <v>1083</v>
      </c>
      <c r="BA458">
        <v>32</v>
      </c>
      <c r="BB458">
        <v>1</v>
      </c>
      <c r="BC458" t="s">
        <v>820</v>
      </c>
      <c r="BD458" s="2" t="s">
        <v>5</v>
      </c>
      <c r="BE458" t="s">
        <v>5</v>
      </c>
      <c r="BF458" t="s">
        <v>5</v>
      </c>
      <c r="BG458" t="s">
        <v>5</v>
      </c>
      <c r="BH458" t="s">
        <v>5</v>
      </c>
      <c r="BI458" s="2" t="str">
        <f>HYPERLINK("http://exon.niaid.nih.gov/transcriptome/T_rubida/S2/links/CDD/Triru-307-CDD.txt","Rnase_HI_RT_non")</f>
        <v>Rnase_HI_RT_non</v>
      </c>
      <c r="BJ458" t="str">
        <f>HYPERLINK("http://www.ncbi.nlm.nih.gov/Structure/cdd/cddsrv.cgi?uid=cd09276&amp;version=v4.0","5E-011")</f>
        <v>5E-011</v>
      </c>
      <c r="BK458" t="s">
        <v>821</v>
      </c>
      <c r="BL458" s="2" t="str">
        <f>HYPERLINK("http://exon.niaid.nih.gov/transcriptome/T_rubida/S2/links/KOG/Triru-307-KOG.txt","Ribonuclease H")</f>
        <v>Ribonuclease H</v>
      </c>
      <c r="BM458" t="str">
        <f>HYPERLINK("http://www.ncbi.nlm.nih.gov/COG/grace/shokog.cgi?KOG3752","0.049")</f>
        <v>0.049</v>
      </c>
      <c r="BN458" t="s">
        <v>188</v>
      </c>
      <c r="BO458" s="2" t="str">
        <f>HYPERLINK("http://exon.niaid.nih.gov/transcriptome/T_rubida/S2/links/PFAM/Triru-307-PFAM.txt","RNase_H")</f>
        <v>RNase_H</v>
      </c>
      <c r="BP458" t="str">
        <f>HYPERLINK("http://pfam.sanger.ac.uk/family?acc=PF00075","1E-006")</f>
        <v>1E-006</v>
      </c>
      <c r="BQ458" s="2" t="str">
        <f>HYPERLINK("http://exon.niaid.nih.gov/transcriptome/T_rubida/S2/links/SMART/Triru-307-SMART.txt","MUTSd")</f>
        <v>MUTSd</v>
      </c>
      <c r="BR458" t="str">
        <f>HYPERLINK("http://smart.embl-heidelberg.de/smart/do_annotation.pl?DOMAIN=MUTSd&amp;BLAST=DUMMY","1.4")</f>
        <v>1.4</v>
      </c>
      <c r="BS458" s="17">
        <f>HYPERLINK("http://exon.niaid.nih.gov/transcriptome/T_rubida/S2/links/cluster/Triru-pep-ext25-50-Sim-CLU1.txt", 1)</f>
        <v>1</v>
      </c>
      <c r="BT458" s="1">
        <f>HYPERLINK("http://exon.niaid.nih.gov/transcriptome/T_rubida/S2/links/cluster/Triru-pep-ext25-50-Sim-CLTL1.txt", 359)</f>
        <v>359</v>
      </c>
      <c r="BU458" s="17">
        <v>143</v>
      </c>
      <c r="BV458" s="1">
        <v>1</v>
      </c>
      <c r="BW458" s="17">
        <v>172</v>
      </c>
      <c r="BX458" s="1">
        <v>1</v>
      </c>
      <c r="BY458" s="17">
        <v>183</v>
      </c>
      <c r="BZ458" s="1">
        <v>1</v>
      </c>
      <c r="CA458" s="17">
        <v>188</v>
      </c>
      <c r="CB458" s="1">
        <v>1</v>
      </c>
      <c r="CC458" s="17">
        <v>193</v>
      </c>
      <c r="CD458" s="1">
        <v>1</v>
      </c>
      <c r="CE458" s="17">
        <v>199</v>
      </c>
      <c r="CF458" s="1">
        <v>1</v>
      </c>
      <c r="CG458" s="17">
        <v>201</v>
      </c>
      <c r="CH458" s="1">
        <v>1</v>
      </c>
      <c r="CI458" s="17">
        <v>210</v>
      </c>
      <c r="CJ458" s="1">
        <v>1</v>
      </c>
      <c r="CK458" s="17">
        <v>215</v>
      </c>
      <c r="CL458" s="1">
        <v>1</v>
      </c>
      <c r="CM458" s="17">
        <v>221</v>
      </c>
      <c r="CN458" s="1">
        <v>1</v>
      </c>
      <c r="CO458" s="17">
        <v>232</v>
      </c>
      <c r="CP458" s="1">
        <v>1</v>
      </c>
      <c r="CQ458" s="17">
        <v>242</v>
      </c>
      <c r="CR458" s="1">
        <v>1</v>
      </c>
      <c r="CS458" s="17">
        <v>251</v>
      </c>
      <c r="CT458" s="1">
        <v>1</v>
      </c>
      <c r="CU458" s="17">
        <v>262</v>
      </c>
      <c r="CV458" s="1">
        <v>1</v>
      </c>
    </row>
    <row r="460" spans="1:100">
      <c r="AM460">
        <f>AVERAGE(AM445:AM456)</f>
        <v>71.666666666666671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T.rubida S2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Ribeiro, Jose (NIH/NIAID) [E]</dc:creator>
  <cp:lastModifiedBy>Ribeiro, Jose (NIH/NIAID) </cp:lastModifiedBy>
  <dcterms:created xsi:type="dcterms:W3CDTF">2011-08-25T17:33:47Z</dcterms:created>
  <dcterms:modified xsi:type="dcterms:W3CDTF">2011-10-21T17:43:32Z</dcterms:modified>
</cp:coreProperties>
</file>